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pivotTables/pivotTable6.xml" ContentType="application/vnd.openxmlformats-officedocument.spreadsheetml.pivotTab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PivotChartFilter="1"/>
  <bookViews>
    <workbookView xWindow="-270" yWindow="4305" windowWidth="21630" windowHeight="5340" tabRatio="878"/>
  </bookViews>
  <sheets>
    <sheet name="Definitions" sheetId="42" r:id="rId1"/>
    <sheet name="KU Inputs" sheetId="67" r:id="rId2"/>
    <sheet name="KU rate projections" sheetId="69" r:id="rId3"/>
    <sheet name="PVT Utility DAta (2)" sheetId="71" state="veryHidden" r:id="rId4"/>
    <sheet name="PVT Utility DAta" sheetId="70" state="veryHidden" r:id="rId5"/>
    <sheet name="KU UtilityData" sheetId="66" r:id="rId6"/>
    <sheet name="KU AnnualIndices" sheetId="17" r:id="rId7"/>
    <sheet name="KU ShareUEC" sheetId="22" r:id="rId8"/>
    <sheet name="KU Shares" sheetId="6" r:id="rId9"/>
    <sheet name="PVT efficiencies" sheetId="68" state="veryHidden" r:id="rId10"/>
    <sheet name="KU Efficiencies" sheetId="20" r:id="rId11"/>
    <sheet name="KU StructuralVars" sheetId="64" r:id="rId12"/>
    <sheet name="KU EIAData" sheetId="44" r:id="rId13"/>
    <sheet name="KU MonthlyMults" sheetId="40" r:id="rId14"/>
    <sheet name="LE Inputs" sheetId="72" r:id="rId15"/>
    <sheet name="LE Price PVT" sheetId="73" state="veryHidden" r:id="rId16"/>
    <sheet name="LE UtilityData" sheetId="74" r:id="rId17"/>
    <sheet name="LE AnnualIndices" sheetId="75" r:id="rId18"/>
    <sheet name="LE ShareUEC" sheetId="76" r:id="rId19"/>
    <sheet name="LE Shares" sheetId="77" r:id="rId20"/>
    <sheet name="LE EIAData" sheetId="78" r:id="rId21"/>
    <sheet name="PVT efficiencies (2)" sheetId="79" state="veryHidden" r:id="rId22"/>
    <sheet name="LE Efficiencies" sheetId="80" r:id="rId23"/>
    <sheet name="LE StructuralVars" sheetId="81" r:id="rId24"/>
    <sheet name="LE MonthlyMults" sheetId="82" r:id="rId25"/>
    <sheet name="OD Inputs" sheetId="83" r:id="rId26"/>
    <sheet name="OD Rates" sheetId="84" r:id="rId27"/>
    <sheet name="OD UtilityData" sheetId="85" r:id="rId28"/>
    <sheet name="OD AnnualIndices" sheetId="86" r:id="rId29"/>
    <sheet name="OD ShareUEC" sheetId="87" r:id="rId30"/>
    <sheet name="OD Shares" sheetId="88" r:id="rId31"/>
    <sheet name="PVT efficiencies (3)" sheetId="89" state="veryHidden" r:id="rId32"/>
    <sheet name="OD Efficiencies" sheetId="90" r:id="rId33"/>
    <sheet name="OD StructuralVars" sheetId="91" r:id="rId34"/>
    <sheet name="OD EIAData" sheetId="92" r:id="rId35"/>
    <sheet name="OD MonthlyMults" sheetId="93" r:id="rId36"/>
  </sheets>
  <definedNames>
    <definedName name="_ENC1980" localSheetId="3">#REF!</definedName>
    <definedName name="_ENC1980">#REF!</definedName>
    <definedName name="_ENC1981" localSheetId="3">#REF!</definedName>
    <definedName name="_ENC1981">#REF!</definedName>
    <definedName name="_ENC1982" localSheetId="3">#REF!</definedName>
    <definedName name="_ENC1982">#REF!</definedName>
    <definedName name="_ENC1983" localSheetId="3">#REF!</definedName>
    <definedName name="_ENC1983">#REF!</definedName>
    <definedName name="_ENC1984" localSheetId="3">#REF!</definedName>
    <definedName name="_ENC1984">#REF!</definedName>
    <definedName name="_ENC1985" localSheetId="3">#REF!</definedName>
    <definedName name="_ENC1985">#REF!</definedName>
    <definedName name="_ENC1986" localSheetId="3">#REF!</definedName>
    <definedName name="_ENC1986">#REF!</definedName>
    <definedName name="_ENC1987" localSheetId="3">#REF!</definedName>
    <definedName name="_ENC1987">#REF!</definedName>
    <definedName name="_ENC1988" localSheetId="3">#REF!</definedName>
    <definedName name="_ENC1988">#REF!</definedName>
    <definedName name="_ENC1989" localSheetId="3">#REF!</definedName>
    <definedName name="_ENC1989">#REF!</definedName>
    <definedName name="_ENC1990" localSheetId="3">#REF!</definedName>
    <definedName name="_ENC1990">#REF!</definedName>
    <definedName name="_ENC1991" localSheetId="3">#REF!</definedName>
    <definedName name="_ENC1991">#REF!</definedName>
    <definedName name="_ENC1992" localSheetId="3">#REF!</definedName>
    <definedName name="_ENC1992">#REF!</definedName>
    <definedName name="_ENC1993" localSheetId="3">#REF!</definedName>
    <definedName name="_ENC1993">#REF!</definedName>
    <definedName name="_ENC1994" localSheetId="3">#REF!</definedName>
    <definedName name="_ENC1994">#REF!</definedName>
    <definedName name="_ENC1995" localSheetId="3">#REF!</definedName>
    <definedName name="_ENC1995">#REF!</definedName>
    <definedName name="_ENC1996" localSheetId="3">#REF!</definedName>
    <definedName name="_ENC1996">#REF!</definedName>
    <definedName name="_ENC1997" localSheetId="3">#REF!</definedName>
    <definedName name="_ENC1997">#REF!</definedName>
    <definedName name="_ENC1998" localSheetId="3">#REF!</definedName>
    <definedName name="_ENC1998">#REF!</definedName>
    <definedName name="_ENC1999" localSheetId="3">#REF!</definedName>
    <definedName name="_ENC1999">#REF!</definedName>
    <definedName name="_ENC2000" localSheetId="3">#REF!</definedName>
    <definedName name="_ENC2000">#REF!</definedName>
    <definedName name="_ENC2001" localSheetId="3">#REF!</definedName>
    <definedName name="_ENC2001">#REF!</definedName>
    <definedName name="_ENC2002" localSheetId="3">#REF!</definedName>
    <definedName name="_ENC2002">#REF!</definedName>
    <definedName name="_ENC2003" localSheetId="3">#REF!</definedName>
    <definedName name="_ENC2003">#REF!</definedName>
    <definedName name="_ENC2004" localSheetId="3">#REF!</definedName>
    <definedName name="_ENC2004">#REF!</definedName>
    <definedName name="_ENC2005" localSheetId="3">#REF!</definedName>
    <definedName name="_ENC2005">#REF!</definedName>
    <definedName name="_ENC2006" localSheetId="3">#REF!</definedName>
    <definedName name="_ENC2006">#REF!</definedName>
    <definedName name="_ENC2007" localSheetId="3">#REF!</definedName>
    <definedName name="_ENC2007">#REF!</definedName>
    <definedName name="_ENC2008" localSheetId="3">#REF!</definedName>
    <definedName name="_ENC2008">#REF!</definedName>
    <definedName name="_ENC2009" localSheetId="3">#REF!</definedName>
    <definedName name="_ENC2009">#REF!</definedName>
    <definedName name="_ENC2010" localSheetId="3">#REF!</definedName>
    <definedName name="_ENC2010">#REF!</definedName>
    <definedName name="_ENC2011" localSheetId="3">#REF!</definedName>
    <definedName name="_ENC2011">#REF!</definedName>
    <definedName name="_ENC2012" localSheetId="3">#REF!</definedName>
    <definedName name="_ENC2012">#REF!</definedName>
    <definedName name="_ENC2013" localSheetId="3">#REF!</definedName>
    <definedName name="_ENC2013">#REF!</definedName>
    <definedName name="_ENC2014" localSheetId="3">#REF!</definedName>
    <definedName name="_ENC2014">#REF!</definedName>
    <definedName name="_ENC2015" localSheetId="3">#REF!</definedName>
    <definedName name="_ENC2015">#REF!</definedName>
    <definedName name="_ENC2016" localSheetId="3">#REF!</definedName>
    <definedName name="_ENC2016">#REF!</definedName>
    <definedName name="_ENC2017" localSheetId="3">#REF!</definedName>
    <definedName name="_ENC2017">#REF!</definedName>
    <definedName name="_ENC2018" localSheetId="3">#REF!</definedName>
    <definedName name="_ENC2018">#REF!</definedName>
    <definedName name="_ENC2019" localSheetId="3">#REF!</definedName>
    <definedName name="_ENC2019">#REF!</definedName>
    <definedName name="_ENC2020" localSheetId="3">#REF!</definedName>
    <definedName name="_ENC2020">#REF!</definedName>
    <definedName name="_ESC1980" localSheetId="3">#REF!</definedName>
    <definedName name="_ESC1980">#REF!</definedName>
    <definedName name="_ESC1981" localSheetId="3">#REF!</definedName>
    <definedName name="_ESC1981">#REF!</definedName>
    <definedName name="_ESC1982" localSheetId="3">#REF!</definedName>
    <definedName name="_ESC1982">#REF!</definedName>
    <definedName name="_ESC1983" localSheetId="3">#REF!</definedName>
    <definedName name="_ESC1983">#REF!</definedName>
    <definedName name="_ESC1984" localSheetId="3">#REF!</definedName>
    <definedName name="_ESC1984">#REF!</definedName>
    <definedName name="_ESC1985" localSheetId="3">#REF!</definedName>
    <definedName name="_ESC1985">#REF!</definedName>
    <definedName name="_ESC1986" localSheetId="3">#REF!</definedName>
    <definedName name="_ESC1986">#REF!</definedName>
    <definedName name="_ESC1987" localSheetId="3">#REF!</definedName>
    <definedName name="_ESC1987">#REF!</definedName>
    <definedName name="_ESC1988" localSheetId="3">#REF!</definedName>
    <definedName name="_ESC1988">#REF!</definedName>
    <definedName name="_ESC1989" localSheetId="3">#REF!</definedName>
    <definedName name="_ESC1989">#REF!</definedName>
    <definedName name="_ESC1990" localSheetId="3">#REF!</definedName>
    <definedName name="_ESC1990">#REF!</definedName>
    <definedName name="_ESC1991" localSheetId="3">#REF!</definedName>
    <definedName name="_ESC1991">#REF!</definedName>
    <definedName name="_ESC1992" localSheetId="3">#REF!</definedName>
    <definedName name="_ESC1992">#REF!</definedName>
    <definedName name="_ESC1993" localSheetId="3">#REF!</definedName>
    <definedName name="_ESC1993">#REF!</definedName>
    <definedName name="_ESC1994" localSheetId="3">#REF!</definedName>
    <definedName name="_ESC1994">#REF!</definedName>
    <definedName name="_ESC1995" localSheetId="3">#REF!</definedName>
    <definedName name="_ESC1995">#REF!</definedName>
    <definedName name="_ESC1996" localSheetId="3">#REF!</definedName>
    <definedName name="_ESC1996">#REF!</definedName>
    <definedName name="_ESC1997" localSheetId="3">#REF!</definedName>
    <definedName name="_ESC1997">#REF!</definedName>
    <definedName name="_ESC1998" localSheetId="3">#REF!</definedName>
    <definedName name="_ESC1998">#REF!</definedName>
    <definedName name="_ESC1999" localSheetId="3">#REF!</definedName>
    <definedName name="_ESC1999">#REF!</definedName>
    <definedName name="_ESC2000" localSheetId="3">#REF!</definedName>
    <definedName name="_ESC2000">#REF!</definedName>
    <definedName name="_ESC2001" localSheetId="3">#REF!</definedName>
    <definedName name="_ESC2001">#REF!</definedName>
    <definedName name="_ESC2002" localSheetId="3">#REF!</definedName>
    <definedName name="_ESC2002">#REF!</definedName>
    <definedName name="_ESC2003" localSheetId="3">#REF!</definedName>
    <definedName name="_ESC2003">#REF!</definedName>
    <definedName name="_ESC2004" localSheetId="3">#REF!</definedName>
    <definedName name="_ESC2004">#REF!</definedName>
    <definedName name="_ESC2005" localSheetId="3">#REF!</definedName>
    <definedName name="_ESC2005">#REF!</definedName>
    <definedName name="_ESC2006" localSheetId="3">#REF!</definedName>
    <definedName name="_ESC2006">#REF!</definedName>
    <definedName name="_ESC2007" localSheetId="3">#REF!</definedName>
    <definedName name="_ESC2007">#REF!</definedName>
    <definedName name="_ESC2008" localSheetId="3">#REF!</definedName>
    <definedName name="_ESC2008">#REF!</definedName>
    <definedName name="_ESC2009" localSheetId="3">#REF!</definedName>
    <definedName name="_ESC2009">#REF!</definedName>
    <definedName name="_ESC2010" localSheetId="3">#REF!</definedName>
    <definedName name="_ESC2010">#REF!</definedName>
    <definedName name="_ESC2011" localSheetId="3">#REF!</definedName>
    <definedName name="_ESC2011">#REF!</definedName>
    <definedName name="_ESC2012" localSheetId="3">#REF!</definedName>
    <definedName name="_ESC2012">#REF!</definedName>
    <definedName name="_ESC2013" localSheetId="3">#REF!</definedName>
    <definedName name="_ESC2013">#REF!</definedName>
    <definedName name="_ESC2014" localSheetId="3">#REF!</definedName>
    <definedName name="_ESC2014">#REF!</definedName>
    <definedName name="_ESC2015" localSheetId="3">#REF!</definedName>
    <definedName name="_ESC2015">#REF!</definedName>
    <definedName name="_ESC2016" localSheetId="3">#REF!</definedName>
    <definedName name="_ESC2016">#REF!</definedName>
    <definedName name="_ESC2017" localSheetId="3">#REF!</definedName>
    <definedName name="_ESC2017">#REF!</definedName>
    <definedName name="_ESC2018" localSheetId="3">#REF!</definedName>
    <definedName name="_ESC2018">#REF!</definedName>
    <definedName name="_ESC2019" localSheetId="3">#REF!</definedName>
    <definedName name="_ESC2019">#REF!</definedName>
    <definedName name="_ESC2020" localSheetId="3">#REF!</definedName>
    <definedName name="_ESC2020">#REF!</definedName>
    <definedName name="_MNT1980" localSheetId="3">#REF!</definedName>
    <definedName name="_MNT1980">#REF!</definedName>
    <definedName name="_MNT1981" localSheetId="3">#REF!</definedName>
    <definedName name="_MNT1981">#REF!</definedName>
    <definedName name="_MNT1982" localSheetId="3">#REF!</definedName>
    <definedName name="_MNT1982">#REF!</definedName>
    <definedName name="_MNT1983" localSheetId="3">#REF!</definedName>
    <definedName name="_MNT1983">#REF!</definedName>
    <definedName name="_MNT1984" localSheetId="3">#REF!</definedName>
    <definedName name="_MNT1984">#REF!</definedName>
    <definedName name="_MNT1985" localSheetId="3">#REF!</definedName>
    <definedName name="_MNT1985">#REF!</definedName>
    <definedName name="_MNT1986" localSheetId="3">#REF!</definedName>
    <definedName name="_MNT1986">#REF!</definedName>
    <definedName name="_MNT1987" localSheetId="3">#REF!</definedName>
    <definedName name="_MNT1987">#REF!</definedName>
    <definedName name="_MNT1988" localSheetId="3">#REF!</definedName>
    <definedName name="_MNT1988">#REF!</definedName>
    <definedName name="_MNT1989" localSheetId="3">#REF!</definedName>
    <definedName name="_MNT1989">#REF!</definedName>
    <definedName name="_MNT1990" localSheetId="3">#REF!</definedName>
    <definedName name="_MNT1990">#REF!</definedName>
    <definedName name="_MNT1991" localSheetId="3">#REF!</definedName>
    <definedName name="_MNT1991">#REF!</definedName>
    <definedName name="_MNT1992" localSheetId="3">#REF!</definedName>
    <definedName name="_MNT1992">#REF!</definedName>
    <definedName name="_MNT1993" localSheetId="3">#REF!</definedName>
    <definedName name="_MNT1993">#REF!</definedName>
    <definedName name="_MNT1994" localSheetId="3">#REF!</definedName>
    <definedName name="_MNT1994">#REF!</definedName>
    <definedName name="_MNT1995" localSheetId="3">#REF!</definedName>
    <definedName name="_MNT1995">#REF!</definedName>
    <definedName name="_MNT1996" localSheetId="3">#REF!</definedName>
    <definedName name="_MNT1996">#REF!</definedName>
    <definedName name="_MNT1997" localSheetId="3">#REF!</definedName>
    <definedName name="_MNT1997">#REF!</definedName>
    <definedName name="_MNT1998" localSheetId="3">#REF!</definedName>
    <definedName name="_MNT1998">#REF!</definedName>
    <definedName name="_MNT1999" localSheetId="3">#REF!</definedName>
    <definedName name="_MNT1999">#REF!</definedName>
    <definedName name="_MNT2000" localSheetId="3">#REF!</definedName>
    <definedName name="_MNT2000">#REF!</definedName>
    <definedName name="_MNT2001" localSheetId="3">#REF!</definedName>
    <definedName name="_MNT2001">#REF!</definedName>
    <definedName name="_MNT2002" localSheetId="3">#REF!</definedName>
    <definedName name="_MNT2002">#REF!</definedName>
    <definedName name="_MNT2003" localSheetId="3">#REF!</definedName>
    <definedName name="_MNT2003">#REF!</definedName>
    <definedName name="_MNT2004" localSheetId="3">#REF!</definedName>
    <definedName name="_MNT2004">#REF!</definedName>
    <definedName name="_MNT2005" localSheetId="3">#REF!</definedName>
    <definedName name="_MNT2005">#REF!</definedName>
    <definedName name="_MNT2006" localSheetId="3">#REF!</definedName>
    <definedName name="_MNT2006">#REF!</definedName>
    <definedName name="_MNT2007" localSheetId="3">#REF!</definedName>
    <definedName name="_MNT2007">#REF!</definedName>
    <definedName name="_MNT2008" localSheetId="3">#REF!</definedName>
    <definedName name="_MNT2008">#REF!</definedName>
    <definedName name="_MNT2009" localSheetId="3">#REF!</definedName>
    <definedName name="_MNT2009">#REF!</definedName>
    <definedName name="_MNT2010" localSheetId="3">#REF!</definedName>
    <definedName name="_MNT2010">#REF!</definedName>
    <definedName name="_MNT2011" localSheetId="3">#REF!</definedName>
    <definedName name="_MNT2011">#REF!</definedName>
    <definedName name="_MNT2012" localSheetId="3">#REF!</definedName>
    <definedName name="_MNT2012">#REF!</definedName>
    <definedName name="_MNT2013" localSheetId="3">#REF!</definedName>
    <definedName name="_MNT2013">#REF!</definedName>
    <definedName name="_MNT2014" localSheetId="3">#REF!</definedName>
    <definedName name="_MNT2014">#REF!</definedName>
    <definedName name="_MNT2015" localSheetId="3">#REF!</definedName>
    <definedName name="_MNT2015">#REF!</definedName>
    <definedName name="_MNT2016" localSheetId="3">#REF!</definedName>
    <definedName name="_MNT2016">#REF!</definedName>
    <definedName name="_MNT2017" localSheetId="3">#REF!</definedName>
    <definedName name="_MNT2017">#REF!</definedName>
    <definedName name="_MNT2018" localSheetId="3">#REF!</definedName>
    <definedName name="_MNT2018">#REF!</definedName>
    <definedName name="_MNT2019" localSheetId="3">#REF!</definedName>
    <definedName name="_MNT2019">#REF!</definedName>
    <definedName name="_MNT2020" localSheetId="3">#REF!</definedName>
    <definedName name="_MNT2020">#REF!</definedName>
    <definedName name="_PAC1980" localSheetId="3">#REF!</definedName>
    <definedName name="_PAC1980">#REF!</definedName>
    <definedName name="_PAC1981" localSheetId="3">#REF!</definedName>
    <definedName name="_PAC1981">#REF!</definedName>
    <definedName name="_PAC1982" localSheetId="3">#REF!</definedName>
    <definedName name="_PAC1982">#REF!</definedName>
    <definedName name="_PAC1983" localSheetId="3">#REF!</definedName>
    <definedName name="_PAC1983">#REF!</definedName>
    <definedName name="_PAC1984" localSheetId="3">#REF!</definedName>
    <definedName name="_PAC1984">#REF!</definedName>
    <definedName name="_PAC1985" localSheetId="3">#REF!</definedName>
    <definedName name="_PAC1985">#REF!</definedName>
    <definedName name="_PAC1986" localSheetId="3">#REF!</definedName>
    <definedName name="_PAC1986">#REF!</definedName>
    <definedName name="_PAC1987" localSheetId="3">#REF!</definedName>
    <definedName name="_PAC1987">#REF!</definedName>
    <definedName name="_PAC1988" localSheetId="3">#REF!</definedName>
    <definedName name="_PAC1988">#REF!</definedName>
    <definedName name="_PAC1989" localSheetId="3">#REF!</definedName>
    <definedName name="_PAC1989">#REF!</definedName>
    <definedName name="_PAC1990" localSheetId="3">#REF!</definedName>
    <definedName name="_PAC1990">#REF!</definedName>
    <definedName name="_PAC1991" localSheetId="3">#REF!</definedName>
    <definedName name="_PAC1991">#REF!</definedName>
    <definedName name="_PAC1992" localSheetId="3">#REF!</definedName>
    <definedName name="_PAC1992">#REF!</definedName>
    <definedName name="_PAC1993" localSheetId="3">#REF!</definedName>
    <definedName name="_PAC1993">#REF!</definedName>
    <definedName name="_PAC1994" localSheetId="3">#REF!</definedName>
    <definedName name="_PAC1994">#REF!</definedName>
    <definedName name="_PAC1995" localSheetId="3">#REF!</definedName>
    <definedName name="_PAC1995">#REF!</definedName>
    <definedName name="_PAC1996" localSheetId="3">#REF!</definedName>
    <definedName name="_PAC1996">#REF!</definedName>
    <definedName name="_PAC1997" localSheetId="3">#REF!</definedName>
    <definedName name="_PAC1997">#REF!</definedName>
    <definedName name="_PAC1998" localSheetId="3">#REF!</definedName>
    <definedName name="_PAC1998">#REF!</definedName>
    <definedName name="_PAC1999" localSheetId="3">#REF!</definedName>
    <definedName name="_PAC1999">#REF!</definedName>
    <definedName name="_PAC2000" localSheetId="3">#REF!</definedName>
    <definedName name="_PAC2000">#REF!</definedName>
    <definedName name="_PAC2001" localSheetId="3">#REF!</definedName>
    <definedName name="_PAC2001">#REF!</definedName>
    <definedName name="_PAC2002" localSheetId="3">#REF!</definedName>
    <definedName name="_PAC2002">#REF!</definedName>
    <definedName name="_PAC2003" localSheetId="3">#REF!</definedName>
    <definedName name="_PAC2003">#REF!</definedName>
    <definedName name="_PAC2004" localSheetId="3">#REF!</definedName>
    <definedName name="_PAC2004">#REF!</definedName>
    <definedName name="_PAC2005" localSheetId="3">#REF!</definedName>
    <definedName name="_PAC2005">#REF!</definedName>
    <definedName name="_PAC2006" localSheetId="3">#REF!</definedName>
    <definedName name="_PAC2006">#REF!</definedName>
    <definedName name="_PAC2007" localSheetId="3">#REF!</definedName>
    <definedName name="_PAC2007">#REF!</definedName>
    <definedName name="_PAC2008" localSheetId="3">#REF!</definedName>
    <definedName name="_PAC2008">#REF!</definedName>
    <definedName name="_PAC2009" localSheetId="3">#REF!</definedName>
    <definedName name="_PAC2009">#REF!</definedName>
    <definedName name="_PAC2010" localSheetId="3">#REF!</definedName>
    <definedName name="_PAC2010">#REF!</definedName>
    <definedName name="_PAC2011" localSheetId="3">#REF!</definedName>
    <definedName name="_PAC2011">#REF!</definedName>
    <definedName name="_PAC2012" localSheetId="3">#REF!</definedName>
    <definedName name="_PAC2012">#REF!</definedName>
    <definedName name="_PAC2013" localSheetId="3">#REF!</definedName>
    <definedName name="_PAC2013">#REF!</definedName>
    <definedName name="_PAC2014" localSheetId="3">#REF!</definedName>
    <definedName name="_PAC2014">#REF!</definedName>
    <definedName name="_PAC2015" localSheetId="3">#REF!</definedName>
    <definedName name="_PAC2015">#REF!</definedName>
    <definedName name="_PAC2016" localSheetId="3">#REF!</definedName>
    <definedName name="_PAC2016">#REF!</definedName>
    <definedName name="_PAC2017" localSheetId="3">#REF!</definedName>
    <definedName name="_PAC2017">#REF!</definedName>
    <definedName name="_PAC2018" localSheetId="3">#REF!</definedName>
    <definedName name="_PAC2018">#REF!</definedName>
    <definedName name="_PAC2019" localSheetId="3">#REF!</definedName>
    <definedName name="_PAC2019">#REF!</definedName>
    <definedName name="_PAC2020" localSheetId="3">#REF!</definedName>
    <definedName name="_PAC2020">#REF!</definedName>
    <definedName name="_WNC1980" localSheetId="3">#REF!</definedName>
    <definedName name="_WNC1980">#REF!</definedName>
    <definedName name="_WNC1981" localSheetId="3">#REF!</definedName>
    <definedName name="_WNC1981">#REF!</definedName>
    <definedName name="_WNC1982" localSheetId="3">#REF!</definedName>
    <definedName name="_WNC1982">#REF!</definedName>
    <definedName name="_WNC1983" localSheetId="3">#REF!</definedName>
    <definedName name="_WNC1983">#REF!</definedName>
    <definedName name="_WNC1984" localSheetId="3">#REF!</definedName>
    <definedName name="_WNC1984">#REF!</definedName>
    <definedName name="_WNC1985" localSheetId="3">#REF!</definedName>
    <definedName name="_WNC1985">#REF!</definedName>
    <definedName name="_WNC1986" localSheetId="3">#REF!</definedName>
    <definedName name="_WNC1986">#REF!</definedName>
    <definedName name="_WNC1987" localSheetId="3">#REF!</definedName>
    <definedName name="_WNC1987">#REF!</definedName>
    <definedName name="_WNC1988" localSheetId="3">#REF!</definedName>
    <definedName name="_WNC1988">#REF!</definedName>
    <definedName name="_WNC1989" localSheetId="3">#REF!</definedName>
    <definedName name="_WNC1989">#REF!</definedName>
    <definedName name="_WNC1990" localSheetId="3">#REF!</definedName>
    <definedName name="_WNC1990">#REF!</definedName>
    <definedName name="_WNC1991" localSheetId="3">#REF!</definedName>
    <definedName name="_WNC1991">#REF!</definedName>
    <definedName name="_WNC1992" localSheetId="3">#REF!</definedName>
    <definedName name="_WNC1992">#REF!</definedName>
    <definedName name="_WNC1993" localSheetId="3">#REF!</definedName>
    <definedName name="_WNC1993">#REF!</definedName>
    <definedName name="_WNC1994" localSheetId="3">#REF!</definedName>
    <definedName name="_WNC1994">#REF!</definedName>
    <definedName name="_WNC1995" localSheetId="3">#REF!</definedName>
    <definedName name="_WNC1995">#REF!</definedName>
    <definedName name="_WNC1996" localSheetId="3">#REF!</definedName>
    <definedName name="_WNC1996">#REF!</definedName>
    <definedName name="_WNC1997" localSheetId="3">#REF!</definedName>
    <definedName name="_WNC1997">#REF!</definedName>
    <definedName name="_WNC1998" localSheetId="3">#REF!</definedName>
    <definedName name="_WNC1998">#REF!</definedName>
    <definedName name="_WNC1999" localSheetId="3">#REF!</definedName>
    <definedName name="_WNC1999">#REF!</definedName>
    <definedName name="_WNC2000" localSheetId="3">#REF!</definedName>
    <definedName name="_WNC2000">#REF!</definedName>
    <definedName name="_WNC2001" localSheetId="3">#REF!</definedName>
    <definedName name="_WNC2001">#REF!</definedName>
    <definedName name="_WNC2002" localSheetId="3">#REF!</definedName>
    <definedName name="_WNC2002">#REF!</definedName>
    <definedName name="_WNC2003" localSheetId="3">#REF!</definedName>
    <definedName name="_WNC2003">#REF!</definedName>
    <definedName name="_WNC2004" localSheetId="3">#REF!</definedName>
    <definedName name="_WNC2004">#REF!</definedName>
    <definedName name="_WNC2005" localSheetId="3">#REF!</definedName>
    <definedName name="_WNC2005">#REF!</definedName>
    <definedName name="_WNC2006" localSheetId="3">#REF!</definedName>
    <definedName name="_WNC2006">#REF!</definedName>
    <definedName name="_WNC2007" localSheetId="3">#REF!</definedName>
    <definedName name="_WNC2007">#REF!</definedName>
    <definedName name="_WNC2008" localSheetId="3">#REF!</definedName>
    <definedName name="_WNC2008">#REF!</definedName>
    <definedName name="_WNC2009" localSheetId="3">#REF!</definedName>
    <definedName name="_WNC2009">#REF!</definedName>
    <definedName name="_WNC2010" localSheetId="3">#REF!</definedName>
    <definedName name="_WNC2010">#REF!</definedName>
    <definedName name="_WNC2011" localSheetId="3">#REF!</definedName>
    <definedName name="_WNC2011">#REF!</definedName>
    <definedName name="_WNC2012" localSheetId="3">#REF!</definedName>
    <definedName name="_WNC2012">#REF!</definedName>
    <definedName name="_WNC2013" localSheetId="3">#REF!</definedName>
    <definedName name="_WNC2013">#REF!</definedName>
    <definedName name="_WNC2014" localSheetId="3">#REF!</definedName>
    <definedName name="_WNC2014">#REF!</definedName>
    <definedName name="_WNC2015" localSheetId="3">#REF!</definedName>
    <definedName name="_WNC2015">#REF!</definedName>
    <definedName name="_WNC2016" localSheetId="3">#REF!</definedName>
    <definedName name="_WNC2016">#REF!</definedName>
    <definedName name="_WNC2017" localSheetId="3">#REF!</definedName>
    <definedName name="_WNC2017">#REF!</definedName>
    <definedName name="_WNC2018" localSheetId="3">#REF!</definedName>
    <definedName name="_WNC2018">#REF!</definedName>
    <definedName name="_WNC2019" localSheetId="3">#REF!</definedName>
    <definedName name="_WNC2019">#REF!</definedName>
    <definedName name="_WNC2020" localSheetId="3">#REF!</definedName>
    <definedName name="_WNC2020">#REF!</definedName>
    <definedName name="_WSC1980" localSheetId="3">#REF!</definedName>
    <definedName name="_WSC1980">#REF!</definedName>
    <definedName name="_WSC1981" localSheetId="3">#REF!</definedName>
    <definedName name="_WSC1981">#REF!</definedName>
    <definedName name="_WSC1982" localSheetId="3">#REF!</definedName>
    <definedName name="_WSC1982">#REF!</definedName>
    <definedName name="_WSC1983" localSheetId="3">#REF!</definedName>
    <definedName name="_WSC1983">#REF!</definedName>
    <definedName name="_WSC1984" localSheetId="3">#REF!</definedName>
    <definedName name="_WSC1984">#REF!</definedName>
    <definedName name="_WSC1985" localSheetId="3">#REF!</definedName>
    <definedName name="_WSC1985">#REF!</definedName>
    <definedName name="_WSC1986" localSheetId="3">#REF!</definedName>
    <definedName name="_WSC1986">#REF!</definedName>
    <definedName name="_WSC1987" localSheetId="3">#REF!</definedName>
    <definedName name="_WSC1987">#REF!</definedName>
    <definedName name="_WSC1988" localSheetId="3">#REF!</definedName>
    <definedName name="_WSC1988">#REF!</definedName>
    <definedName name="_WSC1989" localSheetId="3">#REF!</definedName>
    <definedName name="_WSC1989">#REF!</definedName>
    <definedName name="_WSC1990" localSheetId="3">#REF!</definedName>
    <definedName name="_WSC1990">#REF!</definedName>
    <definedName name="_WSC1991" localSheetId="3">#REF!</definedName>
    <definedName name="_WSC1991">#REF!</definedName>
    <definedName name="_WSC1992" localSheetId="3">#REF!</definedName>
    <definedName name="_WSC1992">#REF!</definedName>
    <definedName name="_WSC1993" localSheetId="3">#REF!</definedName>
    <definedName name="_WSC1993">#REF!</definedName>
    <definedName name="_WSC1994" localSheetId="3">#REF!</definedName>
    <definedName name="_WSC1994">#REF!</definedName>
    <definedName name="_WSC1995" localSheetId="3">#REF!</definedName>
    <definedName name="_WSC1995">#REF!</definedName>
    <definedName name="_WSC1996" localSheetId="3">#REF!</definedName>
    <definedName name="_WSC1996">#REF!</definedName>
    <definedName name="_WSC1997" localSheetId="3">#REF!</definedName>
    <definedName name="_WSC1997">#REF!</definedName>
    <definedName name="_WSC1998" localSheetId="3">#REF!</definedName>
    <definedName name="_WSC1998">#REF!</definedName>
    <definedName name="_WSC1999" localSheetId="3">#REF!</definedName>
    <definedName name="_WSC1999">#REF!</definedName>
    <definedName name="_WSC2000" localSheetId="3">#REF!</definedName>
    <definedName name="_WSC2000">#REF!</definedName>
    <definedName name="_WSC2001" localSheetId="3">#REF!</definedName>
    <definedName name="_WSC2001">#REF!</definedName>
    <definedName name="_WSC2002" localSheetId="3">#REF!</definedName>
    <definedName name="_WSC2002">#REF!</definedName>
    <definedName name="_WSC2003" localSheetId="3">#REF!</definedName>
    <definedName name="_WSC2003">#REF!</definedName>
    <definedName name="_WSC2004" localSheetId="3">#REF!</definedName>
    <definedName name="_WSC2004">#REF!</definedName>
    <definedName name="_WSC2005" localSheetId="3">#REF!</definedName>
    <definedName name="_WSC2005">#REF!</definedName>
    <definedName name="_WSC2006" localSheetId="3">#REF!</definedName>
    <definedName name="_WSC2006">#REF!</definedName>
    <definedName name="_WSC2007" localSheetId="3">#REF!</definedName>
    <definedName name="_WSC2007">#REF!</definedName>
    <definedName name="_WSC2008" localSheetId="3">#REF!</definedName>
    <definedName name="_WSC2008">#REF!</definedName>
    <definedName name="_WSC2009" localSheetId="3">#REF!</definedName>
    <definedName name="_WSC2009">#REF!</definedName>
    <definedName name="_WSC2010" localSheetId="3">#REF!</definedName>
    <definedName name="_WSC2010">#REF!</definedName>
    <definedName name="_WSC2011" localSheetId="3">#REF!</definedName>
    <definedName name="_WSC2011">#REF!</definedName>
    <definedName name="_WSC2012" localSheetId="3">#REF!</definedName>
    <definedName name="_WSC2012">#REF!</definedName>
    <definedName name="_WSC2013" localSheetId="3">#REF!</definedName>
    <definedName name="_WSC2013">#REF!</definedName>
    <definedName name="_WSC2014" localSheetId="3">#REF!</definedName>
    <definedName name="_WSC2014">#REF!</definedName>
    <definedName name="_WSC2015" localSheetId="3">#REF!</definedName>
    <definedName name="_WSC2015">#REF!</definedName>
    <definedName name="_WSC2016" localSheetId="3">#REF!</definedName>
    <definedName name="_WSC2016">#REF!</definedName>
    <definedName name="_WSC2017" localSheetId="3">#REF!</definedName>
    <definedName name="_WSC2017">#REF!</definedName>
    <definedName name="_WSC2018" localSheetId="3">#REF!</definedName>
    <definedName name="_WSC2018">#REF!</definedName>
    <definedName name="_WSC2019" localSheetId="3">#REF!</definedName>
    <definedName name="_WSC2019">#REF!</definedName>
    <definedName name="_WSC2020" localSheetId="3">#REF!</definedName>
    <definedName name="_WSC2020">#REF!</definedName>
    <definedName name="AnnCool1980" localSheetId="3">'KU AnnualIndices'!#REF!</definedName>
    <definedName name="AnnCool1980">'KU AnnualIndices'!#REF!</definedName>
    <definedName name="AnnCool1981" localSheetId="3">'KU AnnualIndices'!#REF!</definedName>
    <definedName name="AnnCool1981">'KU AnnualIndices'!#REF!</definedName>
    <definedName name="AnnCool1982" localSheetId="3">'KU AnnualIndices'!#REF!</definedName>
    <definedName name="AnnCool1982">'KU AnnualIndices'!#REF!</definedName>
    <definedName name="AnnCool1983" localSheetId="3">'KU AnnualIndices'!#REF!</definedName>
    <definedName name="AnnCool1983">'KU AnnualIndices'!#REF!</definedName>
    <definedName name="AnnCool1984" localSheetId="3">'KU AnnualIndices'!#REF!</definedName>
    <definedName name="AnnCool1984">'KU AnnualIndices'!#REF!</definedName>
    <definedName name="AnnCool1985" localSheetId="3">'KU AnnualIndices'!#REF!</definedName>
    <definedName name="AnnCool1985">'KU AnnualIndices'!#REF!</definedName>
    <definedName name="AnnCool1986" localSheetId="3">'KU AnnualIndices'!#REF!</definedName>
    <definedName name="AnnCool1986">'KU AnnualIndices'!#REF!</definedName>
    <definedName name="AnnCool1987" localSheetId="3">'KU AnnualIndices'!#REF!</definedName>
    <definedName name="AnnCool1987">'KU AnnualIndices'!#REF!</definedName>
    <definedName name="AnnCool1988" localSheetId="3">'KU AnnualIndices'!#REF!</definedName>
    <definedName name="AnnCool1988">'KU AnnualIndices'!#REF!</definedName>
    <definedName name="AnnCool1989" localSheetId="3">'KU AnnualIndices'!#REF!</definedName>
    <definedName name="AnnCool1989">'KU AnnualIndices'!#REF!</definedName>
    <definedName name="AnnCool1990" localSheetId="3">'KU AnnualIndices'!#REF!</definedName>
    <definedName name="AnnCool1990">'KU AnnualIndices'!#REF!</definedName>
    <definedName name="AnnCool1991" localSheetId="3">'KU AnnualIndices'!#REF!</definedName>
    <definedName name="AnnCool1991">'KU AnnualIndices'!#REF!</definedName>
    <definedName name="AnnCool1992" localSheetId="3">'KU AnnualIndices'!#REF!</definedName>
    <definedName name="AnnCool1992">'KU AnnualIndices'!#REF!</definedName>
    <definedName name="AnnCool1993" localSheetId="3">'KU AnnualIndices'!#REF!</definedName>
    <definedName name="AnnCool1993">'KU AnnualIndices'!#REF!</definedName>
    <definedName name="AnnCool1994" localSheetId="3">'KU AnnualIndices'!#REF!</definedName>
    <definedName name="AnnCool1994">'KU AnnualIndices'!#REF!</definedName>
    <definedName name="AnnCool1995">'KU AnnualIndices'!$D$2:$D$2</definedName>
    <definedName name="AnnCool1996">'KU AnnualIndices'!$D$3:$D$3</definedName>
    <definedName name="AnnCool1997">'KU AnnualIndices'!$D$4:$D$4</definedName>
    <definedName name="AnnCool1998">'KU AnnualIndices'!$D$5:$D$5</definedName>
    <definedName name="AnnCool1999">'KU AnnualIndices'!$D$6:$D$6</definedName>
    <definedName name="AnnCool2000">'KU AnnualIndices'!$D$7:$D$7</definedName>
    <definedName name="AnnCool2001">'KU AnnualIndices'!$D$8:$D$8</definedName>
    <definedName name="AnnCool2002">'KU AnnualIndices'!$D$9:$D$9</definedName>
    <definedName name="AnnCool2003">'KU AnnualIndices'!$D$10:$D$10</definedName>
    <definedName name="AnnCool2004">'KU AnnualIndices'!$D$11:$D$11</definedName>
    <definedName name="AnnCool2005">'KU AnnualIndices'!$D$12:$D$12</definedName>
    <definedName name="AnnCool2006">'KU AnnualIndices'!$D$13:$D$13</definedName>
    <definedName name="AnnCool2007">'KU AnnualIndices'!$D$14:$D$14</definedName>
    <definedName name="AnnCool2008">'KU AnnualIndices'!$D$15:$D$15</definedName>
    <definedName name="AnnCool2009">'KU AnnualIndices'!$D$16:$D$16</definedName>
    <definedName name="AnnCool2010">'KU AnnualIndices'!$D$17:$D$17</definedName>
    <definedName name="AnnCool2011">'KU AnnualIndices'!$D$18:$D$18</definedName>
    <definedName name="AnnCool2012">'KU AnnualIndices'!$D$19:$D$19</definedName>
    <definedName name="AnnCool2013">'KU AnnualIndices'!$D$20:$D$20</definedName>
    <definedName name="AnnCool2014">'KU AnnualIndices'!$D$21:$D$21</definedName>
    <definedName name="AnnCool2015">'KU AnnualIndices'!$D$22:$D$22</definedName>
    <definedName name="AnnCool2016">'KU AnnualIndices'!$D$23:$D$23</definedName>
    <definedName name="AnnCool2017">'KU AnnualIndices'!$D$24:$D$24</definedName>
    <definedName name="AnnCool2018">'KU AnnualIndices'!$D$25:$D$25</definedName>
    <definedName name="AnnCool2019">'KU AnnualIndices'!$D$26:$D$26</definedName>
    <definedName name="AnnCool2020">'KU AnnualIndices'!$D$27:$D$27</definedName>
    <definedName name="AnnCool2021">'KU AnnualIndices'!$D$28</definedName>
    <definedName name="AnnCool2022">'KU AnnualIndices'!$D$29</definedName>
    <definedName name="AnnCool2023">'KU AnnualIndices'!$D$30</definedName>
    <definedName name="AnnCool2024">'KU AnnualIndices'!$D$31</definedName>
    <definedName name="AnnCool2025">'KU AnnualIndices'!$D$32</definedName>
    <definedName name="AnnHeat1980" localSheetId="3">'KU AnnualIndices'!#REF!</definedName>
    <definedName name="AnnHeat1980">'KU AnnualIndices'!#REF!</definedName>
    <definedName name="AnnHeat1981" localSheetId="3">'KU AnnualIndices'!#REF!</definedName>
    <definedName name="AnnHeat1981">'KU AnnualIndices'!#REF!</definedName>
    <definedName name="AnnHeat1982" localSheetId="3">'KU AnnualIndices'!#REF!</definedName>
    <definedName name="AnnHeat1982">'KU AnnualIndices'!#REF!</definedName>
    <definedName name="AnnHeat1983" localSheetId="3">'KU AnnualIndices'!#REF!</definedName>
    <definedName name="AnnHeat1983">'KU AnnualIndices'!#REF!</definedName>
    <definedName name="AnnHeat1984" localSheetId="3">'KU AnnualIndices'!#REF!</definedName>
    <definedName name="AnnHeat1984">'KU AnnualIndices'!#REF!</definedName>
    <definedName name="AnnHeat1985" localSheetId="3">'KU AnnualIndices'!#REF!</definedName>
    <definedName name="AnnHeat1985">'KU AnnualIndices'!#REF!</definedName>
    <definedName name="AnnHeat1986" localSheetId="3">'KU AnnualIndices'!#REF!</definedName>
    <definedName name="AnnHeat1986">'KU AnnualIndices'!#REF!</definedName>
    <definedName name="AnnHeat1987" localSheetId="3">'KU AnnualIndices'!#REF!</definedName>
    <definedName name="AnnHeat1987">'KU AnnualIndices'!#REF!</definedName>
    <definedName name="AnnHeat1988" localSheetId="3">'KU AnnualIndices'!#REF!</definedName>
    <definedName name="AnnHeat1988">'KU AnnualIndices'!#REF!</definedName>
    <definedName name="AnnHeat1989" localSheetId="3">'KU AnnualIndices'!#REF!</definedName>
    <definedName name="AnnHeat1989">'KU AnnualIndices'!#REF!</definedName>
    <definedName name="AnnHeat1990" localSheetId="3">'KU AnnualIndices'!#REF!</definedName>
    <definedName name="AnnHeat1990">'KU AnnualIndices'!#REF!</definedName>
    <definedName name="AnnHeat1991" localSheetId="3">'KU AnnualIndices'!#REF!</definedName>
    <definedName name="AnnHeat1991">'KU AnnualIndices'!#REF!</definedName>
    <definedName name="AnnHeat1992" localSheetId="3">'KU AnnualIndices'!#REF!</definedName>
    <definedName name="AnnHeat1992">'KU AnnualIndices'!#REF!</definedName>
    <definedName name="AnnHeat1993" localSheetId="3">'KU AnnualIndices'!#REF!</definedName>
    <definedName name="AnnHeat1993">'KU AnnualIndices'!#REF!</definedName>
    <definedName name="AnnHeat1994" localSheetId="3">'KU AnnualIndices'!#REF!</definedName>
    <definedName name="AnnHeat1994">'KU AnnualIndices'!#REF!</definedName>
    <definedName name="AnnHeat1995">'KU AnnualIndices'!$B$2:$B$2</definedName>
    <definedName name="AnnHeat1996">'KU AnnualIndices'!$B$3:$B$3</definedName>
    <definedName name="AnnHeat1997">'KU AnnualIndices'!$B$4:$B$4</definedName>
    <definedName name="AnnHeat1998">'KU AnnualIndices'!$B$5:$B$5</definedName>
    <definedName name="AnnHeat1999">'KU AnnualIndices'!$B$6:$B$6</definedName>
    <definedName name="AnnHeat2000">'KU AnnualIndices'!$B$7:$B$7</definedName>
    <definedName name="AnnHeat2001">'KU AnnualIndices'!$B$8:$B$8</definedName>
    <definedName name="AnnHeat2002">'KU AnnualIndices'!$B$9:$B$9</definedName>
    <definedName name="AnnHeat2003">'KU AnnualIndices'!$B$10:$B$10</definedName>
    <definedName name="AnnHeat2004">'KU AnnualIndices'!$B$11:$B$11</definedName>
    <definedName name="AnnHeat2005">'KU AnnualIndices'!$B$12:$B$12</definedName>
    <definedName name="AnnHeat2006">'KU AnnualIndices'!$B$13:$B$13</definedName>
    <definedName name="AnnHeat2007">'KU AnnualIndices'!$B$14:$B$14</definedName>
    <definedName name="AnnHeat2008">'KU AnnualIndices'!$B$15:$B$15</definedName>
    <definedName name="AnnHeat2009">'KU AnnualIndices'!$B$16:$B$16</definedName>
    <definedName name="AnnHeat2010">'KU AnnualIndices'!$B$17:$B$17</definedName>
    <definedName name="AnnHeat2011">'KU AnnualIndices'!$B$18:$B$18</definedName>
    <definedName name="AnnHeat2012">'KU AnnualIndices'!$B$19:$B$19</definedName>
    <definedName name="AnnHeat2013">'KU AnnualIndices'!$B$20:$B$20</definedName>
    <definedName name="AnnHeat2014">'KU AnnualIndices'!$B$21:$B$21</definedName>
    <definedName name="AnnHeat2015">'KU AnnualIndices'!$B$22:$B$22</definedName>
    <definedName name="AnnHeat2016">'KU AnnualIndices'!$B$23:$B$23</definedName>
    <definedName name="AnnHeat2017">'KU AnnualIndices'!$B$24:$B$24</definedName>
    <definedName name="AnnHeat2018">'KU AnnualIndices'!$B$25:$B$25</definedName>
    <definedName name="AnnHeat2019">'KU AnnualIndices'!$B$26:$B$26</definedName>
    <definedName name="AnnHeat2020">'KU AnnualIndices'!$B$27:$B$27</definedName>
    <definedName name="AnnHeat2021">'KU AnnualIndices'!$B$28</definedName>
    <definedName name="AnnHeat2022">'KU AnnualIndices'!$B$29</definedName>
    <definedName name="AnnHeat2023">'KU AnnualIndices'!$B$30</definedName>
    <definedName name="AnnHeat2024">'KU AnnualIndices'!$B$31</definedName>
    <definedName name="AnnHeat2025">'KU AnnualIndices'!$B$32</definedName>
    <definedName name="ElectricSales_NENG" localSheetId="3">#REF!</definedName>
    <definedName name="ElectricSales_NENG">#REF!</definedName>
    <definedName name="MATL1980" localSheetId="3">#REF!</definedName>
    <definedName name="MATL1980">#REF!</definedName>
    <definedName name="MATL1981" localSheetId="3">#REF!</definedName>
    <definedName name="MATL1981">#REF!</definedName>
    <definedName name="MATL1982" localSheetId="3">#REF!</definedName>
    <definedName name="MATL1982">#REF!</definedName>
    <definedName name="MATL1983" localSheetId="3">#REF!</definedName>
    <definedName name="MATL1983">#REF!</definedName>
    <definedName name="MATL1984" localSheetId="3">#REF!</definedName>
    <definedName name="MATL1984">#REF!</definedName>
    <definedName name="MATL1985" localSheetId="3">#REF!</definedName>
    <definedName name="MATL1985">#REF!</definedName>
    <definedName name="MATL1986" localSheetId="3">#REF!</definedName>
    <definedName name="MATL1986">#REF!</definedName>
    <definedName name="MATL1987" localSheetId="3">#REF!</definedName>
    <definedName name="MATL1987">#REF!</definedName>
    <definedName name="MATL1988" localSheetId="3">#REF!</definedName>
    <definedName name="MATL1988">#REF!</definedName>
    <definedName name="MATL1989" localSheetId="3">#REF!</definedName>
    <definedName name="MATL1989">#REF!</definedName>
    <definedName name="MATL1990" localSheetId="3">#REF!</definedName>
    <definedName name="MATL1990">#REF!</definedName>
    <definedName name="MATL1991" localSheetId="3">#REF!</definedName>
    <definedName name="MATL1991">#REF!</definedName>
    <definedName name="MATL1992" localSheetId="3">#REF!</definedName>
    <definedName name="MATL1992">#REF!</definedName>
    <definedName name="MATL1993" localSheetId="3">#REF!</definedName>
    <definedName name="MATL1993">#REF!</definedName>
    <definedName name="MATL1994" localSheetId="3">#REF!</definedName>
    <definedName name="MATL1994">#REF!</definedName>
    <definedName name="MATL1995" localSheetId="3">#REF!</definedName>
    <definedName name="MATL1995">#REF!</definedName>
    <definedName name="MATL1996" localSheetId="3">#REF!</definedName>
    <definedName name="MATL1996">#REF!</definedName>
    <definedName name="MATL1997" localSheetId="3">#REF!</definedName>
    <definedName name="MATL1997">#REF!</definedName>
    <definedName name="MATL1998" localSheetId="3">#REF!</definedName>
    <definedName name="MATL1998">#REF!</definedName>
    <definedName name="MATL1999" localSheetId="3">#REF!</definedName>
    <definedName name="MATL1999">#REF!</definedName>
    <definedName name="MATL2000" localSheetId="3">#REF!</definedName>
    <definedName name="MATL2000">#REF!</definedName>
    <definedName name="MATL2001" localSheetId="3">#REF!</definedName>
    <definedName name="MATL2001">#REF!</definedName>
    <definedName name="MATL2002" localSheetId="3">#REF!</definedName>
    <definedName name="MATL2002">#REF!</definedName>
    <definedName name="MATL2003" localSheetId="3">#REF!</definedName>
    <definedName name="MATL2003">#REF!</definedName>
    <definedName name="MATL2004" localSheetId="3">#REF!</definedName>
    <definedName name="MATL2004">#REF!</definedName>
    <definedName name="MATL2005" localSheetId="3">#REF!</definedName>
    <definedName name="MATL2005">#REF!</definedName>
    <definedName name="MATL2006" localSheetId="3">#REF!</definedName>
    <definedName name="MATL2006">#REF!</definedName>
    <definedName name="MATL2007" localSheetId="3">#REF!</definedName>
    <definedName name="MATL2007">#REF!</definedName>
    <definedName name="MATL2008" localSheetId="3">#REF!</definedName>
    <definedName name="MATL2008">#REF!</definedName>
    <definedName name="MATL2009" localSheetId="3">#REF!</definedName>
    <definedName name="MATL2009">#REF!</definedName>
    <definedName name="MATL2010" localSheetId="3">#REF!</definedName>
    <definedName name="MATL2010">#REF!</definedName>
    <definedName name="MATL2011" localSheetId="3">#REF!</definedName>
    <definedName name="MATL2011">#REF!</definedName>
    <definedName name="MATL2012" localSheetId="3">#REF!</definedName>
    <definedName name="MATL2012">#REF!</definedName>
    <definedName name="MATL2013" localSheetId="3">#REF!</definedName>
    <definedName name="MATL2013">#REF!</definedName>
    <definedName name="MATL2014" localSheetId="3">#REF!</definedName>
    <definedName name="MATL2014">#REF!</definedName>
    <definedName name="MATL2015" localSheetId="3">#REF!</definedName>
    <definedName name="MATL2015">#REF!</definedName>
    <definedName name="MATL2016" localSheetId="3">#REF!</definedName>
    <definedName name="MATL2016">#REF!</definedName>
    <definedName name="MATL2017" localSheetId="3">#REF!</definedName>
    <definedName name="MATL2017">#REF!</definedName>
    <definedName name="MATL2018" localSheetId="3">#REF!</definedName>
    <definedName name="MATL2018">#REF!</definedName>
    <definedName name="MATL2019" localSheetId="3">#REF!</definedName>
    <definedName name="MATL2019">#REF!</definedName>
    <definedName name="MATL2020" localSheetId="3">#REF!</definedName>
    <definedName name="MATL2020">#REF!</definedName>
    <definedName name="MonMult1">'KU MonthlyMults'!$C$2:$N$2</definedName>
    <definedName name="MonMult10">'KU MonthlyMults'!$C$11:$N$11</definedName>
    <definedName name="MonMult11">'KU MonthlyMults'!$C$12:$N$12</definedName>
    <definedName name="MonMult12">'KU MonthlyMults'!$C$13:$N$13</definedName>
    <definedName name="MonMult2">'KU MonthlyMults'!$C$3:$N$3</definedName>
    <definedName name="MonMult3">'KU MonthlyMults'!$C$4:$N$4</definedName>
    <definedName name="MonMult4">'KU MonthlyMults'!$C$5:$N$5</definedName>
    <definedName name="MonMult5">'KU MonthlyMults'!$C$6:$N$6</definedName>
    <definedName name="MonMult6">'KU MonthlyMults'!$C$7:$N$7</definedName>
    <definedName name="MonMult7">'KU MonthlyMults'!$C$8:$N$8</definedName>
    <definedName name="MonMult8">'KU MonthlyMults'!$C$9:$N$9</definedName>
    <definedName name="MonMult9">'KU MonthlyMults'!$C$10:$N$10</definedName>
    <definedName name="NENG1980" localSheetId="3">'KU ShareUEC'!#REF!</definedName>
    <definedName name="NENG1980">'KU ShareUEC'!#REF!</definedName>
    <definedName name="NENG1981" localSheetId="3">'KU ShareUEC'!#REF!</definedName>
    <definedName name="NENG1981">'KU ShareUEC'!#REF!</definedName>
    <definedName name="NENG1982" localSheetId="3">'KU ShareUEC'!#REF!</definedName>
    <definedName name="NENG1982">'KU ShareUEC'!#REF!</definedName>
    <definedName name="NENG1983" localSheetId="3">'KU ShareUEC'!#REF!</definedName>
    <definedName name="NENG1983">'KU ShareUEC'!#REF!</definedName>
    <definedName name="NENG1984" localSheetId="3">'KU ShareUEC'!#REF!</definedName>
    <definedName name="NENG1984">'KU ShareUEC'!#REF!</definedName>
    <definedName name="NENG1985" localSheetId="3">'KU ShareUEC'!#REF!</definedName>
    <definedName name="NENG1985">'KU ShareUEC'!#REF!</definedName>
    <definedName name="NENG1986" localSheetId="3">'KU ShareUEC'!#REF!</definedName>
    <definedName name="NENG1986">'KU ShareUEC'!#REF!</definedName>
    <definedName name="NENG1987" localSheetId="3">'KU ShareUEC'!#REF!</definedName>
    <definedName name="NENG1987">'KU ShareUEC'!#REF!</definedName>
    <definedName name="NENG1988" localSheetId="3">'KU ShareUEC'!#REF!</definedName>
    <definedName name="NENG1988">'KU ShareUEC'!#REF!</definedName>
    <definedName name="NENG1989" localSheetId="3">'KU ShareUEC'!#REF!</definedName>
    <definedName name="NENG1989">'KU ShareUEC'!#REF!</definedName>
    <definedName name="NENG1990" localSheetId="3">'KU ShareUEC'!#REF!</definedName>
    <definedName name="NENG1990">'KU ShareUEC'!#REF!</definedName>
    <definedName name="NENG1991" localSheetId="3">'KU ShareUEC'!#REF!</definedName>
    <definedName name="NENG1991">'KU ShareUEC'!#REF!</definedName>
    <definedName name="NENG1992" localSheetId="3">'KU ShareUEC'!#REF!</definedName>
    <definedName name="NENG1992">'KU ShareUEC'!#REF!</definedName>
    <definedName name="NENG1993" localSheetId="3">'KU ShareUEC'!#REF!</definedName>
    <definedName name="NENG1993">'KU ShareUEC'!#REF!</definedName>
    <definedName name="NENG1994" localSheetId="3">'KU ShareUEC'!#REF!</definedName>
    <definedName name="NENG1994">'KU ShareUEC'!#REF!</definedName>
    <definedName name="NENG1995">'KU ShareUEC'!$L$2:$W$2</definedName>
    <definedName name="NENG1996">'KU ShareUEC'!$L$3:$W$3</definedName>
    <definedName name="NENG1997">'KU ShareUEC'!$L$4:$W$4</definedName>
    <definedName name="NENG1998">'KU ShareUEC'!$L$5:$W$5</definedName>
    <definedName name="NENG1999">'KU ShareUEC'!$L$6:$W$6</definedName>
    <definedName name="NENG2000">'KU ShareUEC'!$L$7:$W$7</definedName>
    <definedName name="NENG2001">'KU ShareUEC'!$L$8:$W$8</definedName>
    <definedName name="NENG2002">'KU ShareUEC'!$L$9:$W$9</definedName>
    <definedName name="NENG2003">'KU ShareUEC'!$L$10:$W$10</definedName>
    <definedName name="NENG2004">'KU ShareUEC'!$L$11:$W$11</definedName>
    <definedName name="NENG2005">'KU ShareUEC'!$L$12:$W$12</definedName>
    <definedName name="NENG2006">'KU ShareUEC'!$L$13:$W$13</definedName>
    <definedName name="NENG2007">'KU ShareUEC'!$L$14:$W$14</definedName>
    <definedName name="NENG2008">'KU ShareUEC'!$L$15:$W$15</definedName>
    <definedName name="NENG2009">'KU ShareUEC'!$L$16:$W$16</definedName>
    <definedName name="NENG2010">'KU ShareUEC'!$L$17:$W$17</definedName>
    <definedName name="NENG2011">'KU ShareUEC'!$L$18:$W$18</definedName>
    <definedName name="NENG2012">'KU ShareUEC'!$L$19:$W$19</definedName>
    <definedName name="NENG2013">'KU ShareUEC'!$L$20:$W$20</definedName>
    <definedName name="NENG2014">'KU ShareUEC'!$L$21:$W$21</definedName>
    <definedName name="NENG2015">'KU ShareUEC'!$L$22:$W$22</definedName>
    <definedName name="NENG2016">'KU ShareUEC'!$L$23:$W$23</definedName>
    <definedName name="NENG2017">'KU ShareUEC'!$L$24:$W$24</definedName>
    <definedName name="NENG2018">'KU ShareUEC'!$L$25:$W$25</definedName>
    <definedName name="NENG2019">'KU ShareUEC'!$L$26:$W$26</definedName>
    <definedName name="NENG2020">'KU ShareUEC'!$L$27:$W$27</definedName>
    <definedName name="NENG2021">'KU ShareUEC'!$L$28:$W$28</definedName>
    <definedName name="NENG2022">'KU ShareUEC'!$L$29:$W$29</definedName>
    <definedName name="NENG2023">'KU ShareUEC'!$L$30:$W$30</definedName>
    <definedName name="NENG2024">'KU ShareUEC'!$L$31:$W$31</definedName>
    <definedName name="NENG2025">'KU ShareUEC'!$L$32:$W$32</definedName>
    <definedName name="_xlnm.Print_Area" localSheetId="10">'KU Efficiencies'!$B$54:$V$54</definedName>
    <definedName name="_xlnm.Print_Area" localSheetId="12">'KU EIAData'!$U$89:$BD$112</definedName>
    <definedName name="_xlnm.Print_Area" localSheetId="13">'KU MonthlyMults'!$B$1:$N$13</definedName>
    <definedName name="_xlnm.Print_Area" localSheetId="8">'KU Shares'!$A$1:$AJ$17</definedName>
    <definedName name="_xlnm.Print_Area" localSheetId="11">'KU StructuralVars'!$A$1:$Q$37</definedName>
    <definedName name="_xlnm.Print_Area" localSheetId="22">'LE Efficiencies'!$B$54:$V$54</definedName>
    <definedName name="_xlnm.Print_Area" localSheetId="20">'LE EIAData'!$U$89:$BD$112</definedName>
    <definedName name="_xlnm.Print_Area" localSheetId="24">'LE MonthlyMults'!$B$1:$N$13</definedName>
    <definedName name="_xlnm.Print_Area" localSheetId="19">'LE Shares'!$A$1:$AJ$17</definedName>
    <definedName name="_xlnm.Print_Area" localSheetId="23">'LE StructuralVars'!$A$1:$Q$37</definedName>
    <definedName name="_xlnm.Print_Area" localSheetId="32">'OD Efficiencies'!$B$54:$V$54</definedName>
    <definedName name="_xlnm.Print_Area" localSheetId="34">'OD EIAData'!$U$89:$BD$112</definedName>
    <definedName name="_xlnm.Print_Area" localSheetId="35">'OD MonthlyMults'!$B$1:$N$13</definedName>
    <definedName name="_xlnm.Print_Area" localSheetId="30">'OD Shares'!$A$1:$AJ$17</definedName>
    <definedName name="_xlnm.Print_Area" localSheetId="33">'OD StructuralVars'!$A$1:$Q$37</definedName>
    <definedName name="SATL1980" localSheetId="3">#REF!</definedName>
    <definedName name="SATL1980">#REF!</definedName>
    <definedName name="SATL1981" localSheetId="3">#REF!</definedName>
    <definedName name="SATL1981">#REF!</definedName>
    <definedName name="SATL1982" localSheetId="3">#REF!</definedName>
    <definedName name="SATL1982">#REF!</definedName>
    <definedName name="SATL1983" localSheetId="3">#REF!</definedName>
    <definedName name="SATL1983">#REF!</definedName>
    <definedName name="SATL1984" localSheetId="3">#REF!</definedName>
    <definedName name="SATL1984">#REF!</definedName>
    <definedName name="SATL1985" localSheetId="3">#REF!</definedName>
    <definedName name="SATL1985">#REF!</definedName>
    <definedName name="SATL1986" localSheetId="3">#REF!</definedName>
    <definedName name="SATL1986">#REF!</definedName>
    <definedName name="SATL1987" localSheetId="3">#REF!</definedName>
    <definedName name="SATL1987">#REF!</definedName>
    <definedName name="SATL1988" localSheetId="3">#REF!</definedName>
    <definedName name="SATL1988">#REF!</definedName>
    <definedName name="SATL1989" localSheetId="3">#REF!</definedName>
    <definedName name="SATL1989">#REF!</definedName>
    <definedName name="SATL1990" localSheetId="3">#REF!</definedName>
    <definedName name="SATL1990">#REF!</definedName>
    <definedName name="SATL1991" localSheetId="3">#REF!</definedName>
    <definedName name="SATL1991">#REF!</definedName>
    <definedName name="SATL1992" localSheetId="3">#REF!</definedName>
    <definedName name="SATL1992">#REF!</definedName>
    <definedName name="SATL1993" localSheetId="3">#REF!</definedName>
    <definedName name="SATL1993">#REF!</definedName>
    <definedName name="SATL1994" localSheetId="3">#REF!</definedName>
    <definedName name="SATL1994">#REF!</definedName>
    <definedName name="SATL1995" localSheetId="3">#REF!</definedName>
    <definedName name="SATL1995">#REF!</definedName>
    <definedName name="SATL1996" localSheetId="3">#REF!</definedName>
    <definedName name="SATL1996">#REF!</definedName>
    <definedName name="SATL1997" localSheetId="3">#REF!</definedName>
    <definedName name="SATL1997">#REF!</definedName>
    <definedName name="SATL1998" localSheetId="3">#REF!</definedName>
    <definedName name="SATL1998">#REF!</definedName>
    <definedName name="SATL1999" localSheetId="3">#REF!</definedName>
    <definedName name="SATL1999">#REF!</definedName>
    <definedName name="SATL2000" localSheetId="3">#REF!</definedName>
    <definedName name="SATL2000">#REF!</definedName>
    <definedName name="SATL2001" localSheetId="3">#REF!</definedName>
    <definedName name="SATL2001">#REF!</definedName>
    <definedName name="SATL2002" localSheetId="3">#REF!</definedName>
    <definedName name="SATL2002">#REF!</definedName>
    <definedName name="SATL2003" localSheetId="3">#REF!</definedName>
    <definedName name="SATL2003">#REF!</definedName>
    <definedName name="SATL2004" localSheetId="3">#REF!</definedName>
    <definedName name="SATL2004">#REF!</definedName>
    <definedName name="SATL2005" localSheetId="3">#REF!</definedName>
    <definedName name="SATL2005">#REF!</definedName>
    <definedName name="SATL2006" localSheetId="3">#REF!</definedName>
    <definedName name="SATL2006">#REF!</definedName>
    <definedName name="SATL2007" localSheetId="3">#REF!</definedName>
    <definedName name="SATL2007">#REF!</definedName>
    <definedName name="SATL2008" localSheetId="3">#REF!</definedName>
    <definedName name="SATL2008">#REF!</definedName>
    <definedName name="SATL2009" localSheetId="3">#REF!</definedName>
    <definedName name="SATL2009">#REF!</definedName>
    <definedName name="SATL2010" localSheetId="3">#REF!</definedName>
    <definedName name="SATL2010">#REF!</definedName>
    <definedName name="SATL2011" localSheetId="3">#REF!</definedName>
    <definedName name="SATL2011">#REF!</definedName>
    <definedName name="SATL2012" localSheetId="3">#REF!</definedName>
    <definedName name="SATL2012">#REF!</definedName>
    <definedName name="SATL2013" localSheetId="3">#REF!</definedName>
    <definedName name="SATL2013">#REF!</definedName>
    <definedName name="SATL2014" localSheetId="3">#REF!</definedName>
    <definedName name="SATL2014">#REF!</definedName>
    <definedName name="SATL2015" localSheetId="3">#REF!</definedName>
    <definedName name="SATL2015">#REF!</definedName>
    <definedName name="SATL2016" localSheetId="3">#REF!</definedName>
    <definedName name="SATL2016">#REF!</definedName>
    <definedName name="SATL2017" localSheetId="3">#REF!</definedName>
    <definedName name="SATL2017">#REF!</definedName>
    <definedName name="SATL2018" localSheetId="3">#REF!</definedName>
    <definedName name="SATL2018">#REF!</definedName>
    <definedName name="SATL2019" localSheetId="3">#REF!</definedName>
    <definedName name="SATL2019">#REF!</definedName>
    <definedName name="SATL2020" localSheetId="3">#REF!</definedName>
    <definedName name="SATL2020">#REF!</definedName>
  </definedNames>
  <calcPr calcId="145621"/>
  <pivotCaches>
    <pivotCache cacheId="10" r:id="rId37"/>
    <pivotCache cacheId="11" r:id="rId38"/>
    <pivotCache cacheId="12" r:id="rId39"/>
    <pivotCache cacheId="13" r:id="rId40"/>
    <pivotCache cacheId="14" r:id="rId41"/>
  </pivotCaches>
</workbook>
</file>

<file path=xl/calcChain.xml><?xml version="1.0" encoding="utf-8"?>
<calcChain xmlns="http://schemas.openxmlformats.org/spreadsheetml/2006/main">
  <c r="AX3" i="77" l="1"/>
  <c r="AX4" i="77"/>
  <c r="Q4" i="77" s="1"/>
  <c r="AX5" i="77"/>
  <c r="AX6" i="77"/>
  <c r="Q6" i="77" s="1"/>
  <c r="AX7" i="77"/>
  <c r="AX8" i="77"/>
  <c r="Q8" i="77" s="1"/>
  <c r="AX9" i="77"/>
  <c r="AX10" i="77"/>
  <c r="Q10" i="77" s="1"/>
  <c r="AX11" i="77"/>
  <c r="AX12" i="77"/>
  <c r="Q12" i="77" s="1"/>
  <c r="AX13" i="77"/>
  <c r="AX2" i="77"/>
  <c r="Q2" i="77"/>
  <c r="Q3" i="77"/>
  <c r="Q5" i="77"/>
  <c r="Q7" i="77"/>
  <c r="Q9" i="77"/>
  <c r="Q11" i="77"/>
  <c r="Q13" i="77"/>
  <c r="Q14" i="77"/>
  <c r="Q15" i="77"/>
  <c r="P2" i="81"/>
  <c r="Q2" i="81"/>
  <c r="P3" i="81"/>
  <c r="Q3" i="81"/>
  <c r="P4" i="81"/>
  <c r="Q4" i="81"/>
  <c r="P5" i="81"/>
  <c r="Q5" i="81"/>
  <c r="P6" i="81"/>
  <c r="Q6" i="81"/>
  <c r="P7" i="81"/>
  <c r="Q7" i="81"/>
  <c r="P8" i="81"/>
  <c r="Q8" i="81"/>
  <c r="P9" i="81"/>
  <c r="Q9" i="81"/>
  <c r="P10" i="81"/>
  <c r="Q10" i="81"/>
  <c r="P11" i="81"/>
  <c r="Q11" i="81"/>
  <c r="P12" i="81"/>
  <c r="Q12" i="81"/>
  <c r="P13" i="81"/>
  <c r="Q13" i="81"/>
  <c r="P14" i="81"/>
  <c r="Q14" i="81"/>
  <c r="P15" i="81"/>
  <c r="Q15" i="81"/>
  <c r="P3" i="80"/>
  <c r="P4" i="80" s="1"/>
  <c r="P5" i="80" s="1"/>
  <c r="P6" i="80" s="1"/>
  <c r="P7" i="80" s="1"/>
  <c r="P8" i="80" s="1"/>
  <c r="P9" i="80" s="1"/>
  <c r="P10" i="80" s="1"/>
  <c r="P11" i="80" s="1"/>
  <c r="Q3" i="80"/>
  <c r="Q4" i="80" s="1"/>
  <c r="Q5" i="80" s="1"/>
  <c r="Q6" i="80" s="1"/>
  <c r="Q7" i="80" s="1"/>
  <c r="Q8" i="80" s="1"/>
  <c r="Q9" i="80" s="1"/>
  <c r="Q10" i="80" s="1"/>
  <c r="Q11" i="80" s="1"/>
  <c r="P12" i="80"/>
  <c r="P13" i="80"/>
  <c r="P14" i="80"/>
  <c r="P15" i="80"/>
  <c r="P16" i="80"/>
  <c r="P17" i="80"/>
  <c r="P4" i="78"/>
  <c r="P5" i="78"/>
  <c r="P6" i="78"/>
  <c r="P7" i="78"/>
  <c r="P8" i="78"/>
  <c r="P9" i="78"/>
  <c r="P10" i="78"/>
  <c r="P11" i="78"/>
  <c r="P12" i="78"/>
  <c r="P13" i="78"/>
  <c r="P14" i="78"/>
  <c r="P15" i="78"/>
  <c r="Q4" i="78"/>
  <c r="Q5" i="78"/>
  <c r="Q6" i="78"/>
  <c r="Q7" i="78"/>
  <c r="Q8" i="78"/>
  <c r="Q9" i="78"/>
  <c r="Q10" i="78"/>
  <c r="Q11" i="78"/>
  <c r="Q12" i="78"/>
  <c r="Q13" i="78"/>
  <c r="Q14" i="78"/>
  <c r="Q15" i="78"/>
  <c r="N13" i="93" l="1"/>
  <c r="K13" i="93"/>
  <c r="J13" i="93"/>
  <c r="I13" i="93"/>
  <c r="H13" i="93"/>
  <c r="D13" i="93"/>
  <c r="N12" i="93"/>
  <c r="K12" i="93"/>
  <c r="J12" i="93"/>
  <c r="I12" i="93"/>
  <c r="H12" i="93"/>
  <c r="D12" i="93"/>
  <c r="N11" i="93"/>
  <c r="K11" i="93"/>
  <c r="J11" i="93"/>
  <c r="I11" i="93"/>
  <c r="H11" i="93"/>
  <c r="D11" i="93"/>
  <c r="N10" i="93"/>
  <c r="K10" i="93"/>
  <c r="J10" i="93"/>
  <c r="I10" i="93"/>
  <c r="H10" i="93"/>
  <c r="D10" i="93"/>
  <c r="N9" i="93"/>
  <c r="K9" i="93"/>
  <c r="J9" i="93"/>
  <c r="I9" i="93"/>
  <c r="H9" i="93"/>
  <c r="D9" i="93"/>
  <c r="N8" i="93"/>
  <c r="K8" i="93"/>
  <c r="J8" i="93"/>
  <c r="I8" i="93"/>
  <c r="H8" i="93"/>
  <c r="D8" i="93"/>
  <c r="N7" i="93"/>
  <c r="K7" i="93"/>
  <c r="J7" i="93"/>
  <c r="I7" i="93"/>
  <c r="H7" i="93"/>
  <c r="D7" i="93"/>
  <c r="N6" i="93"/>
  <c r="K6" i="93"/>
  <c r="J6" i="93"/>
  <c r="I6" i="93"/>
  <c r="H6" i="93"/>
  <c r="D6" i="93"/>
  <c r="N5" i="93"/>
  <c r="K5" i="93"/>
  <c r="J5" i="93"/>
  <c r="I5" i="93"/>
  <c r="H5" i="93"/>
  <c r="D5" i="93"/>
  <c r="N4" i="93"/>
  <c r="K4" i="93"/>
  <c r="J4" i="93"/>
  <c r="I4" i="93"/>
  <c r="H4" i="93"/>
  <c r="D4" i="93"/>
  <c r="N3" i="93"/>
  <c r="K3" i="93"/>
  <c r="J3" i="93"/>
  <c r="I3" i="93"/>
  <c r="H3" i="93"/>
  <c r="D3" i="93"/>
  <c r="N2" i="93"/>
  <c r="K2" i="93"/>
  <c r="J2" i="93"/>
  <c r="I2" i="93"/>
  <c r="H2" i="93"/>
  <c r="D2" i="93"/>
  <c r="BC124" i="92"/>
  <c r="BC125" i="92" s="1"/>
  <c r="BC126" i="92" s="1"/>
  <c r="BC127" i="92" s="1"/>
  <c r="BC128" i="92" s="1"/>
  <c r="BC129" i="92" s="1"/>
  <c r="AU124" i="92"/>
  <c r="AU125" i="92" s="1"/>
  <c r="AU126" i="92" s="1"/>
  <c r="AU127" i="92" s="1"/>
  <c r="AU128" i="92" s="1"/>
  <c r="AU129" i="92" s="1"/>
  <c r="AM124" i="92"/>
  <c r="AM125" i="92" s="1"/>
  <c r="AM126" i="92" s="1"/>
  <c r="AM127" i="92" s="1"/>
  <c r="AM128" i="92" s="1"/>
  <c r="AM129" i="92" s="1"/>
  <c r="AF124" i="92"/>
  <c r="AF125" i="92" s="1"/>
  <c r="AF126" i="92" s="1"/>
  <c r="AF127" i="92" s="1"/>
  <c r="AF128" i="92" s="1"/>
  <c r="AF129" i="92" s="1"/>
  <c r="X124" i="92"/>
  <c r="X125" i="92" s="1"/>
  <c r="X126" i="92" s="1"/>
  <c r="X127" i="92" s="1"/>
  <c r="X128" i="92" s="1"/>
  <c r="X129" i="92" s="1"/>
  <c r="BD123" i="92"/>
  <c r="BD124" i="92" s="1"/>
  <c r="BD125" i="92" s="1"/>
  <c r="BD126" i="92" s="1"/>
  <c r="BD127" i="92" s="1"/>
  <c r="BD128" i="92" s="1"/>
  <c r="BD129" i="92" s="1"/>
  <c r="BC123" i="92"/>
  <c r="BA123" i="92"/>
  <c r="BA124" i="92" s="1"/>
  <c r="BA125" i="92" s="1"/>
  <c r="BA126" i="92" s="1"/>
  <c r="BA127" i="92" s="1"/>
  <c r="BA128" i="92" s="1"/>
  <c r="BA129" i="92" s="1"/>
  <c r="AY123" i="92"/>
  <c r="AY124" i="92" s="1"/>
  <c r="AY125" i="92" s="1"/>
  <c r="AY126" i="92" s="1"/>
  <c r="AY127" i="92" s="1"/>
  <c r="AY128" i="92" s="1"/>
  <c r="AY129" i="92" s="1"/>
  <c r="AW123" i="92"/>
  <c r="AW124" i="92" s="1"/>
  <c r="AW125" i="92" s="1"/>
  <c r="AW126" i="92" s="1"/>
  <c r="AW127" i="92" s="1"/>
  <c r="AW128" i="92" s="1"/>
  <c r="AW129" i="92" s="1"/>
  <c r="AU123" i="92"/>
  <c r="AS123" i="92"/>
  <c r="AS124" i="92" s="1"/>
  <c r="AS125" i="92" s="1"/>
  <c r="AS126" i="92" s="1"/>
  <c r="AS127" i="92" s="1"/>
  <c r="AS128" i="92" s="1"/>
  <c r="AS129" i="92" s="1"/>
  <c r="AQ123" i="92"/>
  <c r="AQ124" i="92" s="1"/>
  <c r="AQ125" i="92" s="1"/>
  <c r="AQ126" i="92" s="1"/>
  <c r="AQ127" i="92" s="1"/>
  <c r="AQ128" i="92" s="1"/>
  <c r="AQ129" i="92" s="1"/>
  <c r="AO123" i="92"/>
  <c r="AO124" i="92" s="1"/>
  <c r="AO125" i="92" s="1"/>
  <c r="AO126" i="92" s="1"/>
  <c r="AO127" i="92" s="1"/>
  <c r="AO128" i="92" s="1"/>
  <c r="AO129" i="92" s="1"/>
  <c r="AM123" i="92"/>
  <c r="AK123" i="92"/>
  <c r="AK124" i="92" s="1"/>
  <c r="AK125" i="92" s="1"/>
  <c r="AK126" i="92" s="1"/>
  <c r="AK127" i="92" s="1"/>
  <c r="AK128" i="92" s="1"/>
  <c r="AK129" i="92" s="1"/>
  <c r="AJ123" i="92"/>
  <c r="AJ124" i="92" s="1"/>
  <c r="AJ125" i="92" s="1"/>
  <c r="AJ126" i="92" s="1"/>
  <c r="AJ127" i="92" s="1"/>
  <c r="AJ128" i="92" s="1"/>
  <c r="AJ129" i="92" s="1"/>
  <c r="AH123" i="92"/>
  <c r="AH124" i="92" s="1"/>
  <c r="AH125" i="92" s="1"/>
  <c r="AH126" i="92" s="1"/>
  <c r="AH127" i="92" s="1"/>
  <c r="AH128" i="92" s="1"/>
  <c r="AH129" i="92" s="1"/>
  <c r="AF123" i="92"/>
  <c r="AD123" i="92"/>
  <c r="AD124" i="92" s="1"/>
  <c r="AD125" i="92" s="1"/>
  <c r="AD126" i="92" s="1"/>
  <c r="AD127" i="92" s="1"/>
  <c r="AD128" i="92" s="1"/>
  <c r="AD129" i="92" s="1"/>
  <c r="AB123" i="92"/>
  <c r="AB124" i="92" s="1"/>
  <c r="AB125" i="92" s="1"/>
  <c r="AB126" i="92" s="1"/>
  <c r="AB127" i="92" s="1"/>
  <c r="AB128" i="92" s="1"/>
  <c r="AB129" i="92" s="1"/>
  <c r="Z123" i="92"/>
  <c r="Z124" i="92" s="1"/>
  <c r="Z125" i="92" s="1"/>
  <c r="Z126" i="92" s="1"/>
  <c r="Z127" i="92" s="1"/>
  <c r="Z128" i="92" s="1"/>
  <c r="Z129" i="92" s="1"/>
  <c r="X123" i="92"/>
  <c r="V123" i="92"/>
  <c r="V124" i="92" s="1"/>
  <c r="V125" i="92" s="1"/>
  <c r="V126" i="92" s="1"/>
  <c r="V127" i="92" s="1"/>
  <c r="V128" i="92" s="1"/>
  <c r="V129" i="92" s="1"/>
  <c r="BE103" i="92"/>
  <c r="BE102" i="92"/>
  <c r="BE101" i="92"/>
  <c r="BE100" i="92"/>
  <c r="BE99" i="92"/>
  <c r="BE98" i="92"/>
  <c r="AY85" i="92"/>
  <c r="Z84" i="92"/>
  <c r="Z85" i="92" s="1"/>
  <c r="AF83" i="92"/>
  <c r="AF84" i="92" s="1"/>
  <c r="AF85" i="92" s="1"/>
  <c r="AK82" i="92"/>
  <c r="AK83" i="92" s="1"/>
  <c r="AK84" i="92" s="1"/>
  <c r="AK85" i="92" s="1"/>
  <c r="AY81" i="92"/>
  <c r="AY82" i="92" s="1"/>
  <c r="AY83" i="92" s="1"/>
  <c r="AY84" i="92" s="1"/>
  <c r="AQ81" i="92"/>
  <c r="AQ82" i="92" s="1"/>
  <c r="AQ83" i="92" s="1"/>
  <c r="AQ84" i="92" s="1"/>
  <c r="AQ85" i="92" s="1"/>
  <c r="L41" i="92" s="1"/>
  <c r="AJ81" i="92"/>
  <c r="AJ82" i="92" s="1"/>
  <c r="AJ83" i="92" s="1"/>
  <c r="AJ84" i="92" s="1"/>
  <c r="AJ85" i="92" s="1"/>
  <c r="AW80" i="92"/>
  <c r="AW81" i="92" s="1"/>
  <c r="AW82" i="92" s="1"/>
  <c r="AW83" i="92" s="1"/>
  <c r="AW84" i="92" s="1"/>
  <c r="AW85" i="92" s="1"/>
  <c r="Z80" i="92"/>
  <c r="Z81" i="92" s="1"/>
  <c r="Z82" i="92" s="1"/>
  <c r="Z83" i="92" s="1"/>
  <c r="BA79" i="92"/>
  <c r="BA80" i="92" s="1"/>
  <c r="BA81" i="92" s="1"/>
  <c r="BA82" i="92" s="1"/>
  <c r="BA83" i="92" s="1"/>
  <c r="AY79" i="92"/>
  <c r="AY80" i="92" s="1"/>
  <c r="AW79" i="92"/>
  <c r="AU79" i="92"/>
  <c r="AU80" i="92" s="1"/>
  <c r="AU81" i="92" s="1"/>
  <c r="AU82" i="92" s="1"/>
  <c r="AU83" i="92" s="1"/>
  <c r="AU84" i="92" s="1"/>
  <c r="AU85" i="92" s="1"/>
  <c r="AS79" i="92"/>
  <c r="AS80" i="92" s="1"/>
  <c r="AS81" i="92" s="1"/>
  <c r="AS82" i="92" s="1"/>
  <c r="AS83" i="92" s="1"/>
  <c r="AQ79" i="92"/>
  <c r="AQ80" i="92" s="1"/>
  <c r="AO79" i="92"/>
  <c r="AO80" i="92" s="1"/>
  <c r="AO81" i="92" s="1"/>
  <c r="AO82" i="92" s="1"/>
  <c r="AO83" i="92" s="1"/>
  <c r="AO84" i="92" s="1"/>
  <c r="AO85" i="92" s="1"/>
  <c r="AM79" i="92"/>
  <c r="AM80" i="92" s="1"/>
  <c r="AM81" i="92" s="1"/>
  <c r="AM82" i="92" s="1"/>
  <c r="AM83" i="92" s="1"/>
  <c r="AK79" i="92"/>
  <c r="AK80" i="92" s="1"/>
  <c r="AK81" i="92" s="1"/>
  <c r="AF79" i="92"/>
  <c r="AF80" i="92" s="1"/>
  <c r="AF81" i="92" s="1"/>
  <c r="AF82" i="92" s="1"/>
  <c r="AD79" i="92"/>
  <c r="AD80" i="92" s="1"/>
  <c r="AD81" i="92" s="1"/>
  <c r="AD82" i="92" s="1"/>
  <c r="AD83" i="92" s="1"/>
  <c r="AD84" i="92" s="1"/>
  <c r="AD85" i="92" s="1"/>
  <c r="AB79" i="92"/>
  <c r="AB80" i="92" s="1"/>
  <c r="AB81" i="92" s="1"/>
  <c r="AB82" i="92" s="1"/>
  <c r="AB83" i="92" s="1"/>
  <c r="AB84" i="92" s="1"/>
  <c r="Z79" i="92"/>
  <c r="X79" i="92"/>
  <c r="X80" i="92" s="1"/>
  <c r="X81" i="92" s="1"/>
  <c r="X82" i="92" s="1"/>
  <c r="X83" i="92" s="1"/>
  <c r="X84" i="92" s="1"/>
  <c r="X85" i="92" s="1"/>
  <c r="V79" i="92"/>
  <c r="V80" i="92" s="1"/>
  <c r="V81" i="92" s="1"/>
  <c r="V82" i="92" s="1"/>
  <c r="V83" i="92" s="1"/>
  <c r="V84" i="92" s="1"/>
  <c r="V85" i="92" s="1"/>
  <c r="AJ78" i="92"/>
  <c r="AJ79" i="92" s="1"/>
  <c r="AJ80" i="92" s="1"/>
  <c r="AH78" i="92"/>
  <c r="AJ77" i="92"/>
  <c r="AH77" i="92"/>
  <c r="AH79" i="92" s="1"/>
  <c r="AH80" i="92" s="1"/>
  <c r="AH81" i="92" s="1"/>
  <c r="AH82" i="92" s="1"/>
  <c r="AH83" i="92" s="1"/>
  <c r="AH84" i="92" s="1"/>
  <c r="AH85" i="92" s="1"/>
  <c r="AJ76" i="92"/>
  <c r="AH76" i="92"/>
  <c r="AJ75" i="92"/>
  <c r="AH75" i="92"/>
  <c r="BO74" i="92"/>
  <c r="BO73" i="92" s="1"/>
  <c r="BO72" i="92" s="1"/>
  <c r="BO71" i="92" s="1"/>
  <c r="BO70" i="92" s="1"/>
  <c r="BO69" i="92" s="1"/>
  <c r="BO68" i="92" s="1"/>
  <c r="BO67" i="92" s="1"/>
  <c r="BO66" i="92" s="1"/>
  <c r="BO65" i="92" s="1"/>
  <c r="AJ74" i="92"/>
  <c r="AH74" i="92"/>
  <c r="AJ73" i="92"/>
  <c r="AH73" i="92"/>
  <c r="AJ72" i="92"/>
  <c r="AH72" i="92"/>
  <c r="AJ71" i="92"/>
  <c r="AH71" i="92"/>
  <c r="AJ70" i="92"/>
  <c r="AH70" i="92"/>
  <c r="AJ69" i="92"/>
  <c r="AH69" i="92"/>
  <c r="AJ68" i="92"/>
  <c r="AH68" i="92"/>
  <c r="AJ67" i="92"/>
  <c r="AH67" i="92"/>
  <c r="BZ66" i="92"/>
  <c r="BZ67" i="92" s="1"/>
  <c r="BZ68" i="92" s="1"/>
  <c r="BZ69" i="92" s="1"/>
  <c r="BZ70" i="92" s="1"/>
  <c r="BZ71" i="92" s="1"/>
  <c r="BZ72" i="92" s="1"/>
  <c r="BZ73" i="92" s="1"/>
  <c r="BZ74" i="92" s="1"/>
  <c r="BZ75" i="92" s="1"/>
  <c r="BZ76" i="92" s="1"/>
  <c r="BZ77" i="92" s="1"/>
  <c r="BZ78" i="92" s="1"/>
  <c r="BZ79" i="92" s="1"/>
  <c r="BZ86" i="92" s="1"/>
  <c r="BZ87" i="92" s="1"/>
  <c r="BZ88" i="92" s="1"/>
  <c r="BZ89" i="92" s="1"/>
  <c r="BZ90" i="92" s="1"/>
  <c r="BZ91" i="92" s="1"/>
  <c r="BZ92" i="92" s="1"/>
  <c r="BZ93" i="92" s="1"/>
  <c r="BZ94" i="92" s="1"/>
  <c r="BZ95" i="92" s="1"/>
  <c r="BZ96" i="92" s="1"/>
  <c r="BZ97" i="92" s="1"/>
  <c r="BZ98" i="92" s="1"/>
  <c r="BZ99" i="92" s="1"/>
  <c r="BZ100" i="92" s="1"/>
  <c r="BZ101" i="92" s="1"/>
  <c r="BZ102" i="92" s="1"/>
  <c r="BZ103" i="92" s="1"/>
  <c r="BZ104" i="92" s="1"/>
  <c r="BZ105" i="92" s="1"/>
  <c r="BZ106" i="92" s="1"/>
  <c r="BZ107" i="92" s="1"/>
  <c r="BZ108" i="92" s="1"/>
  <c r="BZ109" i="92" s="1"/>
  <c r="BZ110" i="92" s="1"/>
  <c r="BZ111" i="92" s="1"/>
  <c r="BZ112" i="92" s="1"/>
  <c r="BZ113" i="92" s="1"/>
  <c r="BZ114" i="92" s="1"/>
  <c r="BZ115" i="92" s="1"/>
  <c r="AJ66" i="92"/>
  <c r="AH66" i="92"/>
  <c r="BZ65" i="92"/>
  <c r="AJ65" i="92"/>
  <c r="AH65" i="92"/>
  <c r="AJ64" i="92"/>
  <c r="AH64" i="92"/>
  <c r="AJ63" i="92"/>
  <c r="AH63" i="92"/>
  <c r="AJ62" i="92"/>
  <c r="AH62" i="92"/>
  <c r="AJ61" i="92"/>
  <c r="AH61" i="92"/>
  <c r="AJ60" i="92"/>
  <c r="AH60" i="92"/>
  <c r="AJ59" i="92"/>
  <c r="AH59" i="92"/>
  <c r="AJ58" i="92"/>
  <c r="AH58" i="92"/>
  <c r="AJ57" i="92"/>
  <c r="AH57" i="92"/>
  <c r="AJ56" i="92"/>
  <c r="AH56" i="92"/>
  <c r="AJ55" i="92"/>
  <c r="AH55" i="92"/>
  <c r="CI54" i="92"/>
  <c r="CH54" i="92"/>
  <c r="CG54" i="92"/>
  <c r="CF54" i="92"/>
  <c r="CE54" i="92"/>
  <c r="CD54" i="92"/>
  <c r="CC54" i="92"/>
  <c r="CB54" i="92"/>
  <c r="CA54" i="92"/>
  <c r="BX54" i="92"/>
  <c r="BW54" i="92"/>
  <c r="BV54" i="92"/>
  <c r="BU54" i="92"/>
  <c r="BT54" i="92"/>
  <c r="BS54" i="92"/>
  <c r="BR54" i="92"/>
  <c r="BQ54" i="92"/>
  <c r="BP54" i="92"/>
  <c r="AJ54" i="92"/>
  <c r="AH54" i="92"/>
  <c r="CI53" i="92"/>
  <c r="CH53" i="92"/>
  <c r="CG53" i="92"/>
  <c r="CF53" i="92"/>
  <c r="CE53" i="92"/>
  <c r="CD53" i="92"/>
  <c r="CC53" i="92"/>
  <c r="CB53" i="92"/>
  <c r="CA53" i="92"/>
  <c r="BX53" i="92"/>
  <c r="BW53" i="92"/>
  <c r="BV53" i="92"/>
  <c r="BU53" i="92"/>
  <c r="BT53" i="92"/>
  <c r="BS53" i="92"/>
  <c r="BR53" i="92"/>
  <c r="BQ53" i="92"/>
  <c r="BP53" i="92"/>
  <c r="AJ53" i="92"/>
  <c r="AH53" i="92"/>
  <c r="CI52" i="92"/>
  <c r="CH52" i="92"/>
  <c r="CG52" i="92"/>
  <c r="CF52" i="92"/>
  <c r="CE52" i="92"/>
  <c r="CD52" i="92"/>
  <c r="CC52" i="92"/>
  <c r="CB52" i="92"/>
  <c r="CA52" i="92"/>
  <c r="BX52" i="92"/>
  <c r="BW52" i="92"/>
  <c r="BV52" i="92"/>
  <c r="BU52" i="92"/>
  <c r="BT52" i="92"/>
  <c r="BS52" i="92"/>
  <c r="BR52" i="92"/>
  <c r="BQ52" i="92"/>
  <c r="BP52" i="92"/>
  <c r="AJ52" i="92"/>
  <c r="AH52" i="92"/>
  <c r="CI51" i="92"/>
  <c r="CH51" i="92"/>
  <c r="CG51" i="92"/>
  <c r="CF51" i="92"/>
  <c r="CE51" i="92"/>
  <c r="CD51" i="92"/>
  <c r="CC51" i="92"/>
  <c r="CB51" i="92"/>
  <c r="CA51" i="92"/>
  <c r="BX51" i="92"/>
  <c r="BW51" i="92"/>
  <c r="BV51" i="92"/>
  <c r="BU51" i="92"/>
  <c r="BT51" i="92"/>
  <c r="BS51" i="92"/>
  <c r="BR51" i="92"/>
  <c r="BQ51" i="92"/>
  <c r="BP51" i="92"/>
  <c r="AJ51" i="92"/>
  <c r="AH51" i="92"/>
  <c r="CI50" i="92"/>
  <c r="CH50" i="92"/>
  <c r="CG50" i="92"/>
  <c r="CF50" i="92"/>
  <c r="CE50" i="92"/>
  <c r="CD50" i="92"/>
  <c r="CC50" i="92"/>
  <c r="CB50" i="92"/>
  <c r="CA50" i="92"/>
  <c r="BX50" i="92"/>
  <c r="BW50" i="92"/>
  <c r="BV50" i="92"/>
  <c r="BU50" i="92"/>
  <c r="BT50" i="92"/>
  <c r="BS50" i="92"/>
  <c r="BR50" i="92"/>
  <c r="BQ50" i="92"/>
  <c r="BP50" i="92"/>
  <c r="AJ50" i="92"/>
  <c r="AH50" i="92"/>
  <c r="CI49" i="92"/>
  <c r="CH49" i="92"/>
  <c r="CG49" i="92"/>
  <c r="CF49" i="92"/>
  <c r="CE49" i="92"/>
  <c r="CD49" i="92"/>
  <c r="CC49" i="92"/>
  <c r="CB49" i="92"/>
  <c r="CA49" i="92"/>
  <c r="BX49" i="92"/>
  <c r="BW49" i="92"/>
  <c r="BV49" i="92"/>
  <c r="BU49" i="92"/>
  <c r="BT49" i="92"/>
  <c r="BS49" i="92"/>
  <c r="BR49" i="92"/>
  <c r="BQ49" i="92"/>
  <c r="BP49" i="92"/>
  <c r="AJ49" i="92"/>
  <c r="AH49" i="92"/>
  <c r="CI48" i="92"/>
  <c r="CH48" i="92"/>
  <c r="CG48" i="92"/>
  <c r="CF48" i="92"/>
  <c r="CE48" i="92"/>
  <c r="CD48" i="92"/>
  <c r="CC48" i="92"/>
  <c r="CB48" i="92"/>
  <c r="CA48" i="92"/>
  <c r="BX48" i="92"/>
  <c r="BW48" i="92"/>
  <c r="BV48" i="92"/>
  <c r="BU48" i="92"/>
  <c r="BT48" i="92"/>
  <c r="BS48" i="92"/>
  <c r="BR48" i="92"/>
  <c r="BQ48" i="92"/>
  <c r="BP48" i="92"/>
  <c r="AJ48" i="92"/>
  <c r="AH48" i="92"/>
  <c r="CI47" i="92"/>
  <c r="CH47" i="92"/>
  <c r="CG47" i="92"/>
  <c r="CF47" i="92"/>
  <c r="CE47" i="92"/>
  <c r="CD47" i="92"/>
  <c r="CC47" i="92"/>
  <c r="CB47" i="92"/>
  <c r="CA47" i="92"/>
  <c r="BX47" i="92"/>
  <c r="BW47" i="92"/>
  <c r="BV47" i="92"/>
  <c r="BU47" i="92"/>
  <c r="BT47" i="92"/>
  <c r="BS47" i="92"/>
  <c r="BR47" i="92"/>
  <c r="BQ47" i="92"/>
  <c r="BP47" i="92"/>
  <c r="CI46" i="92"/>
  <c r="CH46" i="92"/>
  <c r="CG46" i="92"/>
  <c r="CF46" i="92"/>
  <c r="CE46" i="92"/>
  <c r="CD46" i="92"/>
  <c r="CC46" i="92"/>
  <c r="CB46" i="92"/>
  <c r="CA46" i="92"/>
  <c r="BX46" i="92"/>
  <c r="BW46" i="92"/>
  <c r="BV46" i="92"/>
  <c r="BU46" i="92"/>
  <c r="BT46" i="92"/>
  <c r="BS46" i="92"/>
  <c r="BR46" i="92"/>
  <c r="BQ46" i="92"/>
  <c r="BP46" i="92"/>
  <c r="CI45" i="92"/>
  <c r="CH45" i="92"/>
  <c r="CG45" i="92"/>
  <c r="CF45" i="92"/>
  <c r="CE45" i="92"/>
  <c r="CD45" i="92"/>
  <c r="CC45" i="92"/>
  <c r="CB45" i="92"/>
  <c r="CA45" i="92"/>
  <c r="BX45" i="92"/>
  <c r="BW45" i="92"/>
  <c r="BV45" i="92"/>
  <c r="BU45" i="92"/>
  <c r="BT45" i="92"/>
  <c r="BS45" i="92"/>
  <c r="BR45" i="92"/>
  <c r="BQ45" i="92"/>
  <c r="BP45" i="92"/>
  <c r="CI44" i="92"/>
  <c r="CH44" i="92"/>
  <c r="CG44" i="92"/>
  <c r="CF44" i="92"/>
  <c r="CE44" i="92"/>
  <c r="CD44" i="92"/>
  <c r="CC44" i="92"/>
  <c r="CB44" i="92"/>
  <c r="CA44" i="92"/>
  <c r="BX44" i="92"/>
  <c r="BW44" i="92"/>
  <c r="BV44" i="92"/>
  <c r="BU44" i="92"/>
  <c r="BT44" i="92"/>
  <c r="BS44" i="92"/>
  <c r="BR44" i="92"/>
  <c r="BQ44" i="92"/>
  <c r="BP44" i="92"/>
  <c r="CI43" i="92"/>
  <c r="CH43" i="92"/>
  <c r="CG43" i="92"/>
  <c r="CF43" i="92"/>
  <c r="CE43" i="92"/>
  <c r="CD43" i="92"/>
  <c r="CC43" i="92"/>
  <c r="CB43" i="92"/>
  <c r="CA43" i="92"/>
  <c r="BX43" i="92"/>
  <c r="BW43" i="92"/>
  <c r="BV43" i="92"/>
  <c r="BU43" i="92"/>
  <c r="BT43" i="92"/>
  <c r="BS43" i="92"/>
  <c r="BR43" i="92"/>
  <c r="BQ43" i="92"/>
  <c r="BP43" i="92"/>
  <c r="CI42" i="92"/>
  <c r="CH42" i="92"/>
  <c r="CG42" i="92"/>
  <c r="CF42" i="92"/>
  <c r="CE42" i="92"/>
  <c r="CD42" i="92"/>
  <c r="CC42" i="92"/>
  <c r="CB42" i="92"/>
  <c r="CA42" i="92"/>
  <c r="BX42" i="92"/>
  <c r="BW42" i="92"/>
  <c r="BV42" i="92"/>
  <c r="BU42" i="92"/>
  <c r="BT42" i="92"/>
  <c r="BS42" i="92"/>
  <c r="BR42" i="92"/>
  <c r="BQ42" i="92"/>
  <c r="BP42" i="92"/>
  <c r="P41" i="92"/>
  <c r="N41" i="92"/>
  <c r="P40" i="92"/>
  <c r="N40" i="92"/>
  <c r="L40" i="92"/>
  <c r="P39" i="92"/>
  <c r="N39" i="92"/>
  <c r="L39" i="92"/>
  <c r="D39" i="92"/>
  <c r="Q38" i="92"/>
  <c r="P38" i="92"/>
  <c r="O38" i="92"/>
  <c r="N38" i="92"/>
  <c r="M38" i="92"/>
  <c r="L38" i="92"/>
  <c r="D38" i="92"/>
  <c r="Q37" i="92"/>
  <c r="P37" i="92"/>
  <c r="O37" i="92"/>
  <c r="N37" i="92"/>
  <c r="M37" i="92"/>
  <c r="L37" i="92"/>
  <c r="D37" i="92"/>
  <c r="CI36" i="92"/>
  <c r="CH36" i="92"/>
  <c r="CG36" i="92"/>
  <c r="CF36" i="92"/>
  <c r="CE36" i="92"/>
  <c r="CD36" i="92"/>
  <c r="CC36" i="92"/>
  <c r="CB36" i="92"/>
  <c r="CA36" i="92"/>
  <c r="BX36" i="92"/>
  <c r="BW36" i="92"/>
  <c r="BV36" i="92"/>
  <c r="BU36" i="92"/>
  <c r="BT36" i="92"/>
  <c r="BS36" i="92"/>
  <c r="BR36" i="92"/>
  <c r="BQ36" i="92"/>
  <c r="BP36" i="92"/>
  <c r="Q36" i="92"/>
  <c r="P36" i="92"/>
  <c r="O36" i="92"/>
  <c r="N36" i="92"/>
  <c r="M36" i="92"/>
  <c r="L36" i="92"/>
  <c r="H36" i="92"/>
  <c r="H37" i="92" s="1"/>
  <c r="H38" i="92" s="1"/>
  <c r="H39" i="92" s="1"/>
  <c r="H40" i="92" s="1"/>
  <c r="H41" i="92" s="1"/>
  <c r="D36" i="92"/>
  <c r="CI35" i="92"/>
  <c r="CH35" i="92"/>
  <c r="CG35" i="92"/>
  <c r="CF35" i="92"/>
  <c r="CE35" i="92"/>
  <c r="CD35" i="92"/>
  <c r="CC35" i="92"/>
  <c r="CB35" i="92"/>
  <c r="CA35" i="92"/>
  <c r="BX35" i="92"/>
  <c r="BW35" i="92"/>
  <c r="BV35" i="92"/>
  <c r="BU35" i="92"/>
  <c r="BT35" i="92"/>
  <c r="BS35" i="92"/>
  <c r="BR35" i="92"/>
  <c r="BQ35" i="92"/>
  <c r="BP35" i="92"/>
  <c r="Q35" i="92"/>
  <c r="P35" i="92"/>
  <c r="O35" i="92"/>
  <c r="N35" i="92"/>
  <c r="M35" i="92"/>
  <c r="L35" i="92"/>
  <c r="K35" i="92"/>
  <c r="K36" i="92" s="1"/>
  <c r="K37" i="92" s="1"/>
  <c r="K38" i="92" s="1"/>
  <c r="K39" i="92" s="1"/>
  <c r="K40" i="92" s="1"/>
  <c r="K41" i="92" s="1"/>
  <c r="J35" i="92"/>
  <c r="J36" i="92" s="1"/>
  <c r="J37" i="92" s="1"/>
  <c r="J38" i="92" s="1"/>
  <c r="J39" i="92" s="1"/>
  <c r="J40" i="92" s="1"/>
  <c r="J41" i="92" s="1"/>
  <c r="I35" i="92"/>
  <c r="I36" i="92" s="1"/>
  <c r="I37" i="92" s="1"/>
  <c r="I38" i="92" s="1"/>
  <c r="I39" i="92" s="1"/>
  <c r="I40" i="92" s="1"/>
  <c r="I41" i="92" s="1"/>
  <c r="H35" i="92"/>
  <c r="G35" i="92"/>
  <c r="G36" i="92" s="1"/>
  <c r="G37" i="92" s="1"/>
  <c r="G38" i="92" s="1"/>
  <c r="G39" i="92" s="1"/>
  <c r="G40" i="92" s="1"/>
  <c r="G41" i="92" s="1"/>
  <c r="F35" i="92"/>
  <c r="F36" i="92" s="1"/>
  <c r="F37" i="92" s="1"/>
  <c r="F38" i="92" s="1"/>
  <c r="F39" i="92" s="1"/>
  <c r="F40" i="92" s="1"/>
  <c r="F41" i="92" s="1"/>
  <c r="E35" i="92"/>
  <c r="E36" i="92" s="1"/>
  <c r="E37" i="92" s="1"/>
  <c r="E38" i="92" s="1"/>
  <c r="E39" i="92" s="1"/>
  <c r="E40" i="92" s="1"/>
  <c r="E41" i="92" s="1"/>
  <c r="D35" i="92"/>
  <c r="C35" i="92"/>
  <c r="C36" i="92" s="1"/>
  <c r="C37" i="92" s="1"/>
  <c r="C38" i="92" s="1"/>
  <c r="C39" i="92" s="1"/>
  <c r="C40" i="92" s="1"/>
  <c r="C41" i="92" s="1"/>
  <c r="B35" i="92"/>
  <c r="B36" i="92" s="1"/>
  <c r="B37" i="92" s="1"/>
  <c r="B38" i="92" s="1"/>
  <c r="B39" i="92" s="1"/>
  <c r="B40" i="92" s="1"/>
  <c r="B41" i="92" s="1"/>
  <c r="CI34" i="92"/>
  <c r="CH34" i="92"/>
  <c r="CG34" i="92"/>
  <c r="CF34" i="92"/>
  <c r="CE34" i="92"/>
  <c r="CD34" i="92"/>
  <c r="CC34" i="92"/>
  <c r="CB34" i="92"/>
  <c r="CA34" i="92"/>
  <c r="BX34" i="92"/>
  <c r="BW34" i="92"/>
  <c r="BV34" i="92"/>
  <c r="BU34" i="92"/>
  <c r="BT34" i="92"/>
  <c r="BS34" i="92"/>
  <c r="BR34" i="92"/>
  <c r="BQ34" i="92"/>
  <c r="BP34" i="92"/>
  <c r="Q34" i="92"/>
  <c r="P34" i="92"/>
  <c r="O34" i="92"/>
  <c r="N34" i="92"/>
  <c r="M34" i="92"/>
  <c r="L34" i="92"/>
  <c r="D34" i="92"/>
  <c r="CI33" i="92"/>
  <c r="CH33" i="92"/>
  <c r="CG33" i="92"/>
  <c r="CF33" i="92"/>
  <c r="CE33" i="92"/>
  <c r="CD33" i="92"/>
  <c r="CC33" i="92"/>
  <c r="CB33" i="92"/>
  <c r="CA33" i="92"/>
  <c r="BX33" i="92"/>
  <c r="BW33" i="92"/>
  <c r="BV33" i="92"/>
  <c r="BU33" i="92"/>
  <c r="BT33" i="92"/>
  <c r="BS33" i="92"/>
  <c r="BR33" i="92"/>
  <c r="BQ33" i="92"/>
  <c r="BP33" i="92"/>
  <c r="Q33" i="92"/>
  <c r="P33" i="92"/>
  <c r="O33" i="92"/>
  <c r="N33" i="92"/>
  <c r="M33" i="92"/>
  <c r="L33" i="92"/>
  <c r="D33" i="92"/>
  <c r="CI32" i="92"/>
  <c r="CH32" i="92"/>
  <c r="CG32" i="92"/>
  <c r="CF32" i="92"/>
  <c r="CE32" i="92"/>
  <c r="CD32" i="92"/>
  <c r="CC32" i="92"/>
  <c r="CB32" i="92"/>
  <c r="CA32" i="92"/>
  <c r="BX32" i="92"/>
  <c r="BW32" i="92"/>
  <c r="BV32" i="92"/>
  <c r="BU32" i="92"/>
  <c r="BT32" i="92"/>
  <c r="BS32" i="92"/>
  <c r="BR32" i="92"/>
  <c r="BQ32" i="92"/>
  <c r="BP32" i="92"/>
  <c r="Q32" i="92"/>
  <c r="P32" i="92"/>
  <c r="O32" i="92"/>
  <c r="N32" i="92"/>
  <c r="M32" i="92"/>
  <c r="L32" i="92"/>
  <c r="D32" i="92"/>
  <c r="CI31" i="92"/>
  <c r="CH31" i="92"/>
  <c r="CG31" i="92"/>
  <c r="CF31" i="92"/>
  <c r="CE31" i="92"/>
  <c r="CD31" i="92"/>
  <c r="CC31" i="92"/>
  <c r="CB31" i="92"/>
  <c r="CA31" i="92"/>
  <c r="BX31" i="92"/>
  <c r="BW31" i="92"/>
  <c r="BV31" i="92"/>
  <c r="BU31" i="92"/>
  <c r="BT31" i="92"/>
  <c r="BS31" i="92"/>
  <c r="BR31" i="92"/>
  <c r="BQ31" i="92"/>
  <c r="BP31" i="92"/>
  <c r="Q31" i="92"/>
  <c r="P31" i="92"/>
  <c r="O31" i="92"/>
  <c r="N31" i="92"/>
  <c r="M31" i="92"/>
  <c r="L31" i="92"/>
  <c r="D31" i="92"/>
  <c r="CI30" i="92"/>
  <c r="CH30" i="92"/>
  <c r="CG30" i="92"/>
  <c r="CF30" i="92"/>
  <c r="CE30" i="92"/>
  <c r="CD30" i="92"/>
  <c r="CC30" i="92"/>
  <c r="CB30" i="92"/>
  <c r="CA30" i="92"/>
  <c r="BX30" i="92"/>
  <c r="BW30" i="92"/>
  <c r="BV30" i="92"/>
  <c r="BU30" i="92"/>
  <c r="BT30" i="92"/>
  <c r="BS30" i="92"/>
  <c r="BR30" i="92"/>
  <c r="BQ30" i="92"/>
  <c r="BP30" i="92"/>
  <c r="Q30" i="92"/>
  <c r="P30" i="92"/>
  <c r="O30" i="92"/>
  <c r="N30" i="92"/>
  <c r="M30" i="92"/>
  <c r="L30" i="92"/>
  <c r="D30" i="92"/>
  <c r="CI29" i="92"/>
  <c r="CH29" i="92"/>
  <c r="CG29" i="92"/>
  <c r="CF29" i="92"/>
  <c r="CE29" i="92"/>
  <c r="CD29" i="92"/>
  <c r="CC29" i="92"/>
  <c r="CB29" i="92"/>
  <c r="CA29" i="92"/>
  <c r="BX29" i="92"/>
  <c r="BW29" i="92"/>
  <c r="BV29" i="92"/>
  <c r="BU29" i="92"/>
  <c r="BT29" i="92"/>
  <c r="BS29" i="92"/>
  <c r="BR29" i="92"/>
  <c r="BQ29" i="92"/>
  <c r="BP29" i="92"/>
  <c r="Q29" i="92"/>
  <c r="P29" i="92"/>
  <c r="O29" i="92"/>
  <c r="N29" i="92"/>
  <c r="M29" i="92"/>
  <c r="L29" i="92"/>
  <c r="D29" i="92"/>
  <c r="CI28" i="92"/>
  <c r="CH28" i="92"/>
  <c r="CG28" i="92"/>
  <c r="CF28" i="92"/>
  <c r="CE28" i="92"/>
  <c r="CD28" i="92"/>
  <c r="CC28" i="92"/>
  <c r="CB28" i="92"/>
  <c r="CA28" i="92"/>
  <c r="BX28" i="92"/>
  <c r="BW28" i="92"/>
  <c r="BV28" i="92"/>
  <c r="BU28" i="92"/>
  <c r="BT28" i="92"/>
  <c r="BS28" i="92"/>
  <c r="BR28" i="92"/>
  <c r="BQ28" i="92"/>
  <c r="BP28" i="92"/>
  <c r="Q28" i="92"/>
  <c r="P28" i="92"/>
  <c r="O28" i="92"/>
  <c r="N28" i="92"/>
  <c r="M28" i="92"/>
  <c r="L28" i="92"/>
  <c r="D28" i="92"/>
  <c r="CI27" i="92"/>
  <c r="CH27" i="92"/>
  <c r="CG27" i="92"/>
  <c r="CF27" i="92"/>
  <c r="CE27" i="92"/>
  <c r="CD27" i="92"/>
  <c r="CC27" i="92"/>
  <c r="CB27" i="92"/>
  <c r="CA27" i="92"/>
  <c r="BX27" i="92"/>
  <c r="BW27" i="92"/>
  <c r="BV27" i="92"/>
  <c r="BU27" i="92"/>
  <c r="BT27" i="92"/>
  <c r="BS27" i="92"/>
  <c r="BR27" i="92"/>
  <c r="BQ27" i="92"/>
  <c r="BP27" i="92"/>
  <c r="Q27" i="92"/>
  <c r="P27" i="92"/>
  <c r="O27" i="92"/>
  <c r="N27" i="92"/>
  <c r="M27" i="92"/>
  <c r="L27" i="92"/>
  <c r="D27" i="92"/>
  <c r="CI26" i="92"/>
  <c r="CH26" i="92"/>
  <c r="CG26" i="92"/>
  <c r="CF26" i="92"/>
  <c r="CE26" i="92"/>
  <c r="CD26" i="92"/>
  <c r="CC26" i="92"/>
  <c r="CB26" i="92"/>
  <c r="CA26" i="92"/>
  <c r="BX26" i="92"/>
  <c r="BW26" i="92"/>
  <c r="BV26" i="92"/>
  <c r="BU26" i="92"/>
  <c r="BT26" i="92"/>
  <c r="BS26" i="92"/>
  <c r="BR26" i="92"/>
  <c r="BQ26" i="92"/>
  <c r="BP26" i="92"/>
  <c r="Q26" i="92"/>
  <c r="P26" i="92"/>
  <c r="O26" i="92"/>
  <c r="N26" i="92"/>
  <c r="M26" i="92"/>
  <c r="L26" i="92"/>
  <c r="D26" i="92"/>
  <c r="CI25" i="92"/>
  <c r="CH25" i="92"/>
  <c r="CG25" i="92"/>
  <c r="CF25" i="92"/>
  <c r="CE25" i="92"/>
  <c r="CD25" i="92"/>
  <c r="CC25" i="92"/>
  <c r="CB25" i="92"/>
  <c r="CA25" i="92"/>
  <c r="BX25" i="92"/>
  <c r="BW25" i="92"/>
  <c r="BV25" i="92"/>
  <c r="BU25" i="92"/>
  <c r="BT25" i="92"/>
  <c r="BS25" i="92"/>
  <c r="BR25" i="92"/>
  <c r="BQ25" i="92"/>
  <c r="BP25" i="92"/>
  <c r="Q25" i="92"/>
  <c r="P25" i="92"/>
  <c r="O25" i="92"/>
  <c r="N25" i="92"/>
  <c r="M25" i="92"/>
  <c r="L25" i="92"/>
  <c r="D25" i="92"/>
  <c r="A25" i="92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CI24" i="92"/>
  <c r="CH24" i="92"/>
  <c r="CG24" i="92"/>
  <c r="CF24" i="92"/>
  <c r="CE24" i="92"/>
  <c r="CD24" i="92"/>
  <c r="CC24" i="92"/>
  <c r="CB24" i="92"/>
  <c r="CA24" i="92"/>
  <c r="BX24" i="92"/>
  <c r="BW24" i="92"/>
  <c r="BV24" i="92"/>
  <c r="BU24" i="92"/>
  <c r="BT24" i="92"/>
  <c r="BS24" i="92"/>
  <c r="BR24" i="92"/>
  <c r="BQ24" i="92"/>
  <c r="BP24" i="92"/>
  <c r="Q24" i="92"/>
  <c r="P24" i="92"/>
  <c r="O24" i="92"/>
  <c r="N24" i="92"/>
  <c r="M24" i="92"/>
  <c r="L24" i="92"/>
  <c r="D24" i="92"/>
  <c r="CI23" i="92"/>
  <c r="CH23" i="92"/>
  <c r="CG23" i="92"/>
  <c r="CF23" i="92"/>
  <c r="CE23" i="92"/>
  <c r="CD23" i="92"/>
  <c r="CC23" i="92"/>
  <c r="CB23" i="92"/>
  <c r="CA23" i="92"/>
  <c r="BX23" i="92"/>
  <c r="BW23" i="92"/>
  <c r="BV23" i="92"/>
  <c r="BU23" i="92"/>
  <c r="BT23" i="92"/>
  <c r="BS23" i="92"/>
  <c r="BR23" i="92"/>
  <c r="BQ23" i="92"/>
  <c r="BP23" i="92"/>
  <c r="Q23" i="92"/>
  <c r="P23" i="92"/>
  <c r="O23" i="92"/>
  <c r="N23" i="92"/>
  <c r="M23" i="92"/>
  <c r="L23" i="92"/>
  <c r="D23" i="92"/>
  <c r="CI22" i="92"/>
  <c r="CH22" i="92"/>
  <c r="CG22" i="92"/>
  <c r="CF22" i="92"/>
  <c r="CE22" i="92"/>
  <c r="CD22" i="92"/>
  <c r="CC22" i="92"/>
  <c r="CB22" i="92"/>
  <c r="CA22" i="92"/>
  <c r="BX22" i="92"/>
  <c r="BW22" i="92"/>
  <c r="BV22" i="92"/>
  <c r="BU22" i="92"/>
  <c r="BT22" i="92"/>
  <c r="BS22" i="92"/>
  <c r="BR22" i="92"/>
  <c r="BQ22" i="92"/>
  <c r="BP22" i="92"/>
  <c r="Q22" i="92"/>
  <c r="P22" i="92"/>
  <c r="O22" i="92"/>
  <c r="N22" i="92"/>
  <c r="M22" i="92"/>
  <c r="L22" i="92"/>
  <c r="D22" i="92"/>
  <c r="CI21" i="92"/>
  <c r="CH21" i="92"/>
  <c r="CG21" i="92"/>
  <c r="CF21" i="92"/>
  <c r="CE21" i="92"/>
  <c r="CD21" i="92"/>
  <c r="CC21" i="92"/>
  <c r="CB21" i="92"/>
  <c r="CA21" i="92"/>
  <c r="BX21" i="92"/>
  <c r="BW21" i="92"/>
  <c r="BV21" i="92"/>
  <c r="BU21" i="92"/>
  <c r="BT21" i="92"/>
  <c r="BS21" i="92"/>
  <c r="BR21" i="92"/>
  <c r="BQ21" i="92"/>
  <c r="BP21" i="92"/>
  <c r="Q21" i="92"/>
  <c r="P21" i="92"/>
  <c r="O21" i="92"/>
  <c r="N21" i="92"/>
  <c r="M21" i="92"/>
  <c r="L21" i="92"/>
  <c r="D21" i="92"/>
  <c r="CI20" i="92"/>
  <c r="CH20" i="92"/>
  <c r="CG20" i="92"/>
  <c r="CF20" i="92"/>
  <c r="CE20" i="92"/>
  <c r="CD20" i="92"/>
  <c r="CC20" i="92"/>
  <c r="CB20" i="92"/>
  <c r="CA20" i="92"/>
  <c r="BX20" i="92"/>
  <c r="BW20" i="92"/>
  <c r="BV20" i="92"/>
  <c r="BU20" i="92"/>
  <c r="BT20" i="92"/>
  <c r="BS20" i="92"/>
  <c r="BR20" i="92"/>
  <c r="BQ20" i="92"/>
  <c r="BP20" i="92"/>
  <c r="Q20" i="92"/>
  <c r="P20" i="92"/>
  <c r="O20" i="92"/>
  <c r="N20" i="92"/>
  <c r="M20" i="92"/>
  <c r="L20" i="92"/>
  <c r="D20" i="92"/>
  <c r="CI19" i="92"/>
  <c r="CH19" i="92"/>
  <c r="CG19" i="92"/>
  <c r="CF19" i="92"/>
  <c r="CE19" i="92"/>
  <c r="CD19" i="92"/>
  <c r="CC19" i="92"/>
  <c r="CB19" i="92"/>
  <c r="CA19" i="92"/>
  <c r="BX19" i="92"/>
  <c r="BW19" i="92"/>
  <c r="BV19" i="92"/>
  <c r="BU19" i="92"/>
  <c r="BT19" i="92"/>
  <c r="BS19" i="92"/>
  <c r="BR19" i="92"/>
  <c r="BQ19" i="92"/>
  <c r="BP19" i="92"/>
  <c r="Q19" i="92"/>
  <c r="P19" i="92"/>
  <c r="O19" i="92"/>
  <c r="N19" i="92"/>
  <c r="M19" i="92"/>
  <c r="L19" i="92"/>
  <c r="D19" i="92"/>
  <c r="CI18" i="92"/>
  <c r="CH18" i="92"/>
  <c r="CG18" i="92"/>
  <c r="CF18" i="92"/>
  <c r="CE18" i="92"/>
  <c r="CD18" i="92"/>
  <c r="CC18" i="92"/>
  <c r="CB18" i="92"/>
  <c r="CA18" i="92"/>
  <c r="BX18" i="92"/>
  <c r="BW18" i="92"/>
  <c r="BV18" i="92"/>
  <c r="BU18" i="92"/>
  <c r="BT18" i="92"/>
  <c r="BS18" i="92"/>
  <c r="BR18" i="92"/>
  <c r="BQ18" i="92"/>
  <c r="BP18" i="92"/>
  <c r="Q18" i="92"/>
  <c r="P18" i="92"/>
  <c r="O18" i="92"/>
  <c r="N18" i="92"/>
  <c r="M18" i="92"/>
  <c r="L18" i="92"/>
  <c r="D18" i="92"/>
  <c r="CI17" i="92"/>
  <c r="CH17" i="92"/>
  <c r="CG17" i="92"/>
  <c r="CF17" i="92"/>
  <c r="CE17" i="92"/>
  <c r="CD17" i="92"/>
  <c r="CC17" i="92"/>
  <c r="CB17" i="92"/>
  <c r="CA17" i="92"/>
  <c r="BX17" i="92"/>
  <c r="BW17" i="92"/>
  <c r="BV17" i="92"/>
  <c r="BU17" i="92"/>
  <c r="BT17" i="92"/>
  <c r="BS17" i="92"/>
  <c r="BR17" i="92"/>
  <c r="BQ17" i="92"/>
  <c r="BP17" i="92"/>
  <c r="Q17" i="92"/>
  <c r="P17" i="92"/>
  <c r="O17" i="92"/>
  <c r="N17" i="92"/>
  <c r="M17" i="92"/>
  <c r="L17" i="92"/>
  <c r="D17" i="92"/>
  <c r="CI16" i="92"/>
  <c r="CH16" i="92"/>
  <c r="CG16" i="92"/>
  <c r="CF16" i="92"/>
  <c r="CE16" i="92"/>
  <c r="CD16" i="92"/>
  <c r="CC16" i="92"/>
  <c r="CB16" i="92"/>
  <c r="CA16" i="92"/>
  <c r="BX16" i="92"/>
  <c r="BW16" i="92"/>
  <c r="BV16" i="92"/>
  <c r="BU16" i="92"/>
  <c r="BT16" i="92"/>
  <c r="BS16" i="92"/>
  <c r="BR16" i="92"/>
  <c r="BQ16" i="92"/>
  <c r="BP16" i="92"/>
  <c r="Q16" i="92"/>
  <c r="P16" i="92"/>
  <c r="O16" i="92"/>
  <c r="N16" i="92"/>
  <c r="M16" i="92"/>
  <c r="L16" i="92"/>
  <c r="D16" i="92"/>
  <c r="CI15" i="92"/>
  <c r="CH15" i="92"/>
  <c r="CG15" i="92"/>
  <c r="CF15" i="92"/>
  <c r="CE15" i="92"/>
  <c r="CD15" i="92"/>
  <c r="CC15" i="92"/>
  <c r="CB15" i="92"/>
  <c r="CA15" i="92"/>
  <c r="BX15" i="92"/>
  <c r="BW15" i="92"/>
  <c r="BV15" i="92"/>
  <c r="BU15" i="92"/>
  <c r="BT15" i="92"/>
  <c r="BS15" i="92"/>
  <c r="BR15" i="92"/>
  <c r="BQ15" i="92"/>
  <c r="BP15" i="92"/>
  <c r="O15" i="92"/>
  <c r="N15" i="92"/>
  <c r="M15" i="92"/>
  <c r="L15" i="92"/>
  <c r="D15" i="92"/>
  <c r="CI14" i="92"/>
  <c r="CH14" i="92"/>
  <c r="CG14" i="92"/>
  <c r="CF14" i="92"/>
  <c r="CE14" i="92"/>
  <c r="CD14" i="92"/>
  <c r="CC14" i="92"/>
  <c r="CB14" i="92"/>
  <c r="CA14" i="92"/>
  <c r="BZ14" i="92"/>
  <c r="BX14" i="92"/>
  <c r="BW14" i="92"/>
  <c r="BV14" i="92"/>
  <c r="BU14" i="92"/>
  <c r="BT14" i="92"/>
  <c r="BS14" i="92"/>
  <c r="BR14" i="92"/>
  <c r="BQ14" i="92"/>
  <c r="BP14" i="92"/>
  <c r="BO14" i="92"/>
  <c r="BO13" i="92" s="1"/>
  <c r="BO12" i="92" s="1"/>
  <c r="BO11" i="92" s="1"/>
  <c r="BO10" i="92" s="1"/>
  <c r="BO9" i="92" s="1"/>
  <c r="BO8" i="92" s="1"/>
  <c r="BO7" i="92" s="1"/>
  <c r="BO6" i="92" s="1"/>
  <c r="BO5" i="92" s="1"/>
  <c r="O14" i="92"/>
  <c r="N14" i="92"/>
  <c r="M14" i="92"/>
  <c r="L14" i="92"/>
  <c r="D14" i="92"/>
  <c r="CI13" i="92"/>
  <c r="CH13" i="92"/>
  <c r="CG13" i="92"/>
  <c r="CF13" i="92"/>
  <c r="CE13" i="92"/>
  <c r="CD13" i="92"/>
  <c r="CC13" i="92"/>
  <c r="CB13" i="92"/>
  <c r="CA13" i="92"/>
  <c r="BZ13" i="92"/>
  <c r="BX13" i="92"/>
  <c r="BW13" i="92"/>
  <c r="BV13" i="92"/>
  <c r="BU13" i="92"/>
  <c r="BT13" i="92"/>
  <c r="BS13" i="92"/>
  <c r="BR13" i="92"/>
  <c r="BQ13" i="92"/>
  <c r="BP13" i="92"/>
  <c r="BK13" i="92"/>
  <c r="BJ13" i="92"/>
  <c r="BI13" i="92"/>
  <c r="O13" i="92"/>
  <c r="N13" i="92"/>
  <c r="M13" i="92"/>
  <c r="L13" i="92"/>
  <c r="D13" i="92"/>
  <c r="CI12" i="92"/>
  <c r="CH12" i="92"/>
  <c r="CG12" i="92"/>
  <c r="CF12" i="92"/>
  <c r="CE12" i="92"/>
  <c r="CD12" i="92"/>
  <c r="CC12" i="92"/>
  <c r="CB12" i="92"/>
  <c r="CA12" i="92"/>
  <c r="BZ12" i="92"/>
  <c r="BX12" i="92"/>
  <c r="BW12" i="92"/>
  <c r="BV12" i="92"/>
  <c r="BU12" i="92"/>
  <c r="BT12" i="92"/>
  <c r="BS12" i="92"/>
  <c r="BR12" i="92"/>
  <c r="BQ12" i="92"/>
  <c r="BP12" i="92"/>
  <c r="BJ12" i="92"/>
  <c r="BK12" i="92" s="1"/>
  <c r="BI12" i="92"/>
  <c r="O12" i="92"/>
  <c r="N12" i="92"/>
  <c r="M12" i="92"/>
  <c r="L12" i="92"/>
  <c r="D12" i="92"/>
  <c r="CI11" i="92"/>
  <c r="CH11" i="92"/>
  <c r="CG11" i="92"/>
  <c r="CF11" i="92"/>
  <c r="CE11" i="92"/>
  <c r="CD11" i="92"/>
  <c r="CC11" i="92"/>
  <c r="CB11" i="92"/>
  <c r="CA11" i="92"/>
  <c r="BZ11" i="92"/>
  <c r="BX11" i="92"/>
  <c r="BW11" i="92"/>
  <c r="BV11" i="92"/>
  <c r="BU11" i="92"/>
  <c r="BT11" i="92"/>
  <c r="BS11" i="92"/>
  <c r="BR11" i="92"/>
  <c r="BQ11" i="92"/>
  <c r="BP11" i="92"/>
  <c r="BJ11" i="92"/>
  <c r="BI11" i="92"/>
  <c r="BK11" i="92" s="1"/>
  <c r="O11" i="92"/>
  <c r="N11" i="92"/>
  <c r="M11" i="92"/>
  <c r="L11" i="92"/>
  <c r="D11" i="92"/>
  <c r="CI10" i="92"/>
  <c r="CH10" i="92"/>
  <c r="CG10" i="92"/>
  <c r="CF10" i="92"/>
  <c r="CE10" i="92"/>
  <c r="CD10" i="92"/>
  <c r="CC10" i="92"/>
  <c r="CB10" i="92"/>
  <c r="CA10" i="92"/>
  <c r="BZ10" i="92"/>
  <c r="BX10" i="92"/>
  <c r="BW10" i="92"/>
  <c r="BV10" i="92"/>
  <c r="BU10" i="92"/>
  <c r="BT10" i="92"/>
  <c r="BS10" i="92"/>
  <c r="BR10" i="92"/>
  <c r="BQ10" i="92"/>
  <c r="BP10" i="92"/>
  <c r="BK10" i="92"/>
  <c r="BJ10" i="92"/>
  <c r="BI10" i="92"/>
  <c r="O10" i="92"/>
  <c r="N10" i="92"/>
  <c r="M10" i="92"/>
  <c r="L10" i="92"/>
  <c r="D10" i="92"/>
  <c r="CI9" i="92"/>
  <c r="CH9" i="92"/>
  <c r="CG9" i="92"/>
  <c r="CF9" i="92"/>
  <c r="CE9" i="92"/>
  <c r="CD9" i="92"/>
  <c r="CC9" i="92"/>
  <c r="CB9" i="92"/>
  <c r="CA9" i="92"/>
  <c r="BZ9" i="92"/>
  <c r="BX9" i="92"/>
  <c r="BW9" i="92"/>
  <c r="BV9" i="92"/>
  <c r="BU9" i="92"/>
  <c r="BT9" i="92"/>
  <c r="BS9" i="92"/>
  <c r="BR9" i="92"/>
  <c r="BQ9" i="92"/>
  <c r="BP9" i="92"/>
  <c r="BJ9" i="92"/>
  <c r="BI9" i="92"/>
  <c r="BK9" i="92" s="1"/>
  <c r="O9" i="92"/>
  <c r="N9" i="92"/>
  <c r="M9" i="92"/>
  <c r="L9" i="92"/>
  <c r="D9" i="92"/>
  <c r="CI8" i="92"/>
  <c r="CH8" i="92"/>
  <c r="CG8" i="92"/>
  <c r="CF8" i="92"/>
  <c r="CE8" i="92"/>
  <c r="CD8" i="92"/>
  <c r="CC8" i="92"/>
  <c r="CB8" i="92"/>
  <c r="CA8" i="92"/>
  <c r="BZ8" i="92"/>
  <c r="BX8" i="92"/>
  <c r="BW8" i="92"/>
  <c r="BV8" i="92"/>
  <c r="BU8" i="92"/>
  <c r="BT8" i="92"/>
  <c r="BS8" i="92"/>
  <c r="BR8" i="92"/>
  <c r="BQ8" i="92"/>
  <c r="BP8" i="92"/>
  <c r="BK8" i="92"/>
  <c r="BJ8" i="92"/>
  <c r="BI8" i="92"/>
  <c r="O8" i="92"/>
  <c r="N8" i="92"/>
  <c r="M8" i="92"/>
  <c r="L8" i="92"/>
  <c r="D8" i="92"/>
  <c r="CI7" i="92"/>
  <c r="CH7" i="92"/>
  <c r="CG7" i="92"/>
  <c r="CF7" i="92"/>
  <c r="CE7" i="92"/>
  <c r="CD7" i="92"/>
  <c r="CC7" i="92"/>
  <c r="CB7" i="92"/>
  <c r="CA7" i="92"/>
  <c r="BZ7" i="92"/>
  <c r="BX7" i="92"/>
  <c r="BW7" i="92"/>
  <c r="BV7" i="92"/>
  <c r="BU7" i="92"/>
  <c r="BT7" i="92"/>
  <c r="BS7" i="92"/>
  <c r="BR7" i="92"/>
  <c r="BQ7" i="92"/>
  <c r="BP7" i="92"/>
  <c r="BJ7" i="92"/>
  <c r="BI7" i="92"/>
  <c r="BK7" i="92" s="1"/>
  <c r="O7" i="92"/>
  <c r="N7" i="92"/>
  <c r="M7" i="92"/>
  <c r="L7" i="92"/>
  <c r="D7" i="92"/>
  <c r="CI6" i="92"/>
  <c r="CH6" i="92"/>
  <c r="CG6" i="92"/>
  <c r="CF6" i="92"/>
  <c r="CE6" i="92"/>
  <c r="CD6" i="92"/>
  <c r="CC6" i="92"/>
  <c r="CB6" i="92"/>
  <c r="CA6" i="92"/>
  <c r="BZ6" i="92"/>
  <c r="BX6" i="92"/>
  <c r="BW6" i="92"/>
  <c r="BV6" i="92"/>
  <c r="BU6" i="92"/>
  <c r="BT6" i="92"/>
  <c r="BS6" i="92"/>
  <c r="BR6" i="92"/>
  <c r="BQ6" i="92"/>
  <c r="BP6" i="92"/>
  <c r="BK6" i="92"/>
  <c r="BJ6" i="92"/>
  <c r="BI6" i="92"/>
  <c r="O6" i="92"/>
  <c r="N6" i="92"/>
  <c r="M6" i="92"/>
  <c r="L6" i="92"/>
  <c r="D6" i="92"/>
  <c r="CI5" i="92"/>
  <c r="CH5" i="92"/>
  <c r="CG5" i="92"/>
  <c r="CF5" i="92"/>
  <c r="CE5" i="92"/>
  <c r="CD5" i="92"/>
  <c r="CC5" i="92"/>
  <c r="CB5" i="92"/>
  <c r="CA5" i="92"/>
  <c r="BZ5" i="92"/>
  <c r="BX5" i="92"/>
  <c r="BW5" i="92"/>
  <c r="BV5" i="92"/>
  <c r="BU5" i="92"/>
  <c r="BT5" i="92"/>
  <c r="BS5" i="92"/>
  <c r="BR5" i="92"/>
  <c r="BQ5" i="92"/>
  <c r="BP5" i="92"/>
  <c r="BJ5" i="92"/>
  <c r="BK5" i="92" s="1"/>
  <c r="BI5" i="92"/>
  <c r="O5" i="92"/>
  <c r="N5" i="92"/>
  <c r="M5" i="92"/>
  <c r="L5" i="92"/>
  <c r="D5" i="92"/>
  <c r="CI4" i="92"/>
  <c r="CH4" i="92"/>
  <c r="CG4" i="92"/>
  <c r="CF4" i="92"/>
  <c r="CE4" i="92"/>
  <c r="CD4" i="92"/>
  <c r="CC4" i="92"/>
  <c r="CB4" i="92"/>
  <c r="CA4" i="92"/>
  <c r="BX4" i="92"/>
  <c r="BW4" i="92"/>
  <c r="BV4" i="92"/>
  <c r="BU4" i="92"/>
  <c r="BT4" i="92"/>
  <c r="BS4" i="92"/>
  <c r="BR4" i="92"/>
  <c r="BQ4" i="92"/>
  <c r="BP4" i="92"/>
  <c r="BK22" i="92"/>
  <c r="BK21" i="92"/>
  <c r="O4" i="92"/>
  <c r="BK20" i="92" s="1"/>
  <c r="N4" i="92"/>
  <c r="BK19" i="92" s="1"/>
  <c r="M4" i="92"/>
  <c r="BK18" i="92" s="1"/>
  <c r="L4" i="92"/>
  <c r="BK14" i="92" s="1"/>
  <c r="K4" i="92"/>
  <c r="BK17" i="92" s="1"/>
  <c r="J4" i="92"/>
  <c r="BK15" i="92" s="1"/>
  <c r="I4" i="92"/>
  <c r="H4" i="92"/>
  <c r="G4" i="92"/>
  <c r="E4" i="92"/>
  <c r="D4" i="92"/>
  <c r="B4" i="92"/>
  <c r="N43" i="91"/>
  <c r="N44" i="91" s="1"/>
  <c r="N45" i="91" s="1"/>
  <c r="N46" i="91" s="1"/>
  <c r="N47" i="91" s="1"/>
  <c r="N48" i="91" s="1"/>
  <c r="N49" i="91" s="1"/>
  <c r="M43" i="91"/>
  <c r="M44" i="91" s="1"/>
  <c r="M45" i="91" s="1"/>
  <c r="M46" i="91" s="1"/>
  <c r="M47" i="91" s="1"/>
  <c r="M48" i="91" s="1"/>
  <c r="M49" i="91" s="1"/>
  <c r="I43" i="91"/>
  <c r="K43" i="91" s="1"/>
  <c r="L43" i="91" s="1"/>
  <c r="H43" i="91"/>
  <c r="H44" i="91" s="1"/>
  <c r="H45" i="91" s="1"/>
  <c r="H46" i="91" s="1"/>
  <c r="H47" i="91" s="1"/>
  <c r="H48" i="91" s="1"/>
  <c r="H49" i="91" s="1"/>
  <c r="G43" i="91"/>
  <c r="G44" i="91" s="1"/>
  <c r="G45" i="91" s="1"/>
  <c r="G46" i="91" s="1"/>
  <c r="G47" i="91" s="1"/>
  <c r="G48" i="91" s="1"/>
  <c r="G49" i="91" s="1"/>
  <c r="F43" i="91"/>
  <c r="F44" i="91" s="1"/>
  <c r="D43" i="91"/>
  <c r="D44" i="91" s="1"/>
  <c r="D45" i="91" s="1"/>
  <c r="D46" i="91" s="1"/>
  <c r="D47" i="91" s="1"/>
  <c r="D48" i="91" s="1"/>
  <c r="D49" i="91" s="1"/>
  <c r="C43" i="91"/>
  <c r="C44" i="91" s="1"/>
  <c r="C45" i="91" s="1"/>
  <c r="C46" i="91" s="1"/>
  <c r="C47" i="91" s="1"/>
  <c r="C48" i="91" s="1"/>
  <c r="C49" i="91" s="1"/>
  <c r="B43" i="91"/>
  <c r="B44" i="91" s="1"/>
  <c r="B45" i="91" s="1"/>
  <c r="B46" i="91" s="1"/>
  <c r="B47" i="91" s="1"/>
  <c r="B48" i="91" s="1"/>
  <c r="B49" i="91" s="1"/>
  <c r="I42" i="91"/>
  <c r="BC78" i="92" s="1"/>
  <c r="I41" i="91"/>
  <c r="BC77" i="92" s="1"/>
  <c r="I40" i="91"/>
  <c r="I39" i="91"/>
  <c r="I38" i="91"/>
  <c r="I37" i="91"/>
  <c r="I36" i="91"/>
  <c r="I35" i="91"/>
  <c r="I34" i="91"/>
  <c r="L33" i="91"/>
  <c r="O33" i="91" s="1"/>
  <c r="K33" i="91"/>
  <c r="I33" i="91"/>
  <c r="BC69" i="92" s="1"/>
  <c r="A33" i="9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A45" i="91" s="1"/>
  <c r="A46" i="91" s="1"/>
  <c r="A47" i="91" s="1"/>
  <c r="A48" i="91" s="1"/>
  <c r="A49" i="91" s="1"/>
  <c r="L32" i="91"/>
  <c r="O32" i="91" s="1"/>
  <c r="K32" i="91"/>
  <c r="I32" i="91"/>
  <c r="BC68" i="92" s="1"/>
  <c r="K31" i="91"/>
  <c r="L31" i="91" s="1"/>
  <c r="I31" i="91"/>
  <c r="BC67" i="92" s="1"/>
  <c r="I30" i="91"/>
  <c r="BC66" i="92" s="1"/>
  <c r="I29" i="91"/>
  <c r="BC65" i="92" s="1"/>
  <c r="L28" i="91"/>
  <c r="O28" i="91" s="1"/>
  <c r="K28" i="91"/>
  <c r="I28" i="91"/>
  <c r="BC64" i="92" s="1"/>
  <c r="K27" i="91"/>
  <c r="L27" i="91" s="1"/>
  <c r="I27" i="91"/>
  <c r="BC63" i="92" s="1"/>
  <c r="I26" i="91"/>
  <c r="BC62" i="92" s="1"/>
  <c r="I25" i="91"/>
  <c r="BC61" i="92" s="1"/>
  <c r="L24" i="91"/>
  <c r="O24" i="91" s="1"/>
  <c r="K24" i="91"/>
  <c r="I24" i="91"/>
  <c r="BC60" i="92" s="1"/>
  <c r="K23" i="91"/>
  <c r="L23" i="91" s="1"/>
  <c r="I23" i="91"/>
  <c r="BC59" i="92" s="1"/>
  <c r="I22" i="91"/>
  <c r="BC58" i="92" s="1"/>
  <c r="I21" i="91"/>
  <c r="BC57" i="92" s="1"/>
  <c r="L20" i="91"/>
  <c r="O20" i="91" s="1"/>
  <c r="K20" i="91"/>
  <c r="I20" i="91"/>
  <c r="BC56" i="92" s="1"/>
  <c r="K19" i="91"/>
  <c r="L19" i="91" s="1"/>
  <c r="I19" i="91"/>
  <c r="BC55" i="92" s="1"/>
  <c r="I18" i="91"/>
  <c r="BC54" i="92" s="1"/>
  <c r="I17" i="91"/>
  <c r="BC53" i="92" s="1"/>
  <c r="L16" i="91"/>
  <c r="O16" i="91" s="1"/>
  <c r="K16" i="91"/>
  <c r="I16" i="91"/>
  <c r="BC52" i="92" s="1"/>
  <c r="K15" i="91"/>
  <c r="L15" i="91" s="1"/>
  <c r="I15" i="91"/>
  <c r="BC51" i="92" s="1"/>
  <c r="I14" i="91"/>
  <c r="BC50" i="92" s="1"/>
  <c r="I13" i="91"/>
  <c r="BC49" i="92" s="1"/>
  <c r="I12" i="91"/>
  <c r="BC48" i="92" s="1"/>
  <c r="D12" i="91"/>
  <c r="C12" i="91"/>
  <c r="B12" i="91"/>
  <c r="K12" i="91" s="1"/>
  <c r="V49" i="90"/>
  <c r="W49" i="90" s="1"/>
  <c r="R49" i="90"/>
  <c r="P49" i="90"/>
  <c r="N49" i="90"/>
  <c r="M49" i="90"/>
  <c r="L49" i="90"/>
  <c r="K49" i="90"/>
  <c r="J49" i="90"/>
  <c r="I49" i="90"/>
  <c r="H49" i="90"/>
  <c r="G49" i="90"/>
  <c r="F49" i="90"/>
  <c r="D49" i="90"/>
  <c r="C49" i="90"/>
  <c r="W48" i="90"/>
  <c r="R48" i="90"/>
  <c r="P48" i="90"/>
  <c r="N48" i="90"/>
  <c r="L48" i="90"/>
  <c r="M48" i="90" s="1"/>
  <c r="K48" i="90"/>
  <c r="J48" i="90"/>
  <c r="I48" i="90"/>
  <c r="H48" i="90"/>
  <c r="G48" i="90"/>
  <c r="F48" i="90"/>
  <c r="D48" i="90"/>
  <c r="C48" i="90"/>
  <c r="W47" i="90"/>
  <c r="R47" i="90"/>
  <c r="P47" i="90"/>
  <c r="N47" i="90"/>
  <c r="L47" i="90"/>
  <c r="M47" i="90" s="1"/>
  <c r="K47" i="90"/>
  <c r="J47" i="90"/>
  <c r="I47" i="90"/>
  <c r="H47" i="90"/>
  <c r="G47" i="90"/>
  <c r="F47" i="90"/>
  <c r="E47" i="90"/>
  <c r="D47" i="90"/>
  <c r="C47" i="90"/>
  <c r="W46" i="90"/>
  <c r="S46" i="90"/>
  <c r="R46" i="90"/>
  <c r="Q46" i="90"/>
  <c r="P46" i="90"/>
  <c r="O46" i="90"/>
  <c r="N46" i="90"/>
  <c r="L46" i="90"/>
  <c r="M46" i="90" s="1"/>
  <c r="K46" i="90"/>
  <c r="J46" i="90"/>
  <c r="I46" i="90"/>
  <c r="H46" i="90"/>
  <c r="G46" i="90"/>
  <c r="F46" i="90"/>
  <c r="E46" i="90"/>
  <c r="D46" i="90"/>
  <c r="C46" i="90"/>
  <c r="W45" i="90"/>
  <c r="S45" i="90"/>
  <c r="R45" i="90"/>
  <c r="Q45" i="90"/>
  <c r="P45" i="90"/>
  <c r="O45" i="90"/>
  <c r="N45" i="90"/>
  <c r="M45" i="90"/>
  <c r="L45" i="90"/>
  <c r="K45" i="90"/>
  <c r="J45" i="90"/>
  <c r="I45" i="90"/>
  <c r="H45" i="90"/>
  <c r="G45" i="90"/>
  <c r="F45" i="90"/>
  <c r="E45" i="90"/>
  <c r="D45" i="90"/>
  <c r="C45" i="90"/>
  <c r="W44" i="90"/>
  <c r="S44" i="90"/>
  <c r="R44" i="90"/>
  <c r="Q44" i="90"/>
  <c r="P44" i="90"/>
  <c r="O44" i="90"/>
  <c r="N44" i="90"/>
  <c r="L44" i="90"/>
  <c r="M44" i="90" s="1"/>
  <c r="K44" i="90"/>
  <c r="J44" i="90"/>
  <c r="I44" i="90"/>
  <c r="H44" i="90"/>
  <c r="G44" i="90"/>
  <c r="F44" i="90"/>
  <c r="E44" i="90"/>
  <c r="D44" i="90"/>
  <c r="C44" i="90"/>
  <c r="W43" i="90"/>
  <c r="S43" i="90"/>
  <c r="R43" i="90"/>
  <c r="Q43" i="90"/>
  <c r="P43" i="90"/>
  <c r="O43" i="90"/>
  <c r="N43" i="90"/>
  <c r="L43" i="90"/>
  <c r="M43" i="90" s="1"/>
  <c r="K43" i="90"/>
  <c r="J43" i="90"/>
  <c r="I43" i="90"/>
  <c r="H43" i="90"/>
  <c r="G43" i="90"/>
  <c r="F43" i="90"/>
  <c r="E43" i="90"/>
  <c r="D43" i="90"/>
  <c r="C43" i="90"/>
  <c r="W42" i="90"/>
  <c r="S42" i="90"/>
  <c r="R42" i="90"/>
  <c r="Q42" i="90"/>
  <c r="P42" i="90"/>
  <c r="O42" i="90"/>
  <c r="N42" i="90"/>
  <c r="M42" i="90"/>
  <c r="L42" i="90"/>
  <c r="K42" i="90"/>
  <c r="J42" i="90"/>
  <c r="I42" i="90"/>
  <c r="H42" i="90"/>
  <c r="G42" i="90"/>
  <c r="F42" i="90"/>
  <c r="E42" i="90"/>
  <c r="D42" i="90"/>
  <c r="C42" i="90"/>
  <c r="W41" i="90"/>
  <c r="S41" i="90"/>
  <c r="R41" i="90"/>
  <c r="Q41" i="90"/>
  <c r="P41" i="90"/>
  <c r="O41" i="90"/>
  <c r="N41" i="90"/>
  <c r="L41" i="90"/>
  <c r="M41" i="90" s="1"/>
  <c r="K41" i="90"/>
  <c r="J41" i="90"/>
  <c r="I41" i="90"/>
  <c r="H41" i="90"/>
  <c r="G41" i="90"/>
  <c r="F41" i="90"/>
  <c r="E41" i="90"/>
  <c r="D41" i="90"/>
  <c r="C41" i="90"/>
  <c r="W40" i="90"/>
  <c r="S40" i="90"/>
  <c r="R40" i="90"/>
  <c r="Q40" i="90"/>
  <c r="P40" i="90"/>
  <c r="O40" i="90"/>
  <c r="N40" i="90"/>
  <c r="M40" i="90"/>
  <c r="L40" i="90"/>
  <c r="K40" i="90"/>
  <c r="J40" i="90"/>
  <c r="I40" i="90"/>
  <c r="H40" i="90"/>
  <c r="G40" i="90"/>
  <c r="F40" i="90"/>
  <c r="E40" i="90"/>
  <c r="D40" i="90"/>
  <c r="C40" i="90"/>
  <c r="W39" i="90"/>
  <c r="S39" i="90"/>
  <c r="R39" i="90"/>
  <c r="Q39" i="90"/>
  <c r="P39" i="90"/>
  <c r="O39" i="90"/>
  <c r="N39" i="90"/>
  <c r="L39" i="90"/>
  <c r="M39" i="90" s="1"/>
  <c r="K39" i="90"/>
  <c r="J39" i="90"/>
  <c r="I39" i="90"/>
  <c r="H39" i="90"/>
  <c r="G39" i="90"/>
  <c r="F39" i="90"/>
  <c r="E39" i="90"/>
  <c r="D39" i="90"/>
  <c r="C39" i="90"/>
  <c r="W38" i="90"/>
  <c r="S38" i="90"/>
  <c r="R38" i="90"/>
  <c r="Q38" i="90"/>
  <c r="P38" i="90"/>
  <c r="O38" i="90"/>
  <c r="N38" i="90"/>
  <c r="M38" i="90"/>
  <c r="L38" i="90"/>
  <c r="K38" i="90"/>
  <c r="J38" i="90"/>
  <c r="I38" i="90"/>
  <c r="H38" i="90"/>
  <c r="G38" i="90"/>
  <c r="F38" i="90"/>
  <c r="E38" i="90"/>
  <c r="D38" i="90"/>
  <c r="C38" i="90"/>
  <c r="S37" i="90"/>
  <c r="R37" i="90"/>
  <c r="Q37" i="90"/>
  <c r="P37" i="90"/>
  <c r="O37" i="90"/>
  <c r="N37" i="90"/>
  <c r="L37" i="90"/>
  <c r="M37" i="90" s="1"/>
  <c r="K37" i="90"/>
  <c r="J37" i="90"/>
  <c r="I37" i="90"/>
  <c r="H37" i="90"/>
  <c r="G37" i="90"/>
  <c r="F37" i="90"/>
  <c r="E37" i="90"/>
  <c r="D37" i="90"/>
  <c r="C37" i="90"/>
  <c r="S36" i="90"/>
  <c r="R36" i="90"/>
  <c r="Q36" i="90"/>
  <c r="P36" i="90"/>
  <c r="O36" i="90"/>
  <c r="N36" i="90"/>
  <c r="L36" i="90"/>
  <c r="M36" i="90" s="1"/>
  <c r="K36" i="90"/>
  <c r="J36" i="90"/>
  <c r="I36" i="90"/>
  <c r="H36" i="90"/>
  <c r="G36" i="90"/>
  <c r="F36" i="90"/>
  <c r="E36" i="90"/>
  <c r="D36" i="90"/>
  <c r="C36" i="90"/>
  <c r="S35" i="90"/>
  <c r="R35" i="90"/>
  <c r="Q35" i="90"/>
  <c r="P35" i="90"/>
  <c r="O35" i="90"/>
  <c r="N35" i="90"/>
  <c r="L35" i="90"/>
  <c r="M35" i="90" s="1"/>
  <c r="K35" i="90"/>
  <c r="J35" i="90"/>
  <c r="I35" i="90"/>
  <c r="H35" i="90"/>
  <c r="G35" i="90"/>
  <c r="F35" i="90"/>
  <c r="E35" i="90"/>
  <c r="D35" i="90"/>
  <c r="C35" i="90"/>
  <c r="S34" i="90"/>
  <c r="R34" i="90"/>
  <c r="Q34" i="90"/>
  <c r="P34" i="90"/>
  <c r="O34" i="90"/>
  <c r="N34" i="90"/>
  <c r="M34" i="90"/>
  <c r="L34" i="90"/>
  <c r="K34" i="90"/>
  <c r="J34" i="90"/>
  <c r="I34" i="90"/>
  <c r="H34" i="90"/>
  <c r="G34" i="90"/>
  <c r="F34" i="90"/>
  <c r="E34" i="90"/>
  <c r="D34" i="90"/>
  <c r="C34" i="90"/>
  <c r="S33" i="90"/>
  <c r="R33" i="90"/>
  <c r="Q33" i="90"/>
  <c r="P33" i="90"/>
  <c r="O33" i="90"/>
  <c r="N33" i="90"/>
  <c r="L33" i="90"/>
  <c r="M33" i="90" s="1"/>
  <c r="K33" i="90"/>
  <c r="J33" i="90"/>
  <c r="I33" i="90"/>
  <c r="H33" i="90"/>
  <c r="G33" i="90"/>
  <c r="F33" i="90"/>
  <c r="E33" i="90"/>
  <c r="D33" i="90"/>
  <c r="C33" i="90"/>
  <c r="A33" i="90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A45" i="90" s="1"/>
  <c r="A46" i="90" s="1"/>
  <c r="A47" i="90" s="1"/>
  <c r="A48" i="90" s="1"/>
  <c r="A49" i="90" s="1"/>
  <c r="S32" i="90"/>
  <c r="R32" i="90"/>
  <c r="Q32" i="90"/>
  <c r="P32" i="90"/>
  <c r="O32" i="90"/>
  <c r="N32" i="90"/>
  <c r="L32" i="90"/>
  <c r="M32" i="90" s="1"/>
  <c r="K32" i="90"/>
  <c r="J32" i="90"/>
  <c r="I32" i="90"/>
  <c r="H32" i="90"/>
  <c r="G32" i="90"/>
  <c r="F32" i="90"/>
  <c r="E32" i="90"/>
  <c r="D32" i="90"/>
  <c r="C32" i="90"/>
  <c r="S31" i="90"/>
  <c r="R31" i="90"/>
  <c r="Q31" i="90"/>
  <c r="P31" i="90"/>
  <c r="O31" i="90"/>
  <c r="N31" i="90"/>
  <c r="L31" i="90"/>
  <c r="M31" i="90" s="1"/>
  <c r="K31" i="90"/>
  <c r="J31" i="90"/>
  <c r="I31" i="90"/>
  <c r="H31" i="90"/>
  <c r="G31" i="90"/>
  <c r="F31" i="90"/>
  <c r="E31" i="90"/>
  <c r="D31" i="90"/>
  <c r="C31" i="90"/>
  <c r="S30" i="90"/>
  <c r="R30" i="90"/>
  <c r="Q30" i="90"/>
  <c r="P30" i="90"/>
  <c r="O30" i="90"/>
  <c r="N30" i="90"/>
  <c r="L30" i="90"/>
  <c r="M30" i="90" s="1"/>
  <c r="K30" i="90"/>
  <c r="J30" i="90"/>
  <c r="I30" i="90"/>
  <c r="H30" i="90"/>
  <c r="G30" i="90"/>
  <c r="F30" i="90"/>
  <c r="E30" i="90"/>
  <c r="D30" i="90"/>
  <c r="C30" i="90"/>
  <c r="S29" i="90"/>
  <c r="R29" i="90"/>
  <c r="Q29" i="90"/>
  <c r="P29" i="90"/>
  <c r="O29" i="90"/>
  <c r="N29" i="90"/>
  <c r="L29" i="90"/>
  <c r="M29" i="90" s="1"/>
  <c r="K29" i="90"/>
  <c r="J29" i="90"/>
  <c r="I29" i="90"/>
  <c r="H29" i="90"/>
  <c r="G29" i="90"/>
  <c r="F29" i="90"/>
  <c r="E29" i="90"/>
  <c r="D29" i="90"/>
  <c r="C29" i="90"/>
  <c r="S28" i="90"/>
  <c r="R28" i="90"/>
  <c r="Q28" i="90"/>
  <c r="P28" i="90"/>
  <c r="O28" i="90"/>
  <c r="N28" i="90"/>
  <c r="L28" i="90"/>
  <c r="M28" i="90" s="1"/>
  <c r="K28" i="90"/>
  <c r="J28" i="90"/>
  <c r="I28" i="90"/>
  <c r="H28" i="90"/>
  <c r="G28" i="90"/>
  <c r="F28" i="90"/>
  <c r="E28" i="90"/>
  <c r="D28" i="90"/>
  <c r="C28" i="90"/>
  <c r="S27" i="90"/>
  <c r="R27" i="90"/>
  <c r="Q27" i="90"/>
  <c r="P27" i="90"/>
  <c r="O27" i="90"/>
  <c r="N27" i="90"/>
  <c r="L27" i="90"/>
  <c r="M27" i="90" s="1"/>
  <c r="K27" i="90"/>
  <c r="J27" i="90"/>
  <c r="I27" i="90"/>
  <c r="H27" i="90"/>
  <c r="G27" i="90"/>
  <c r="F27" i="90"/>
  <c r="E27" i="90"/>
  <c r="D27" i="90"/>
  <c r="C27" i="90"/>
  <c r="S26" i="90"/>
  <c r="R26" i="90"/>
  <c r="Q26" i="90"/>
  <c r="P26" i="90"/>
  <c r="O26" i="90"/>
  <c r="N26" i="90"/>
  <c r="L26" i="90"/>
  <c r="M26" i="90" s="1"/>
  <c r="K26" i="90"/>
  <c r="J26" i="90"/>
  <c r="I26" i="90"/>
  <c r="H26" i="90"/>
  <c r="G26" i="90"/>
  <c r="F26" i="90"/>
  <c r="E26" i="90"/>
  <c r="D26" i="90"/>
  <c r="C26" i="90"/>
  <c r="S25" i="90"/>
  <c r="R25" i="90"/>
  <c r="Q25" i="90"/>
  <c r="P25" i="90"/>
  <c r="O25" i="90"/>
  <c r="N25" i="90"/>
  <c r="L25" i="90"/>
  <c r="M25" i="90" s="1"/>
  <c r="K25" i="90"/>
  <c r="J25" i="90"/>
  <c r="I25" i="90"/>
  <c r="H25" i="90"/>
  <c r="G25" i="90"/>
  <c r="F25" i="90"/>
  <c r="E25" i="90"/>
  <c r="D25" i="90"/>
  <c r="C25" i="90"/>
  <c r="S24" i="90"/>
  <c r="R24" i="90"/>
  <c r="Q24" i="90"/>
  <c r="P24" i="90"/>
  <c r="O24" i="90"/>
  <c r="N24" i="90"/>
  <c r="L24" i="90"/>
  <c r="M24" i="90" s="1"/>
  <c r="K24" i="90"/>
  <c r="J24" i="90"/>
  <c r="I24" i="90"/>
  <c r="H24" i="90"/>
  <c r="G24" i="90"/>
  <c r="F24" i="90"/>
  <c r="E24" i="90"/>
  <c r="D24" i="90"/>
  <c r="C24" i="90"/>
  <c r="S23" i="90"/>
  <c r="R23" i="90"/>
  <c r="Q23" i="90"/>
  <c r="P23" i="90"/>
  <c r="O23" i="90"/>
  <c r="N23" i="90"/>
  <c r="M23" i="90"/>
  <c r="L23" i="90"/>
  <c r="K23" i="90"/>
  <c r="J23" i="90"/>
  <c r="I23" i="90"/>
  <c r="H23" i="90"/>
  <c r="G23" i="90"/>
  <c r="F23" i="90"/>
  <c r="E23" i="90"/>
  <c r="D23" i="90"/>
  <c r="C23" i="90"/>
  <c r="S22" i="90"/>
  <c r="R22" i="90"/>
  <c r="Q22" i="90"/>
  <c r="P22" i="90"/>
  <c r="O22" i="90"/>
  <c r="N22" i="90"/>
  <c r="M22" i="90"/>
  <c r="L22" i="90"/>
  <c r="K22" i="90"/>
  <c r="J22" i="90"/>
  <c r="I22" i="90"/>
  <c r="H22" i="90"/>
  <c r="G22" i="90"/>
  <c r="F22" i="90"/>
  <c r="E22" i="90"/>
  <c r="D22" i="90"/>
  <c r="C22" i="90"/>
  <c r="S21" i="90"/>
  <c r="R21" i="90"/>
  <c r="Q21" i="90"/>
  <c r="P21" i="90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S20" i="90"/>
  <c r="R20" i="90"/>
  <c r="Q20" i="90"/>
  <c r="P20" i="90"/>
  <c r="O20" i="90"/>
  <c r="N20" i="90"/>
  <c r="M20" i="90"/>
  <c r="L20" i="90"/>
  <c r="K20" i="90"/>
  <c r="J20" i="90"/>
  <c r="I20" i="90"/>
  <c r="H20" i="90"/>
  <c r="G20" i="90"/>
  <c r="F20" i="90"/>
  <c r="E20" i="90"/>
  <c r="D20" i="90"/>
  <c r="C20" i="90"/>
  <c r="S19" i="90"/>
  <c r="R19" i="90"/>
  <c r="Q19" i="90"/>
  <c r="P19" i="90"/>
  <c r="O19" i="90"/>
  <c r="N19" i="90"/>
  <c r="M19" i="90"/>
  <c r="L19" i="90"/>
  <c r="K19" i="90"/>
  <c r="J19" i="90"/>
  <c r="I19" i="90"/>
  <c r="H19" i="90"/>
  <c r="G19" i="90"/>
  <c r="F19" i="90"/>
  <c r="E19" i="90"/>
  <c r="D19" i="90"/>
  <c r="C19" i="90"/>
  <c r="P18" i="90"/>
  <c r="O18" i="90"/>
  <c r="N18" i="90"/>
  <c r="M18" i="90"/>
  <c r="L18" i="90"/>
  <c r="K18" i="90"/>
  <c r="J18" i="90"/>
  <c r="I18" i="90"/>
  <c r="H18" i="90"/>
  <c r="G18" i="90"/>
  <c r="F18" i="90"/>
  <c r="E18" i="90"/>
  <c r="D18" i="90"/>
  <c r="C18" i="90"/>
  <c r="O17" i="90"/>
  <c r="N17" i="90"/>
  <c r="L17" i="90"/>
  <c r="M17" i="90" s="1"/>
  <c r="K17" i="90"/>
  <c r="J17" i="90"/>
  <c r="I17" i="90"/>
  <c r="H17" i="90"/>
  <c r="G17" i="90"/>
  <c r="F17" i="90"/>
  <c r="D17" i="90"/>
  <c r="C17" i="90"/>
  <c r="O16" i="90"/>
  <c r="N16" i="90"/>
  <c r="M16" i="90"/>
  <c r="L16" i="90"/>
  <c r="K16" i="90"/>
  <c r="J16" i="90"/>
  <c r="I16" i="90"/>
  <c r="H16" i="90"/>
  <c r="G16" i="90"/>
  <c r="F16" i="90"/>
  <c r="D16" i="90"/>
  <c r="C16" i="90"/>
  <c r="O15" i="90"/>
  <c r="N15" i="90"/>
  <c r="L15" i="90"/>
  <c r="M15" i="90" s="1"/>
  <c r="K15" i="90"/>
  <c r="J15" i="90"/>
  <c r="I15" i="90"/>
  <c r="H15" i="90"/>
  <c r="G15" i="90"/>
  <c r="F15" i="90"/>
  <c r="D15" i="90"/>
  <c r="C15" i="90"/>
  <c r="O14" i="90"/>
  <c r="N14" i="90"/>
  <c r="M14" i="90"/>
  <c r="L14" i="90"/>
  <c r="K14" i="90"/>
  <c r="J14" i="90"/>
  <c r="I14" i="90"/>
  <c r="H14" i="90"/>
  <c r="G14" i="90"/>
  <c r="F14" i="90"/>
  <c r="D14" i="90"/>
  <c r="C14" i="90"/>
  <c r="O13" i="90"/>
  <c r="N13" i="90"/>
  <c r="L13" i="90"/>
  <c r="M13" i="90" s="1"/>
  <c r="K13" i="90"/>
  <c r="J13" i="90"/>
  <c r="I13" i="90"/>
  <c r="H13" i="90"/>
  <c r="G13" i="90"/>
  <c r="F13" i="90"/>
  <c r="D13" i="90"/>
  <c r="C13" i="90"/>
  <c r="S12" i="90"/>
  <c r="R12" i="90"/>
  <c r="R3" i="90" s="1"/>
  <c r="O12" i="90"/>
  <c r="N12" i="90"/>
  <c r="N3" i="90" s="1"/>
  <c r="M12" i="90"/>
  <c r="L12" i="90"/>
  <c r="K12" i="90"/>
  <c r="J12" i="90"/>
  <c r="J3" i="90" s="1"/>
  <c r="I12" i="90"/>
  <c r="H12" i="90"/>
  <c r="G12" i="90"/>
  <c r="F12" i="90"/>
  <c r="F3" i="90" s="1"/>
  <c r="E12" i="90"/>
  <c r="D12" i="90"/>
  <c r="C12" i="90"/>
  <c r="J8" i="90"/>
  <c r="J9" i="90" s="1"/>
  <c r="J10" i="90" s="1"/>
  <c r="J11" i="90" s="1"/>
  <c r="L7" i="90"/>
  <c r="L8" i="90" s="1"/>
  <c r="L9" i="90" s="1"/>
  <c r="L10" i="90" s="1"/>
  <c r="L11" i="90" s="1"/>
  <c r="N6" i="90"/>
  <c r="N7" i="90" s="1"/>
  <c r="N8" i="90" s="1"/>
  <c r="N9" i="90" s="1"/>
  <c r="N10" i="90" s="1"/>
  <c r="N11" i="90" s="1"/>
  <c r="D5" i="90"/>
  <c r="D6" i="90" s="1"/>
  <c r="D7" i="90" s="1"/>
  <c r="D8" i="90" s="1"/>
  <c r="D9" i="90" s="1"/>
  <c r="D10" i="90" s="1"/>
  <c r="D11" i="90" s="1"/>
  <c r="R4" i="90"/>
  <c r="R5" i="90" s="1"/>
  <c r="R6" i="90" s="1"/>
  <c r="R7" i="90" s="1"/>
  <c r="R8" i="90" s="1"/>
  <c r="R9" i="90" s="1"/>
  <c r="R10" i="90" s="1"/>
  <c r="R11" i="90" s="1"/>
  <c r="O4" i="90"/>
  <c r="O5" i="90" s="1"/>
  <c r="O6" i="90" s="1"/>
  <c r="O7" i="90" s="1"/>
  <c r="O8" i="90" s="1"/>
  <c r="O9" i="90" s="1"/>
  <c r="O10" i="90" s="1"/>
  <c r="O11" i="90" s="1"/>
  <c r="N4" i="90"/>
  <c r="N5" i="90" s="1"/>
  <c r="K4" i="90"/>
  <c r="K5" i="90" s="1"/>
  <c r="K6" i="90" s="1"/>
  <c r="K7" i="90" s="1"/>
  <c r="K8" i="90" s="1"/>
  <c r="K9" i="90" s="1"/>
  <c r="K10" i="90" s="1"/>
  <c r="K11" i="90" s="1"/>
  <c r="J4" i="90"/>
  <c r="J5" i="90" s="1"/>
  <c r="J6" i="90" s="1"/>
  <c r="J7" i="90" s="1"/>
  <c r="G4" i="90"/>
  <c r="G5" i="90" s="1"/>
  <c r="G6" i="90" s="1"/>
  <c r="G7" i="90" s="1"/>
  <c r="G8" i="90" s="1"/>
  <c r="G9" i="90" s="1"/>
  <c r="G10" i="90" s="1"/>
  <c r="G11" i="90" s="1"/>
  <c r="F4" i="90"/>
  <c r="F5" i="90" s="1"/>
  <c r="F6" i="90" s="1"/>
  <c r="F7" i="90" s="1"/>
  <c r="F8" i="90" s="1"/>
  <c r="F9" i="90" s="1"/>
  <c r="F10" i="90" s="1"/>
  <c r="F11" i="90" s="1"/>
  <c r="C4" i="90"/>
  <c r="C5" i="90" s="1"/>
  <c r="C6" i="90" s="1"/>
  <c r="C7" i="90" s="1"/>
  <c r="C8" i="90" s="1"/>
  <c r="C9" i="90" s="1"/>
  <c r="C10" i="90" s="1"/>
  <c r="C11" i="90" s="1"/>
  <c r="S3" i="90"/>
  <c r="S4" i="90" s="1"/>
  <c r="S5" i="90" s="1"/>
  <c r="S6" i="90" s="1"/>
  <c r="S7" i="90" s="1"/>
  <c r="S8" i="90" s="1"/>
  <c r="S9" i="90" s="1"/>
  <c r="S10" i="90" s="1"/>
  <c r="S11" i="90" s="1"/>
  <c r="O3" i="90"/>
  <c r="M3" i="90"/>
  <c r="M4" i="90" s="1"/>
  <c r="M5" i="90" s="1"/>
  <c r="M6" i="90" s="1"/>
  <c r="M7" i="90" s="1"/>
  <c r="M8" i="90" s="1"/>
  <c r="M9" i="90" s="1"/>
  <c r="M10" i="90" s="1"/>
  <c r="M11" i="90" s="1"/>
  <c r="L3" i="90"/>
  <c r="L4" i="90" s="1"/>
  <c r="L5" i="90" s="1"/>
  <c r="L6" i="90" s="1"/>
  <c r="K3" i="90"/>
  <c r="I3" i="90"/>
  <c r="I4" i="90" s="1"/>
  <c r="I5" i="90" s="1"/>
  <c r="I6" i="90" s="1"/>
  <c r="I7" i="90" s="1"/>
  <c r="I8" i="90" s="1"/>
  <c r="I9" i="90" s="1"/>
  <c r="I10" i="90" s="1"/>
  <c r="I11" i="90" s="1"/>
  <c r="H3" i="90"/>
  <c r="H4" i="90" s="1"/>
  <c r="H5" i="90" s="1"/>
  <c r="H6" i="90" s="1"/>
  <c r="H7" i="90" s="1"/>
  <c r="H8" i="90" s="1"/>
  <c r="H9" i="90" s="1"/>
  <c r="H10" i="90" s="1"/>
  <c r="H11" i="90" s="1"/>
  <c r="G3" i="90"/>
  <c r="E3" i="90"/>
  <c r="E4" i="90" s="1"/>
  <c r="E5" i="90" s="1"/>
  <c r="E6" i="90" s="1"/>
  <c r="E7" i="90" s="1"/>
  <c r="E8" i="90" s="1"/>
  <c r="E9" i="90" s="1"/>
  <c r="E10" i="90" s="1"/>
  <c r="E11" i="90" s="1"/>
  <c r="D3" i="90"/>
  <c r="D4" i="90" s="1"/>
  <c r="C3" i="90"/>
  <c r="AI44" i="88"/>
  <c r="AI45" i="88" s="1"/>
  <c r="AI46" i="88" s="1"/>
  <c r="AI47" i="88" s="1"/>
  <c r="AI48" i="88" s="1"/>
  <c r="AI49" i="88" s="1"/>
  <c r="AJ43" i="88"/>
  <c r="AJ44" i="88" s="1"/>
  <c r="AJ45" i="88" s="1"/>
  <c r="AJ46" i="88" s="1"/>
  <c r="AJ47" i="88" s="1"/>
  <c r="AI43" i="88"/>
  <c r="N42" i="88"/>
  <c r="N43" i="88" s="1"/>
  <c r="N44" i="88" s="1"/>
  <c r="N45" i="88" s="1"/>
  <c r="N46" i="88" s="1"/>
  <c r="N47" i="88" s="1"/>
  <c r="N48" i="88" s="1"/>
  <c r="N49" i="88" s="1"/>
  <c r="N41" i="88"/>
  <c r="N40" i="88"/>
  <c r="N39" i="88"/>
  <c r="N38" i="88"/>
  <c r="N37" i="88"/>
  <c r="N36" i="88"/>
  <c r="N35" i="88"/>
  <c r="A35" i="88"/>
  <c r="A36" i="88" s="1"/>
  <c r="A37" i="88" s="1"/>
  <c r="A38" i="88" s="1"/>
  <c r="A39" i="88" s="1"/>
  <c r="A40" i="88" s="1"/>
  <c r="A41" i="88" s="1"/>
  <c r="A42" i="88" s="1"/>
  <c r="A43" i="88" s="1"/>
  <c r="A44" i="88" s="1"/>
  <c r="A45" i="88" s="1"/>
  <c r="A46" i="88" s="1"/>
  <c r="A47" i="88" s="1"/>
  <c r="A48" i="88" s="1"/>
  <c r="A49" i="88" s="1"/>
  <c r="N34" i="88"/>
  <c r="A34" i="88"/>
  <c r="N33" i="88"/>
  <c r="A33" i="88"/>
  <c r="N32" i="88"/>
  <c r="N31" i="88"/>
  <c r="P30" i="88"/>
  <c r="P31" i="88" s="1"/>
  <c r="P32" i="88" s="1"/>
  <c r="P33" i="88" s="1"/>
  <c r="P34" i="88" s="1"/>
  <c r="P35" i="88" s="1"/>
  <c r="P36" i="88" s="1"/>
  <c r="P37" i="88" s="1"/>
  <c r="P38" i="88" s="1"/>
  <c r="P39" i="88" s="1"/>
  <c r="P40" i="88" s="1"/>
  <c r="P41" i="88" s="1"/>
  <c r="P42" i="88" s="1"/>
  <c r="P43" i="88" s="1"/>
  <c r="P44" i="88" s="1"/>
  <c r="P45" i="88" s="1"/>
  <c r="P46" i="88" s="1"/>
  <c r="P47" i="88" s="1"/>
  <c r="P48" i="88" s="1"/>
  <c r="P49" i="88" s="1"/>
  <c r="N30" i="88"/>
  <c r="N29" i="88"/>
  <c r="N28" i="88"/>
  <c r="N27" i="88"/>
  <c r="N26" i="88"/>
  <c r="N25" i="88"/>
  <c r="N24" i="88"/>
  <c r="N23" i="88"/>
  <c r="P22" i="88"/>
  <c r="P23" i="88" s="1"/>
  <c r="P24" i="88" s="1"/>
  <c r="P25" i="88" s="1"/>
  <c r="P26" i="88" s="1"/>
  <c r="P27" i="88" s="1"/>
  <c r="P28" i="88" s="1"/>
  <c r="P29" i="88" s="1"/>
  <c r="N22" i="88"/>
  <c r="N21" i="88"/>
  <c r="P20" i="88"/>
  <c r="P21" i="88" s="1"/>
  <c r="N20" i="88"/>
  <c r="N19" i="88"/>
  <c r="P18" i="88"/>
  <c r="P19" i="88" s="1"/>
  <c r="N18" i="88"/>
  <c r="BK17" i="88"/>
  <c r="BI17" i="88"/>
  <c r="BG17" i="88"/>
  <c r="BE17" i="88"/>
  <c r="BD15" i="88" s="1"/>
  <c r="BC17" i="88"/>
  <c r="BA17" i="88"/>
  <c r="AY17" i="88"/>
  <c r="AW17" i="88"/>
  <c r="AV15" i="88" s="1"/>
  <c r="AU17" i="88"/>
  <c r="AS17" i="88"/>
  <c r="AO17" i="88"/>
  <c r="AN17" i="88"/>
  <c r="B17" i="88" s="1"/>
  <c r="AM17" i="88"/>
  <c r="AE17" i="88"/>
  <c r="AC17" i="88"/>
  <c r="AA17" i="88"/>
  <c r="Y17" i="88"/>
  <c r="T17" i="88"/>
  <c r="R17" i="88"/>
  <c r="P17" i="88"/>
  <c r="N17" i="88"/>
  <c r="L17" i="88"/>
  <c r="J17" i="88"/>
  <c r="H17" i="88"/>
  <c r="D17" i="88"/>
  <c r="BJ16" i="88"/>
  <c r="BB16" i="88"/>
  <c r="AT16" i="88"/>
  <c r="L16" i="88" s="1"/>
  <c r="AL16" i="88"/>
  <c r="AE16" i="88"/>
  <c r="R16" i="88"/>
  <c r="N16" i="88"/>
  <c r="H16" i="88"/>
  <c r="BJ15" i="88"/>
  <c r="BH15" i="88"/>
  <c r="BF15" i="88"/>
  <c r="BF16" i="88" s="1"/>
  <c r="AA16" i="88" s="1"/>
  <c r="BB15" i="88"/>
  <c r="AZ15" i="88"/>
  <c r="AX15" i="88"/>
  <c r="AX16" i="88" s="1"/>
  <c r="AT15" i="88"/>
  <c r="AR15" i="88"/>
  <c r="AO15" i="88"/>
  <c r="AL15" i="88"/>
  <c r="AN15" i="88" s="1"/>
  <c r="B15" i="88" s="1"/>
  <c r="AE15" i="88"/>
  <c r="AA15" i="88"/>
  <c r="R15" i="88"/>
  <c r="N15" i="88"/>
  <c r="L15" i="88"/>
  <c r="H15" i="88"/>
  <c r="D15" i="88"/>
  <c r="AW14" i="88"/>
  <c r="AU14" i="88"/>
  <c r="AO14" i="88"/>
  <c r="D14" i="88" s="1"/>
  <c r="AM14" i="88"/>
  <c r="AE14" i="88"/>
  <c r="AC14" i="88"/>
  <c r="AA14" i="88"/>
  <c r="Y14" i="88"/>
  <c r="T14" i="88"/>
  <c r="T13" i="88" s="1"/>
  <c r="T12" i="88" s="1"/>
  <c r="T11" i="88" s="1"/>
  <c r="T10" i="88" s="1"/>
  <c r="R14" i="88"/>
  <c r="N14" i="88"/>
  <c r="L14" i="88"/>
  <c r="J14" i="88"/>
  <c r="H14" i="88"/>
  <c r="AN14" i="88"/>
  <c r="B14" i="88" s="1"/>
  <c r="AN13" i="88"/>
  <c r="B13" i="88" s="1"/>
  <c r="AE13" i="88"/>
  <c r="R13" i="88"/>
  <c r="N13" i="88"/>
  <c r="L13" i="88"/>
  <c r="J13" i="88"/>
  <c r="H13" i="88"/>
  <c r="AS12" i="88"/>
  <c r="AN12" i="88"/>
  <c r="B12" i="88" s="1"/>
  <c r="AE12" i="88"/>
  <c r="R12" i="88"/>
  <c r="N12" i="88"/>
  <c r="L12" i="88"/>
  <c r="J12" i="88"/>
  <c r="H12" i="88"/>
  <c r="AV11" i="88"/>
  <c r="AT11" i="88"/>
  <c r="AT12" i="88" s="1"/>
  <c r="AT13" i="88" s="1"/>
  <c r="AL11" i="88"/>
  <c r="AE11" i="88"/>
  <c r="R11" i="88"/>
  <c r="N11" i="88"/>
  <c r="L11" i="88"/>
  <c r="J11" i="88"/>
  <c r="H11" i="88"/>
  <c r="AN11" i="88"/>
  <c r="B11" i="88" s="1"/>
  <c r="AW10" i="88"/>
  <c r="AU10" i="88"/>
  <c r="AO10" i="88"/>
  <c r="AM10" i="88"/>
  <c r="AE10" i="88"/>
  <c r="Y10" i="88"/>
  <c r="Y11" i="88" s="1"/>
  <c r="Y12" i="88" s="1"/>
  <c r="Y13" i="88" s="1"/>
  <c r="R10" i="88"/>
  <c r="N10" i="88"/>
  <c r="L10" i="88"/>
  <c r="L9" i="88" s="1"/>
  <c r="L8" i="88" s="1"/>
  <c r="L7" i="88" s="1"/>
  <c r="L6" i="88" s="1"/>
  <c r="J10" i="88"/>
  <c r="H10" i="88"/>
  <c r="D10" i="88"/>
  <c r="AN10" i="88"/>
  <c r="B10" i="88" s="1"/>
  <c r="AE9" i="88"/>
  <c r="T9" i="88"/>
  <c r="T8" i="88" s="1"/>
  <c r="T7" i="88" s="1"/>
  <c r="T6" i="88" s="1"/>
  <c r="T5" i="88" s="1"/>
  <c r="T4" i="88" s="1"/>
  <c r="T3" i="88" s="1"/>
  <c r="T2" i="88" s="1"/>
  <c r="R9" i="88"/>
  <c r="N9" i="88"/>
  <c r="J9" i="88"/>
  <c r="H9" i="88"/>
  <c r="AN9" i="88"/>
  <c r="B9" i="88"/>
  <c r="AN8" i="88"/>
  <c r="B8" i="88" s="1"/>
  <c r="AE8" i="88"/>
  <c r="AA8" i="88"/>
  <c r="AA9" i="88" s="1"/>
  <c r="AA10" i="88" s="1"/>
  <c r="AA11" i="88" s="1"/>
  <c r="AA12" i="88" s="1"/>
  <c r="AA13" i="88" s="1"/>
  <c r="W8" i="88"/>
  <c r="W9" i="88" s="1"/>
  <c r="W10" i="88" s="1"/>
  <c r="W11" i="88" s="1"/>
  <c r="R8" i="88"/>
  <c r="N8" i="88"/>
  <c r="J8" i="88"/>
  <c r="H8" i="88"/>
  <c r="AV7" i="88"/>
  <c r="AE7" i="88"/>
  <c r="R7" i="88"/>
  <c r="N7" i="88"/>
  <c r="J7" i="88"/>
  <c r="H7" i="88"/>
  <c r="AN7" i="88"/>
  <c r="B7" i="88" s="1"/>
  <c r="AT6" i="88"/>
  <c r="AT7" i="88" s="1"/>
  <c r="AT8" i="88" s="1"/>
  <c r="AT9" i="88" s="1"/>
  <c r="AS6" i="88"/>
  <c r="AL6" i="88"/>
  <c r="AO6" i="88" s="1"/>
  <c r="AE6" i="88"/>
  <c r="R6" i="88"/>
  <c r="N6" i="88"/>
  <c r="J6" i="88"/>
  <c r="H6" i="88"/>
  <c r="D6" i="88"/>
  <c r="AN6" i="88"/>
  <c r="B6" i="88" s="1"/>
  <c r="AV5" i="88"/>
  <c r="AV6" i="88" s="1"/>
  <c r="AT5" i="88"/>
  <c r="AL5" i="88"/>
  <c r="AO5" i="88" s="1"/>
  <c r="D5" i="88" s="1"/>
  <c r="AE5" i="88"/>
  <c r="AC5" i="88"/>
  <c r="AC6" i="88" s="1"/>
  <c r="AC7" i="88" s="1"/>
  <c r="AC8" i="88" s="1"/>
  <c r="AC9" i="88" s="1"/>
  <c r="AC10" i="88" s="1"/>
  <c r="AC11" i="88" s="1"/>
  <c r="AC12" i="88" s="1"/>
  <c r="AC13" i="88" s="1"/>
  <c r="Y5" i="88"/>
  <c r="Y6" i="88" s="1"/>
  <c r="Y7" i="88" s="1"/>
  <c r="Y8" i="88" s="1"/>
  <c r="Y9" i="88" s="1"/>
  <c r="R5" i="88"/>
  <c r="N5" i="88"/>
  <c r="L5" i="88"/>
  <c r="L4" i="88" s="1"/>
  <c r="L3" i="88" s="1"/>
  <c r="L2" i="88" s="1"/>
  <c r="J5" i="88"/>
  <c r="H5" i="88"/>
  <c r="AN5" i="88"/>
  <c r="B5" i="88" s="1"/>
  <c r="AO4" i="88"/>
  <c r="AE4" i="88"/>
  <c r="AC4" i="88"/>
  <c r="Y4" i="88"/>
  <c r="U4" i="88"/>
  <c r="U5" i="88" s="1"/>
  <c r="U6" i="88" s="1"/>
  <c r="U7" i="88" s="1"/>
  <c r="U8" i="88" s="1"/>
  <c r="U9" i="88" s="1"/>
  <c r="U10" i="88" s="1"/>
  <c r="U11" i="88" s="1"/>
  <c r="R4" i="88"/>
  <c r="N4" i="88"/>
  <c r="J4" i="88"/>
  <c r="H4" i="88"/>
  <c r="D4" i="88"/>
  <c r="AN4" i="88"/>
  <c r="B4" i="88" s="1"/>
  <c r="AV3" i="88"/>
  <c r="AO3" i="88"/>
  <c r="AN3" i="88"/>
  <c r="B3" i="88" s="1"/>
  <c r="AE3" i="88"/>
  <c r="AC3" i="88"/>
  <c r="AA3" i="88"/>
  <c r="AA4" i="88" s="1"/>
  <c r="AA5" i="88" s="1"/>
  <c r="AA6" i="88" s="1"/>
  <c r="AA7" i="88" s="1"/>
  <c r="Y3" i="88"/>
  <c r="W3" i="88"/>
  <c r="W4" i="88" s="1"/>
  <c r="W5" i="88" s="1"/>
  <c r="W6" i="88" s="1"/>
  <c r="W7" i="88" s="1"/>
  <c r="U3" i="88"/>
  <c r="R3" i="88"/>
  <c r="N3" i="88"/>
  <c r="J3" i="88"/>
  <c r="H3" i="88"/>
  <c r="D3" i="88"/>
  <c r="AO2" i="88"/>
  <c r="AN2" i="88"/>
  <c r="B2" i="88" s="1"/>
  <c r="AE2" i="88"/>
  <c r="R2" i="88"/>
  <c r="N2" i="88"/>
  <c r="J2" i="88"/>
  <c r="H2" i="88"/>
  <c r="D2" i="88"/>
  <c r="A42" i="87"/>
  <c r="A43" i="87" s="1"/>
  <c r="A44" i="87" s="1"/>
  <c r="A45" i="87" s="1"/>
  <c r="A46" i="87" s="1"/>
  <c r="A47" i="87" s="1"/>
  <c r="A48" i="87" s="1"/>
  <c r="A49" i="87" s="1"/>
  <c r="A34" i="87"/>
  <c r="A35" i="87" s="1"/>
  <c r="A36" i="87" s="1"/>
  <c r="A37" i="87" s="1"/>
  <c r="A38" i="87" s="1"/>
  <c r="A39" i="87" s="1"/>
  <c r="A40" i="87" s="1"/>
  <c r="A41" i="87" s="1"/>
  <c r="A33" i="87"/>
  <c r="V48" i="86"/>
  <c r="T48" i="86"/>
  <c r="R48" i="86"/>
  <c r="V47" i="86"/>
  <c r="T47" i="86"/>
  <c r="R47" i="86"/>
  <c r="V46" i="86"/>
  <c r="T46" i="86"/>
  <c r="R46" i="86"/>
  <c r="V45" i="86"/>
  <c r="T45" i="86"/>
  <c r="R45" i="86"/>
  <c r="V44" i="86"/>
  <c r="T44" i="86"/>
  <c r="R44" i="86"/>
  <c r="V43" i="86"/>
  <c r="T43" i="86"/>
  <c r="R43" i="86"/>
  <c r="V42" i="86"/>
  <c r="T42" i="86"/>
  <c r="R42" i="86"/>
  <c r="V41" i="86"/>
  <c r="T41" i="86"/>
  <c r="R41" i="86"/>
  <c r="V40" i="86"/>
  <c r="T40" i="86"/>
  <c r="R40" i="86"/>
  <c r="V39" i="86"/>
  <c r="T39" i="86"/>
  <c r="R39" i="86"/>
  <c r="V38" i="86"/>
  <c r="T38" i="86"/>
  <c r="R38" i="86"/>
  <c r="V37" i="86"/>
  <c r="T37" i="86"/>
  <c r="R37" i="86"/>
  <c r="N37" i="86"/>
  <c r="N38" i="86" s="1"/>
  <c r="N39" i="86" s="1"/>
  <c r="N40" i="86" s="1"/>
  <c r="N41" i="86" s="1"/>
  <c r="N42" i="86" s="1"/>
  <c r="N43" i="86" s="1"/>
  <c r="N44" i="86" s="1"/>
  <c r="N45" i="86" s="1"/>
  <c r="N46" i="86" s="1"/>
  <c r="N47" i="86" s="1"/>
  <c r="N48" i="86" s="1"/>
  <c r="V36" i="86"/>
  <c r="T36" i="86"/>
  <c r="R36" i="86"/>
  <c r="V35" i="86"/>
  <c r="T35" i="86"/>
  <c r="R35" i="86"/>
  <c r="V34" i="86"/>
  <c r="T34" i="86"/>
  <c r="R34" i="86"/>
  <c r="V33" i="86"/>
  <c r="T33" i="86"/>
  <c r="R33" i="86"/>
  <c r="V32" i="86"/>
  <c r="T32" i="86"/>
  <c r="R32" i="86"/>
  <c r="P33" i="86"/>
  <c r="W33" i="86" s="1"/>
  <c r="W31" i="86"/>
  <c r="V31" i="86"/>
  <c r="T31" i="86"/>
  <c r="R31" i="86"/>
  <c r="P31" i="86"/>
  <c r="V30" i="86"/>
  <c r="T30" i="86"/>
  <c r="R30" i="86"/>
  <c r="V29" i="86"/>
  <c r="T29" i="86"/>
  <c r="R29" i="86"/>
  <c r="V28" i="86"/>
  <c r="T28" i="86"/>
  <c r="R28" i="86"/>
  <c r="P29" i="86"/>
  <c r="W29" i="86" s="1"/>
  <c r="V27" i="86"/>
  <c r="T27" i="86"/>
  <c r="R27" i="86"/>
  <c r="P27" i="86"/>
  <c r="W27" i="86" s="1"/>
  <c r="X27" i="86" s="1"/>
  <c r="V26" i="86"/>
  <c r="T26" i="86"/>
  <c r="R26" i="86"/>
  <c r="P26" i="86"/>
  <c r="W26" i="86" s="1"/>
  <c r="V25" i="86"/>
  <c r="T25" i="86"/>
  <c r="R25" i="86"/>
  <c r="P25" i="86"/>
  <c r="W25" i="86" s="1"/>
  <c r="X25" i="86" s="1"/>
  <c r="V24" i="86"/>
  <c r="T24" i="86"/>
  <c r="R24" i="86"/>
  <c r="P24" i="86"/>
  <c r="W24" i="86" s="1"/>
  <c r="V23" i="86"/>
  <c r="T23" i="86"/>
  <c r="R23" i="86"/>
  <c r="P23" i="86"/>
  <c r="W23" i="86" s="1"/>
  <c r="X23" i="86" s="1"/>
  <c r="V22" i="86"/>
  <c r="T22" i="86"/>
  <c r="R22" i="86"/>
  <c r="P22" i="86"/>
  <c r="W22" i="86" s="1"/>
  <c r="X22" i="86" s="1"/>
  <c r="V21" i="86"/>
  <c r="T21" i="86"/>
  <c r="R21" i="86"/>
  <c r="P21" i="86"/>
  <c r="W21" i="86" s="1"/>
  <c r="X21" i="86" s="1"/>
  <c r="V20" i="86"/>
  <c r="T20" i="86"/>
  <c r="R20" i="86"/>
  <c r="P20" i="86"/>
  <c r="W20" i="86" s="1"/>
  <c r="X20" i="86" s="1"/>
  <c r="V19" i="86"/>
  <c r="T19" i="86"/>
  <c r="R19" i="86"/>
  <c r="P19" i="86"/>
  <c r="W19" i="86" s="1"/>
  <c r="V18" i="86"/>
  <c r="T18" i="86"/>
  <c r="R18" i="86"/>
  <c r="V17" i="86"/>
  <c r="T17" i="86"/>
  <c r="R17" i="86"/>
  <c r="V16" i="86"/>
  <c r="T16" i="86"/>
  <c r="R16" i="86"/>
  <c r="V15" i="86"/>
  <c r="T15" i="86"/>
  <c r="R15" i="86"/>
  <c r="V14" i="86"/>
  <c r="T14" i="86"/>
  <c r="R14" i="86"/>
  <c r="W14" i="86" s="1"/>
  <c r="V13" i="86"/>
  <c r="T13" i="86"/>
  <c r="R13" i="86"/>
  <c r="V12" i="86"/>
  <c r="T12" i="86"/>
  <c r="R12" i="86"/>
  <c r="V11" i="86"/>
  <c r="T11" i="86"/>
  <c r="R11" i="86"/>
  <c r="V10" i="86"/>
  <c r="T10" i="86"/>
  <c r="R10" i="86"/>
  <c r="V9" i="86"/>
  <c r="T9" i="86"/>
  <c r="R9" i="86"/>
  <c r="V8" i="86"/>
  <c r="T8" i="86"/>
  <c r="R8" i="86"/>
  <c r="V7" i="86"/>
  <c r="T7" i="86"/>
  <c r="R7" i="86"/>
  <c r="V6" i="86"/>
  <c r="T6" i="86"/>
  <c r="R6" i="86"/>
  <c r="N6" i="86"/>
  <c r="N7" i="86" s="1"/>
  <c r="N8" i="86" s="1"/>
  <c r="N9" i="86" s="1"/>
  <c r="N10" i="86" s="1"/>
  <c r="N11" i="86" s="1"/>
  <c r="N12" i="86" s="1"/>
  <c r="N13" i="86" s="1"/>
  <c r="N14" i="86" s="1"/>
  <c r="N15" i="86" s="1"/>
  <c r="N16" i="86" s="1"/>
  <c r="N17" i="86" s="1"/>
  <c r="N18" i="86" s="1"/>
  <c r="N19" i="86" s="1"/>
  <c r="N20" i="86" s="1"/>
  <c r="N21" i="86" s="1"/>
  <c r="N22" i="86" s="1"/>
  <c r="N23" i="86" s="1"/>
  <c r="N24" i="86" s="1"/>
  <c r="N25" i="86" s="1"/>
  <c r="N26" i="86" s="1"/>
  <c r="N27" i="86" s="1"/>
  <c r="V5" i="86"/>
  <c r="T5" i="86"/>
  <c r="R5" i="86"/>
  <c r="V4" i="86"/>
  <c r="T4" i="86"/>
  <c r="R4" i="86"/>
  <c r="N4" i="86"/>
  <c r="N5" i="86" s="1"/>
  <c r="V3" i="86"/>
  <c r="T3" i="86"/>
  <c r="R3" i="86"/>
  <c r="N3" i="86"/>
  <c r="A3" i="86"/>
  <c r="A4" i="86" s="1"/>
  <c r="A5" i="86" s="1"/>
  <c r="A6" i="86" s="1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W2" i="86"/>
  <c r="S505" i="85"/>
  <c r="M505" i="85"/>
  <c r="N505" i="85" s="1"/>
  <c r="K505" i="85"/>
  <c r="J505" i="85"/>
  <c r="I505" i="85"/>
  <c r="H505" i="85"/>
  <c r="G505" i="85"/>
  <c r="D505" i="85"/>
  <c r="A505" i="85"/>
  <c r="M504" i="85"/>
  <c r="N504" i="85" s="1"/>
  <c r="K504" i="85"/>
  <c r="S504" i="85" s="1"/>
  <c r="I504" i="85"/>
  <c r="H504" i="85"/>
  <c r="J504" i="85" s="1"/>
  <c r="D504" i="85"/>
  <c r="A504" i="85"/>
  <c r="S503" i="85"/>
  <c r="M503" i="85"/>
  <c r="N503" i="85" s="1"/>
  <c r="K503" i="85"/>
  <c r="J503" i="85"/>
  <c r="I503" i="85"/>
  <c r="H503" i="85"/>
  <c r="G503" i="85"/>
  <c r="D503" i="85"/>
  <c r="A503" i="85"/>
  <c r="M502" i="85"/>
  <c r="N502" i="85" s="1"/>
  <c r="K502" i="85"/>
  <c r="S502" i="85" s="1"/>
  <c r="I502" i="85"/>
  <c r="H502" i="85"/>
  <c r="J502" i="85" s="1"/>
  <c r="G502" i="85"/>
  <c r="D502" i="85"/>
  <c r="A502" i="85"/>
  <c r="S501" i="85"/>
  <c r="M501" i="85"/>
  <c r="N501" i="85" s="1"/>
  <c r="K501" i="85"/>
  <c r="J501" i="85"/>
  <c r="I501" i="85"/>
  <c r="H501" i="85"/>
  <c r="G501" i="85"/>
  <c r="D501" i="85"/>
  <c r="A501" i="85"/>
  <c r="M500" i="85"/>
  <c r="N500" i="85" s="1"/>
  <c r="K500" i="85"/>
  <c r="S500" i="85" s="1"/>
  <c r="I500" i="85"/>
  <c r="H500" i="85"/>
  <c r="J500" i="85" s="1"/>
  <c r="D500" i="85"/>
  <c r="A500" i="85"/>
  <c r="S499" i="85"/>
  <c r="M499" i="85"/>
  <c r="N499" i="85" s="1"/>
  <c r="K499" i="85"/>
  <c r="J499" i="85"/>
  <c r="I499" i="85"/>
  <c r="H499" i="85"/>
  <c r="G499" i="85"/>
  <c r="D499" i="85"/>
  <c r="A499" i="85"/>
  <c r="M498" i="85"/>
  <c r="N498" i="85" s="1"/>
  <c r="K498" i="85"/>
  <c r="S498" i="85" s="1"/>
  <c r="I498" i="85"/>
  <c r="H498" i="85"/>
  <c r="J498" i="85" s="1"/>
  <c r="G498" i="85"/>
  <c r="D498" i="85"/>
  <c r="A498" i="85"/>
  <c r="S497" i="85"/>
  <c r="M497" i="85"/>
  <c r="N497" i="85" s="1"/>
  <c r="K497" i="85"/>
  <c r="J497" i="85"/>
  <c r="I497" i="85"/>
  <c r="H497" i="85"/>
  <c r="G497" i="85"/>
  <c r="D497" i="85"/>
  <c r="A497" i="85"/>
  <c r="M496" i="85"/>
  <c r="N496" i="85" s="1"/>
  <c r="K496" i="85"/>
  <c r="S496" i="85" s="1"/>
  <c r="I496" i="85"/>
  <c r="H496" i="85"/>
  <c r="J496" i="85" s="1"/>
  <c r="D496" i="85"/>
  <c r="A496" i="85"/>
  <c r="S495" i="85"/>
  <c r="M495" i="85"/>
  <c r="N495" i="85" s="1"/>
  <c r="K495" i="85"/>
  <c r="J495" i="85"/>
  <c r="I495" i="85"/>
  <c r="H495" i="85"/>
  <c r="G495" i="85"/>
  <c r="D495" i="85"/>
  <c r="A495" i="85"/>
  <c r="M494" i="85"/>
  <c r="N494" i="85" s="1"/>
  <c r="K494" i="85"/>
  <c r="S494" i="85" s="1"/>
  <c r="I494" i="85"/>
  <c r="H494" i="85"/>
  <c r="J494" i="85" s="1"/>
  <c r="G494" i="85"/>
  <c r="D494" i="85"/>
  <c r="A494" i="85"/>
  <c r="S493" i="85"/>
  <c r="N493" i="85"/>
  <c r="J493" i="85"/>
  <c r="I493" i="85"/>
  <c r="G493" i="85"/>
  <c r="S492" i="85"/>
  <c r="N492" i="85"/>
  <c r="J492" i="85"/>
  <c r="I492" i="85"/>
  <c r="G492" i="85"/>
  <c r="G504" i="85" s="1"/>
  <c r="S491" i="85"/>
  <c r="N491" i="85"/>
  <c r="J491" i="85"/>
  <c r="I491" i="85"/>
  <c r="G491" i="85"/>
  <c r="S490" i="85"/>
  <c r="N490" i="85"/>
  <c r="J490" i="85"/>
  <c r="I490" i="85"/>
  <c r="G490" i="85"/>
  <c r="S489" i="85"/>
  <c r="N489" i="85"/>
  <c r="J489" i="85"/>
  <c r="I489" i="85"/>
  <c r="G489" i="85"/>
  <c r="S488" i="85"/>
  <c r="N488" i="85"/>
  <c r="J488" i="85"/>
  <c r="I488" i="85"/>
  <c r="G488" i="85"/>
  <c r="G500" i="85" s="1"/>
  <c r="S487" i="85"/>
  <c r="N487" i="85"/>
  <c r="J487" i="85"/>
  <c r="I487" i="85"/>
  <c r="G487" i="85"/>
  <c r="S486" i="85"/>
  <c r="N486" i="85"/>
  <c r="J486" i="85"/>
  <c r="I486" i="85"/>
  <c r="G486" i="85"/>
  <c r="S485" i="85"/>
  <c r="N485" i="85"/>
  <c r="J485" i="85"/>
  <c r="I485" i="85"/>
  <c r="G485" i="85"/>
  <c r="S484" i="85"/>
  <c r="N484" i="85"/>
  <c r="J484" i="85"/>
  <c r="I484" i="85"/>
  <c r="G484" i="85"/>
  <c r="G496" i="85" s="1"/>
  <c r="S483" i="85"/>
  <c r="N483" i="85"/>
  <c r="J483" i="85"/>
  <c r="I483" i="85"/>
  <c r="G483" i="85"/>
  <c r="S482" i="85"/>
  <c r="N482" i="85"/>
  <c r="J482" i="85"/>
  <c r="I482" i="85"/>
  <c r="G482" i="85"/>
  <c r="S481" i="85"/>
  <c r="N481" i="85"/>
  <c r="J481" i="85"/>
  <c r="I481" i="85"/>
  <c r="S480" i="85"/>
  <c r="N480" i="85"/>
  <c r="J480" i="85"/>
  <c r="I480" i="85"/>
  <c r="S479" i="85"/>
  <c r="N479" i="85"/>
  <c r="J479" i="85"/>
  <c r="I479" i="85"/>
  <c r="S478" i="85"/>
  <c r="N478" i="85"/>
  <c r="J478" i="85"/>
  <c r="I478" i="85"/>
  <c r="S477" i="85"/>
  <c r="N477" i="85"/>
  <c r="J477" i="85"/>
  <c r="I477" i="85"/>
  <c r="S476" i="85"/>
  <c r="N476" i="85"/>
  <c r="J476" i="85"/>
  <c r="I476" i="85"/>
  <c r="S475" i="85"/>
  <c r="N475" i="85"/>
  <c r="J475" i="85"/>
  <c r="I475" i="85"/>
  <c r="S474" i="85"/>
  <c r="N474" i="85"/>
  <c r="J474" i="85"/>
  <c r="I474" i="85"/>
  <c r="S473" i="85"/>
  <c r="N473" i="85"/>
  <c r="J473" i="85"/>
  <c r="I473" i="85"/>
  <c r="S472" i="85"/>
  <c r="N472" i="85"/>
  <c r="J472" i="85"/>
  <c r="I472" i="85"/>
  <c r="S471" i="85"/>
  <c r="N471" i="85"/>
  <c r="J471" i="85"/>
  <c r="I471" i="85"/>
  <c r="S470" i="85"/>
  <c r="N470" i="85"/>
  <c r="J470" i="85"/>
  <c r="I470" i="85"/>
  <c r="S469" i="85"/>
  <c r="N469" i="85"/>
  <c r="J469" i="85"/>
  <c r="I469" i="85"/>
  <c r="S468" i="85"/>
  <c r="N468" i="85"/>
  <c r="J468" i="85"/>
  <c r="I468" i="85"/>
  <c r="S467" i="85"/>
  <c r="N467" i="85"/>
  <c r="J467" i="85"/>
  <c r="I467" i="85"/>
  <c r="S466" i="85"/>
  <c r="N466" i="85"/>
  <c r="J466" i="85"/>
  <c r="I466" i="85"/>
  <c r="S465" i="85"/>
  <c r="N465" i="85"/>
  <c r="J465" i="85"/>
  <c r="I465" i="85"/>
  <c r="S464" i="85"/>
  <c r="N464" i="85"/>
  <c r="J464" i="85"/>
  <c r="I464" i="85"/>
  <c r="S463" i="85"/>
  <c r="N463" i="85"/>
  <c r="J463" i="85"/>
  <c r="I463" i="85"/>
  <c r="S462" i="85"/>
  <c r="N462" i="85"/>
  <c r="J462" i="85"/>
  <c r="I462" i="85"/>
  <c r="S461" i="85"/>
  <c r="N461" i="85"/>
  <c r="J461" i="85"/>
  <c r="I461" i="85"/>
  <c r="S460" i="85"/>
  <c r="N460" i="85"/>
  <c r="J460" i="85"/>
  <c r="I460" i="85"/>
  <c r="S459" i="85"/>
  <c r="N459" i="85"/>
  <c r="J459" i="85"/>
  <c r="I459" i="85"/>
  <c r="S458" i="85"/>
  <c r="N458" i="85"/>
  <c r="J458" i="85"/>
  <c r="I458" i="85"/>
  <c r="S457" i="85"/>
  <c r="N457" i="85"/>
  <c r="J457" i="85"/>
  <c r="I457" i="85"/>
  <c r="S456" i="85"/>
  <c r="N456" i="85"/>
  <c r="J456" i="85"/>
  <c r="I456" i="85"/>
  <c r="S455" i="85"/>
  <c r="N455" i="85"/>
  <c r="J455" i="85"/>
  <c r="I455" i="85"/>
  <c r="S454" i="85"/>
  <c r="N454" i="85"/>
  <c r="J454" i="85"/>
  <c r="I454" i="85"/>
  <c r="S453" i="85"/>
  <c r="N453" i="85"/>
  <c r="J453" i="85"/>
  <c r="I453" i="85"/>
  <c r="S452" i="85"/>
  <c r="N452" i="85"/>
  <c r="J452" i="85"/>
  <c r="I452" i="85"/>
  <c r="S451" i="85"/>
  <c r="N451" i="85"/>
  <c r="J451" i="85"/>
  <c r="I451" i="85"/>
  <c r="S450" i="85"/>
  <c r="N450" i="85"/>
  <c r="J450" i="85"/>
  <c r="I450" i="85"/>
  <c r="S449" i="85"/>
  <c r="N449" i="85"/>
  <c r="J449" i="85"/>
  <c r="I449" i="85"/>
  <c r="S448" i="85"/>
  <c r="N448" i="85"/>
  <c r="J448" i="85"/>
  <c r="I448" i="85"/>
  <c r="S447" i="85"/>
  <c r="N447" i="85"/>
  <c r="J447" i="85"/>
  <c r="I447" i="85"/>
  <c r="S446" i="85"/>
  <c r="N446" i="85"/>
  <c r="J446" i="85"/>
  <c r="I446" i="85"/>
  <c r="S445" i="85"/>
  <c r="N445" i="85"/>
  <c r="J445" i="85"/>
  <c r="I445" i="85"/>
  <c r="S444" i="85"/>
  <c r="N444" i="85"/>
  <c r="J444" i="85"/>
  <c r="I444" i="85"/>
  <c r="S443" i="85"/>
  <c r="N443" i="85"/>
  <c r="J443" i="85"/>
  <c r="I443" i="85"/>
  <c r="S442" i="85"/>
  <c r="N442" i="85"/>
  <c r="J442" i="85"/>
  <c r="I442" i="85"/>
  <c r="S441" i="85"/>
  <c r="N441" i="85"/>
  <c r="J441" i="85"/>
  <c r="I441" i="85"/>
  <c r="S440" i="85"/>
  <c r="N440" i="85"/>
  <c r="J440" i="85"/>
  <c r="I440" i="85"/>
  <c r="S439" i="85"/>
  <c r="N439" i="85"/>
  <c r="J439" i="85"/>
  <c r="I439" i="85"/>
  <c r="S438" i="85"/>
  <c r="N438" i="85"/>
  <c r="J438" i="85"/>
  <c r="I438" i="85"/>
  <c r="S437" i="85"/>
  <c r="N437" i="85"/>
  <c r="J437" i="85"/>
  <c r="I437" i="85"/>
  <c r="S436" i="85"/>
  <c r="N436" i="85"/>
  <c r="J436" i="85"/>
  <c r="I436" i="85"/>
  <c r="S435" i="85"/>
  <c r="N435" i="85"/>
  <c r="J435" i="85"/>
  <c r="I435" i="85"/>
  <c r="S434" i="85"/>
  <c r="N434" i="85"/>
  <c r="J434" i="85"/>
  <c r="I434" i="85"/>
  <c r="S433" i="85"/>
  <c r="N433" i="85"/>
  <c r="J433" i="85"/>
  <c r="I433" i="85"/>
  <c r="S432" i="85"/>
  <c r="N432" i="85"/>
  <c r="J432" i="85"/>
  <c r="I432" i="85"/>
  <c r="S431" i="85"/>
  <c r="N431" i="85"/>
  <c r="J431" i="85"/>
  <c r="I431" i="85"/>
  <c r="S430" i="85"/>
  <c r="N430" i="85"/>
  <c r="J430" i="85"/>
  <c r="I430" i="85"/>
  <c r="S429" i="85"/>
  <c r="N429" i="85"/>
  <c r="J429" i="85"/>
  <c r="I429" i="85"/>
  <c r="S428" i="85"/>
  <c r="N428" i="85"/>
  <c r="J428" i="85"/>
  <c r="I428" i="85"/>
  <c r="S427" i="85"/>
  <c r="N427" i="85"/>
  <c r="J427" i="85"/>
  <c r="I427" i="85"/>
  <c r="S426" i="85"/>
  <c r="N426" i="85"/>
  <c r="J426" i="85"/>
  <c r="I426" i="85"/>
  <c r="S425" i="85"/>
  <c r="N425" i="85"/>
  <c r="J425" i="85"/>
  <c r="I425" i="85"/>
  <c r="S424" i="85"/>
  <c r="N424" i="85"/>
  <c r="J424" i="85"/>
  <c r="I424" i="85"/>
  <c r="S423" i="85"/>
  <c r="N423" i="85"/>
  <c r="J423" i="85"/>
  <c r="I423" i="85"/>
  <c r="S422" i="85"/>
  <c r="N422" i="85"/>
  <c r="J422" i="85"/>
  <c r="I422" i="85"/>
  <c r="S421" i="85"/>
  <c r="N421" i="85"/>
  <c r="J421" i="85"/>
  <c r="I421" i="85"/>
  <c r="S420" i="85"/>
  <c r="N420" i="85"/>
  <c r="J420" i="85"/>
  <c r="I420" i="85"/>
  <c r="S419" i="85"/>
  <c r="N419" i="85"/>
  <c r="J419" i="85"/>
  <c r="I419" i="85"/>
  <c r="S418" i="85"/>
  <c r="N418" i="85"/>
  <c r="J418" i="85"/>
  <c r="I418" i="85"/>
  <c r="S417" i="85"/>
  <c r="N417" i="85"/>
  <c r="J417" i="85"/>
  <c r="I417" i="85"/>
  <c r="S416" i="85"/>
  <c r="N416" i="85"/>
  <c r="J416" i="85"/>
  <c r="I416" i="85"/>
  <c r="S415" i="85"/>
  <c r="N415" i="85"/>
  <c r="J415" i="85"/>
  <c r="I415" i="85"/>
  <c r="S414" i="85"/>
  <c r="N414" i="85"/>
  <c r="J414" i="85"/>
  <c r="I414" i="85"/>
  <c r="S413" i="85"/>
  <c r="N413" i="85"/>
  <c r="J413" i="85"/>
  <c r="I413" i="85"/>
  <c r="S412" i="85"/>
  <c r="N412" i="85"/>
  <c r="J412" i="85"/>
  <c r="I412" i="85"/>
  <c r="S411" i="85"/>
  <c r="N411" i="85"/>
  <c r="J411" i="85"/>
  <c r="I411" i="85"/>
  <c r="S410" i="85"/>
  <c r="N410" i="85"/>
  <c r="J410" i="85"/>
  <c r="I410" i="85"/>
  <c r="S409" i="85"/>
  <c r="N409" i="85"/>
  <c r="J409" i="85"/>
  <c r="I409" i="85"/>
  <c r="S408" i="85"/>
  <c r="N408" i="85"/>
  <c r="J408" i="85"/>
  <c r="I408" i="85"/>
  <c r="S407" i="85"/>
  <c r="N407" i="85"/>
  <c r="J407" i="85"/>
  <c r="I407" i="85"/>
  <c r="S406" i="85"/>
  <c r="N406" i="85"/>
  <c r="J406" i="85"/>
  <c r="I406" i="85"/>
  <c r="S405" i="85"/>
  <c r="N405" i="85"/>
  <c r="J405" i="85"/>
  <c r="I405" i="85"/>
  <c r="S404" i="85"/>
  <c r="N404" i="85"/>
  <c r="J404" i="85"/>
  <c r="I404" i="85"/>
  <c r="S403" i="85"/>
  <c r="N403" i="85"/>
  <c r="J403" i="85"/>
  <c r="I403" i="85"/>
  <c r="S402" i="85"/>
  <c r="N402" i="85"/>
  <c r="J402" i="85"/>
  <c r="I402" i="85"/>
  <c r="S401" i="85"/>
  <c r="N401" i="85"/>
  <c r="J401" i="85"/>
  <c r="I401" i="85"/>
  <c r="S400" i="85"/>
  <c r="N400" i="85"/>
  <c r="J400" i="85"/>
  <c r="I400" i="85"/>
  <c r="S399" i="85"/>
  <c r="N399" i="85"/>
  <c r="J399" i="85"/>
  <c r="I399" i="85"/>
  <c r="S398" i="85"/>
  <c r="N398" i="85"/>
  <c r="J398" i="85"/>
  <c r="I398" i="85"/>
  <c r="S397" i="85"/>
  <c r="N397" i="85"/>
  <c r="J397" i="85"/>
  <c r="I397" i="85"/>
  <c r="S396" i="85"/>
  <c r="N396" i="85"/>
  <c r="J396" i="85"/>
  <c r="I396" i="85"/>
  <c r="S395" i="85"/>
  <c r="N395" i="85"/>
  <c r="J395" i="85"/>
  <c r="I395" i="85"/>
  <c r="S394" i="85"/>
  <c r="N394" i="85"/>
  <c r="J394" i="85"/>
  <c r="I394" i="85"/>
  <c r="S393" i="85"/>
  <c r="N393" i="85"/>
  <c r="J393" i="85"/>
  <c r="I393" i="85"/>
  <c r="S392" i="85"/>
  <c r="N392" i="85"/>
  <c r="J392" i="85"/>
  <c r="I392" i="85"/>
  <c r="S391" i="85"/>
  <c r="N391" i="85"/>
  <c r="J391" i="85"/>
  <c r="I391" i="85"/>
  <c r="S390" i="85"/>
  <c r="N390" i="85"/>
  <c r="J390" i="85"/>
  <c r="I390" i="85"/>
  <c r="S389" i="85"/>
  <c r="N389" i="85"/>
  <c r="J389" i="85"/>
  <c r="I389" i="85"/>
  <c r="S388" i="85"/>
  <c r="N388" i="85"/>
  <c r="J388" i="85"/>
  <c r="I388" i="85"/>
  <c r="S387" i="85"/>
  <c r="N387" i="85"/>
  <c r="J387" i="85"/>
  <c r="I387" i="85"/>
  <c r="S386" i="85"/>
  <c r="N386" i="85"/>
  <c r="J386" i="85"/>
  <c r="I386" i="85"/>
  <c r="S385" i="85"/>
  <c r="N385" i="85"/>
  <c r="J385" i="85"/>
  <c r="I385" i="85"/>
  <c r="S384" i="85"/>
  <c r="N384" i="85"/>
  <c r="J384" i="85"/>
  <c r="I384" i="85"/>
  <c r="S383" i="85"/>
  <c r="N383" i="85"/>
  <c r="J383" i="85"/>
  <c r="I383" i="85"/>
  <c r="S382" i="85"/>
  <c r="N382" i="85"/>
  <c r="J382" i="85"/>
  <c r="I382" i="85"/>
  <c r="S381" i="85"/>
  <c r="N381" i="85"/>
  <c r="J381" i="85"/>
  <c r="I381" i="85"/>
  <c r="S380" i="85"/>
  <c r="N380" i="85"/>
  <c r="J380" i="85"/>
  <c r="I380" i="85"/>
  <c r="S379" i="85"/>
  <c r="N379" i="85"/>
  <c r="J379" i="85"/>
  <c r="I379" i="85"/>
  <c r="S378" i="85"/>
  <c r="N378" i="85"/>
  <c r="J378" i="85"/>
  <c r="I378" i="85"/>
  <c r="S377" i="85"/>
  <c r="N377" i="85"/>
  <c r="J377" i="85"/>
  <c r="I377" i="85"/>
  <c r="S376" i="85"/>
  <c r="N376" i="85"/>
  <c r="J376" i="85"/>
  <c r="I376" i="85"/>
  <c r="S375" i="85"/>
  <c r="N375" i="85"/>
  <c r="J375" i="85"/>
  <c r="I375" i="85"/>
  <c r="S374" i="85"/>
  <c r="N374" i="85"/>
  <c r="J374" i="85"/>
  <c r="I374" i="85"/>
  <c r="S373" i="85"/>
  <c r="N373" i="85"/>
  <c r="J373" i="85"/>
  <c r="I373" i="85"/>
  <c r="S372" i="85"/>
  <c r="N372" i="85"/>
  <c r="J372" i="85"/>
  <c r="I372" i="85"/>
  <c r="S371" i="85"/>
  <c r="N371" i="85"/>
  <c r="J371" i="85"/>
  <c r="I371" i="85"/>
  <c r="S370" i="85"/>
  <c r="N370" i="85"/>
  <c r="J370" i="85"/>
  <c r="I370" i="85"/>
  <c r="S369" i="85"/>
  <c r="N369" i="85"/>
  <c r="J369" i="85"/>
  <c r="I369" i="85"/>
  <c r="S368" i="85"/>
  <c r="N368" i="85"/>
  <c r="J368" i="85"/>
  <c r="I368" i="85"/>
  <c r="S367" i="85"/>
  <c r="N367" i="85"/>
  <c r="J367" i="85"/>
  <c r="I367" i="85"/>
  <c r="S366" i="85"/>
  <c r="N366" i="85"/>
  <c r="J366" i="85"/>
  <c r="I366" i="85"/>
  <c r="S365" i="85"/>
  <c r="N365" i="85"/>
  <c r="J365" i="85"/>
  <c r="I365" i="85"/>
  <c r="S364" i="85"/>
  <c r="N364" i="85"/>
  <c r="J364" i="85"/>
  <c r="I364" i="85"/>
  <c r="S363" i="85"/>
  <c r="N363" i="85"/>
  <c r="J363" i="85"/>
  <c r="I363" i="85"/>
  <c r="S362" i="85"/>
  <c r="N362" i="85"/>
  <c r="J362" i="85"/>
  <c r="I362" i="85"/>
  <c r="S361" i="85"/>
  <c r="N361" i="85"/>
  <c r="J361" i="85"/>
  <c r="I361" i="85"/>
  <c r="S360" i="85"/>
  <c r="N360" i="85"/>
  <c r="J360" i="85"/>
  <c r="I360" i="85"/>
  <c r="S359" i="85"/>
  <c r="N359" i="85"/>
  <c r="J359" i="85"/>
  <c r="I359" i="85"/>
  <c r="S358" i="85"/>
  <c r="N358" i="85"/>
  <c r="J358" i="85"/>
  <c r="I358" i="85"/>
  <c r="S357" i="85"/>
  <c r="N357" i="85"/>
  <c r="J357" i="85"/>
  <c r="I357" i="85"/>
  <c r="S356" i="85"/>
  <c r="N356" i="85"/>
  <c r="J356" i="85"/>
  <c r="I356" i="85"/>
  <c r="S355" i="85"/>
  <c r="N355" i="85"/>
  <c r="J355" i="85"/>
  <c r="I355" i="85"/>
  <c r="S354" i="85"/>
  <c r="N354" i="85"/>
  <c r="J354" i="85"/>
  <c r="I354" i="85"/>
  <c r="S353" i="85"/>
  <c r="N353" i="85"/>
  <c r="J353" i="85"/>
  <c r="I353" i="85"/>
  <c r="S352" i="85"/>
  <c r="N352" i="85"/>
  <c r="J352" i="85"/>
  <c r="I352" i="85"/>
  <c r="S351" i="85"/>
  <c r="N351" i="85"/>
  <c r="J351" i="85"/>
  <c r="I351" i="85"/>
  <c r="S350" i="85"/>
  <c r="N350" i="85"/>
  <c r="J350" i="85"/>
  <c r="I350" i="85"/>
  <c r="S349" i="85"/>
  <c r="N349" i="85"/>
  <c r="J349" i="85"/>
  <c r="I349" i="85"/>
  <c r="S348" i="85"/>
  <c r="N348" i="85"/>
  <c r="J348" i="85"/>
  <c r="I348" i="85"/>
  <c r="S347" i="85"/>
  <c r="N347" i="85"/>
  <c r="J347" i="85"/>
  <c r="I347" i="85"/>
  <c r="S346" i="85"/>
  <c r="N346" i="85"/>
  <c r="J346" i="85"/>
  <c r="I346" i="85"/>
  <c r="S345" i="85"/>
  <c r="N345" i="85"/>
  <c r="J345" i="85"/>
  <c r="I345" i="85"/>
  <c r="S344" i="85"/>
  <c r="N344" i="85"/>
  <c r="J344" i="85"/>
  <c r="I344" i="85"/>
  <c r="S343" i="85"/>
  <c r="N343" i="85"/>
  <c r="J343" i="85"/>
  <c r="I343" i="85"/>
  <c r="S342" i="85"/>
  <c r="N342" i="85"/>
  <c r="J342" i="85"/>
  <c r="I342" i="85"/>
  <c r="S341" i="85"/>
  <c r="N341" i="85"/>
  <c r="J341" i="85"/>
  <c r="I341" i="85"/>
  <c r="S340" i="85"/>
  <c r="N340" i="85"/>
  <c r="J340" i="85"/>
  <c r="I340" i="85"/>
  <c r="S339" i="85"/>
  <c r="N339" i="85"/>
  <c r="J339" i="85"/>
  <c r="I339" i="85"/>
  <c r="S338" i="85"/>
  <c r="N338" i="85"/>
  <c r="J338" i="85"/>
  <c r="I338" i="85"/>
  <c r="S337" i="85"/>
  <c r="N337" i="85"/>
  <c r="J337" i="85"/>
  <c r="I337" i="85"/>
  <c r="S336" i="85"/>
  <c r="N336" i="85"/>
  <c r="J336" i="85"/>
  <c r="I336" i="85"/>
  <c r="S335" i="85"/>
  <c r="N335" i="85"/>
  <c r="J335" i="85"/>
  <c r="I335" i="85"/>
  <c r="S334" i="85"/>
  <c r="N334" i="85"/>
  <c r="J334" i="85"/>
  <c r="I334" i="85"/>
  <c r="S333" i="85"/>
  <c r="N333" i="85"/>
  <c r="J333" i="85"/>
  <c r="I333" i="85"/>
  <c r="S332" i="85"/>
  <c r="N332" i="85"/>
  <c r="J332" i="85"/>
  <c r="I332" i="85"/>
  <c r="S331" i="85"/>
  <c r="N331" i="85"/>
  <c r="J331" i="85"/>
  <c r="I331" i="85"/>
  <c r="S330" i="85"/>
  <c r="N330" i="85"/>
  <c r="J330" i="85"/>
  <c r="I330" i="85"/>
  <c r="S329" i="85"/>
  <c r="N329" i="85"/>
  <c r="J329" i="85"/>
  <c r="I329" i="85"/>
  <c r="S328" i="85"/>
  <c r="N328" i="85"/>
  <c r="J328" i="85"/>
  <c r="I328" i="85"/>
  <c r="S327" i="85"/>
  <c r="N327" i="85"/>
  <c r="J327" i="85"/>
  <c r="I327" i="85"/>
  <c r="S326" i="85"/>
  <c r="N326" i="85"/>
  <c r="J326" i="85"/>
  <c r="I326" i="85"/>
  <c r="S325" i="85"/>
  <c r="N325" i="85"/>
  <c r="J325" i="85"/>
  <c r="I325" i="85"/>
  <c r="S324" i="85"/>
  <c r="N324" i="85"/>
  <c r="J324" i="85"/>
  <c r="I324" i="85"/>
  <c r="S323" i="85"/>
  <c r="N323" i="85"/>
  <c r="J323" i="85"/>
  <c r="I323" i="85"/>
  <c r="S322" i="85"/>
  <c r="N322" i="85"/>
  <c r="J322" i="85"/>
  <c r="I322" i="85"/>
  <c r="S321" i="85"/>
  <c r="N321" i="85"/>
  <c r="J321" i="85"/>
  <c r="I321" i="85"/>
  <c r="S320" i="85"/>
  <c r="N320" i="85"/>
  <c r="J320" i="85"/>
  <c r="I320" i="85"/>
  <c r="S319" i="85"/>
  <c r="N319" i="85"/>
  <c r="J319" i="85"/>
  <c r="I319" i="85"/>
  <c r="S318" i="85"/>
  <c r="N318" i="85"/>
  <c r="J318" i="85"/>
  <c r="I318" i="85"/>
  <c r="S317" i="85"/>
  <c r="N317" i="85"/>
  <c r="J317" i="85"/>
  <c r="I317" i="85"/>
  <c r="S316" i="85"/>
  <c r="N316" i="85"/>
  <c r="J316" i="85"/>
  <c r="I316" i="85"/>
  <c r="S315" i="85"/>
  <c r="N315" i="85"/>
  <c r="J315" i="85"/>
  <c r="I315" i="85"/>
  <c r="S314" i="85"/>
  <c r="N314" i="85"/>
  <c r="J314" i="85"/>
  <c r="I314" i="85"/>
  <c r="S313" i="85"/>
  <c r="N313" i="85"/>
  <c r="J313" i="85"/>
  <c r="I313" i="85"/>
  <c r="S312" i="85"/>
  <c r="N312" i="85"/>
  <c r="J312" i="85"/>
  <c r="I312" i="85"/>
  <c r="S311" i="85"/>
  <c r="N311" i="85"/>
  <c r="J311" i="85"/>
  <c r="I311" i="85"/>
  <c r="S310" i="85"/>
  <c r="N310" i="85"/>
  <c r="J310" i="85"/>
  <c r="I310" i="85"/>
  <c r="S309" i="85"/>
  <c r="N309" i="85"/>
  <c r="J309" i="85"/>
  <c r="I309" i="85"/>
  <c r="S308" i="85"/>
  <c r="N308" i="85"/>
  <c r="J308" i="85"/>
  <c r="I308" i="85"/>
  <c r="S307" i="85"/>
  <c r="N307" i="85"/>
  <c r="J307" i="85"/>
  <c r="I307" i="85"/>
  <c r="S306" i="85"/>
  <c r="N306" i="85"/>
  <c r="J306" i="85"/>
  <c r="I306" i="85"/>
  <c r="S305" i="85"/>
  <c r="N305" i="85"/>
  <c r="J305" i="85"/>
  <c r="I305" i="85"/>
  <c r="S304" i="85"/>
  <c r="N304" i="85"/>
  <c r="J304" i="85"/>
  <c r="I304" i="85"/>
  <c r="S303" i="85"/>
  <c r="N303" i="85"/>
  <c r="J303" i="85"/>
  <c r="I303" i="85"/>
  <c r="S302" i="85"/>
  <c r="N302" i="85"/>
  <c r="J302" i="85"/>
  <c r="I302" i="85"/>
  <c r="S301" i="85"/>
  <c r="N301" i="85"/>
  <c r="J301" i="85"/>
  <c r="I301" i="85"/>
  <c r="S300" i="85"/>
  <c r="N300" i="85"/>
  <c r="J300" i="85"/>
  <c r="I300" i="85"/>
  <c r="S299" i="85"/>
  <c r="N299" i="85"/>
  <c r="J299" i="85"/>
  <c r="I299" i="85"/>
  <c r="S298" i="85"/>
  <c r="N298" i="85"/>
  <c r="J298" i="85"/>
  <c r="I298" i="85"/>
  <c r="S297" i="85"/>
  <c r="N297" i="85"/>
  <c r="J297" i="85"/>
  <c r="I297" i="85"/>
  <c r="S296" i="85"/>
  <c r="N296" i="85"/>
  <c r="J296" i="85"/>
  <c r="I296" i="85"/>
  <c r="S295" i="85"/>
  <c r="N295" i="85"/>
  <c r="J295" i="85"/>
  <c r="I295" i="85"/>
  <c r="S294" i="85"/>
  <c r="N294" i="85"/>
  <c r="J294" i="85"/>
  <c r="I294" i="85"/>
  <c r="S293" i="85"/>
  <c r="N293" i="85"/>
  <c r="J293" i="85"/>
  <c r="I293" i="85"/>
  <c r="S292" i="85"/>
  <c r="N292" i="85"/>
  <c r="J292" i="85"/>
  <c r="I292" i="85"/>
  <c r="S291" i="85"/>
  <c r="N291" i="85"/>
  <c r="J291" i="85"/>
  <c r="I291" i="85"/>
  <c r="S290" i="85"/>
  <c r="N290" i="85"/>
  <c r="J290" i="85"/>
  <c r="I290" i="85"/>
  <c r="S289" i="85"/>
  <c r="N289" i="85"/>
  <c r="J289" i="85"/>
  <c r="I289" i="85"/>
  <c r="S288" i="85"/>
  <c r="N288" i="85"/>
  <c r="J288" i="85"/>
  <c r="I288" i="85"/>
  <c r="S287" i="85"/>
  <c r="N287" i="85"/>
  <c r="J287" i="85"/>
  <c r="I287" i="85"/>
  <c r="S286" i="85"/>
  <c r="N286" i="85"/>
  <c r="J286" i="85"/>
  <c r="I286" i="85"/>
  <c r="S285" i="85"/>
  <c r="N285" i="85"/>
  <c r="J285" i="85"/>
  <c r="I285" i="85"/>
  <c r="S284" i="85"/>
  <c r="N284" i="85"/>
  <c r="J284" i="85"/>
  <c r="I284" i="85"/>
  <c r="S283" i="85"/>
  <c r="N283" i="85"/>
  <c r="J283" i="85"/>
  <c r="I283" i="85"/>
  <c r="S282" i="85"/>
  <c r="N282" i="85"/>
  <c r="J282" i="85"/>
  <c r="I282" i="85"/>
  <c r="S281" i="85"/>
  <c r="N281" i="85"/>
  <c r="J281" i="85"/>
  <c r="I281" i="85"/>
  <c r="S280" i="85"/>
  <c r="N280" i="85"/>
  <c r="J280" i="85"/>
  <c r="I280" i="85"/>
  <c r="S279" i="85"/>
  <c r="N279" i="85"/>
  <c r="J279" i="85"/>
  <c r="I279" i="85"/>
  <c r="S278" i="85"/>
  <c r="N278" i="85"/>
  <c r="J278" i="85"/>
  <c r="I278" i="85"/>
  <c r="S277" i="85"/>
  <c r="N277" i="85"/>
  <c r="J277" i="85"/>
  <c r="I277" i="85"/>
  <c r="S276" i="85"/>
  <c r="N276" i="85"/>
  <c r="J276" i="85"/>
  <c r="I276" i="85"/>
  <c r="S275" i="85"/>
  <c r="N275" i="85"/>
  <c r="J275" i="85"/>
  <c r="I275" i="85"/>
  <c r="S274" i="85"/>
  <c r="N274" i="85"/>
  <c r="J274" i="85"/>
  <c r="I274" i="85"/>
  <c r="S273" i="85"/>
  <c r="N273" i="85"/>
  <c r="J273" i="85"/>
  <c r="I273" i="85"/>
  <c r="S272" i="85"/>
  <c r="N272" i="85"/>
  <c r="J272" i="85"/>
  <c r="I272" i="85"/>
  <c r="S271" i="85"/>
  <c r="N271" i="85"/>
  <c r="J271" i="85"/>
  <c r="I271" i="85"/>
  <c r="S270" i="85"/>
  <c r="N270" i="85"/>
  <c r="J270" i="85"/>
  <c r="I270" i="85"/>
  <c r="S269" i="85"/>
  <c r="N269" i="85"/>
  <c r="J269" i="85"/>
  <c r="I269" i="85"/>
  <c r="S268" i="85"/>
  <c r="N268" i="85"/>
  <c r="J268" i="85"/>
  <c r="I268" i="85"/>
  <c r="S267" i="85"/>
  <c r="N267" i="85"/>
  <c r="J267" i="85"/>
  <c r="I267" i="85"/>
  <c r="S266" i="85"/>
  <c r="N266" i="85"/>
  <c r="J266" i="85"/>
  <c r="I266" i="85"/>
  <c r="S265" i="85"/>
  <c r="N265" i="85"/>
  <c r="J265" i="85"/>
  <c r="I265" i="85"/>
  <c r="S264" i="85"/>
  <c r="N264" i="85"/>
  <c r="J264" i="85"/>
  <c r="I264" i="85"/>
  <c r="S263" i="85"/>
  <c r="N263" i="85"/>
  <c r="J263" i="85"/>
  <c r="I263" i="85"/>
  <c r="S262" i="85"/>
  <c r="N262" i="85"/>
  <c r="J262" i="85"/>
  <c r="I262" i="85"/>
  <c r="S261" i="85"/>
  <c r="N261" i="85"/>
  <c r="J261" i="85"/>
  <c r="I261" i="85"/>
  <c r="S260" i="85"/>
  <c r="N260" i="85"/>
  <c r="J260" i="85"/>
  <c r="I260" i="85"/>
  <c r="S259" i="85"/>
  <c r="N259" i="85"/>
  <c r="J259" i="85"/>
  <c r="I259" i="85"/>
  <c r="S258" i="85"/>
  <c r="N258" i="85"/>
  <c r="J258" i="85"/>
  <c r="I258" i="85"/>
  <c r="S257" i="85"/>
  <c r="N257" i="85"/>
  <c r="J257" i="85"/>
  <c r="I257" i="85"/>
  <c r="S256" i="85"/>
  <c r="N256" i="85"/>
  <c r="J256" i="85"/>
  <c r="I256" i="85"/>
  <c r="S255" i="85"/>
  <c r="N255" i="85"/>
  <c r="J255" i="85"/>
  <c r="I255" i="85"/>
  <c r="S254" i="85"/>
  <c r="N254" i="85"/>
  <c r="J254" i="85"/>
  <c r="I254" i="85"/>
  <c r="S253" i="85"/>
  <c r="N253" i="85"/>
  <c r="J253" i="85"/>
  <c r="I253" i="85"/>
  <c r="S252" i="85"/>
  <c r="N252" i="85"/>
  <c r="J252" i="85"/>
  <c r="I252" i="85"/>
  <c r="S251" i="85"/>
  <c r="N251" i="85"/>
  <c r="J251" i="85"/>
  <c r="I251" i="85"/>
  <c r="S250" i="85"/>
  <c r="N250" i="85"/>
  <c r="J250" i="85"/>
  <c r="I250" i="85"/>
  <c r="S249" i="85"/>
  <c r="N249" i="85"/>
  <c r="J249" i="85"/>
  <c r="I249" i="85"/>
  <c r="S248" i="85"/>
  <c r="N248" i="85"/>
  <c r="J248" i="85"/>
  <c r="I248" i="85"/>
  <c r="S247" i="85"/>
  <c r="N247" i="85"/>
  <c r="J247" i="85"/>
  <c r="I247" i="85"/>
  <c r="S246" i="85"/>
  <c r="N246" i="85"/>
  <c r="J246" i="85"/>
  <c r="I246" i="85"/>
  <c r="S245" i="85"/>
  <c r="N245" i="85"/>
  <c r="J245" i="85"/>
  <c r="I245" i="85"/>
  <c r="S244" i="85"/>
  <c r="N244" i="85"/>
  <c r="J244" i="85"/>
  <c r="I244" i="85"/>
  <c r="S243" i="85"/>
  <c r="N243" i="85"/>
  <c r="J243" i="85"/>
  <c r="I243" i="85"/>
  <c r="S242" i="85"/>
  <c r="N242" i="85"/>
  <c r="J242" i="85"/>
  <c r="I242" i="85"/>
  <c r="S241" i="85"/>
  <c r="N241" i="85"/>
  <c r="J241" i="85"/>
  <c r="I241" i="85"/>
  <c r="S240" i="85"/>
  <c r="N240" i="85"/>
  <c r="J240" i="85"/>
  <c r="I240" i="85"/>
  <c r="S239" i="85"/>
  <c r="N239" i="85"/>
  <c r="J239" i="85"/>
  <c r="I239" i="85"/>
  <c r="S238" i="85"/>
  <c r="N238" i="85"/>
  <c r="J238" i="85"/>
  <c r="I238" i="85"/>
  <c r="S237" i="85"/>
  <c r="N237" i="85"/>
  <c r="J237" i="85"/>
  <c r="I237" i="85"/>
  <c r="S236" i="85"/>
  <c r="N236" i="85"/>
  <c r="J236" i="85"/>
  <c r="I236" i="85"/>
  <c r="S235" i="85"/>
  <c r="N235" i="85"/>
  <c r="J235" i="85"/>
  <c r="I235" i="85"/>
  <c r="S234" i="85"/>
  <c r="N234" i="85"/>
  <c r="J234" i="85"/>
  <c r="I234" i="85"/>
  <c r="S233" i="85"/>
  <c r="N233" i="85"/>
  <c r="J233" i="85"/>
  <c r="I233" i="85"/>
  <c r="S232" i="85"/>
  <c r="N232" i="85"/>
  <c r="J232" i="85"/>
  <c r="I232" i="85"/>
  <c r="S231" i="85"/>
  <c r="N231" i="85"/>
  <c r="J231" i="85"/>
  <c r="I231" i="85"/>
  <c r="S230" i="85"/>
  <c r="N230" i="85"/>
  <c r="J230" i="85"/>
  <c r="I230" i="85"/>
  <c r="S229" i="85"/>
  <c r="N229" i="85"/>
  <c r="J229" i="85"/>
  <c r="I229" i="85"/>
  <c r="S228" i="85"/>
  <c r="N228" i="85"/>
  <c r="J228" i="85"/>
  <c r="I228" i="85"/>
  <c r="S227" i="85"/>
  <c r="N227" i="85"/>
  <c r="J227" i="85"/>
  <c r="I227" i="85"/>
  <c r="S226" i="85"/>
  <c r="N226" i="85"/>
  <c r="J226" i="85"/>
  <c r="I226" i="85"/>
  <c r="S225" i="85"/>
  <c r="N225" i="85"/>
  <c r="J225" i="85"/>
  <c r="I225" i="85"/>
  <c r="S224" i="85"/>
  <c r="N224" i="85"/>
  <c r="J224" i="85"/>
  <c r="I224" i="85"/>
  <c r="S223" i="85"/>
  <c r="N223" i="85"/>
  <c r="J223" i="85"/>
  <c r="I223" i="85"/>
  <c r="S222" i="85"/>
  <c r="N222" i="85"/>
  <c r="J222" i="85"/>
  <c r="I222" i="85"/>
  <c r="S221" i="85"/>
  <c r="N221" i="85"/>
  <c r="J221" i="85"/>
  <c r="I221" i="85"/>
  <c r="S220" i="85"/>
  <c r="N220" i="85"/>
  <c r="J220" i="85"/>
  <c r="I220" i="85"/>
  <c r="S219" i="85"/>
  <c r="N219" i="85"/>
  <c r="J219" i="85"/>
  <c r="I219" i="85"/>
  <c r="S218" i="85"/>
  <c r="N218" i="85"/>
  <c r="J218" i="85"/>
  <c r="I218" i="85"/>
  <c r="S217" i="85"/>
  <c r="N217" i="85"/>
  <c r="J217" i="85"/>
  <c r="I217" i="85"/>
  <c r="S216" i="85"/>
  <c r="N216" i="85"/>
  <c r="J216" i="85"/>
  <c r="I216" i="85"/>
  <c r="S215" i="85"/>
  <c r="N215" i="85"/>
  <c r="J215" i="85"/>
  <c r="I215" i="85"/>
  <c r="S214" i="85"/>
  <c r="N214" i="85"/>
  <c r="J214" i="85"/>
  <c r="I214" i="85"/>
  <c r="S213" i="85"/>
  <c r="N213" i="85"/>
  <c r="J213" i="85"/>
  <c r="I213" i="85"/>
  <c r="S212" i="85"/>
  <c r="N212" i="85"/>
  <c r="J212" i="85"/>
  <c r="I212" i="85"/>
  <c r="S211" i="85"/>
  <c r="N211" i="85"/>
  <c r="J211" i="85"/>
  <c r="I211" i="85"/>
  <c r="S210" i="85"/>
  <c r="N210" i="85"/>
  <c r="J210" i="85"/>
  <c r="I210" i="85"/>
  <c r="S209" i="85"/>
  <c r="N209" i="85"/>
  <c r="J209" i="85"/>
  <c r="I209" i="85"/>
  <c r="S208" i="85"/>
  <c r="N208" i="85"/>
  <c r="J208" i="85"/>
  <c r="I208" i="85"/>
  <c r="S207" i="85"/>
  <c r="N207" i="85"/>
  <c r="J207" i="85"/>
  <c r="I207" i="85"/>
  <c r="S206" i="85"/>
  <c r="N206" i="85"/>
  <c r="J206" i="85"/>
  <c r="I206" i="85"/>
  <c r="S205" i="85"/>
  <c r="N205" i="85"/>
  <c r="J205" i="85"/>
  <c r="I205" i="85"/>
  <c r="S204" i="85"/>
  <c r="N204" i="85"/>
  <c r="J204" i="85"/>
  <c r="I204" i="85"/>
  <c r="S203" i="85"/>
  <c r="N203" i="85"/>
  <c r="J203" i="85"/>
  <c r="I203" i="85"/>
  <c r="S202" i="85"/>
  <c r="N202" i="85"/>
  <c r="J202" i="85"/>
  <c r="I202" i="85"/>
  <c r="S201" i="85"/>
  <c r="N201" i="85"/>
  <c r="J201" i="85"/>
  <c r="I201" i="85"/>
  <c r="S200" i="85"/>
  <c r="N200" i="85"/>
  <c r="J200" i="85"/>
  <c r="I200" i="85"/>
  <c r="S199" i="85"/>
  <c r="N199" i="85"/>
  <c r="J199" i="85"/>
  <c r="I199" i="85"/>
  <c r="S198" i="85"/>
  <c r="N198" i="85"/>
  <c r="J198" i="85"/>
  <c r="I198" i="85"/>
  <c r="S197" i="85"/>
  <c r="N197" i="85"/>
  <c r="J197" i="85"/>
  <c r="I197" i="85"/>
  <c r="S196" i="85"/>
  <c r="N196" i="85"/>
  <c r="J196" i="85"/>
  <c r="I196" i="85"/>
  <c r="S195" i="85"/>
  <c r="N195" i="85"/>
  <c r="J195" i="85"/>
  <c r="I195" i="85"/>
  <c r="S194" i="85"/>
  <c r="N194" i="85"/>
  <c r="J194" i="85"/>
  <c r="I194" i="85"/>
  <c r="S193" i="85"/>
  <c r="N193" i="85"/>
  <c r="J193" i="85"/>
  <c r="I193" i="85"/>
  <c r="E193" i="85"/>
  <c r="E205" i="85" s="1"/>
  <c r="E217" i="85" s="1"/>
  <c r="E229" i="85" s="1"/>
  <c r="E241" i="85" s="1"/>
  <c r="E253" i="85" s="1"/>
  <c r="E265" i="85" s="1"/>
  <c r="E277" i="85" s="1"/>
  <c r="E289" i="85" s="1"/>
  <c r="E301" i="85" s="1"/>
  <c r="E313" i="85" s="1"/>
  <c r="E325" i="85" s="1"/>
  <c r="E337" i="85" s="1"/>
  <c r="E349" i="85" s="1"/>
  <c r="E361" i="85" s="1"/>
  <c r="E373" i="85" s="1"/>
  <c r="E385" i="85" s="1"/>
  <c r="E397" i="85" s="1"/>
  <c r="E409" i="85" s="1"/>
  <c r="E421" i="85" s="1"/>
  <c r="E433" i="85" s="1"/>
  <c r="E445" i="85" s="1"/>
  <c r="E457" i="85" s="1"/>
  <c r="E469" i="85" s="1"/>
  <c r="E481" i="85" s="1"/>
  <c r="E493" i="85" s="1"/>
  <c r="E505" i="85" s="1"/>
  <c r="S192" i="85"/>
  <c r="N192" i="85"/>
  <c r="J192" i="85"/>
  <c r="I192" i="85"/>
  <c r="E192" i="85"/>
  <c r="E204" i="85" s="1"/>
  <c r="E216" i="85" s="1"/>
  <c r="E228" i="85" s="1"/>
  <c r="E240" i="85" s="1"/>
  <c r="E252" i="85" s="1"/>
  <c r="E264" i="85" s="1"/>
  <c r="E276" i="85" s="1"/>
  <c r="E288" i="85" s="1"/>
  <c r="E300" i="85" s="1"/>
  <c r="E312" i="85" s="1"/>
  <c r="E324" i="85" s="1"/>
  <c r="E336" i="85" s="1"/>
  <c r="E348" i="85" s="1"/>
  <c r="E360" i="85" s="1"/>
  <c r="E372" i="85" s="1"/>
  <c r="E384" i="85" s="1"/>
  <c r="E396" i="85" s="1"/>
  <c r="E408" i="85" s="1"/>
  <c r="E420" i="85" s="1"/>
  <c r="E432" i="85" s="1"/>
  <c r="E444" i="85" s="1"/>
  <c r="E456" i="85" s="1"/>
  <c r="E468" i="85" s="1"/>
  <c r="E480" i="85" s="1"/>
  <c r="E492" i="85" s="1"/>
  <c r="E504" i="85" s="1"/>
  <c r="S191" i="85"/>
  <c r="N191" i="85"/>
  <c r="J191" i="85"/>
  <c r="I191" i="85"/>
  <c r="E191" i="85"/>
  <c r="E203" i="85" s="1"/>
  <c r="E215" i="85" s="1"/>
  <c r="E227" i="85" s="1"/>
  <c r="E239" i="85" s="1"/>
  <c r="E251" i="85" s="1"/>
  <c r="E263" i="85" s="1"/>
  <c r="E275" i="85" s="1"/>
  <c r="E287" i="85" s="1"/>
  <c r="E299" i="85" s="1"/>
  <c r="E311" i="85" s="1"/>
  <c r="E323" i="85" s="1"/>
  <c r="E335" i="85" s="1"/>
  <c r="E347" i="85" s="1"/>
  <c r="E359" i="85" s="1"/>
  <c r="E371" i="85" s="1"/>
  <c r="E383" i="85" s="1"/>
  <c r="E395" i="85" s="1"/>
  <c r="E407" i="85" s="1"/>
  <c r="E419" i="85" s="1"/>
  <c r="E431" i="85" s="1"/>
  <c r="E443" i="85" s="1"/>
  <c r="E455" i="85" s="1"/>
  <c r="E467" i="85" s="1"/>
  <c r="E479" i="85" s="1"/>
  <c r="E491" i="85" s="1"/>
  <c r="E503" i="85" s="1"/>
  <c r="S190" i="85"/>
  <c r="N190" i="85"/>
  <c r="J190" i="85"/>
  <c r="I190" i="85"/>
  <c r="E190" i="85"/>
  <c r="E202" i="85" s="1"/>
  <c r="E214" i="85" s="1"/>
  <c r="E226" i="85" s="1"/>
  <c r="E238" i="85" s="1"/>
  <c r="E250" i="85" s="1"/>
  <c r="E262" i="85" s="1"/>
  <c r="E274" i="85" s="1"/>
  <c r="E286" i="85" s="1"/>
  <c r="E298" i="85" s="1"/>
  <c r="E310" i="85" s="1"/>
  <c r="E322" i="85" s="1"/>
  <c r="E334" i="85" s="1"/>
  <c r="E346" i="85" s="1"/>
  <c r="E358" i="85" s="1"/>
  <c r="E370" i="85" s="1"/>
  <c r="E382" i="85" s="1"/>
  <c r="E394" i="85" s="1"/>
  <c r="E406" i="85" s="1"/>
  <c r="E418" i="85" s="1"/>
  <c r="E430" i="85" s="1"/>
  <c r="E442" i="85" s="1"/>
  <c r="E454" i="85" s="1"/>
  <c r="E466" i="85" s="1"/>
  <c r="E478" i="85" s="1"/>
  <c r="E490" i="85" s="1"/>
  <c r="E502" i="85" s="1"/>
  <c r="S189" i="85"/>
  <c r="O189" i="85"/>
  <c r="O201" i="85" s="1"/>
  <c r="O213" i="85" s="1"/>
  <c r="O225" i="85" s="1"/>
  <c r="O237" i="85" s="1"/>
  <c r="O249" i="85" s="1"/>
  <c r="O261" i="85" s="1"/>
  <c r="O273" i="85" s="1"/>
  <c r="O285" i="85" s="1"/>
  <c r="O297" i="85" s="1"/>
  <c r="O309" i="85" s="1"/>
  <c r="O321" i="85" s="1"/>
  <c r="O333" i="85" s="1"/>
  <c r="O345" i="85" s="1"/>
  <c r="O357" i="85" s="1"/>
  <c r="O369" i="85" s="1"/>
  <c r="O381" i="85" s="1"/>
  <c r="O393" i="85" s="1"/>
  <c r="O405" i="85" s="1"/>
  <c r="O417" i="85" s="1"/>
  <c r="O429" i="85" s="1"/>
  <c r="O441" i="85" s="1"/>
  <c r="O453" i="85" s="1"/>
  <c r="O465" i="85" s="1"/>
  <c r="O477" i="85" s="1"/>
  <c r="O489" i="85" s="1"/>
  <c r="O501" i="85" s="1"/>
  <c r="N189" i="85"/>
  <c r="J189" i="85"/>
  <c r="I189" i="85"/>
  <c r="E189" i="85"/>
  <c r="E201" i="85" s="1"/>
  <c r="E213" i="85" s="1"/>
  <c r="E225" i="85" s="1"/>
  <c r="E237" i="85" s="1"/>
  <c r="E249" i="85" s="1"/>
  <c r="E261" i="85" s="1"/>
  <c r="E273" i="85" s="1"/>
  <c r="E285" i="85" s="1"/>
  <c r="E297" i="85" s="1"/>
  <c r="E309" i="85" s="1"/>
  <c r="E321" i="85" s="1"/>
  <c r="E333" i="85" s="1"/>
  <c r="E345" i="85" s="1"/>
  <c r="E357" i="85" s="1"/>
  <c r="E369" i="85" s="1"/>
  <c r="E381" i="85" s="1"/>
  <c r="E393" i="85" s="1"/>
  <c r="E405" i="85" s="1"/>
  <c r="E417" i="85" s="1"/>
  <c r="E429" i="85" s="1"/>
  <c r="E441" i="85" s="1"/>
  <c r="E453" i="85" s="1"/>
  <c r="E465" i="85" s="1"/>
  <c r="E477" i="85" s="1"/>
  <c r="E489" i="85" s="1"/>
  <c r="E501" i="85" s="1"/>
  <c r="S188" i="85"/>
  <c r="N188" i="85"/>
  <c r="J188" i="85"/>
  <c r="I188" i="85"/>
  <c r="E188" i="85"/>
  <c r="E200" i="85" s="1"/>
  <c r="E212" i="85" s="1"/>
  <c r="E224" i="85" s="1"/>
  <c r="E236" i="85" s="1"/>
  <c r="E248" i="85" s="1"/>
  <c r="E260" i="85" s="1"/>
  <c r="E272" i="85" s="1"/>
  <c r="E284" i="85" s="1"/>
  <c r="E296" i="85" s="1"/>
  <c r="E308" i="85" s="1"/>
  <c r="E320" i="85" s="1"/>
  <c r="E332" i="85" s="1"/>
  <c r="E344" i="85" s="1"/>
  <c r="E356" i="85" s="1"/>
  <c r="E368" i="85" s="1"/>
  <c r="E380" i="85" s="1"/>
  <c r="E392" i="85" s="1"/>
  <c r="E404" i="85" s="1"/>
  <c r="E416" i="85" s="1"/>
  <c r="E428" i="85" s="1"/>
  <c r="E440" i="85" s="1"/>
  <c r="E452" i="85" s="1"/>
  <c r="E464" i="85" s="1"/>
  <c r="E476" i="85" s="1"/>
  <c r="E488" i="85" s="1"/>
  <c r="E500" i="85" s="1"/>
  <c r="S187" i="85"/>
  <c r="N187" i="85"/>
  <c r="J187" i="85"/>
  <c r="I187" i="85"/>
  <c r="E187" i="85"/>
  <c r="E199" i="85" s="1"/>
  <c r="E211" i="85" s="1"/>
  <c r="E223" i="85" s="1"/>
  <c r="E235" i="85" s="1"/>
  <c r="E247" i="85" s="1"/>
  <c r="E259" i="85" s="1"/>
  <c r="E271" i="85" s="1"/>
  <c r="E283" i="85" s="1"/>
  <c r="E295" i="85" s="1"/>
  <c r="E307" i="85" s="1"/>
  <c r="E319" i="85" s="1"/>
  <c r="E331" i="85" s="1"/>
  <c r="E343" i="85" s="1"/>
  <c r="E355" i="85" s="1"/>
  <c r="E367" i="85" s="1"/>
  <c r="E379" i="85" s="1"/>
  <c r="E391" i="85" s="1"/>
  <c r="E403" i="85" s="1"/>
  <c r="E415" i="85" s="1"/>
  <c r="E427" i="85" s="1"/>
  <c r="E439" i="85" s="1"/>
  <c r="E451" i="85" s="1"/>
  <c r="E463" i="85" s="1"/>
  <c r="E475" i="85" s="1"/>
  <c r="E487" i="85" s="1"/>
  <c r="E499" i="85" s="1"/>
  <c r="S186" i="85"/>
  <c r="N186" i="85"/>
  <c r="J186" i="85"/>
  <c r="I186" i="85"/>
  <c r="E186" i="85"/>
  <c r="E198" i="85" s="1"/>
  <c r="E210" i="85" s="1"/>
  <c r="E222" i="85" s="1"/>
  <c r="E234" i="85" s="1"/>
  <c r="E246" i="85" s="1"/>
  <c r="E258" i="85" s="1"/>
  <c r="E270" i="85" s="1"/>
  <c r="E282" i="85" s="1"/>
  <c r="E294" i="85" s="1"/>
  <c r="E306" i="85" s="1"/>
  <c r="E318" i="85" s="1"/>
  <c r="E330" i="85" s="1"/>
  <c r="E342" i="85" s="1"/>
  <c r="E354" i="85" s="1"/>
  <c r="E366" i="85" s="1"/>
  <c r="E378" i="85" s="1"/>
  <c r="E390" i="85" s="1"/>
  <c r="E402" i="85" s="1"/>
  <c r="E414" i="85" s="1"/>
  <c r="E426" i="85" s="1"/>
  <c r="E438" i="85" s="1"/>
  <c r="E450" i="85" s="1"/>
  <c r="E462" i="85" s="1"/>
  <c r="E474" i="85" s="1"/>
  <c r="E486" i="85" s="1"/>
  <c r="E498" i="85" s="1"/>
  <c r="S185" i="85"/>
  <c r="N185" i="85"/>
  <c r="J185" i="85"/>
  <c r="I185" i="85"/>
  <c r="E185" i="85"/>
  <c r="E197" i="85" s="1"/>
  <c r="E209" i="85" s="1"/>
  <c r="E221" i="85" s="1"/>
  <c r="E233" i="85" s="1"/>
  <c r="E245" i="85" s="1"/>
  <c r="E257" i="85" s="1"/>
  <c r="E269" i="85" s="1"/>
  <c r="E281" i="85" s="1"/>
  <c r="E293" i="85" s="1"/>
  <c r="E305" i="85" s="1"/>
  <c r="E317" i="85" s="1"/>
  <c r="E329" i="85" s="1"/>
  <c r="E341" i="85" s="1"/>
  <c r="E353" i="85" s="1"/>
  <c r="E365" i="85" s="1"/>
  <c r="E377" i="85" s="1"/>
  <c r="E389" i="85" s="1"/>
  <c r="E401" i="85" s="1"/>
  <c r="E413" i="85" s="1"/>
  <c r="E425" i="85" s="1"/>
  <c r="E437" i="85" s="1"/>
  <c r="E449" i="85" s="1"/>
  <c r="E461" i="85" s="1"/>
  <c r="E473" i="85" s="1"/>
  <c r="E485" i="85" s="1"/>
  <c r="E497" i="85" s="1"/>
  <c r="S184" i="85"/>
  <c r="N184" i="85"/>
  <c r="J184" i="85"/>
  <c r="I184" i="85"/>
  <c r="E184" i="85"/>
  <c r="E196" i="85" s="1"/>
  <c r="E208" i="85" s="1"/>
  <c r="E220" i="85" s="1"/>
  <c r="E232" i="85" s="1"/>
  <c r="E244" i="85" s="1"/>
  <c r="E256" i="85" s="1"/>
  <c r="E268" i="85" s="1"/>
  <c r="E280" i="85" s="1"/>
  <c r="E292" i="85" s="1"/>
  <c r="E304" i="85" s="1"/>
  <c r="E316" i="85" s="1"/>
  <c r="E328" i="85" s="1"/>
  <c r="E340" i="85" s="1"/>
  <c r="E352" i="85" s="1"/>
  <c r="E364" i="85" s="1"/>
  <c r="E376" i="85" s="1"/>
  <c r="E388" i="85" s="1"/>
  <c r="E400" i="85" s="1"/>
  <c r="E412" i="85" s="1"/>
  <c r="E424" i="85" s="1"/>
  <c r="E436" i="85" s="1"/>
  <c r="E448" i="85" s="1"/>
  <c r="E460" i="85" s="1"/>
  <c r="E472" i="85" s="1"/>
  <c r="E484" i="85" s="1"/>
  <c r="E496" i="85" s="1"/>
  <c r="S183" i="85"/>
  <c r="N183" i="85"/>
  <c r="J183" i="85"/>
  <c r="I183" i="85"/>
  <c r="E183" i="85"/>
  <c r="E195" i="85" s="1"/>
  <c r="E207" i="85" s="1"/>
  <c r="E219" i="85" s="1"/>
  <c r="E231" i="85" s="1"/>
  <c r="E243" i="85" s="1"/>
  <c r="E255" i="85" s="1"/>
  <c r="E267" i="85" s="1"/>
  <c r="E279" i="85" s="1"/>
  <c r="E291" i="85" s="1"/>
  <c r="E303" i="85" s="1"/>
  <c r="E315" i="85" s="1"/>
  <c r="E327" i="85" s="1"/>
  <c r="E339" i="85" s="1"/>
  <c r="E351" i="85" s="1"/>
  <c r="E363" i="85" s="1"/>
  <c r="E375" i="85" s="1"/>
  <c r="E387" i="85" s="1"/>
  <c r="E399" i="85" s="1"/>
  <c r="E411" i="85" s="1"/>
  <c r="E423" i="85" s="1"/>
  <c r="E435" i="85" s="1"/>
  <c r="E447" i="85" s="1"/>
  <c r="E459" i="85" s="1"/>
  <c r="E471" i="85" s="1"/>
  <c r="E483" i="85" s="1"/>
  <c r="E495" i="85" s="1"/>
  <c r="S182" i="85"/>
  <c r="N182" i="85"/>
  <c r="J182" i="85"/>
  <c r="I182" i="85"/>
  <c r="E182" i="85"/>
  <c r="E194" i="85" s="1"/>
  <c r="E206" i="85" s="1"/>
  <c r="E218" i="85" s="1"/>
  <c r="E230" i="85" s="1"/>
  <c r="E242" i="85" s="1"/>
  <c r="E254" i="85" s="1"/>
  <c r="E266" i="85" s="1"/>
  <c r="E278" i="85" s="1"/>
  <c r="E290" i="85" s="1"/>
  <c r="E302" i="85" s="1"/>
  <c r="E314" i="85" s="1"/>
  <c r="E326" i="85" s="1"/>
  <c r="E338" i="85" s="1"/>
  <c r="E350" i="85" s="1"/>
  <c r="E362" i="85" s="1"/>
  <c r="E374" i="85" s="1"/>
  <c r="E386" i="85" s="1"/>
  <c r="E398" i="85" s="1"/>
  <c r="E410" i="85" s="1"/>
  <c r="E422" i="85" s="1"/>
  <c r="E434" i="85" s="1"/>
  <c r="E446" i="85" s="1"/>
  <c r="E458" i="85" s="1"/>
  <c r="E470" i="85" s="1"/>
  <c r="E482" i="85" s="1"/>
  <c r="E494" i="85" s="1"/>
  <c r="S181" i="85"/>
  <c r="O181" i="85"/>
  <c r="O193" i="85" s="1"/>
  <c r="O205" i="85" s="1"/>
  <c r="O217" i="85" s="1"/>
  <c r="O229" i="85" s="1"/>
  <c r="O241" i="85" s="1"/>
  <c r="O253" i="85" s="1"/>
  <c r="O265" i="85" s="1"/>
  <c r="O277" i="85" s="1"/>
  <c r="O289" i="85" s="1"/>
  <c r="O301" i="85" s="1"/>
  <c r="O313" i="85" s="1"/>
  <c r="O325" i="85" s="1"/>
  <c r="O337" i="85" s="1"/>
  <c r="O349" i="85" s="1"/>
  <c r="O361" i="85" s="1"/>
  <c r="O373" i="85" s="1"/>
  <c r="O385" i="85" s="1"/>
  <c r="O397" i="85" s="1"/>
  <c r="O409" i="85" s="1"/>
  <c r="O421" i="85" s="1"/>
  <c r="O433" i="85" s="1"/>
  <c r="O445" i="85" s="1"/>
  <c r="O457" i="85" s="1"/>
  <c r="O469" i="85" s="1"/>
  <c r="O481" i="85" s="1"/>
  <c r="O493" i="85" s="1"/>
  <c r="O505" i="85" s="1"/>
  <c r="N181" i="85"/>
  <c r="J181" i="85"/>
  <c r="I181" i="85"/>
  <c r="E181" i="85"/>
  <c r="S180" i="85"/>
  <c r="N180" i="85"/>
  <c r="J180" i="85"/>
  <c r="I180" i="85"/>
  <c r="E180" i="85"/>
  <c r="S179" i="85"/>
  <c r="O179" i="85"/>
  <c r="O191" i="85" s="1"/>
  <c r="O203" i="85" s="1"/>
  <c r="O215" i="85" s="1"/>
  <c r="O227" i="85" s="1"/>
  <c r="O239" i="85" s="1"/>
  <c r="O251" i="85" s="1"/>
  <c r="O263" i="85" s="1"/>
  <c r="O275" i="85" s="1"/>
  <c r="O287" i="85" s="1"/>
  <c r="O299" i="85" s="1"/>
  <c r="O311" i="85" s="1"/>
  <c r="O323" i="85" s="1"/>
  <c r="O335" i="85" s="1"/>
  <c r="O347" i="85" s="1"/>
  <c r="O359" i="85" s="1"/>
  <c r="O371" i="85" s="1"/>
  <c r="O383" i="85" s="1"/>
  <c r="O395" i="85" s="1"/>
  <c r="O407" i="85" s="1"/>
  <c r="O419" i="85" s="1"/>
  <c r="O431" i="85" s="1"/>
  <c r="O443" i="85" s="1"/>
  <c r="O455" i="85" s="1"/>
  <c r="O467" i="85" s="1"/>
  <c r="O479" i="85" s="1"/>
  <c r="O491" i="85" s="1"/>
  <c r="O503" i="85" s="1"/>
  <c r="N179" i="85"/>
  <c r="J179" i="85"/>
  <c r="I179" i="85"/>
  <c r="E179" i="85"/>
  <c r="S178" i="85"/>
  <c r="N178" i="85"/>
  <c r="J178" i="85"/>
  <c r="I178" i="85"/>
  <c r="E178" i="85"/>
  <c r="S177" i="85"/>
  <c r="O177" i="85"/>
  <c r="N177" i="85"/>
  <c r="J177" i="85"/>
  <c r="I177" i="85"/>
  <c r="E177" i="85"/>
  <c r="S176" i="85"/>
  <c r="N176" i="85"/>
  <c r="J176" i="85"/>
  <c r="I176" i="85"/>
  <c r="E176" i="85"/>
  <c r="S175" i="85"/>
  <c r="O175" i="85"/>
  <c r="O187" i="85" s="1"/>
  <c r="O199" i="85" s="1"/>
  <c r="O211" i="85" s="1"/>
  <c r="O223" i="85" s="1"/>
  <c r="O235" i="85" s="1"/>
  <c r="O247" i="85" s="1"/>
  <c r="O259" i="85" s="1"/>
  <c r="O271" i="85" s="1"/>
  <c r="O283" i="85" s="1"/>
  <c r="O295" i="85" s="1"/>
  <c r="O307" i="85" s="1"/>
  <c r="O319" i="85" s="1"/>
  <c r="O331" i="85" s="1"/>
  <c r="O343" i="85" s="1"/>
  <c r="O355" i="85" s="1"/>
  <c r="O367" i="85" s="1"/>
  <c r="O379" i="85" s="1"/>
  <c r="O391" i="85" s="1"/>
  <c r="O403" i="85" s="1"/>
  <c r="O415" i="85" s="1"/>
  <c r="O427" i="85" s="1"/>
  <c r="O439" i="85" s="1"/>
  <c r="O451" i="85" s="1"/>
  <c r="O463" i="85" s="1"/>
  <c r="O475" i="85" s="1"/>
  <c r="O487" i="85" s="1"/>
  <c r="O499" i="85" s="1"/>
  <c r="N175" i="85"/>
  <c r="J175" i="85"/>
  <c r="I175" i="85"/>
  <c r="E175" i="85"/>
  <c r="S174" i="85"/>
  <c r="N174" i="85"/>
  <c r="J174" i="85"/>
  <c r="I174" i="85"/>
  <c r="E174" i="85"/>
  <c r="S173" i="85"/>
  <c r="O173" i="85"/>
  <c r="O185" i="85" s="1"/>
  <c r="O197" i="85" s="1"/>
  <c r="O209" i="85" s="1"/>
  <c r="O221" i="85" s="1"/>
  <c r="O233" i="85" s="1"/>
  <c r="O245" i="85" s="1"/>
  <c r="O257" i="85" s="1"/>
  <c r="O269" i="85" s="1"/>
  <c r="O281" i="85" s="1"/>
  <c r="O293" i="85" s="1"/>
  <c r="O305" i="85" s="1"/>
  <c r="O317" i="85" s="1"/>
  <c r="O329" i="85" s="1"/>
  <c r="O341" i="85" s="1"/>
  <c r="O353" i="85" s="1"/>
  <c r="O365" i="85" s="1"/>
  <c r="O377" i="85" s="1"/>
  <c r="O389" i="85" s="1"/>
  <c r="O401" i="85" s="1"/>
  <c r="O413" i="85" s="1"/>
  <c r="O425" i="85" s="1"/>
  <c r="O437" i="85" s="1"/>
  <c r="O449" i="85" s="1"/>
  <c r="O461" i="85" s="1"/>
  <c r="O473" i="85" s="1"/>
  <c r="O485" i="85" s="1"/>
  <c r="O497" i="85" s="1"/>
  <c r="N173" i="85"/>
  <c r="J173" i="85"/>
  <c r="I173" i="85"/>
  <c r="E173" i="85"/>
  <c r="S172" i="85"/>
  <c r="N172" i="85"/>
  <c r="J172" i="85"/>
  <c r="I172" i="85"/>
  <c r="E172" i="85"/>
  <c r="S171" i="85"/>
  <c r="O171" i="85"/>
  <c r="O183" i="85" s="1"/>
  <c r="O195" i="85" s="1"/>
  <c r="O207" i="85" s="1"/>
  <c r="O219" i="85" s="1"/>
  <c r="O231" i="85" s="1"/>
  <c r="O243" i="85" s="1"/>
  <c r="O255" i="85" s="1"/>
  <c r="O267" i="85" s="1"/>
  <c r="O279" i="85" s="1"/>
  <c r="O291" i="85" s="1"/>
  <c r="O303" i="85" s="1"/>
  <c r="O315" i="85" s="1"/>
  <c r="O327" i="85" s="1"/>
  <c r="O339" i="85" s="1"/>
  <c r="O351" i="85" s="1"/>
  <c r="O363" i="85" s="1"/>
  <c r="O375" i="85" s="1"/>
  <c r="O387" i="85" s="1"/>
  <c r="O399" i="85" s="1"/>
  <c r="O411" i="85" s="1"/>
  <c r="O423" i="85" s="1"/>
  <c r="O435" i="85" s="1"/>
  <c r="O447" i="85" s="1"/>
  <c r="O459" i="85" s="1"/>
  <c r="O471" i="85" s="1"/>
  <c r="O483" i="85" s="1"/>
  <c r="O495" i="85" s="1"/>
  <c r="N171" i="85"/>
  <c r="J171" i="85"/>
  <c r="I171" i="85"/>
  <c r="E171" i="85"/>
  <c r="S170" i="85"/>
  <c r="N170" i="85"/>
  <c r="J170" i="85"/>
  <c r="I170" i="85"/>
  <c r="E170" i="85"/>
  <c r="S169" i="85"/>
  <c r="P169" i="85"/>
  <c r="P181" i="85" s="1"/>
  <c r="P193" i="85" s="1"/>
  <c r="P205" i="85" s="1"/>
  <c r="P217" i="85" s="1"/>
  <c r="P229" i="85" s="1"/>
  <c r="P241" i="85" s="1"/>
  <c r="P253" i="85" s="1"/>
  <c r="P265" i="85" s="1"/>
  <c r="P277" i="85" s="1"/>
  <c r="P289" i="85" s="1"/>
  <c r="P301" i="85" s="1"/>
  <c r="P313" i="85" s="1"/>
  <c r="P325" i="85" s="1"/>
  <c r="P337" i="85" s="1"/>
  <c r="P349" i="85" s="1"/>
  <c r="P361" i="85" s="1"/>
  <c r="P373" i="85" s="1"/>
  <c r="P385" i="85" s="1"/>
  <c r="P397" i="85" s="1"/>
  <c r="P409" i="85" s="1"/>
  <c r="P421" i="85" s="1"/>
  <c r="P433" i="85" s="1"/>
  <c r="P445" i="85" s="1"/>
  <c r="P457" i="85" s="1"/>
  <c r="P469" i="85" s="1"/>
  <c r="P481" i="85" s="1"/>
  <c r="P493" i="85" s="1"/>
  <c r="P505" i="85" s="1"/>
  <c r="O169" i="85"/>
  <c r="N169" i="85"/>
  <c r="J169" i="85"/>
  <c r="I169" i="85"/>
  <c r="E169" i="85"/>
  <c r="S168" i="85"/>
  <c r="P168" i="85"/>
  <c r="P180" i="85" s="1"/>
  <c r="P192" i="85" s="1"/>
  <c r="P204" i="85" s="1"/>
  <c r="P216" i="85" s="1"/>
  <c r="P228" i="85" s="1"/>
  <c r="P240" i="85" s="1"/>
  <c r="P252" i="85" s="1"/>
  <c r="P264" i="85" s="1"/>
  <c r="P276" i="85" s="1"/>
  <c r="P288" i="85" s="1"/>
  <c r="P300" i="85" s="1"/>
  <c r="P312" i="85" s="1"/>
  <c r="P324" i="85" s="1"/>
  <c r="P336" i="85" s="1"/>
  <c r="P348" i="85" s="1"/>
  <c r="P360" i="85" s="1"/>
  <c r="P372" i="85" s="1"/>
  <c r="P384" i="85" s="1"/>
  <c r="P396" i="85" s="1"/>
  <c r="P408" i="85" s="1"/>
  <c r="P420" i="85" s="1"/>
  <c r="P432" i="85" s="1"/>
  <c r="P444" i="85" s="1"/>
  <c r="P456" i="85" s="1"/>
  <c r="P468" i="85" s="1"/>
  <c r="P480" i="85" s="1"/>
  <c r="P492" i="85" s="1"/>
  <c r="P504" i="85" s="1"/>
  <c r="O168" i="85"/>
  <c r="O180" i="85" s="1"/>
  <c r="O192" i="85" s="1"/>
  <c r="O204" i="85" s="1"/>
  <c r="O216" i="85" s="1"/>
  <c r="O228" i="85" s="1"/>
  <c r="O240" i="85" s="1"/>
  <c r="O252" i="85" s="1"/>
  <c r="O264" i="85" s="1"/>
  <c r="O276" i="85" s="1"/>
  <c r="O288" i="85" s="1"/>
  <c r="O300" i="85" s="1"/>
  <c r="O312" i="85" s="1"/>
  <c r="O324" i="85" s="1"/>
  <c r="O336" i="85" s="1"/>
  <c r="O348" i="85" s="1"/>
  <c r="O360" i="85" s="1"/>
  <c r="O372" i="85" s="1"/>
  <c r="O384" i="85" s="1"/>
  <c r="O396" i="85" s="1"/>
  <c r="O408" i="85" s="1"/>
  <c r="O420" i="85" s="1"/>
  <c r="O432" i="85" s="1"/>
  <c r="O444" i="85" s="1"/>
  <c r="O456" i="85" s="1"/>
  <c r="O468" i="85" s="1"/>
  <c r="O480" i="85" s="1"/>
  <c r="O492" i="85" s="1"/>
  <c r="O504" i="85" s="1"/>
  <c r="N168" i="85"/>
  <c r="J168" i="85"/>
  <c r="I168" i="85"/>
  <c r="E168" i="85"/>
  <c r="S167" i="85"/>
  <c r="P167" i="85"/>
  <c r="P179" i="85" s="1"/>
  <c r="P191" i="85" s="1"/>
  <c r="P203" i="85" s="1"/>
  <c r="P215" i="85" s="1"/>
  <c r="P227" i="85" s="1"/>
  <c r="P239" i="85" s="1"/>
  <c r="P251" i="85" s="1"/>
  <c r="P263" i="85" s="1"/>
  <c r="P275" i="85" s="1"/>
  <c r="P287" i="85" s="1"/>
  <c r="P299" i="85" s="1"/>
  <c r="P311" i="85" s="1"/>
  <c r="P323" i="85" s="1"/>
  <c r="P335" i="85" s="1"/>
  <c r="P347" i="85" s="1"/>
  <c r="P359" i="85" s="1"/>
  <c r="P371" i="85" s="1"/>
  <c r="P383" i="85" s="1"/>
  <c r="P395" i="85" s="1"/>
  <c r="P407" i="85" s="1"/>
  <c r="P419" i="85" s="1"/>
  <c r="P431" i="85" s="1"/>
  <c r="P443" i="85" s="1"/>
  <c r="P455" i="85" s="1"/>
  <c r="P467" i="85" s="1"/>
  <c r="P479" i="85" s="1"/>
  <c r="P491" i="85" s="1"/>
  <c r="P503" i="85" s="1"/>
  <c r="O167" i="85"/>
  <c r="N167" i="85"/>
  <c r="J167" i="85"/>
  <c r="I167" i="85"/>
  <c r="E167" i="85"/>
  <c r="S166" i="85"/>
  <c r="P166" i="85"/>
  <c r="P178" i="85" s="1"/>
  <c r="P190" i="85" s="1"/>
  <c r="P202" i="85" s="1"/>
  <c r="P214" i="85" s="1"/>
  <c r="P226" i="85" s="1"/>
  <c r="P238" i="85" s="1"/>
  <c r="P250" i="85" s="1"/>
  <c r="P262" i="85" s="1"/>
  <c r="P274" i="85" s="1"/>
  <c r="P286" i="85" s="1"/>
  <c r="P298" i="85" s="1"/>
  <c r="P310" i="85" s="1"/>
  <c r="P322" i="85" s="1"/>
  <c r="P334" i="85" s="1"/>
  <c r="P346" i="85" s="1"/>
  <c r="P358" i="85" s="1"/>
  <c r="P370" i="85" s="1"/>
  <c r="P382" i="85" s="1"/>
  <c r="P394" i="85" s="1"/>
  <c r="P406" i="85" s="1"/>
  <c r="P418" i="85" s="1"/>
  <c r="P430" i="85" s="1"/>
  <c r="P442" i="85" s="1"/>
  <c r="P454" i="85" s="1"/>
  <c r="P466" i="85" s="1"/>
  <c r="P478" i="85" s="1"/>
  <c r="P490" i="85" s="1"/>
  <c r="P502" i="85" s="1"/>
  <c r="O166" i="85"/>
  <c r="O178" i="85" s="1"/>
  <c r="O190" i="85" s="1"/>
  <c r="O202" i="85" s="1"/>
  <c r="O214" i="85" s="1"/>
  <c r="O226" i="85" s="1"/>
  <c r="O238" i="85" s="1"/>
  <c r="O250" i="85" s="1"/>
  <c r="O262" i="85" s="1"/>
  <c r="O274" i="85" s="1"/>
  <c r="O286" i="85" s="1"/>
  <c r="O298" i="85" s="1"/>
  <c r="O310" i="85" s="1"/>
  <c r="O322" i="85" s="1"/>
  <c r="O334" i="85" s="1"/>
  <c r="O346" i="85" s="1"/>
  <c r="O358" i="85" s="1"/>
  <c r="O370" i="85" s="1"/>
  <c r="O382" i="85" s="1"/>
  <c r="O394" i="85" s="1"/>
  <c r="O406" i="85" s="1"/>
  <c r="O418" i="85" s="1"/>
  <c r="O430" i="85" s="1"/>
  <c r="O442" i="85" s="1"/>
  <c r="O454" i="85" s="1"/>
  <c r="O466" i="85" s="1"/>
  <c r="O478" i="85" s="1"/>
  <c r="O490" i="85" s="1"/>
  <c r="O502" i="85" s="1"/>
  <c r="N166" i="85"/>
  <c r="J166" i="85"/>
  <c r="I166" i="85"/>
  <c r="E166" i="85"/>
  <c r="S165" i="85"/>
  <c r="P165" i="85"/>
  <c r="P177" i="85" s="1"/>
  <c r="P189" i="85" s="1"/>
  <c r="P201" i="85" s="1"/>
  <c r="P213" i="85" s="1"/>
  <c r="P225" i="85" s="1"/>
  <c r="P237" i="85" s="1"/>
  <c r="P249" i="85" s="1"/>
  <c r="P261" i="85" s="1"/>
  <c r="P273" i="85" s="1"/>
  <c r="P285" i="85" s="1"/>
  <c r="P297" i="85" s="1"/>
  <c r="P309" i="85" s="1"/>
  <c r="P321" i="85" s="1"/>
  <c r="P333" i="85" s="1"/>
  <c r="P345" i="85" s="1"/>
  <c r="P357" i="85" s="1"/>
  <c r="P369" i="85" s="1"/>
  <c r="P381" i="85" s="1"/>
  <c r="P393" i="85" s="1"/>
  <c r="P405" i="85" s="1"/>
  <c r="P417" i="85" s="1"/>
  <c r="P429" i="85" s="1"/>
  <c r="P441" i="85" s="1"/>
  <c r="P453" i="85" s="1"/>
  <c r="P465" i="85" s="1"/>
  <c r="P477" i="85" s="1"/>
  <c r="P489" i="85" s="1"/>
  <c r="P501" i="85" s="1"/>
  <c r="O165" i="85"/>
  <c r="N165" i="85"/>
  <c r="J165" i="85"/>
  <c r="I165" i="85"/>
  <c r="E165" i="85"/>
  <c r="S164" i="85"/>
  <c r="P164" i="85"/>
  <c r="P176" i="85" s="1"/>
  <c r="P188" i="85" s="1"/>
  <c r="P200" i="85" s="1"/>
  <c r="P212" i="85" s="1"/>
  <c r="P224" i="85" s="1"/>
  <c r="P236" i="85" s="1"/>
  <c r="P248" i="85" s="1"/>
  <c r="P260" i="85" s="1"/>
  <c r="P272" i="85" s="1"/>
  <c r="P284" i="85" s="1"/>
  <c r="P296" i="85" s="1"/>
  <c r="P308" i="85" s="1"/>
  <c r="P320" i="85" s="1"/>
  <c r="P332" i="85" s="1"/>
  <c r="P344" i="85" s="1"/>
  <c r="P356" i="85" s="1"/>
  <c r="P368" i="85" s="1"/>
  <c r="P380" i="85" s="1"/>
  <c r="P392" i="85" s="1"/>
  <c r="P404" i="85" s="1"/>
  <c r="P416" i="85" s="1"/>
  <c r="P428" i="85" s="1"/>
  <c r="P440" i="85" s="1"/>
  <c r="P452" i="85" s="1"/>
  <c r="P464" i="85" s="1"/>
  <c r="P476" i="85" s="1"/>
  <c r="P488" i="85" s="1"/>
  <c r="P500" i="85" s="1"/>
  <c r="O164" i="85"/>
  <c r="O176" i="85" s="1"/>
  <c r="O188" i="85" s="1"/>
  <c r="O200" i="85" s="1"/>
  <c r="O212" i="85" s="1"/>
  <c r="O224" i="85" s="1"/>
  <c r="O236" i="85" s="1"/>
  <c r="O248" i="85" s="1"/>
  <c r="O260" i="85" s="1"/>
  <c r="O272" i="85" s="1"/>
  <c r="O284" i="85" s="1"/>
  <c r="O296" i="85" s="1"/>
  <c r="O308" i="85" s="1"/>
  <c r="O320" i="85" s="1"/>
  <c r="O332" i="85" s="1"/>
  <c r="O344" i="85" s="1"/>
  <c r="O356" i="85" s="1"/>
  <c r="O368" i="85" s="1"/>
  <c r="O380" i="85" s="1"/>
  <c r="O392" i="85" s="1"/>
  <c r="O404" i="85" s="1"/>
  <c r="O416" i="85" s="1"/>
  <c r="O428" i="85" s="1"/>
  <c r="O440" i="85" s="1"/>
  <c r="O452" i="85" s="1"/>
  <c r="O464" i="85" s="1"/>
  <c r="O476" i="85" s="1"/>
  <c r="O488" i="85" s="1"/>
  <c r="O500" i="85" s="1"/>
  <c r="N164" i="85"/>
  <c r="J164" i="85"/>
  <c r="I164" i="85"/>
  <c r="E164" i="85"/>
  <c r="S163" i="85"/>
  <c r="P163" i="85"/>
  <c r="P175" i="85" s="1"/>
  <c r="P187" i="85" s="1"/>
  <c r="P199" i="85" s="1"/>
  <c r="P211" i="85" s="1"/>
  <c r="P223" i="85" s="1"/>
  <c r="P235" i="85" s="1"/>
  <c r="P247" i="85" s="1"/>
  <c r="P259" i="85" s="1"/>
  <c r="P271" i="85" s="1"/>
  <c r="P283" i="85" s="1"/>
  <c r="P295" i="85" s="1"/>
  <c r="P307" i="85" s="1"/>
  <c r="P319" i="85" s="1"/>
  <c r="P331" i="85" s="1"/>
  <c r="P343" i="85" s="1"/>
  <c r="P355" i="85" s="1"/>
  <c r="P367" i="85" s="1"/>
  <c r="P379" i="85" s="1"/>
  <c r="P391" i="85" s="1"/>
  <c r="P403" i="85" s="1"/>
  <c r="P415" i="85" s="1"/>
  <c r="P427" i="85" s="1"/>
  <c r="P439" i="85" s="1"/>
  <c r="P451" i="85" s="1"/>
  <c r="P463" i="85" s="1"/>
  <c r="P475" i="85" s="1"/>
  <c r="P487" i="85" s="1"/>
  <c r="P499" i="85" s="1"/>
  <c r="O163" i="85"/>
  <c r="N163" i="85"/>
  <c r="J163" i="85"/>
  <c r="I163" i="85"/>
  <c r="E163" i="85"/>
  <c r="S162" i="85"/>
  <c r="P162" i="85"/>
  <c r="P174" i="85" s="1"/>
  <c r="P186" i="85" s="1"/>
  <c r="P198" i="85" s="1"/>
  <c r="P210" i="85" s="1"/>
  <c r="P222" i="85" s="1"/>
  <c r="P234" i="85" s="1"/>
  <c r="P246" i="85" s="1"/>
  <c r="P258" i="85" s="1"/>
  <c r="P270" i="85" s="1"/>
  <c r="P282" i="85" s="1"/>
  <c r="P294" i="85" s="1"/>
  <c r="P306" i="85" s="1"/>
  <c r="P318" i="85" s="1"/>
  <c r="P330" i="85" s="1"/>
  <c r="P342" i="85" s="1"/>
  <c r="P354" i="85" s="1"/>
  <c r="P366" i="85" s="1"/>
  <c r="P378" i="85" s="1"/>
  <c r="P390" i="85" s="1"/>
  <c r="P402" i="85" s="1"/>
  <c r="P414" i="85" s="1"/>
  <c r="P426" i="85" s="1"/>
  <c r="P438" i="85" s="1"/>
  <c r="P450" i="85" s="1"/>
  <c r="P462" i="85" s="1"/>
  <c r="P474" i="85" s="1"/>
  <c r="P486" i="85" s="1"/>
  <c r="P498" i="85" s="1"/>
  <c r="O162" i="85"/>
  <c r="O174" i="85" s="1"/>
  <c r="O186" i="85" s="1"/>
  <c r="O198" i="85" s="1"/>
  <c r="O210" i="85" s="1"/>
  <c r="O222" i="85" s="1"/>
  <c r="O234" i="85" s="1"/>
  <c r="O246" i="85" s="1"/>
  <c r="O258" i="85" s="1"/>
  <c r="O270" i="85" s="1"/>
  <c r="O282" i="85" s="1"/>
  <c r="O294" i="85" s="1"/>
  <c r="O306" i="85" s="1"/>
  <c r="O318" i="85" s="1"/>
  <c r="O330" i="85" s="1"/>
  <c r="O342" i="85" s="1"/>
  <c r="O354" i="85" s="1"/>
  <c r="O366" i="85" s="1"/>
  <c r="O378" i="85" s="1"/>
  <c r="O390" i="85" s="1"/>
  <c r="O402" i="85" s="1"/>
  <c r="O414" i="85" s="1"/>
  <c r="O426" i="85" s="1"/>
  <c r="O438" i="85" s="1"/>
  <c r="O450" i="85" s="1"/>
  <c r="O462" i="85" s="1"/>
  <c r="O474" i="85" s="1"/>
  <c r="O486" i="85" s="1"/>
  <c r="O498" i="85" s="1"/>
  <c r="N162" i="85"/>
  <c r="J162" i="85"/>
  <c r="I162" i="85"/>
  <c r="E162" i="85"/>
  <c r="S161" i="85"/>
  <c r="P161" i="85"/>
  <c r="P173" i="85" s="1"/>
  <c r="P185" i="85" s="1"/>
  <c r="P197" i="85" s="1"/>
  <c r="P209" i="85" s="1"/>
  <c r="P221" i="85" s="1"/>
  <c r="P233" i="85" s="1"/>
  <c r="P245" i="85" s="1"/>
  <c r="P257" i="85" s="1"/>
  <c r="P269" i="85" s="1"/>
  <c r="P281" i="85" s="1"/>
  <c r="P293" i="85" s="1"/>
  <c r="P305" i="85" s="1"/>
  <c r="P317" i="85" s="1"/>
  <c r="P329" i="85" s="1"/>
  <c r="P341" i="85" s="1"/>
  <c r="P353" i="85" s="1"/>
  <c r="P365" i="85" s="1"/>
  <c r="P377" i="85" s="1"/>
  <c r="P389" i="85" s="1"/>
  <c r="P401" i="85" s="1"/>
  <c r="P413" i="85" s="1"/>
  <c r="P425" i="85" s="1"/>
  <c r="P437" i="85" s="1"/>
  <c r="P449" i="85" s="1"/>
  <c r="P461" i="85" s="1"/>
  <c r="P473" i="85" s="1"/>
  <c r="P485" i="85" s="1"/>
  <c r="P497" i="85" s="1"/>
  <c r="O161" i="85"/>
  <c r="N161" i="85"/>
  <c r="J161" i="85"/>
  <c r="I161" i="85"/>
  <c r="E161" i="85"/>
  <c r="S160" i="85"/>
  <c r="P160" i="85"/>
  <c r="P172" i="85" s="1"/>
  <c r="P184" i="85" s="1"/>
  <c r="P196" i="85" s="1"/>
  <c r="P208" i="85" s="1"/>
  <c r="P220" i="85" s="1"/>
  <c r="P232" i="85" s="1"/>
  <c r="P244" i="85" s="1"/>
  <c r="P256" i="85" s="1"/>
  <c r="P268" i="85" s="1"/>
  <c r="P280" i="85" s="1"/>
  <c r="P292" i="85" s="1"/>
  <c r="P304" i="85" s="1"/>
  <c r="P316" i="85" s="1"/>
  <c r="P328" i="85" s="1"/>
  <c r="P340" i="85" s="1"/>
  <c r="P352" i="85" s="1"/>
  <c r="P364" i="85" s="1"/>
  <c r="P376" i="85" s="1"/>
  <c r="P388" i="85" s="1"/>
  <c r="P400" i="85" s="1"/>
  <c r="P412" i="85" s="1"/>
  <c r="P424" i="85" s="1"/>
  <c r="P436" i="85" s="1"/>
  <c r="P448" i="85" s="1"/>
  <c r="P460" i="85" s="1"/>
  <c r="P472" i="85" s="1"/>
  <c r="P484" i="85" s="1"/>
  <c r="P496" i="85" s="1"/>
  <c r="O160" i="85"/>
  <c r="O172" i="85" s="1"/>
  <c r="O184" i="85" s="1"/>
  <c r="O196" i="85" s="1"/>
  <c r="O208" i="85" s="1"/>
  <c r="O220" i="85" s="1"/>
  <c r="O232" i="85" s="1"/>
  <c r="O244" i="85" s="1"/>
  <c r="O256" i="85" s="1"/>
  <c r="O268" i="85" s="1"/>
  <c r="O280" i="85" s="1"/>
  <c r="O292" i="85" s="1"/>
  <c r="O304" i="85" s="1"/>
  <c r="O316" i="85" s="1"/>
  <c r="O328" i="85" s="1"/>
  <c r="O340" i="85" s="1"/>
  <c r="O352" i="85" s="1"/>
  <c r="O364" i="85" s="1"/>
  <c r="O376" i="85" s="1"/>
  <c r="O388" i="85" s="1"/>
  <c r="O400" i="85" s="1"/>
  <c r="O412" i="85" s="1"/>
  <c r="O424" i="85" s="1"/>
  <c r="O436" i="85" s="1"/>
  <c r="O448" i="85" s="1"/>
  <c r="O460" i="85" s="1"/>
  <c r="O472" i="85" s="1"/>
  <c r="O484" i="85" s="1"/>
  <c r="O496" i="85" s="1"/>
  <c r="N160" i="85"/>
  <c r="J160" i="85"/>
  <c r="I160" i="85"/>
  <c r="E160" i="85"/>
  <c r="S159" i="85"/>
  <c r="P159" i="85"/>
  <c r="P171" i="85" s="1"/>
  <c r="P183" i="85" s="1"/>
  <c r="P195" i="85" s="1"/>
  <c r="P207" i="85" s="1"/>
  <c r="P219" i="85" s="1"/>
  <c r="P231" i="85" s="1"/>
  <c r="P243" i="85" s="1"/>
  <c r="P255" i="85" s="1"/>
  <c r="P267" i="85" s="1"/>
  <c r="P279" i="85" s="1"/>
  <c r="P291" i="85" s="1"/>
  <c r="P303" i="85" s="1"/>
  <c r="P315" i="85" s="1"/>
  <c r="P327" i="85" s="1"/>
  <c r="P339" i="85" s="1"/>
  <c r="P351" i="85" s="1"/>
  <c r="P363" i="85" s="1"/>
  <c r="P375" i="85" s="1"/>
  <c r="P387" i="85" s="1"/>
  <c r="P399" i="85" s="1"/>
  <c r="P411" i="85" s="1"/>
  <c r="P423" i="85" s="1"/>
  <c r="P435" i="85" s="1"/>
  <c r="P447" i="85" s="1"/>
  <c r="P459" i="85" s="1"/>
  <c r="P471" i="85" s="1"/>
  <c r="P483" i="85" s="1"/>
  <c r="P495" i="85" s="1"/>
  <c r="O159" i="85"/>
  <c r="N159" i="85"/>
  <c r="J159" i="85"/>
  <c r="I159" i="85"/>
  <c r="E159" i="85"/>
  <c r="S158" i="85"/>
  <c r="P158" i="85"/>
  <c r="P170" i="85" s="1"/>
  <c r="P182" i="85" s="1"/>
  <c r="P194" i="85" s="1"/>
  <c r="P206" i="85" s="1"/>
  <c r="P218" i="85" s="1"/>
  <c r="P230" i="85" s="1"/>
  <c r="P242" i="85" s="1"/>
  <c r="P254" i="85" s="1"/>
  <c r="P266" i="85" s="1"/>
  <c r="P278" i="85" s="1"/>
  <c r="P290" i="85" s="1"/>
  <c r="P302" i="85" s="1"/>
  <c r="P314" i="85" s="1"/>
  <c r="P326" i="85" s="1"/>
  <c r="P338" i="85" s="1"/>
  <c r="P350" i="85" s="1"/>
  <c r="P362" i="85" s="1"/>
  <c r="P374" i="85" s="1"/>
  <c r="P386" i="85" s="1"/>
  <c r="P398" i="85" s="1"/>
  <c r="P410" i="85" s="1"/>
  <c r="P422" i="85" s="1"/>
  <c r="P434" i="85" s="1"/>
  <c r="P446" i="85" s="1"/>
  <c r="P458" i="85" s="1"/>
  <c r="P470" i="85" s="1"/>
  <c r="P482" i="85" s="1"/>
  <c r="P494" i="85" s="1"/>
  <c r="O158" i="85"/>
  <c r="O170" i="85" s="1"/>
  <c r="O182" i="85" s="1"/>
  <c r="O194" i="85" s="1"/>
  <c r="O206" i="85" s="1"/>
  <c r="O218" i="85" s="1"/>
  <c r="O230" i="85" s="1"/>
  <c r="O242" i="85" s="1"/>
  <c r="O254" i="85" s="1"/>
  <c r="O266" i="85" s="1"/>
  <c r="O278" i="85" s="1"/>
  <c r="O290" i="85" s="1"/>
  <c r="O302" i="85" s="1"/>
  <c r="O314" i="85" s="1"/>
  <c r="O326" i="85" s="1"/>
  <c r="O338" i="85" s="1"/>
  <c r="O350" i="85" s="1"/>
  <c r="O362" i="85" s="1"/>
  <c r="O374" i="85" s="1"/>
  <c r="O386" i="85" s="1"/>
  <c r="O398" i="85" s="1"/>
  <c r="O410" i="85" s="1"/>
  <c r="O422" i="85" s="1"/>
  <c r="O434" i="85" s="1"/>
  <c r="O446" i="85" s="1"/>
  <c r="O458" i="85" s="1"/>
  <c r="O470" i="85" s="1"/>
  <c r="O482" i="85" s="1"/>
  <c r="O494" i="85" s="1"/>
  <c r="N158" i="85"/>
  <c r="J158" i="85"/>
  <c r="I158" i="85"/>
  <c r="E158" i="85"/>
  <c r="S157" i="85"/>
  <c r="N157" i="85"/>
  <c r="J157" i="85"/>
  <c r="I157" i="85"/>
  <c r="E157" i="85"/>
  <c r="S156" i="85"/>
  <c r="N156" i="85"/>
  <c r="J156" i="85"/>
  <c r="I156" i="85"/>
  <c r="E156" i="85"/>
  <c r="S155" i="85"/>
  <c r="N155" i="85"/>
  <c r="J155" i="85"/>
  <c r="I155" i="85"/>
  <c r="E155" i="85"/>
  <c r="S154" i="85"/>
  <c r="N154" i="85"/>
  <c r="J154" i="85"/>
  <c r="I154" i="85"/>
  <c r="E154" i="85"/>
  <c r="S153" i="85"/>
  <c r="N153" i="85"/>
  <c r="J153" i="85"/>
  <c r="I153" i="85"/>
  <c r="E153" i="85"/>
  <c r="S152" i="85"/>
  <c r="N152" i="85"/>
  <c r="J152" i="85"/>
  <c r="I152" i="85"/>
  <c r="E152" i="85"/>
  <c r="S151" i="85"/>
  <c r="N151" i="85"/>
  <c r="J151" i="85"/>
  <c r="I151" i="85"/>
  <c r="E151" i="85"/>
  <c r="S150" i="85"/>
  <c r="N150" i="85"/>
  <c r="J150" i="85"/>
  <c r="I150" i="85"/>
  <c r="E150" i="85"/>
  <c r="S149" i="85"/>
  <c r="N149" i="85"/>
  <c r="J149" i="85"/>
  <c r="I149" i="85"/>
  <c r="E149" i="85"/>
  <c r="S148" i="85"/>
  <c r="N148" i="85"/>
  <c r="J148" i="85"/>
  <c r="I148" i="85"/>
  <c r="E148" i="85"/>
  <c r="S147" i="85"/>
  <c r="N147" i="85"/>
  <c r="L147" i="85"/>
  <c r="L148" i="85" s="1"/>
  <c r="L149" i="85" s="1"/>
  <c r="L150" i="85" s="1"/>
  <c r="L151" i="85" s="1"/>
  <c r="L152" i="85" s="1"/>
  <c r="L153" i="85" s="1"/>
  <c r="L154" i="85" s="1"/>
  <c r="L155" i="85" s="1"/>
  <c r="L156" i="85" s="1"/>
  <c r="L157" i="85" s="1"/>
  <c r="L158" i="85" s="1"/>
  <c r="L159" i="85" s="1"/>
  <c r="L160" i="85" s="1"/>
  <c r="L161" i="85" s="1"/>
  <c r="L162" i="85" s="1"/>
  <c r="L163" i="85" s="1"/>
  <c r="L164" i="85" s="1"/>
  <c r="L165" i="85" s="1"/>
  <c r="L166" i="85" s="1"/>
  <c r="L167" i="85" s="1"/>
  <c r="L168" i="85" s="1"/>
  <c r="L169" i="85" s="1"/>
  <c r="L170" i="85" s="1"/>
  <c r="L171" i="85" s="1"/>
  <c r="L172" i="85" s="1"/>
  <c r="L173" i="85" s="1"/>
  <c r="L174" i="85" s="1"/>
  <c r="L175" i="85" s="1"/>
  <c r="L176" i="85" s="1"/>
  <c r="L177" i="85" s="1"/>
  <c r="L178" i="85" s="1"/>
  <c r="L179" i="85" s="1"/>
  <c r="L180" i="85" s="1"/>
  <c r="L181" i="85" s="1"/>
  <c r="L182" i="85" s="1"/>
  <c r="L183" i="85" s="1"/>
  <c r="L184" i="85" s="1"/>
  <c r="L185" i="85" s="1"/>
  <c r="L186" i="85" s="1"/>
  <c r="L187" i="85" s="1"/>
  <c r="L188" i="85" s="1"/>
  <c r="L189" i="85" s="1"/>
  <c r="L190" i="85" s="1"/>
  <c r="L191" i="85" s="1"/>
  <c r="L192" i="85" s="1"/>
  <c r="L193" i="85" s="1"/>
  <c r="L194" i="85" s="1"/>
  <c r="L195" i="85" s="1"/>
  <c r="L196" i="85" s="1"/>
  <c r="L197" i="85" s="1"/>
  <c r="L198" i="85" s="1"/>
  <c r="L199" i="85" s="1"/>
  <c r="L200" i="85" s="1"/>
  <c r="L201" i="85" s="1"/>
  <c r="L202" i="85" s="1"/>
  <c r="L203" i="85" s="1"/>
  <c r="L204" i="85" s="1"/>
  <c r="L205" i="85" s="1"/>
  <c r="L206" i="85" s="1"/>
  <c r="L207" i="85" s="1"/>
  <c r="L208" i="85" s="1"/>
  <c r="L209" i="85" s="1"/>
  <c r="L210" i="85" s="1"/>
  <c r="L211" i="85" s="1"/>
  <c r="L212" i="85" s="1"/>
  <c r="L213" i="85" s="1"/>
  <c r="L214" i="85" s="1"/>
  <c r="L215" i="85" s="1"/>
  <c r="L216" i="85" s="1"/>
  <c r="L217" i="85" s="1"/>
  <c r="L218" i="85" s="1"/>
  <c r="L219" i="85" s="1"/>
  <c r="L220" i="85" s="1"/>
  <c r="L221" i="85" s="1"/>
  <c r="L222" i="85" s="1"/>
  <c r="L223" i="85" s="1"/>
  <c r="L224" i="85" s="1"/>
  <c r="L225" i="85" s="1"/>
  <c r="L226" i="85" s="1"/>
  <c r="L227" i="85" s="1"/>
  <c r="L228" i="85" s="1"/>
  <c r="L229" i="85" s="1"/>
  <c r="L230" i="85" s="1"/>
  <c r="L231" i="85" s="1"/>
  <c r="L232" i="85" s="1"/>
  <c r="L233" i="85" s="1"/>
  <c r="L234" i="85" s="1"/>
  <c r="L235" i="85" s="1"/>
  <c r="L236" i="85" s="1"/>
  <c r="L237" i="85" s="1"/>
  <c r="L238" i="85" s="1"/>
  <c r="L239" i="85" s="1"/>
  <c r="L240" i="85" s="1"/>
  <c r="L241" i="85" s="1"/>
  <c r="L242" i="85" s="1"/>
  <c r="L243" i="85" s="1"/>
  <c r="L244" i="85" s="1"/>
  <c r="L245" i="85" s="1"/>
  <c r="L246" i="85" s="1"/>
  <c r="L247" i="85" s="1"/>
  <c r="L248" i="85" s="1"/>
  <c r="L249" i="85" s="1"/>
  <c r="L250" i="85" s="1"/>
  <c r="L251" i="85" s="1"/>
  <c r="L252" i="85" s="1"/>
  <c r="L253" i="85" s="1"/>
  <c r="L254" i="85" s="1"/>
  <c r="L255" i="85" s="1"/>
  <c r="L256" i="85" s="1"/>
  <c r="L257" i="85" s="1"/>
  <c r="L258" i="85" s="1"/>
  <c r="L259" i="85" s="1"/>
  <c r="L260" i="85" s="1"/>
  <c r="L261" i="85" s="1"/>
  <c r="L262" i="85" s="1"/>
  <c r="L263" i="85" s="1"/>
  <c r="L264" i="85" s="1"/>
  <c r="L265" i="85" s="1"/>
  <c r="L266" i="85" s="1"/>
  <c r="L267" i="85" s="1"/>
  <c r="L268" i="85" s="1"/>
  <c r="L269" i="85" s="1"/>
  <c r="L270" i="85" s="1"/>
  <c r="L271" i="85" s="1"/>
  <c r="L272" i="85" s="1"/>
  <c r="L273" i="85" s="1"/>
  <c r="L274" i="85" s="1"/>
  <c r="L275" i="85" s="1"/>
  <c r="L276" i="85" s="1"/>
  <c r="L277" i="85" s="1"/>
  <c r="L278" i="85" s="1"/>
  <c r="L279" i="85" s="1"/>
  <c r="L280" i="85" s="1"/>
  <c r="L281" i="85" s="1"/>
  <c r="L282" i="85" s="1"/>
  <c r="L283" i="85" s="1"/>
  <c r="L284" i="85" s="1"/>
  <c r="L285" i="85" s="1"/>
  <c r="L286" i="85" s="1"/>
  <c r="L287" i="85" s="1"/>
  <c r="L288" i="85" s="1"/>
  <c r="L289" i="85" s="1"/>
  <c r="L290" i="85" s="1"/>
  <c r="L291" i="85" s="1"/>
  <c r="L292" i="85" s="1"/>
  <c r="L293" i="85" s="1"/>
  <c r="L294" i="85" s="1"/>
  <c r="L295" i="85" s="1"/>
  <c r="L296" i="85" s="1"/>
  <c r="L297" i="85" s="1"/>
  <c r="L298" i="85" s="1"/>
  <c r="L299" i="85" s="1"/>
  <c r="L300" i="85" s="1"/>
  <c r="L301" i="85" s="1"/>
  <c r="L302" i="85" s="1"/>
  <c r="L303" i="85" s="1"/>
  <c r="L304" i="85" s="1"/>
  <c r="L305" i="85" s="1"/>
  <c r="L306" i="85" s="1"/>
  <c r="L307" i="85" s="1"/>
  <c r="L308" i="85" s="1"/>
  <c r="L309" i="85" s="1"/>
  <c r="L310" i="85" s="1"/>
  <c r="L311" i="85" s="1"/>
  <c r="L312" i="85" s="1"/>
  <c r="L313" i="85" s="1"/>
  <c r="L314" i="85" s="1"/>
  <c r="L315" i="85" s="1"/>
  <c r="L316" i="85" s="1"/>
  <c r="L317" i="85" s="1"/>
  <c r="L318" i="85" s="1"/>
  <c r="L319" i="85" s="1"/>
  <c r="L320" i="85" s="1"/>
  <c r="L321" i="85" s="1"/>
  <c r="L322" i="85" s="1"/>
  <c r="L323" i="85" s="1"/>
  <c r="L324" i="85" s="1"/>
  <c r="L325" i="85" s="1"/>
  <c r="L326" i="85" s="1"/>
  <c r="L327" i="85" s="1"/>
  <c r="L328" i="85" s="1"/>
  <c r="L329" i="85" s="1"/>
  <c r="L330" i="85" s="1"/>
  <c r="L331" i="85" s="1"/>
  <c r="L332" i="85" s="1"/>
  <c r="L333" i="85" s="1"/>
  <c r="L334" i="85" s="1"/>
  <c r="L335" i="85" s="1"/>
  <c r="L336" i="85" s="1"/>
  <c r="L337" i="85" s="1"/>
  <c r="L338" i="85" s="1"/>
  <c r="L339" i="85" s="1"/>
  <c r="L340" i="85" s="1"/>
  <c r="L341" i="85" s="1"/>
  <c r="L342" i="85" s="1"/>
  <c r="L343" i="85" s="1"/>
  <c r="L344" i="85" s="1"/>
  <c r="L345" i="85" s="1"/>
  <c r="L346" i="85" s="1"/>
  <c r="L347" i="85" s="1"/>
  <c r="L348" i="85" s="1"/>
  <c r="L349" i="85" s="1"/>
  <c r="L350" i="85" s="1"/>
  <c r="L351" i="85" s="1"/>
  <c r="L352" i="85" s="1"/>
  <c r="L353" i="85" s="1"/>
  <c r="L354" i="85" s="1"/>
  <c r="L355" i="85" s="1"/>
  <c r="L356" i="85" s="1"/>
  <c r="L357" i="85" s="1"/>
  <c r="L358" i="85" s="1"/>
  <c r="L359" i="85" s="1"/>
  <c r="L360" i="85" s="1"/>
  <c r="L361" i="85" s="1"/>
  <c r="L362" i="85" s="1"/>
  <c r="L363" i="85" s="1"/>
  <c r="L364" i="85" s="1"/>
  <c r="L365" i="85" s="1"/>
  <c r="L366" i="85" s="1"/>
  <c r="L367" i="85" s="1"/>
  <c r="L368" i="85" s="1"/>
  <c r="L369" i="85" s="1"/>
  <c r="L370" i="85" s="1"/>
  <c r="L371" i="85" s="1"/>
  <c r="L372" i="85" s="1"/>
  <c r="L373" i="85" s="1"/>
  <c r="L374" i="85" s="1"/>
  <c r="L375" i="85" s="1"/>
  <c r="L376" i="85" s="1"/>
  <c r="L377" i="85" s="1"/>
  <c r="L378" i="85" s="1"/>
  <c r="L379" i="85" s="1"/>
  <c r="L380" i="85" s="1"/>
  <c r="L381" i="85" s="1"/>
  <c r="L382" i="85" s="1"/>
  <c r="L383" i="85" s="1"/>
  <c r="L384" i="85" s="1"/>
  <c r="L385" i="85" s="1"/>
  <c r="L386" i="85" s="1"/>
  <c r="L387" i="85" s="1"/>
  <c r="L388" i="85" s="1"/>
  <c r="L389" i="85" s="1"/>
  <c r="L390" i="85" s="1"/>
  <c r="L391" i="85" s="1"/>
  <c r="L392" i="85" s="1"/>
  <c r="L393" i="85" s="1"/>
  <c r="L394" i="85" s="1"/>
  <c r="L395" i="85" s="1"/>
  <c r="L396" i="85" s="1"/>
  <c r="L397" i="85" s="1"/>
  <c r="L398" i="85" s="1"/>
  <c r="L399" i="85" s="1"/>
  <c r="L400" i="85" s="1"/>
  <c r="L401" i="85" s="1"/>
  <c r="L402" i="85" s="1"/>
  <c r="L403" i="85" s="1"/>
  <c r="L404" i="85" s="1"/>
  <c r="L405" i="85" s="1"/>
  <c r="L406" i="85" s="1"/>
  <c r="L407" i="85" s="1"/>
  <c r="L408" i="85" s="1"/>
  <c r="L409" i="85" s="1"/>
  <c r="L410" i="85" s="1"/>
  <c r="L411" i="85" s="1"/>
  <c r="L412" i="85" s="1"/>
  <c r="L413" i="85" s="1"/>
  <c r="L414" i="85" s="1"/>
  <c r="L415" i="85" s="1"/>
  <c r="L416" i="85" s="1"/>
  <c r="L417" i="85" s="1"/>
  <c r="L418" i="85" s="1"/>
  <c r="L419" i="85" s="1"/>
  <c r="L420" i="85" s="1"/>
  <c r="L421" i="85" s="1"/>
  <c r="L422" i="85" s="1"/>
  <c r="L423" i="85" s="1"/>
  <c r="L424" i="85" s="1"/>
  <c r="L425" i="85" s="1"/>
  <c r="L426" i="85" s="1"/>
  <c r="L427" i="85" s="1"/>
  <c r="L428" i="85" s="1"/>
  <c r="L429" i="85" s="1"/>
  <c r="L430" i="85" s="1"/>
  <c r="L431" i="85" s="1"/>
  <c r="L432" i="85" s="1"/>
  <c r="L433" i="85" s="1"/>
  <c r="L434" i="85" s="1"/>
  <c r="L435" i="85" s="1"/>
  <c r="L436" i="85" s="1"/>
  <c r="L437" i="85" s="1"/>
  <c r="L438" i="85" s="1"/>
  <c r="L439" i="85" s="1"/>
  <c r="L440" i="85" s="1"/>
  <c r="L441" i="85" s="1"/>
  <c r="L442" i="85" s="1"/>
  <c r="L443" i="85" s="1"/>
  <c r="L444" i="85" s="1"/>
  <c r="L445" i="85" s="1"/>
  <c r="L446" i="85" s="1"/>
  <c r="L447" i="85" s="1"/>
  <c r="L448" i="85" s="1"/>
  <c r="L449" i="85" s="1"/>
  <c r="L450" i="85" s="1"/>
  <c r="L451" i="85" s="1"/>
  <c r="L452" i="85" s="1"/>
  <c r="L453" i="85" s="1"/>
  <c r="L454" i="85" s="1"/>
  <c r="L455" i="85" s="1"/>
  <c r="L456" i="85" s="1"/>
  <c r="L457" i="85" s="1"/>
  <c r="L458" i="85" s="1"/>
  <c r="L459" i="85" s="1"/>
  <c r="L460" i="85" s="1"/>
  <c r="L461" i="85" s="1"/>
  <c r="L462" i="85" s="1"/>
  <c r="L463" i="85" s="1"/>
  <c r="L464" i="85" s="1"/>
  <c r="L465" i="85" s="1"/>
  <c r="L466" i="85" s="1"/>
  <c r="L467" i="85" s="1"/>
  <c r="L468" i="85" s="1"/>
  <c r="L469" i="85" s="1"/>
  <c r="L470" i="85" s="1"/>
  <c r="L471" i="85" s="1"/>
  <c r="L472" i="85" s="1"/>
  <c r="L473" i="85" s="1"/>
  <c r="L474" i="85" s="1"/>
  <c r="L475" i="85" s="1"/>
  <c r="L476" i="85" s="1"/>
  <c r="L477" i="85" s="1"/>
  <c r="L478" i="85" s="1"/>
  <c r="L479" i="85" s="1"/>
  <c r="L480" i="85" s="1"/>
  <c r="L481" i="85" s="1"/>
  <c r="L482" i="85" s="1"/>
  <c r="L483" i="85" s="1"/>
  <c r="L484" i="85" s="1"/>
  <c r="L485" i="85" s="1"/>
  <c r="L486" i="85" s="1"/>
  <c r="L487" i="85" s="1"/>
  <c r="L488" i="85" s="1"/>
  <c r="L489" i="85" s="1"/>
  <c r="L490" i="85" s="1"/>
  <c r="L491" i="85" s="1"/>
  <c r="L492" i="85" s="1"/>
  <c r="L493" i="85" s="1"/>
  <c r="L494" i="85" s="1"/>
  <c r="L495" i="85" s="1"/>
  <c r="L496" i="85" s="1"/>
  <c r="L497" i="85" s="1"/>
  <c r="L498" i="85" s="1"/>
  <c r="L499" i="85" s="1"/>
  <c r="L500" i="85" s="1"/>
  <c r="L501" i="85" s="1"/>
  <c r="L502" i="85" s="1"/>
  <c r="L503" i="85" s="1"/>
  <c r="L504" i="85" s="1"/>
  <c r="L505" i="85" s="1"/>
  <c r="J147" i="85"/>
  <c r="I147" i="85"/>
  <c r="E147" i="85"/>
  <c r="S146" i="85"/>
  <c r="N146" i="85"/>
  <c r="J146" i="85"/>
  <c r="I146" i="85"/>
  <c r="E146" i="85"/>
  <c r="S145" i="85"/>
  <c r="N145" i="85"/>
  <c r="J145" i="85"/>
  <c r="I145" i="85"/>
  <c r="E145" i="85"/>
  <c r="S144" i="85"/>
  <c r="N144" i="85"/>
  <c r="J144" i="85"/>
  <c r="I144" i="85"/>
  <c r="E144" i="85"/>
  <c r="S143" i="85"/>
  <c r="N143" i="85"/>
  <c r="J143" i="85"/>
  <c r="I143" i="85"/>
  <c r="E143" i="85"/>
  <c r="S142" i="85"/>
  <c r="N142" i="85"/>
  <c r="J142" i="85"/>
  <c r="I142" i="85"/>
  <c r="E142" i="85"/>
  <c r="S141" i="85"/>
  <c r="N141" i="85"/>
  <c r="J141" i="85"/>
  <c r="I141" i="85"/>
  <c r="E141" i="85"/>
  <c r="S140" i="85"/>
  <c r="N140" i="85"/>
  <c r="J140" i="85"/>
  <c r="I140" i="85"/>
  <c r="E140" i="85"/>
  <c r="S139" i="85"/>
  <c r="N139" i="85"/>
  <c r="L139" i="85"/>
  <c r="L140" i="85" s="1"/>
  <c r="L141" i="85" s="1"/>
  <c r="L142" i="85" s="1"/>
  <c r="L143" i="85" s="1"/>
  <c r="L144" i="85" s="1"/>
  <c r="L145" i="85" s="1"/>
  <c r="L146" i="85" s="1"/>
  <c r="J139" i="85"/>
  <c r="I139" i="85"/>
  <c r="E139" i="85"/>
  <c r="S138" i="85"/>
  <c r="N138" i="85"/>
  <c r="L138" i="85"/>
  <c r="J138" i="85"/>
  <c r="I138" i="85"/>
  <c r="E138" i="85"/>
  <c r="S137" i="85"/>
  <c r="N137" i="85"/>
  <c r="J137" i="85"/>
  <c r="I137" i="85"/>
  <c r="E137" i="85"/>
  <c r="S136" i="85"/>
  <c r="N136" i="85"/>
  <c r="J136" i="85"/>
  <c r="I136" i="85"/>
  <c r="E136" i="85"/>
  <c r="S135" i="85"/>
  <c r="N135" i="85"/>
  <c r="J135" i="85"/>
  <c r="I135" i="85"/>
  <c r="E135" i="85"/>
  <c r="S134" i="85"/>
  <c r="N134" i="85"/>
  <c r="J134" i="85"/>
  <c r="I134" i="85"/>
  <c r="E134" i="85"/>
  <c r="S133" i="85"/>
  <c r="N133" i="85"/>
  <c r="J133" i="85"/>
  <c r="I133" i="85"/>
  <c r="E133" i="85"/>
  <c r="S132" i="85"/>
  <c r="N132" i="85"/>
  <c r="J132" i="85"/>
  <c r="I132" i="85"/>
  <c r="E132" i="85"/>
  <c r="S131" i="85"/>
  <c r="N131" i="85"/>
  <c r="J131" i="85"/>
  <c r="I131" i="85"/>
  <c r="E131" i="85"/>
  <c r="S130" i="85"/>
  <c r="N130" i="85"/>
  <c r="J130" i="85"/>
  <c r="I130" i="85"/>
  <c r="E130" i="85"/>
  <c r="S129" i="85"/>
  <c r="N129" i="85"/>
  <c r="J129" i="85"/>
  <c r="I129" i="85"/>
  <c r="E129" i="85"/>
  <c r="S128" i="85"/>
  <c r="N128" i="85"/>
  <c r="J128" i="85"/>
  <c r="I128" i="85"/>
  <c r="E128" i="85"/>
  <c r="S127" i="85"/>
  <c r="N127" i="85"/>
  <c r="J127" i="85"/>
  <c r="I127" i="85"/>
  <c r="E127" i="85"/>
  <c r="S126" i="85"/>
  <c r="N126" i="85"/>
  <c r="J126" i="85"/>
  <c r="I126" i="85"/>
  <c r="E126" i="85"/>
  <c r="S125" i="85"/>
  <c r="N125" i="85"/>
  <c r="J125" i="85"/>
  <c r="I125" i="85"/>
  <c r="E125" i="85"/>
  <c r="S124" i="85"/>
  <c r="N124" i="85"/>
  <c r="J124" i="85"/>
  <c r="I124" i="85"/>
  <c r="E124" i="85"/>
  <c r="S123" i="85"/>
  <c r="N123" i="85"/>
  <c r="J123" i="85"/>
  <c r="I123" i="85"/>
  <c r="E123" i="85"/>
  <c r="S122" i="85"/>
  <c r="N122" i="85"/>
  <c r="J122" i="85"/>
  <c r="I122" i="85"/>
  <c r="E122" i="85"/>
  <c r="S121" i="85"/>
  <c r="N121" i="85"/>
  <c r="J121" i="85"/>
  <c r="I121" i="85"/>
  <c r="S120" i="85"/>
  <c r="N120" i="85"/>
  <c r="J120" i="85"/>
  <c r="I120" i="85"/>
  <c r="S119" i="85"/>
  <c r="N119" i="85"/>
  <c r="J119" i="85"/>
  <c r="I119" i="85"/>
  <c r="S118" i="85"/>
  <c r="N118" i="85"/>
  <c r="J118" i="85"/>
  <c r="I118" i="85"/>
  <c r="S117" i="85"/>
  <c r="N117" i="85"/>
  <c r="J117" i="85"/>
  <c r="I117" i="85"/>
  <c r="S116" i="85"/>
  <c r="N116" i="85"/>
  <c r="J116" i="85"/>
  <c r="I116" i="85"/>
  <c r="S115" i="85"/>
  <c r="N115" i="85"/>
  <c r="J115" i="85"/>
  <c r="I115" i="85"/>
  <c r="S114" i="85"/>
  <c r="N114" i="85"/>
  <c r="J114" i="85"/>
  <c r="I114" i="85"/>
  <c r="S113" i="85"/>
  <c r="N113" i="85"/>
  <c r="J113" i="85"/>
  <c r="I113" i="85"/>
  <c r="S112" i="85"/>
  <c r="N112" i="85"/>
  <c r="J112" i="85"/>
  <c r="I112" i="85"/>
  <c r="S111" i="85"/>
  <c r="N111" i="85"/>
  <c r="J111" i="85"/>
  <c r="I111" i="85"/>
  <c r="S110" i="85"/>
  <c r="N110" i="85"/>
  <c r="J110" i="85"/>
  <c r="I110" i="85"/>
  <c r="S109" i="85"/>
  <c r="N109" i="85"/>
  <c r="J109" i="85"/>
  <c r="I109" i="85"/>
  <c r="S108" i="85"/>
  <c r="N108" i="85"/>
  <c r="J108" i="85"/>
  <c r="I108" i="85"/>
  <c r="S107" i="85"/>
  <c r="N107" i="85"/>
  <c r="J107" i="85"/>
  <c r="I107" i="85"/>
  <c r="S106" i="85"/>
  <c r="N106" i="85"/>
  <c r="J106" i="85"/>
  <c r="I106" i="85"/>
  <c r="S105" i="85"/>
  <c r="N105" i="85"/>
  <c r="J105" i="85"/>
  <c r="I105" i="85"/>
  <c r="S104" i="85"/>
  <c r="N104" i="85"/>
  <c r="J104" i="85"/>
  <c r="I104" i="85"/>
  <c r="S103" i="85"/>
  <c r="N103" i="85"/>
  <c r="J103" i="85"/>
  <c r="I103" i="85"/>
  <c r="S102" i="85"/>
  <c r="N102" i="85"/>
  <c r="J102" i="85"/>
  <c r="I102" i="85"/>
  <c r="S101" i="85"/>
  <c r="N101" i="85"/>
  <c r="J101" i="85"/>
  <c r="I101" i="85"/>
  <c r="S100" i="85"/>
  <c r="N100" i="85"/>
  <c r="J100" i="85"/>
  <c r="I100" i="85"/>
  <c r="S99" i="85"/>
  <c r="N99" i="85"/>
  <c r="J99" i="85"/>
  <c r="I99" i="85"/>
  <c r="S98" i="85"/>
  <c r="N98" i="85"/>
  <c r="J98" i="85"/>
  <c r="I98" i="85"/>
  <c r="S97" i="85"/>
  <c r="N97" i="85"/>
  <c r="J97" i="85"/>
  <c r="I97" i="85"/>
  <c r="S96" i="85"/>
  <c r="N96" i="85"/>
  <c r="J96" i="85"/>
  <c r="I96" i="85"/>
  <c r="S95" i="85"/>
  <c r="N95" i="85"/>
  <c r="J95" i="85"/>
  <c r="I95" i="85"/>
  <c r="S94" i="85"/>
  <c r="N94" i="85"/>
  <c r="J94" i="85"/>
  <c r="I94" i="85"/>
  <c r="S93" i="85"/>
  <c r="N93" i="85"/>
  <c r="J93" i="85"/>
  <c r="I93" i="85"/>
  <c r="S92" i="85"/>
  <c r="N92" i="85"/>
  <c r="J92" i="85"/>
  <c r="I92" i="85"/>
  <c r="S91" i="85"/>
  <c r="N91" i="85"/>
  <c r="J91" i="85"/>
  <c r="I91" i="85"/>
  <c r="S90" i="85"/>
  <c r="N90" i="85"/>
  <c r="J90" i="85"/>
  <c r="I90" i="85"/>
  <c r="S89" i="85"/>
  <c r="N89" i="85"/>
  <c r="J89" i="85"/>
  <c r="I89" i="85"/>
  <c r="S88" i="85"/>
  <c r="N88" i="85"/>
  <c r="J88" i="85"/>
  <c r="I88" i="85"/>
  <c r="S87" i="85"/>
  <c r="N87" i="85"/>
  <c r="J87" i="85"/>
  <c r="I87" i="85"/>
  <c r="S86" i="85"/>
  <c r="N86" i="85"/>
  <c r="J86" i="85"/>
  <c r="I86" i="85"/>
  <c r="S85" i="85"/>
  <c r="N85" i="85"/>
  <c r="J85" i="85"/>
  <c r="I85" i="85"/>
  <c r="S84" i="85"/>
  <c r="N84" i="85"/>
  <c r="J84" i="85"/>
  <c r="I84" i="85"/>
  <c r="S83" i="85"/>
  <c r="N83" i="85"/>
  <c r="J83" i="85"/>
  <c r="I83" i="85"/>
  <c r="S82" i="85"/>
  <c r="N82" i="85"/>
  <c r="J82" i="85"/>
  <c r="I82" i="85"/>
  <c r="S81" i="85"/>
  <c r="N81" i="85"/>
  <c r="J81" i="85"/>
  <c r="I81" i="85"/>
  <c r="S80" i="85"/>
  <c r="N80" i="85"/>
  <c r="J80" i="85"/>
  <c r="I80" i="85"/>
  <c r="S79" i="85"/>
  <c r="N79" i="85"/>
  <c r="J79" i="85"/>
  <c r="I79" i="85"/>
  <c r="S78" i="85"/>
  <c r="N78" i="85"/>
  <c r="J78" i="85"/>
  <c r="I78" i="85"/>
  <c r="S77" i="85"/>
  <c r="N77" i="85"/>
  <c r="J77" i="85"/>
  <c r="I77" i="85"/>
  <c r="S76" i="85"/>
  <c r="N76" i="85"/>
  <c r="J76" i="85"/>
  <c r="I76" i="85"/>
  <c r="S75" i="85"/>
  <c r="N75" i="85"/>
  <c r="J75" i="85"/>
  <c r="I75" i="85"/>
  <c r="S74" i="85"/>
  <c r="N74" i="85"/>
  <c r="J74" i="85"/>
  <c r="I74" i="85"/>
  <c r="S73" i="85"/>
  <c r="N73" i="85"/>
  <c r="J73" i="85"/>
  <c r="I73" i="85"/>
  <c r="S72" i="85"/>
  <c r="N72" i="85"/>
  <c r="J72" i="85"/>
  <c r="I72" i="85"/>
  <c r="S71" i="85"/>
  <c r="N71" i="85"/>
  <c r="J71" i="85"/>
  <c r="I71" i="85"/>
  <c r="S70" i="85"/>
  <c r="N70" i="85"/>
  <c r="J70" i="85"/>
  <c r="I70" i="85"/>
  <c r="S69" i="85"/>
  <c r="N69" i="85"/>
  <c r="J69" i="85"/>
  <c r="I69" i="85"/>
  <c r="S68" i="85"/>
  <c r="N68" i="85"/>
  <c r="J68" i="85"/>
  <c r="I68" i="85"/>
  <c r="S67" i="85"/>
  <c r="N67" i="85"/>
  <c r="J67" i="85"/>
  <c r="I67" i="85"/>
  <c r="S66" i="85"/>
  <c r="N66" i="85"/>
  <c r="J66" i="85"/>
  <c r="I66" i="85"/>
  <c r="S65" i="85"/>
  <c r="N65" i="85"/>
  <c r="J65" i="85"/>
  <c r="I65" i="85"/>
  <c r="S64" i="85"/>
  <c r="N64" i="85"/>
  <c r="J64" i="85"/>
  <c r="I64" i="85"/>
  <c r="S63" i="85"/>
  <c r="N63" i="85"/>
  <c r="J63" i="85"/>
  <c r="I63" i="85"/>
  <c r="S62" i="85"/>
  <c r="N62" i="85"/>
  <c r="J62" i="85"/>
  <c r="I62" i="85"/>
  <c r="S61" i="85"/>
  <c r="N61" i="85"/>
  <c r="J61" i="85"/>
  <c r="I61" i="85"/>
  <c r="S60" i="85"/>
  <c r="N60" i="85"/>
  <c r="J60" i="85"/>
  <c r="I60" i="85"/>
  <c r="S59" i="85"/>
  <c r="N59" i="85"/>
  <c r="J59" i="85"/>
  <c r="I59" i="85"/>
  <c r="S58" i="85"/>
  <c r="N58" i="85"/>
  <c r="J58" i="85"/>
  <c r="I58" i="85"/>
  <c r="S57" i="85"/>
  <c r="N57" i="85"/>
  <c r="J57" i="85"/>
  <c r="I57" i="85"/>
  <c r="S56" i="85"/>
  <c r="N56" i="85"/>
  <c r="J56" i="85"/>
  <c r="I56" i="85"/>
  <c r="S55" i="85"/>
  <c r="N55" i="85"/>
  <c r="J55" i="85"/>
  <c r="I55" i="85"/>
  <c r="S54" i="85"/>
  <c r="N54" i="85"/>
  <c r="J54" i="85"/>
  <c r="I54" i="85"/>
  <c r="S53" i="85"/>
  <c r="N53" i="85"/>
  <c r="J53" i="85"/>
  <c r="I53" i="85"/>
  <c r="S52" i="85"/>
  <c r="N52" i="85"/>
  <c r="J52" i="85"/>
  <c r="I52" i="85"/>
  <c r="S51" i="85"/>
  <c r="N51" i="85"/>
  <c r="J51" i="85"/>
  <c r="I51" i="85"/>
  <c r="S50" i="85"/>
  <c r="N50" i="85"/>
  <c r="J50" i="85"/>
  <c r="I50" i="85"/>
  <c r="S49" i="85"/>
  <c r="N49" i="85"/>
  <c r="J49" i="85"/>
  <c r="I49" i="85"/>
  <c r="S48" i="85"/>
  <c r="N48" i="85"/>
  <c r="J48" i="85"/>
  <c r="I48" i="85"/>
  <c r="S47" i="85"/>
  <c r="N47" i="85"/>
  <c r="J47" i="85"/>
  <c r="I47" i="85"/>
  <c r="S46" i="85"/>
  <c r="N46" i="85"/>
  <c r="J46" i="85"/>
  <c r="I46" i="85"/>
  <c r="S45" i="85"/>
  <c r="N45" i="85"/>
  <c r="J45" i="85"/>
  <c r="I45" i="85"/>
  <c r="S44" i="85"/>
  <c r="N44" i="85"/>
  <c r="J44" i="85"/>
  <c r="I44" i="85"/>
  <c r="S43" i="85"/>
  <c r="N43" i="85"/>
  <c r="J43" i="85"/>
  <c r="I43" i="85"/>
  <c r="S42" i="85"/>
  <c r="N42" i="85"/>
  <c r="J42" i="85"/>
  <c r="I42" i="85"/>
  <c r="S41" i="85"/>
  <c r="N41" i="85"/>
  <c r="J41" i="85"/>
  <c r="I41" i="85"/>
  <c r="S40" i="85"/>
  <c r="N40" i="85"/>
  <c r="J40" i="85"/>
  <c r="I40" i="85"/>
  <c r="S39" i="85"/>
  <c r="N39" i="85"/>
  <c r="J39" i="85"/>
  <c r="I39" i="85"/>
  <c r="S38" i="85"/>
  <c r="N38" i="85"/>
  <c r="J38" i="85"/>
  <c r="I38" i="85"/>
  <c r="S37" i="85"/>
  <c r="N37" i="85"/>
  <c r="J37" i="85"/>
  <c r="I37" i="85"/>
  <c r="S36" i="85"/>
  <c r="N36" i="85"/>
  <c r="J36" i="85"/>
  <c r="I36" i="85"/>
  <c r="S35" i="85"/>
  <c r="N35" i="85"/>
  <c r="J35" i="85"/>
  <c r="I35" i="85"/>
  <c r="S34" i="85"/>
  <c r="N34" i="85"/>
  <c r="J34" i="85"/>
  <c r="I34" i="85"/>
  <c r="S33" i="85"/>
  <c r="N33" i="85"/>
  <c r="J33" i="85"/>
  <c r="I33" i="85"/>
  <c r="V32" i="85"/>
  <c r="S32" i="85"/>
  <c r="N32" i="85"/>
  <c r="J32" i="85"/>
  <c r="I32" i="85"/>
  <c r="S31" i="85"/>
  <c r="N31" i="85"/>
  <c r="J31" i="85"/>
  <c r="I31" i="85"/>
  <c r="S30" i="85"/>
  <c r="N30" i="85"/>
  <c r="J30" i="85"/>
  <c r="I30" i="85"/>
  <c r="S29" i="85"/>
  <c r="N29" i="85"/>
  <c r="J29" i="85"/>
  <c r="I29" i="85"/>
  <c r="S28" i="85"/>
  <c r="N28" i="85"/>
  <c r="J28" i="85"/>
  <c r="I28" i="85"/>
  <c r="S27" i="85"/>
  <c r="N27" i="85"/>
  <c r="J27" i="85"/>
  <c r="I27" i="85"/>
  <c r="S26" i="85"/>
  <c r="N26" i="85"/>
  <c r="J26" i="85"/>
  <c r="I26" i="85"/>
  <c r="S25" i="85"/>
  <c r="N25" i="85"/>
  <c r="J25" i="85"/>
  <c r="I25" i="85"/>
  <c r="S24" i="85"/>
  <c r="N24" i="85"/>
  <c r="J24" i="85"/>
  <c r="I24" i="85"/>
  <c r="S23" i="85"/>
  <c r="N23" i="85"/>
  <c r="J23" i="85"/>
  <c r="I23" i="85"/>
  <c r="S22" i="85"/>
  <c r="N22" i="85"/>
  <c r="J22" i="85"/>
  <c r="I22" i="85"/>
  <c r="S21" i="85"/>
  <c r="N21" i="85"/>
  <c r="J21" i="85"/>
  <c r="I21" i="85"/>
  <c r="S20" i="85"/>
  <c r="N20" i="85"/>
  <c r="J20" i="85"/>
  <c r="I20" i="85"/>
  <c r="S19" i="85"/>
  <c r="N19" i="85"/>
  <c r="J19" i="85"/>
  <c r="I19" i="85"/>
  <c r="S18" i="85"/>
  <c r="N18" i="85"/>
  <c r="J18" i="85"/>
  <c r="I18" i="85"/>
  <c r="S17" i="85"/>
  <c r="N17" i="85"/>
  <c r="J17" i="85"/>
  <c r="I17" i="85"/>
  <c r="S16" i="85"/>
  <c r="N16" i="85"/>
  <c r="J16" i="85"/>
  <c r="I16" i="85"/>
  <c r="S15" i="85"/>
  <c r="N15" i="85"/>
  <c r="J15" i="85"/>
  <c r="I15" i="85"/>
  <c r="S14" i="85"/>
  <c r="N14" i="85"/>
  <c r="J14" i="85"/>
  <c r="I14" i="85"/>
  <c r="S13" i="85"/>
  <c r="N13" i="85"/>
  <c r="J13" i="85"/>
  <c r="I13" i="85"/>
  <c r="S12" i="85"/>
  <c r="N12" i="85"/>
  <c r="J12" i="85"/>
  <c r="I12" i="85"/>
  <c r="S11" i="85"/>
  <c r="N11" i="85"/>
  <c r="J11" i="85"/>
  <c r="I11" i="85"/>
  <c r="S10" i="85"/>
  <c r="N10" i="85"/>
  <c r="J10" i="85"/>
  <c r="I10" i="85"/>
  <c r="S9" i="85"/>
  <c r="N9" i="85"/>
  <c r="J9" i="85"/>
  <c r="I9" i="85"/>
  <c r="S8" i="85"/>
  <c r="N8" i="85"/>
  <c r="J8" i="85"/>
  <c r="I8" i="85"/>
  <c r="S7" i="85"/>
  <c r="N7" i="85"/>
  <c r="J7" i="85"/>
  <c r="I7" i="85"/>
  <c r="S6" i="85"/>
  <c r="N6" i="85"/>
  <c r="J6" i="85"/>
  <c r="I6" i="85"/>
  <c r="S5" i="85"/>
  <c r="N5" i="85"/>
  <c r="J5" i="85"/>
  <c r="I5" i="85"/>
  <c r="S4" i="85"/>
  <c r="N4" i="85"/>
  <c r="J4" i="85"/>
  <c r="I4" i="85"/>
  <c r="S3" i="85"/>
  <c r="N3" i="85"/>
  <c r="J3" i="85"/>
  <c r="I3" i="85"/>
  <c r="V2" i="85"/>
  <c r="U2" i="85"/>
  <c r="U3" i="85" s="1"/>
  <c r="U4" i="85" s="1"/>
  <c r="S2" i="85"/>
  <c r="N2" i="85"/>
  <c r="J2" i="85"/>
  <c r="I2" i="85"/>
  <c r="A505" i="83"/>
  <c r="C504" i="83"/>
  <c r="A504" i="83"/>
  <c r="A503" i="83"/>
  <c r="C502" i="83"/>
  <c r="A502" i="83"/>
  <c r="A501" i="83"/>
  <c r="C500" i="83"/>
  <c r="A500" i="83"/>
  <c r="A499" i="83"/>
  <c r="C498" i="83"/>
  <c r="A498" i="83"/>
  <c r="A497" i="83"/>
  <c r="C496" i="83"/>
  <c r="A496" i="83"/>
  <c r="A495" i="83"/>
  <c r="C494" i="83"/>
  <c r="A494" i="83"/>
  <c r="C493" i="83"/>
  <c r="C492" i="83"/>
  <c r="C491" i="83"/>
  <c r="C490" i="83"/>
  <c r="C489" i="83"/>
  <c r="C488" i="83"/>
  <c r="C487" i="83"/>
  <c r="C486" i="83"/>
  <c r="C485" i="83"/>
  <c r="C484" i="83"/>
  <c r="C483" i="83"/>
  <c r="C482" i="83"/>
  <c r="C481" i="83"/>
  <c r="C480" i="83"/>
  <c r="C479" i="83"/>
  <c r="C478" i="83"/>
  <c r="C477" i="83"/>
  <c r="C476" i="83"/>
  <c r="C475" i="83"/>
  <c r="C474" i="83"/>
  <c r="C473" i="83"/>
  <c r="C472" i="83"/>
  <c r="C471" i="83"/>
  <c r="C470" i="83"/>
  <c r="C469" i="83"/>
  <c r="C468" i="83"/>
  <c r="C467" i="83"/>
  <c r="C466" i="83"/>
  <c r="C465" i="83"/>
  <c r="C464" i="83"/>
  <c r="C463" i="83"/>
  <c r="C462" i="83"/>
  <c r="C461" i="83"/>
  <c r="C460" i="83"/>
  <c r="C459" i="83"/>
  <c r="C458" i="83"/>
  <c r="C457" i="83"/>
  <c r="C456" i="83"/>
  <c r="C455" i="83"/>
  <c r="C454" i="83"/>
  <c r="C453" i="83"/>
  <c r="C452" i="83"/>
  <c r="C451" i="83"/>
  <c r="C450" i="83"/>
  <c r="C449" i="83"/>
  <c r="C448" i="83"/>
  <c r="C447" i="83"/>
  <c r="C446" i="83"/>
  <c r="C445" i="83"/>
  <c r="C444" i="83"/>
  <c r="C443" i="83"/>
  <c r="C442" i="83"/>
  <c r="C441" i="83"/>
  <c r="C440" i="83"/>
  <c r="C439" i="83"/>
  <c r="C438" i="83"/>
  <c r="C437" i="83"/>
  <c r="C436" i="83"/>
  <c r="C435" i="83"/>
  <c r="C434" i="83"/>
  <c r="C433" i="83"/>
  <c r="C432" i="83"/>
  <c r="C431" i="83"/>
  <c r="C430" i="83"/>
  <c r="C429" i="83"/>
  <c r="C428" i="83"/>
  <c r="C427" i="83"/>
  <c r="C426" i="83"/>
  <c r="C425" i="83"/>
  <c r="C424" i="83"/>
  <c r="C423" i="83"/>
  <c r="C422" i="83"/>
  <c r="C421" i="83"/>
  <c r="C420" i="83"/>
  <c r="C419" i="83"/>
  <c r="C418" i="83"/>
  <c r="C417" i="83"/>
  <c r="C416" i="83"/>
  <c r="C415" i="83"/>
  <c r="C414" i="83"/>
  <c r="C413" i="83"/>
  <c r="C412" i="83"/>
  <c r="C411" i="83"/>
  <c r="C410" i="83"/>
  <c r="C409" i="83"/>
  <c r="C408" i="83"/>
  <c r="C407" i="83"/>
  <c r="C406" i="83"/>
  <c r="C405" i="83"/>
  <c r="C404" i="83"/>
  <c r="C403" i="83"/>
  <c r="C402" i="83"/>
  <c r="C401" i="83"/>
  <c r="C400" i="83"/>
  <c r="C399" i="83"/>
  <c r="C398" i="83"/>
  <c r="C397" i="83"/>
  <c r="C396" i="83"/>
  <c r="C395" i="83"/>
  <c r="C394" i="83"/>
  <c r="C393" i="83"/>
  <c r="C392" i="83"/>
  <c r="C391" i="83"/>
  <c r="C390" i="83"/>
  <c r="C389" i="83"/>
  <c r="C388" i="83"/>
  <c r="C387" i="83"/>
  <c r="C386" i="83"/>
  <c r="C385" i="83"/>
  <c r="C384" i="83"/>
  <c r="C383" i="83"/>
  <c r="C382" i="83"/>
  <c r="C381" i="83"/>
  <c r="C380" i="83"/>
  <c r="C379" i="83"/>
  <c r="C378" i="83"/>
  <c r="C377" i="83"/>
  <c r="C376" i="83"/>
  <c r="C375" i="83"/>
  <c r="C374" i="83"/>
  <c r="C373" i="83"/>
  <c r="C372" i="83"/>
  <c r="C371" i="83"/>
  <c r="C370" i="83"/>
  <c r="C369" i="83"/>
  <c r="C368" i="83"/>
  <c r="C367" i="83"/>
  <c r="C366" i="83"/>
  <c r="C365" i="83"/>
  <c r="C364" i="83"/>
  <c r="C363" i="83"/>
  <c r="C362" i="83"/>
  <c r="C361" i="83"/>
  <c r="C360" i="83"/>
  <c r="C359" i="83"/>
  <c r="C358" i="83"/>
  <c r="C357" i="83"/>
  <c r="C356" i="83"/>
  <c r="C355" i="83"/>
  <c r="C354" i="83"/>
  <c r="C353" i="83"/>
  <c r="C352" i="83"/>
  <c r="C351" i="83"/>
  <c r="C350" i="83"/>
  <c r="C349" i="83"/>
  <c r="C348" i="83"/>
  <c r="C347" i="83"/>
  <c r="C346" i="83"/>
  <c r="C345" i="83"/>
  <c r="C344" i="83"/>
  <c r="C343" i="83"/>
  <c r="C342" i="83"/>
  <c r="C341" i="83"/>
  <c r="C340" i="83"/>
  <c r="C339" i="83"/>
  <c r="C338" i="83"/>
  <c r="C337" i="83"/>
  <c r="C336" i="83"/>
  <c r="C335" i="83"/>
  <c r="C334" i="83"/>
  <c r="C333" i="83"/>
  <c r="C332" i="83"/>
  <c r="C331" i="83"/>
  <c r="C330" i="83"/>
  <c r="C329" i="83"/>
  <c r="C328" i="83"/>
  <c r="C327" i="83"/>
  <c r="C326" i="83"/>
  <c r="C325" i="83"/>
  <c r="C324" i="83"/>
  <c r="C323" i="83"/>
  <c r="C322" i="83"/>
  <c r="C321" i="83"/>
  <c r="C320" i="83"/>
  <c r="C319" i="83"/>
  <c r="C318" i="83"/>
  <c r="C317" i="83"/>
  <c r="C316" i="83"/>
  <c r="C315" i="83"/>
  <c r="C314" i="83"/>
  <c r="C313" i="83"/>
  <c r="C312" i="83"/>
  <c r="C311" i="83"/>
  <c r="C310" i="83"/>
  <c r="C309" i="83"/>
  <c r="C308" i="83"/>
  <c r="C307" i="83"/>
  <c r="C306" i="83"/>
  <c r="C305" i="83"/>
  <c r="C304" i="83"/>
  <c r="C303" i="83"/>
  <c r="C302" i="83"/>
  <c r="C301" i="83"/>
  <c r="C300" i="83"/>
  <c r="C299" i="83"/>
  <c r="C298" i="83"/>
  <c r="C297" i="83"/>
  <c r="C296" i="83"/>
  <c r="C295" i="83"/>
  <c r="C294" i="83"/>
  <c r="C293" i="83"/>
  <c r="C292" i="83"/>
  <c r="C291" i="83"/>
  <c r="C290" i="83"/>
  <c r="C289" i="83"/>
  <c r="C288" i="83"/>
  <c r="C287" i="83"/>
  <c r="C286" i="83"/>
  <c r="C285" i="83"/>
  <c r="C284" i="83"/>
  <c r="C283" i="83"/>
  <c r="C282" i="83"/>
  <c r="C281" i="83"/>
  <c r="C280" i="83"/>
  <c r="C279" i="83"/>
  <c r="C278" i="83"/>
  <c r="C277" i="83"/>
  <c r="C276" i="83"/>
  <c r="C275" i="83"/>
  <c r="C274" i="83"/>
  <c r="C273" i="83"/>
  <c r="C272" i="83"/>
  <c r="C271" i="83"/>
  <c r="C270" i="83"/>
  <c r="C269" i="83"/>
  <c r="C268" i="83"/>
  <c r="C267" i="83"/>
  <c r="C266" i="83"/>
  <c r="C265" i="83"/>
  <c r="C264" i="83"/>
  <c r="C263" i="83"/>
  <c r="C262" i="83"/>
  <c r="C261" i="83"/>
  <c r="C260" i="83"/>
  <c r="C259" i="83"/>
  <c r="C258" i="83"/>
  <c r="C257" i="83"/>
  <c r="C256" i="83"/>
  <c r="C255" i="83"/>
  <c r="C254" i="83"/>
  <c r="C253" i="83"/>
  <c r="C252" i="83"/>
  <c r="C251" i="83"/>
  <c r="C250" i="83"/>
  <c r="C249" i="83"/>
  <c r="C248" i="83"/>
  <c r="C247" i="83"/>
  <c r="C246" i="83"/>
  <c r="C245" i="83"/>
  <c r="C244" i="83"/>
  <c r="C243" i="83"/>
  <c r="C242" i="83"/>
  <c r="C241" i="83"/>
  <c r="C240" i="83"/>
  <c r="C239" i="83"/>
  <c r="C238" i="83"/>
  <c r="C237" i="83"/>
  <c r="C236" i="83"/>
  <c r="C235" i="83"/>
  <c r="C234" i="83"/>
  <c r="C233" i="83"/>
  <c r="C232" i="83"/>
  <c r="C231" i="83"/>
  <c r="C230" i="83"/>
  <c r="C229" i="83"/>
  <c r="C228" i="83"/>
  <c r="C227" i="83"/>
  <c r="C226" i="83"/>
  <c r="C225" i="83"/>
  <c r="C224" i="83"/>
  <c r="C223" i="83"/>
  <c r="C222" i="83"/>
  <c r="C221" i="83"/>
  <c r="C220" i="83"/>
  <c r="C219" i="83"/>
  <c r="C218" i="83"/>
  <c r="C217" i="83"/>
  <c r="C216" i="83"/>
  <c r="C215" i="83"/>
  <c r="C214" i="83"/>
  <c r="C213" i="83"/>
  <c r="C212" i="83"/>
  <c r="C211" i="83"/>
  <c r="C210" i="83"/>
  <c r="C209" i="83"/>
  <c r="C208" i="83"/>
  <c r="C207" i="83"/>
  <c r="C206" i="83"/>
  <c r="C205" i="83"/>
  <c r="C204" i="83"/>
  <c r="C203" i="83"/>
  <c r="C202" i="83"/>
  <c r="C201" i="83"/>
  <c r="C200" i="83"/>
  <c r="C199" i="83"/>
  <c r="C198" i="83"/>
  <c r="C197" i="83"/>
  <c r="C196" i="83"/>
  <c r="C195" i="83"/>
  <c r="C194" i="83"/>
  <c r="C193" i="83"/>
  <c r="C192" i="83"/>
  <c r="C191" i="83"/>
  <c r="C190" i="83"/>
  <c r="C189" i="83"/>
  <c r="C188" i="83"/>
  <c r="C187" i="83"/>
  <c r="C186" i="83"/>
  <c r="C185" i="83"/>
  <c r="C184" i="83"/>
  <c r="C183" i="83"/>
  <c r="C182" i="83"/>
  <c r="C181" i="83"/>
  <c r="C180" i="83"/>
  <c r="C179" i="83"/>
  <c r="C178" i="83"/>
  <c r="C177" i="83"/>
  <c r="C176" i="83"/>
  <c r="C175" i="83"/>
  <c r="C174" i="83"/>
  <c r="C173" i="83"/>
  <c r="C172" i="83"/>
  <c r="C171" i="83"/>
  <c r="C170" i="83"/>
  <c r="R169" i="83"/>
  <c r="P169" i="83"/>
  <c r="O169" i="83"/>
  <c r="C169" i="83"/>
  <c r="T168" i="83"/>
  <c r="R168" i="83"/>
  <c r="P168" i="83"/>
  <c r="O168" i="83"/>
  <c r="C168" i="83"/>
  <c r="R167" i="83"/>
  <c r="P167" i="83"/>
  <c r="O167" i="83"/>
  <c r="O173" i="83" s="1"/>
  <c r="O174" i="83" s="1"/>
  <c r="O166" i="83" s="1"/>
  <c r="C167" i="83"/>
  <c r="T166" i="83"/>
  <c r="R166" i="83"/>
  <c r="P166" i="83"/>
  <c r="C166" i="83"/>
  <c r="X165" i="83"/>
  <c r="W165" i="83"/>
  <c r="T165" i="83"/>
  <c r="T169" i="83" s="1"/>
  <c r="C165" i="83"/>
  <c r="X164" i="83"/>
  <c r="W164" i="83"/>
  <c r="T164" i="83"/>
  <c r="C164" i="83"/>
  <c r="X163" i="83"/>
  <c r="W163" i="83"/>
  <c r="T163" i="83"/>
  <c r="T167" i="83" s="1"/>
  <c r="C163" i="83"/>
  <c r="X162" i="83"/>
  <c r="W162" i="83"/>
  <c r="T162" i="83"/>
  <c r="C162" i="83"/>
  <c r="X161" i="83"/>
  <c r="W161" i="83"/>
  <c r="T161" i="83"/>
  <c r="C161" i="83"/>
  <c r="X160" i="83"/>
  <c r="W160" i="83"/>
  <c r="T160" i="83"/>
  <c r="C160" i="83"/>
  <c r="X159" i="83"/>
  <c r="W159" i="83"/>
  <c r="T159" i="83"/>
  <c r="C159" i="83"/>
  <c r="X158" i="83"/>
  <c r="W158" i="83"/>
  <c r="T158" i="83"/>
  <c r="C158" i="83"/>
  <c r="X157" i="83"/>
  <c r="W157" i="83"/>
  <c r="T157" i="83"/>
  <c r="C157" i="83"/>
  <c r="X156" i="83"/>
  <c r="W156" i="83"/>
  <c r="T156" i="83"/>
  <c r="C156" i="83"/>
  <c r="X155" i="83"/>
  <c r="W155" i="83"/>
  <c r="T155" i="83"/>
  <c r="C155" i="83"/>
  <c r="X154" i="83"/>
  <c r="W154" i="83"/>
  <c r="T154" i="83"/>
  <c r="C154" i="83"/>
  <c r="X153" i="83"/>
  <c r="W153" i="83"/>
  <c r="T153" i="83"/>
  <c r="C153" i="83"/>
  <c r="X152" i="83"/>
  <c r="W152" i="83"/>
  <c r="T152" i="83"/>
  <c r="C152" i="83"/>
  <c r="X151" i="83"/>
  <c r="W151" i="83"/>
  <c r="T151" i="83"/>
  <c r="C151" i="83"/>
  <c r="X150" i="83"/>
  <c r="W150" i="83"/>
  <c r="T150" i="83"/>
  <c r="C150" i="83"/>
  <c r="X149" i="83"/>
  <c r="W149" i="83"/>
  <c r="T149" i="83"/>
  <c r="C149" i="83"/>
  <c r="X148" i="83"/>
  <c r="W148" i="83"/>
  <c r="T148" i="83"/>
  <c r="C148" i="83"/>
  <c r="X147" i="83"/>
  <c r="W147" i="83"/>
  <c r="T147" i="83"/>
  <c r="C147" i="83"/>
  <c r="X146" i="83"/>
  <c r="W146" i="83"/>
  <c r="T146" i="83"/>
  <c r="C146" i="83"/>
  <c r="X145" i="83"/>
  <c r="W145" i="83"/>
  <c r="T145" i="83"/>
  <c r="C145" i="83"/>
  <c r="X144" i="83"/>
  <c r="W144" i="83"/>
  <c r="T144" i="83"/>
  <c r="C144" i="83"/>
  <c r="X143" i="83"/>
  <c r="W143" i="83"/>
  <c r="T143" i="83"/>
  <c r="C143" i="83"/>
  <c r="X142" i="83"/>
  <c r="W142" i="83"/>
  <c r="T142" i="83"/>
  <c r="C142" i="83"/>
  <c r="X141" i="83"/>
  <c r="W141" i="83"/>
  <c r="T141" i="83"/>
  <c r="C141" i="83"/>
  <c r="X140" i="83"/>
  <c r="W140" i="83"/>
  <c r="T140" i="83"/>
  <c r="C140" i="83"/>
  <c r="X139" i="83"/>
  <c r="W139" i="83"/>
  <c r="T139" i="83"/>
  <c r="C139" i="83"/>
  <c r="X138" i="83"/>
  <c r="W138" i="83"/>
  <c r="T138" i="83"/>
  <c r="C138" i="83"/>
  <c r="X137" i="83"/>
  <c r="W137" i="83"/>
  <c r="T137" i="83"/>
  <c r="C137" i="83"/>
  <c r="X136" i="83"/>
  <c r="W136" i="83"/>
  <c r="T136" i="83"/>
  <c r="C136" i="83"/>
  <c r="X135" i="83"/>
  <c r="W135" i="83"/>
  <c r="T135" i="83"/>
  <c r="C135" i="83"/>
  <c r="X134" i="83"/>
  <c r="W134" i="83"/>
  <c r="T134" i="83"/>
  <c r="C134" i="83"/>
  <c r="X133" i="83"/>
  <c r="W133" i="83"/>
  <c r="T133" i="83"/>
  <c r="C133" i="83"/>
  <c r="X132" i="83"/>
  <c r="W132" i="83"/>
  <c r="T132" i="83"/>
  <c r="C132" i="83"/>
  <c r="X131" i="83"/>
  <c r="W131" i="83"/>
  <c r="T131" i="83"/>
  <c r="C131" i="83"/>
  <c r="X130" i="83"/>
  <c r="W130" i="83"/>
  <c r="T130" i="83"/>
  <c r="C130" i="83"/>
  <c r="X129" i="83"/>
  <c r="W129" i="83"/>
  <c r="T129" i="83"/>
  <c r="C129" i="83"/>
  <c r="X128" i="83"/>
  <c r="W128" i="83"/>
  <c r="T128" i="83"/>
  <c r="C128" i="83"/>
  <c r="X127" i="83"/>
  <c r="W127" i="83"/>
  <c r="T127" i="83"/>
  <c r="C127" i="83"/>
  <c r="X126" i="83"/>
  <c r="W126" i="83"/>
  <c r="T126" i="83"/>
  <c r="C126" i="83"/>
  <c r="X125" i="83"/>
  <c r="W125" i="83"/>
  <c r="T125" i="83"/>
  <c r="C125" i="83"/>
  <c r="X124" i="83"/>
  <c r="W124" i="83"/>
  <c r="T124" i="83"/>
  <c r="C124" i="83"/>
  <c r="X123" i="83"/>
  <c r="W123" i="83"/>
  <c r="T123" i="83"/>
  <c r="C123" i="83"/>
  <c r="X122" i="83"/>
  <c r="W122" i="83"/>
  <c r="T122" i="83"/>
  <c r="C122" i="83"/>
  <c r="X121" i="83"/>
  <c r="W121" i="83"/>
  <c r="T121" i="83"/>
  <c r="C121" i="83"/>
  <c r="X120" i="83"/>
  <c r="W120" i="83"/>
  <c r="T120" i="83"/>
  <c r="C120" i="83"/>
  <c r="X119" i="83"/>
  <c r="W119" i="83"/>
  <c r="T119" i="83"/>
  <c r="C119" i="83"/>
  <c r="X118" i="83"/>
  <c r="W118" i="83"/>
  <c r="T118" i="83"/>
  <c r="C118" i="83"/>
  <c r="X117" i="83"/>
  <c r="W117" i="83"/>
  <c r="T117" i="83"/>
  <c r="C117" i="83"/>
  <c r="X116" i="83"/>
  <c r="W116" i="83"/>
  <c r="T116" i="83"/>
  <c r="C116" i="83"/>
  <c r="X115" i="83"/>
  <c r="W115" i="83"/>
  <c r="T115" i="83"/>
  <c r="C115" i="83"/>
  <c r="X114" i="83"/>
  <c r="W114" i="83"/>
  <c r="T114" i="83"/>
  <c r="C114" i="83"/>
  <c r="X113" i="83"/>
  <c r="W113" i="83"/>
  <c r="T113" i="83"/>
  <c r="C113" i="83"/>
  <c r="X112" i="83"/>
  <c r="W112" i="83"/>
  <c r="T112" i="83"/>
  <c r="C112" i="83"/>
  <c r="X111" i="83"/>
  <c r="W111" i="83"/>
  <c r="T111" i="83"/>
  <c r="C111" i="83"/>
  <c r="X110" i="83"/>
  <c r="W110" i="83"/>
  <c r="T110" i="83"/>
  <c r="C110" i="83"/>
  <c r="X109" i="83"/>
  <c r="W109" i="83"/>
  <c r="T109" i="83"/>
  <c r="C109" i="83"/>
  <c r="X108" i="83"/>
  <c r="W108" i="83"/>
  <c r="T108" i="83"/>
  <c r="C108" i="83"/>
  <c r="X107" i="83"/>
  <c r="W107" i="83"/>
  <c r="T107" i="83"/>
  <c r="C107" i="83"/>
  <c r="X106" i="83"/>
  <c r="W106" i="83"/>
  <c r="T106" i="83"/>
  <c r="C106" i="83"/>
  <c r="X105" i="83"/>
  <c r="W105" i="83"/>
  <c r="T105" i="83"/>
  <c r="C105" i="83"/>
  <c r="X104" i="83"/>
  <c r="W104" i="83"/>
  <c r="T104" i="83"/>
  <c r="C104" i="83"/>
  <c r="X103" i="83"/>
  <c r="W103" i="83"/>
  <c r="T103" i="83"/>
  <c r="C103" i="83"/>
  <c r="X102" i="83"/>
  <c r="W102" i="83"/>
  <c r="T102" i="83"/>
  <c r="C102" i="83"/>
  <c r="X101" i="83"/>
  <c r="W101" i="83"/>
  <c r="T101" i="83"/>
  <c r="C101" i="83"/>
  <c r="X100" i="83"/>
  <c r="W100" i="83"/>
  <c r="T100" i="83"/>
  <c r="C100" i="83"/>
  <c r="X99" i="83"/>
  <c r="W99" i="83"/>
  <c r="T99" i="83"/>
  <c r="C99" i="83"/>
  <c r="X98" i="83"/>
  <c r="W98" i="83"/>
  <c r="T98" i="83"/>
  <c r="C98" i="83"/>
  <c r="X97" i="83"/>
  <c r="W97" i="83"/>
  <c r="T97" i="83"/>
  <c r="C97" i="83"/>
  <c r="X96" i="83"/>
  <c r="W96" i="83"/>
  <c r="T96" i="83"/>
  <c r="C96" i="83"/>
  <c r="X95" i="83"/>
  <c r="W95" i="83"/>
  <c r="T95" i="83"/>
  <c r="C95" i="83"/>
  <c r="X94" i="83"/>
  <c r="W94" i="83"/>
  <c r="T94" i="83"/>
  <c r="C94" i="83"/>
  <c r="X93" i="83"/>
  <c r="W93" i="83"/>
  <c r="T93" i="83"/>
  <c r="C93" i="83"/>
  <c r="X92" i="83"/>
  <c r="W92" i="83"/>
  <c r="T92" i="83"/>
  <c r="C92" i="83"/>
  <c r="X91" i="83"/>
  <c r="W91" i="83"/>
  <c r="T91" i="83"/>
  <c r="C91" i="83"/>
  <c r="X90" i="83"/>
  <c r="W90" i="83"/>
  <c r="T90" i="83"/>
  <c r="C90" i="83"/>
  <c r="X89" i="83"/>
  <c r="W89" i="83"/>
  <c r="T89" i="83"/>
  <c r="C89" i="83"/>
  <c r="X88" i="83"/>
  <c r="W88" i="83"/>
  <c r="T88" i="83"/>
  <c r="C88" i="83"/>
  <c r="X87" i="83"/>
  <c r="W87" i="83"/>
  <c r="T87" i="83"/>
  <c r="C87" i="83"/>
  <c r="X86" i="83"/>
  <c r="W86" i="83"/>
  <c r="T86" i="83"/>
  <c r="C86" i="83"/>
  <c r="X85" i="83"/>
  <c r="W85" i="83"/>
  <c r="T85" i="83"/>
  <c r="C85" i="83"/>
  <c r="X84" i="83"/>
  <c r="W84" i="83"/>
  <c r="T84" i="83"/>
  <c r="C84" i="83"/>
  <c r="X83" i="83"/>
  <c r="W83" i="83"/>
  <c r="T83" i="83"/>
  <c r="C83" i="83"/>
  <c r="X82" i="83"/>
  <c r="W82" i="83"/>
  <c r="T82" i="83"/>
  <c r="C82" i="83"/>
  <c r="X81" i="83"/>
  <c r="W81" i="83"/>
  <c r="T81" i="83"/>
  <c r="C81" i="83"/>
  <c r="X80" i="83"/>
  <c r="W80" i="83"/>
  <c r="T80" i="83"/>
  <c r="C80" i="83"/>
  <c r="X79" i="83"/>
  <c r="W79" i="83"/>
  <c r="T79" i="83"/>
  <c r="C79" i="83"/>
  <c r="X78" i="83"/>
  <c r="W78" i="83"/>
  <c r="T78" i="83"/>
  <c r="C78" i="83"/>
  <c r="X77" i="83"/>
  <c r="W77" i="83"/>
  <c r="T77" i="83"/>
  <c r="C77" i="83"/>
  <c r="X76" i="83"/>
  <c r="W76" i="83"/>
  <c r="T76" i="83"/>
  <c r="C76" i="83"/>
  <c r="X75" i="83"/>
  <c r="W75" i="83"/>
  <c r="T75" i="83"/>
  <c r="C75" i="83"/>
  <c r="X74" i="83"/>
  <c r="W74" i="83"/>
  <c r="T74" i="83"/>
  <c r="C74" i="83"/>
  <c r="X73" i="83"/>
  <c r="W73" i="83"/>
  <c r="T73" i="83"/>
  <c r="C73" i="83"/>
  <c r="X72" i="83"/>
  <c r="W72" i="83"/>
  <c r="T72" i="83"/>
  <c r="C72" i="83"/>
  <c r="X71" i="83"/>
  <c r="W71" i="83"/>
  <c r="T71" i="83"/>
  <c r="C71" i="83"/>
  <c r="X70" i="83"/>
  <c r="W70" i="83"/>
  <c r="T70" i="83"/>
  <c r="C70" i="83"/>
  <c r="X69" i="83"/>
  <c r="W69" i="83"/>
  <c r="T69" i="83"/>
  <c r="C69" i="83"/>
  <c r="X68" i="83"/>
  <c r="W68" i="83"/>
  <c r="T68" i="83"/>
  <c r="C68" i="83"/>
  <c r="X67" i="83"/>
  <c r="W67" i="83"/>
  <c r="T67" i="83"/>
  <c r="C67" i="83"/>
  <c r="X66" i="83"/>
  <c r="W66" i="83"/>
  <c r="T66" i="83"/>
  <c r="C66" i="83"/>
  <c r="X65" i="83"/>
  <c r="W65" i="83"/>
  <c r="T65" i="83"/>
  <c r="C65" i="83"/>
  <c r="X64" i="83"/>
  <c r="W64" i="83"/>
  <c r="T64" i="83"/>
  <c r="C64" i="83"/>
  <c r="X63" i="83"/>
  <c r="W63" i="83"/>
  <c r="T63" i="83"/>
  <c r="C63" i="83"/>
  <c r="X62" i="83"/>
  <c r="W62" i="83"/>
  <c r="T62" i="83"/>
  <c r="C62" i="83"/>
  <c r="X61" i="83"/>
  <c r="W61" i="83"/>
  <c r="T61" i="83"/>
  <c r="C61" i="83"/>
  <c r="X60" i="83"/>
  <c r="W60" i="83"/>
  <c r="T60" i="83"/>
  <c r="C60" i="83"/>
  <c r="X59" i="83"/>
  <c r="W59" i="83"/>
  <c r="T59" i="83"/>
  <c r="C59" i="83"/>
  <c r="X58" i="83"/>
  <c r="W58" i="83"/>
  <c r="T58" i="83"/>
  <c r="C58" i="83"/>
  <c r="X57" i="83"/>
  <c r="W57" i="83"/>
  <c r="T57" i="83"/>
  <c r="C57" i="83"/>
  <c r="X56" i="83"/>
  <c r="W56" i="83"/>
  <c r="T56" i="83"/>
  <c r="C56" i="83"/>
  <c r="X55" i="83"/>
  <c r="W55" i="83"/>
  <c r="T55" i="83"/>
  <c r="C55" i="83"/>
  <c r="X54" i="83"/>
  <c r="W54" i="83"/>
  <c r="T54" i="83"/>
  <c r="C54" i="83"/>
  <c r="X53" i="83"/>
  <c r="W53" i="83"/>
  <c r="T53" i="83"/>
  <c r="C53" i="83"/>
  <c r="X52" i="83"/>
  <c r="W52" i="83"/>
  <c r="T52" i="83"/>
  <c r="C52" i="83"/>
  <c r="X51" i="83"/>
  <c r="W51" i="83"/>
  <c r="T51" i="83"/>
  <c r="C51" i="83"/>
  <c r="X50" i="83"/>
  <c r="W50" i="83"/>
  <c r="T50" i="83"/>
  <c r="C50" i="83"/>
  <c r="X49" i="83"/>
  <c r="W49" i="83"/>
  <c r="T49" i="83"/>
  <c r="C49" i="83"/>
  <c r="X48" i="83"/>
  <c r="W48" i="83"/>
  <c r="T48" i="83"/>
  <c r="C48" i="83"/>
  <c r="X47" i="83"/>
  <c r="W47" i="83"/>
  <c r="T47" i="83"/>
  <c r="C47" i="83"/>
  <c r="X46" i="83"/>
  <c r="W46" i="83"/>
  <c r="T46" i="83"/>
  <c r="C46" i="83"/>
  <c r="X45" i="83"/>
  <c r="W45" i="83"/>
  <c r="T45" i="83"/>
  <c r="C45" i="83"/>
  <c r="X44" i="83"/>
  <c r="W44" i="83"/>
  <c r="T44" i="83"/>
  <c r="C44" i="83"/>
  <c r="X43" i="83"/>
  <c r="W43" i="83"/>
  <c r="T43" i="83"/>
  <c r="C43" i="83"/>
  <c r="X42" i="83"/>
  <c r="W42" i="83"/>
  <c r="T42" i="83"/>
  <c r="C42" i="83"/>
  <c r="X41" i="83"/>
  <c r="W41" i="83"/>
  <c r="T41" i="83"/>
  <c r="C41" i="83"/>
  <c r="X40" i="83"/>
  <c r="W40" i="83"/>
  <c r="T40" i="83"/>
  <c r="C40" i="83"/>
  <c r="X39" i="83"/>
  <c r="W39" i="83"/>
  <c r="T39" i="83"/>
  <c r="C39" i="83"/>
  <c r="X38" i="83"/>
  <c r="W38" i="83"/>
  <c r="T38" i="83"/>
  <c r="C38" i="83"/>
  <c r="X37" i="83"/>
  <c r="W37" i="83"/>
  <c r="T37" i="83"/>
  <c r="C37" i="83"/>
  <c r="X36" i="83"/>
  <c r="W36" i="83"/>
  <c r="T36" i="83"/>
  <c r="C36" i="83"/>
  <c r="X35" i="83"/>
  <c r="W35" i="83"/>
  <c r="T35" i="83"/>
  <c r="C35" i="83"/>
  <c r="X34" i="83"/>
  <c r="W34" i="83"/>
  <c r="T34" i="83"/>
  <c r="C34" i="83"/>
  <c r="X33" i="83"/>
  <c r="W33" i="83"/>
  <c r="T33" i="83"/>
  <c r="C33" i="83"/>
  <c r="X32" i="83"/>
  <c r="W32" i="83"/>
  <c r="T32" i="83"/>
  <c r="C32" i="83"/>
  <c r="X31" i="83"/>
  <c r="W31" i="83"/>
  <c r="T31" i="83"/>
  <c r="C31" i="83"/>
  <c r="X30" i="83"/>
  <c r="W30" i="83"/>
  <c r="T30" i="83"/>
  <c r="C30" i="83"/>
  <c r="X29" i="83"/>
  <c r="W29" i="83"/>
  <c r="T29" i="83"/>
  <c r="C29" i="83"/>
  <c r="X28" i="83"/>
  <c r="W28" i="83"/>
  <c r="T28" i="83"/>
  <c r="C28" i="83"/>
  <c r="X27" i="83"/>
  <c r="W27" i="83"/>
  <c r="T27" i="83"/>
  <c r="C27" i="83"/>
  <c r="X26" i="83"/>
  <c r="W26" i="83"/>
  <c r="T26" i="83"/>
  <c r="C26" i="83"/>
  <c r="X25" i="83"/>
  <c r="W25" i="83"/>
  <c r="T25" i="83"/>
  <c r="D25" i="83"/>
  <c r="C25" i="83"/>
  <c r="X24" i="83"/>
  <c r="W24" i="83"/>
  <c r="T24" i="83"/>
  <c r="D24" i="83"/>
  <c r="C24" i="83"/>
  <c r="X23" i="83"/>
  <c r="W23" i="83"/>
  <c r="T23" i="83"/>
  <c r="D23" i="83"/>
  <c r="C23" i="83"/>
  <c r="X22" i="83"/>
  <c r="W22" i="83"/>
  <c r="T22" i="83"/>
  <c r="D22" i="83"/>
  <c r="C22" i="83"/>
  <c r="X21" i="83"/>
  <c r="W21" i="83"/>
  <c r="T21" i="83"/>
  <c r="D21" i="83"/>
  <c r="C21" i="83"/>
  <c r="X20" i="83"/>
  <c r="W20" i="83"/>
  <c r="T20" i="83"/>
  <c r="D20" i="83"/>
  <c r="C20" i="83"/>
  <c r="X19" i="83"/>
  <c r="W19" i="83"/>
  <c r="T19" i="83"/>
  <c r="D19" i="83"/>
  <c r="C19" i="83"/>
  <c r="X18" i="83"/>
  <c r="W18" i="83"/>
  <c r="T18" i="83"/>
  <c r="D18" i="83"/>
  <c r="C18" i="83"/>
  <c r="X17" i="83"/>
  <c r="W17" i="83"/>
  <c r="T17" i="83"/>
  <c r="D17" i="83"/>
  <c r="C17" i="83"/>
  <c r="X16" i="83"/>
  <c r="W16" i="83"/>
  <c r="T16" i="83"/>
  <c r="D16" i="83"/>
  <c r="C16" i="83"/>
  <c r="X15" i="83"/>
  <c r="W15" i="83"/>
  <c r="T15" i="83"/>
  <c r="D15" i="83"/>
  <c r="C15" i="83"/>
  <c r="X14" i="83"/>
  <c r="W14" i="83"/>
  <c r="T14" i="83"/>
  <c r="D14" i="83"/>
  <c r="C14" i="83"/>
  <c r="X13" i="83"/>
  <c r="W13" i="83"/>
  <c r="T13" i="83"/>
  <c r="C13" i="83"/>
  <c r="X12" i="83"/>
  <c r="W12" i="83"/>
  <c r="T12" i="83"/>
  <c r="C12" i="83"/>
  <c r="X11" i="83"/>
  <c r="W11" i="83"/>
  <c r="T11" i="83"/>
  <c r="C11" i="83"/>
  <c r="X10" i="83"/>
  <c r="W10" i="83"/>
  <c r="T10" i="83"/>
  <c r="H10" i="83"/>
  <c r="C10" i="83"/>
  <c r="X9" i="83"/>
  <c r="W9" i="83"/>
  <c r="T9" i="83"/>
  <c r="N9" i="83"/>
  <c r="M9" i="83"/>
  <c r="M13" i="83" s="1"/>
  <c r="M17" i="83" s="1"/>
  <c r="M21" i="83" s="1"/>
  <c r="M25" i="83" s="1"/>
  <c r="M29" i="83" s="1"/>
  <c r="M33" i="83" s="1"/>
  <c r="M37" i="83" s="1"/>
  <c r="M41" i="83" s="1"/>
  <c r="M45" i="83" s="1"/>
  <c r="M49" i="83" s="1"/>
  <c r="M53" i="83" s="1"/>
  <c r="M57" i="83" s="1"/>
  <c r="M61" i="83" s="1"/>
  <c r="M65" i="83" s="1"/>
  <c r="M69" i="83" s="1"/>
  <c r="M73" i="83" s="1"/>
  <c r="M77" i="83" s="1"/>
  <c r="M81" i="83" s="1"/>
  <c r="M85" i="83" s="1"/>
  <c r="M89" i="83" s="1"/>
  <c r="M93" i="83" s="1"/>
  <c r="M97" i="83" s="1"/>
  <c r="M101" i="83" s="1"/>
  <c r="M105" i="83" s="1"/>
  <c r="M109" i="83" s="1"/>
  <c r="M113" i="83" s="1"/>
  <c r="M117" i="83" s="1"/>
  <c r="M121" i="83" s="1"/>
  <c r="M125" i="83" s="1"/>
  <c r="M129" i="83" s="1"/>
  <c r="M133" i="83" s="1"/>
  <c r="M137" i="83" s="1"/>
  <c r="M141" i="83" s="1"/>
  <c r="M145" i="83" s="1"/>
  <c r="M149" i="83" s="1"/>
  <c r="M153" i="83" s="1"/>
  <c r="M157" i="83" s="1"/>
  <c r="M161" i="83" s="1"/>
  <c r="M165" i="83" s="1"/>
  <c r="M169" i="83" s="1"/>
  <c r="L9" i="83"/>
  <c r="L13" i="83" s="1"/>
  <c r="C9" i="83"/>
  <c r="X8" i="83"/>
  <c r="W8" i="83"/>
  <c r="T8" i="83"/>
  <c r="M8" i="83"/>
  <c r="N8" i="83" s="1"/>
  <c r="L8" i="83"/>
  <c r="L12" i="83" s="1"/>
  <c r="F8" i="83"/>
  <c r="C8" i="83"/>
  <c r="X7" i="83"/>
  <c r="W7" i="83"/>
  <c r="T7" i="83"/>
  <c r="M7" i="83"/>
  <c r="M11" i="83" s="1"/>
  <c r="M15" i="83" s="1"/>
  <c r="M19" i="83" s="1"/>
  <c r="M23" i="83" s="1"/>
  <c r="M27" i="83" s="1"/>
  <c r="M31" i="83" s="1"/>
  <c r="M35" i="83" s="1"/>
  <c r="M39" i="83" s="1"/>
  <c r="M43" i="83" s="1"/>
  <c r="M47" i="83" s="1"/>
  <c r="M51" i="83" s="1"/>
  <c r="M55" i="83" s="1"/>
  <c r="M59" i="83" s="1"/>
  <c r="M63" i="83" s="1"/>
  <c r="M67" i="83" s="1"/>
  <c r="M71" i="83" s="1"/>
  <c r="M75" i="83" s="1"/>
  <c r="M79" i="83" s="1"/>
  <c r="M83" i="83" s="1"/>
  <c r="M87" i="83" s="1"/>
  <c r="M91" i="83" s="1"/>
  <c r="M95" i="83" s="1"/>
  <c r="M99" i="83" s="1"/>
  <c r="M103" i="83" s="1"/>
  <c r="M107" i="83" s="1"/>
  <c r="M111" i="83" s="1"/>
  <c r="M115" i="83" s="1"/>
  <c r="M119" i="83" s="1"/>
  <c r="M123" i="83" s="1"/>
  <c r="M127" i="83" s="1"/>
  <c r="M131" i="83" s="1"/>
  <c r="M135" i="83" s="1"/>
  <c r="M139" i="83" s="1"/>
  <c r="M143" i="83" s="1"/>
  <c r="M147" i="83" s="1"/>
  <c r="M151" i="83" s="1"/>
  <c r="M155" i="83" s="1"/>
  <c r="M159" i="83" s="1"/>
  <c r="M163" i="83" s="1"/>
  <c r="M167" i="83" s="1"/>
  <c r="L7" i="83"/>
  <c r="N7" i="83" s="1"/>
  <c r="E7" i="83"/>
  <c r="C7" i="83"/>
  <c r="X6" i="83"/>
  <c r="W6" i="83"/>
  <c r="T6" i="83"/>
  <c r="M6" i="83"/>
  <c r="M10" i="83" s="1"/>
  <c r="M14" i="83" s="1"/>
  <c r="M18" i="83" s="1"/>
  <c r="M22" i="83" s="1"/>
  <c r="M26" i="83" s="1"/>
  <c r="M30" i="83" s="1"/>
  <c r="M34" i="83" s="1"/>
  <c r="M38" i="83" s="1"/>
  <c r="M42" i="83" s="1"/>
  <c r="M46" i="83" s="1"/>
  <c r="M50" i="83" s="1"/>
  <c r="M54" i="83" s="1"/>
  <c r="M58" i="83" s="1"/>
  <c r="M62" i="83" s="1"/>
  <c r="M66" i="83" s="1"/>
  <c r="M70" i="83" s="1"/>
  <c r="M74" i="83" s="1"/>
  <c r="M78" i="83" s="1"/>
  <c r="M82" i="83" s="1"/>
  <c r="M86" i="83" s="1"/>
  <c r="M90" i="83" s="1"/>
  <c r="M94" i="83" s="1"/>
  <c r="M98" i="83" s="1"/>
  <c r="M102" i="83" s="1"/>
  <c r="M106" i="83" s="1"/>
  <c r="M110" i="83" s="1"/>
  <c r="M114" i="83" s="1"/>
  <c r="M118" i="83" s="1"/>
  <c r="M122" i="83" s="1"/>
  <c r="M126" i="83" s="1"/>
  <c r="M130" i="83" s="1"/>
  <c r="M134" i="83" s="1"/>
  <c r="M138" i="83" s="1"/>
  <c r="M142" i="83" s="1"/>
  <c r="M146" i="83" s="1"/>
  <c r="M150" i="83" s="1"/>
  <c r="M154" i="83" s="1"/>
  <c r="M158" i="83" s="1"/>
  <c r="M162" i="83" s="1"/>
  <c r="M166" i="83" s="1"/>
  <c r="L6" i="83"/>
  <c r="L10" i="83" s="1"/>
  <c r="H6" i="83"/>
  <c r="C6" i="83"/>
  <c r="X5" i="83"/>
  <c r="W5" i="83"/>
  <c r="T5" i="83"/>
  <c r="N5" i="83"/>
  <c r="E5" i="83"/>
  <c r="C5" i="83"/>
  <c r="X4" i="83"/>
  <c r="W4" i="83"/>
  <c r="T4" i="83"/>
  <c r="G9" i="83" s="1"/>
  <c r="N4" i="83"/>
  <c r="F4" i="83"/>
  <c r="C4" i="83"/>
  <c r="X3" i="83"/>
  <c r="W3" i="83"/>
  <c r="T3" i="83"/>
  <c r="N3" i="83"/>
  <c r="G3" i="83"/>
  <c r="C3" i="83"/>
  <c r="X2" i="83"/>
  <c r="W2" i="83"/>
  <c r="T2" i="83"/>
  <c r="N2" i="83"/>
  <c r="E13" i="83" s="1"/>
  <c r="H2" i="83"/>
  <c r="E2" i="83"/>
  <c r="C2" i="83"/>
  <c r="L14" i="83" l="1"/>
  <c r="N10" i="83"/>
  <c r="L17" i="83"/>
  <c r="N13" i="83"/>
  <c r="L16" i="83"/>
  <c r="G13" i="83"/>
  <c r="F5" i="83"/>
  <c r="H9" i="83"/>
  <c r="F11" i="83"/>
  <c r="D26" i="83"/>
  <c r="D27" i="83"/>
  <c r="D34" i="83"/>
  <c r="G2" i="83"/>
  <c r="F3" i="83"/>
  <c r="E4" i="83"/>
  <c r="H5" i="83"/>
  <c r="G6" i="83"/>
  <c r="N6" i="83"/>
  <c r="E21" i="83" s="1"/>
  <c r="H7" i="83"/>
  <c r="E8" i="83"/>
  <c r="F9" i="83"/>
  <c r="G10" i="83"/>
  <c r="H11" i="83"/>
  <c r="E12" i="83"/>
  <c r="F13" i="83"/>
  <c r="F14" i="83"/>
  <c r="F17" i="83"/>
  <c r="F18" i="83"/>
  <c r="F21" i="83"/>
  <c r="F22" i="83"/>
  <c r="F25" i="83"/>
  <c r="F12" i="83"/>
  <c r="M12" i="83"/>
  <c r="M16" i="83" s="1"/>
  <c r="M20" i="83" s="1"/>
  <c r="M24" i="83" s="1"/>
  <c r="M28" i="83" s="1"/>
  <c r="M32" i="83" s="1"/>
  <c r="M36" i="83" s="1"/>
  <c r="M40" i="83" s="1"/>
  <c r="M44" i="83" s="1"/>
  <c r="M48" i="83" s="1"/>
  <c r="M52" i="83" s="1"/>
  <c r="M56" i="83" s="1"/>
  <c r="M60" i="83" s="1"/>
  <c r="M64" i="83" s="1"/>
  <c r="M68" i="83" s="1"/>
  <c r="M72" i="83" s="1"/>
  <c r="M76" i="83" s="1"/>
  <c r="M80" i="83" s="1"/>
  <c r="M84" i="83" s="1"/>
  <c r="M88" i="83" s="1"/>
  <c r="M92" i="83" s="1"/>
  <c r="M96" i="83" s="1"/>
  <c r="M100" i="83" s="1"/>
  <c r="M104" i="83" s="1"/>
  <c r="M108" i="83" s="1"/>
  <c r="M112" i="83" s="1"/>
  <c r="M116" i="83" s="1"/>
  <c r="M120" i="83" s="1"/>
  <c r="M124" i="83" s="1"/>
  <c r="M128" i="83" s="1"/>
  <c r="M132" i="83" s="1"/>
  <c r="M136" i="83" s="1"/>
  <c r="M140" i="83" s="1"/>
  <c r="M144" i="83" s="1"/>
  <c r="M148" i="83" s="1"/>
  <c r="M152" i="83" s="1"/>
  <c r="M156" i="83" s="1"/>
  <c r="M160" i="83" s="1"/>
  <c r="M164" i="83" s="1"/>
  <c r="M168" i="83" s="1"/>
  <c r="G16" i="83"/>
  <c r="G22" i="83"/>
  <c r="H3" i="83"/>
  <c r="F7" i="83"/>
  <c r="H13" i="83"/>
  <c r="H15" i="83"/>
  <c r="H16" i="83"/>
  <c r="H17" i="83"/>
  <c r="H19" i="83"/>
  <c r="H20" i="83"/>
  <c r="H21" i="83"/>
  <c r="D28" i="83"/>
  <c r="D29" i="83"/>
  <c r="E11" i="83"/>
  <c r="L11" i="83"/>
  <c r="G14" i="83"/>
  <c r="G20" i="83"/>
  <c r="G4" i="83"/>
  <c r="E6" i="83"/>
  <c r="G8" i="83"/>
  <c r="E10" i="83"/>
  <c r="G12" i="83"/>
  <c r="D30" i="83"/>
  <c r="D31" i="83"/>
  <c r="D32" i="83"/>
  <c r="D33" i="83"/>
  <c r="D35" i="83"/>
  <c r="D36" i="83"/>
  <c r="D37" i="83"/>
  <c r="F2" i="83"/>
  <c r="E3" i="83"/>
  <c r="H4" i="83"/>
  <c r="G5" i="83"/>
  <c r="F6" i="83"/>
  <c r="G7" i="83"/>
  <c r="H8" i="83"/>
  <c r="E9" i="83"/>
  <c r="F10" i="83"/>
  <c r="G11" i="83"/>
  <c r="H12" i="83"/>
  <c r="C495" i="83"/>
  <c r="V3" i="85"/>
  <c r="C503" i="83"/>
  <c r="V4" i="85"/>
  <c r="U5" i="85"/>
  <c r="X26" i="86"/>
  <c r="C499" i="83"/>
  <c r="W3" i="86"/>
  <c r="X3" i="86" s="1"/>
  <c r="W4" i="86"/>
  <c r="C497" i="83"/>
  <c r="C501" i="83"/>
  <c r="C505" i="83"/>
  <c r="W6" i="86"/>
  <c r="W13" i="86"/>
  <c r="X13" i="86" s="1"/>
  <c r="X24" i="86"/>
  <c r="P30" i="86"/>
  <c r="W30" i="86" s="1"/>
  <c r="W40" i="86"/>
  <c r="W44" i="86"/>
  <c r="W5" i="86"/>
  <c r="W7" i="86"/>
  <c r="W8" i="86"/>
  <c r="X8" i="86" s="1"/>
  <c r="W15" i="86"/>
  <c r="X15" i="86" s="1"/>
  <c r="P16" i="86"/>
  <c r="W16" i="86" s="1"/>
  <c r="W34" i="86"/>
  <c r="X34" i="86" s="1"/>
  <c r="P34" i="86"/>
  <c r="P35" i="86"/>
  <c r="W35" i="86" s="1"/>
  <c r="W11" i="86"/>
  <c r="W12" i="86"/>
  <c r="W9" i="86"/>
  <c r="X9" i="86" s="1"/>
  <c r="W10" i="86"/>
  <c r="P17" i="86"/>
  <c r="W17" i="86" s="1"/>
  <c r="X17" i="86" s="1"/>
  <c r="P18" i="86"/>
  <c r="W18" i="86" s="1"/>
  <c r="P28" i="86"/>
  <c r="W28" i="86"/>
  <c r="X28" i="86" s="1"/>
  <c r="P32" i="86"/>
  <c r="W32" i="86" s="1"/>
  <c r="P36" i="86"/>
  <c r="W36" i="86" s="1"/>
  <c r="X36" i="86" s="1"/>
  <c r="P37" i="86"/>
  <c r="W37" i="86" s="1"/>
  <c r="P38" i="86"/>
  <c r="W38" i="86" s="1"/>
  <c r="X38" i="86" s="1"/>
  <c r="P39" i="86"/>
  <c r="W39" i="86" s="1"/>
  <c r="X39" i="86" s="1"/>
  <c r="P40" i="86"/>
  <c r="P41" i="86"/>
  <c r="W41" i="86" s="1"/>
  <c r="X41" i="86" s="1"/>
  <c r="P42" i="86"/>
  <c r="W42" i="86" s="1"/>
  <c r="X42" i="86" s="1"/>
  <c r="P43" i="86"/>
  <c r="W43" i="86" s="1"/>
  <c r="X43" i="86" s="1"/>
  <c r="P44" i="86"/>
  <c r="P45" i="86"/>
  <c r="W45" i="86" s="1"/>
  <c r="X45" i="86" s="1"/>
  <c r="P46" i="86"/>
  <c r="W46" i="86" s="1"/>
  <c r="X46" i="86" s="1"/>
  <c r="P47" i="86"/>
  <c r="W47" i="86" s="1"/>
  <c r="X47" i="86" s="1"/>
  <c r="P48" i="86"/>
  <c r="W48" i="86" s="1"/>
  <c r="BH16" i="88"/>
  <c r="AC16" i="88" s="1"/>
  <c r="AC15" i="88"/>
  <c r="AV8" i="88"/>
  <c r="AL12" i="88"/>
  <c r="AO11" i="88"/>
  <c r="D11" i="88" s="1"/>
  <c r="AN16" i="88"/>
  <c r="B16" i="88" s="1"/>
  <c r="AO16" i="88"/>
  <c r="D16" i="88" s="1"/>
  <c r="AJ48" i="88"/>
  <c r="AZ16" i="88"/>
  <c r="T16" i="88" s="1"/>
  <c r="T15" i="88"/>
  <c r="O15" i="91"/>
  <c r="P31" i="91"/>
  <c r="O31" i="91"/>
  <c r="AL7" i="88"/>
  <c r="AV12" i="88"/>
  <c r="AR16" i="88"/>
  <c r="J16" i="88" s="1"/>
  <c r="J15" i="88"/>
  <c r="AV16" i="88"/>
  <c r="P16" i="88" s="1"/>
  <c r="BD16" i="88"/>
  <c r="Y16" i="88" s="1"/>
  <c r="Y15" i="88"/>
  <c r="P23" i="91"/>
  <c r="O23" i="91"/>
  <c r="P19" i="91"/>
  <c r="O19" i="91"/>
  <c r="K11" i="91"/>
  <c r="L12" i="91"/>
  <c r="P27" i="91"/>
  <c r="O27" i="91"/>
  <c r="BD48" i="92"/>
  <c r="AW6" i="92"/>
  <c r="AO6" i="92"/>
  <c r="AH6" i="92"/>
  <c r="Z6" i="92"/>
  <c r="BL7" i="92" s="1"/>
  <c r="BC6" i="92"/>
  <c r="AU6" i="92"/>
  <c r="AM6" i="92"/>
  <c r="BL18" i="92" s="1"/>
  <c r="AF6" i="92"/>
  <c r="X6" i="92"/>
  <c r="R4" i="92"/>
  <c r="BA6" i="92"/>
  <c r="AH12" i="88" s="1"/>
  <c r="AH3" i="88" s="1"/>
  <c r="AH4" i="88" s="1"/>
  <c r="AH5" i="88" s="1"/>
  <c r="AH6" i="88" s="1"/>
  <c r="AH7" i="88" s="1"/>
  <c r="AH8" i="88" s="1"/>
  <c r="AH9" i="88" s="1"/>
  <c r="AH10" i="88" s="1"/>
  <c r="AH11" i="88" s="1"/>
  <c r="AS6" i="92"/>
  <c r="AK6" i="92"/>
  <c r="AD6" i="92"/>
  <c r="V6" i="92"/>
  <c r="AY6" i="92"/>
  <c r="AG12" i="88" s="1"/>
  <c r="AQ6" i="92"/>
  <c r="AJ6" i="92"/>
  <c r="AB6" i="92"/>
  <c r="K13" i="91"/>
  <c r="L13" i="91" s="1"/>
  <c r="BD52" i="92"/>
  <c r="AW10" i="92"/>
  <c r="AO10" i="92"/>
  <c r="AH10" i="92"/>
  <c r="Z10" i="92"/>
  <c r="R8" i="92"/>
  <c r="T16" i="90" s="1"/>
  <c r="BC10" i="92"/>
  <c r="AU10" i="92"/>
  <c r="AM10" i="92"/>
  <c r="AF10" i="92"/>
  <c r="X10" i="92"/>
  <c r="BA10" i="92"/>
  <c r="AH16" i="88" s="1"/>
  <c r="AS10" i="92"/>
  <c r="AK10" i="92"/>
  <c r="AD10" i="92"/>
  <c r="V10" i="92"/>
  <c r="AY10" i="92"/>
  <c r="AG16" i="88" s="1"/>
  <c r="AQ10" i="92"/>
  <c r="AJ10" i="92"/>
  <c r="AB10" i="92"/>
  <c r="P16" i="91"/>
  <c r="K17" i="91"/>
  <c r="L17" i="91" s="1"/>
  <c r="BD56" i="92"/>
  <c r="BA14" i="92"/>
  <c r="AU14" i="92"/>
  <c r="AQ14" i="92"/>
  <c r="AM14" i="92"/>
  <c r="Z14" i="92"/>
  <c r="V14" i="92"/>
  <c r="R12" i="92"/>
  <c r="AY14" i="92"/>
  <c r="AG20" i="88" s="1"/>
  <c r="AH14" i="92"/>
  <c r="AI14" i="92" s="1"/>
  <c r="AD14" i="92"/>
  <c r="BC14" i="92"/>
  <c r="AS14" i="92"/>
  <c r="AO14" i="92"/>
  <c r="AP14" i="92" s="1"/>
  <c r="AK14" i="92"/>
  <c r="X14" i="92"/>
  <c r="AW14" i="92"/>
  <c r="AJ14" i="92"/>
  <c r="AF14" i="92"/>
  <c r="AB14" i="92"/>
  <c r="P20" i="91"/>
  <c r="K21" i="91"/>
  <c r="L21" i="91" s="1"/>
  <c r="BD60" i="92"/>
  <c r="BC18" i="92"/>
  <c r="AS18" i="92"/>
  <c r="AO18" i="92"/>
  <c r="AK18" i="92"/>
  <c r="AL18" i="92" s="1"/>
  <c r="X18" i="92"/>
  <c r="AW18" i="92"/>
  <c r="AJ18" i="92"/>
  <c r="AF18" i="92"/>
  <c r="AB18" i="92"/>
  <c r="BA18" i="92"/>
  <c r="AU18" i="92"/>
  <c r="AQ18" i="92"/>
  <c r="AM18" i="92"/>
  <c r="Z18" i="92"/>
  <c r="V18" i="92"/>
  <c r="W18" i="92" s="1"/>
  <c r="R16" i="92"/>
  <c r="AY18" i="92"/>
  <c r="AG24" i="88" s="1"/>
  <c r="AH18" i="92"/>
  <c r="AD18" i="92"/>
  <c r="AE18" i="92" s="1"/>
  <c r="P24" i="91"/>
  <c r="K25" i="91"/>
  <c r="L25" i="91" s="1"/>
  <c r="BD64" i="92"/>
  <c r="AW22" i="92"/>
  <c r="AJ22" i="92"/>
  <c r="AF22" i="92"/>
  <c r="AB22" i="92"/>
  <c r="BA22" i="92"/>
  <c r="AU22" i="92"/>
  <c r="AQ22" i="92"/>
  <c r="AM22" i="92"/>
  <c r="Z22" i="92"/>
  <c r="V22" i="92"/>
  <c r="W22" i="92" s="1"/>
  <c r="R20" i="92"/>
  <c r="AY22" i="92"/>
  <c r="AG28" i="88" s="1"/>
  <c r="AH22" i="92"/>
  <c r="AD22" i="92"/>
  <c r="AS22" i="92"/>
  <c r="AO22" i="92"/>
  <c r="X22" i="92"/>
  <c r="Y22" i="92" s="1"/>
  <c r="BC22" i="92"/>
  <c r="AK22" i="92"/>
  <c r="P28" i="91"/>
  <c r="K29" i="91"/>
  <c r="L29" i="91" s="1"/>
  <c r="BD68" i="92"/>
  <c r="AY26" i="92"/>
  <c r="AG32" i="88" s="1"/>
  <c r="AH26" i="92"/>
  <c r="AD26" i="92"/>
  <c r="BC26" i="92"/>
  <c r="AS26" i="92"/>
  <c r="AO26" i="92"/>
  <c r="AK26" i="92"/>
  <c r="AL26" i="92" s="1"/>
  <c r="X26" i="92"/>
  <c r="AW26" i="92"/>
  <c r="AJ26" i="92"/>
  <c r="AF26" i="92"/>
  <c r="AG26" i="92" s="1"/>
  <c r="AB26" i="92"/>
  <c r="R24" i="92"/>
  <c r="BA26" i="92"/>
  <c r="AU26" i="92"/>
  <c r="AQ26" i="92"/>
  <c r="AM26" i="92"/>
  <c r="Z26" i="92"/>
  <c r="V26" i="92"/>
  <c r="W26" i="92" s="1"/>
  <c r="P32" i="91"/>
  <c r="BD69" i="92"/>
  <c r="BA27" i="92"/>
  <c r="AU27" i="92"/>
  <c r="AQ27" i="92"/>
  <c r="AR27" i="92" s="1"/>
  <c r="AM27" i="92"/>
  <c r="AN27" i="92" s="1"/>
  <c r="Z27" i="92"/>
  <c r="V27" i="92"/>
  <c r="W27" i="92" s="1"/>
  <c r="AY27" i="92"/>
  <c r="AG33" i="88" s="1"/>
  <c r="AH27" i="92"/>
  <c r="AD27" i="92"/>
  <c r="AE27" i="92" s="1"/>
  <c r="BC27" i="92"/>
  <c r="AS27" i="92"/>
  <c r="AT27" i="92" s="1"/>
  <c r="AO27" i="92"/>
  <c r="AK27" i="92"/>
  <c r="AL27" i="92" s="1"/>
  <c r="X27" i="92"/>
  <c r="Y27" i="92" s="1"/>
  <c r="R25" i="92"/>
  <c r="AW27" i="92"/>
  <c r="AX27" i="92" s="1"/>
  <c r="AJ27" i="92"/>
  <c r="AF27" i="92"/>
  <c r="AG27" i="92" s="1"/>
  <c r="AB27" i="92"/>
  <c r="AC27" i="92" s="1"/>
  <c r="P33" i="91"/>
  <c r="BC74" i="92"/>
  <c r="K38" i="91"/>
  <c r="L38" i="91" s="1"/>
  <c r="BC76" i="92"/>
  <c r="K40" i="91"/>
  <c r="L40" i="91" s="1"/>
  <c r="BL14" i="92"/>
  <c r="BL21" i="92"/>
  <c r="BL5" i="92"/>
  <c r="BL13" i="92"/>
  <c r="BD51" i="92"/>
  <c r="BA9" i="92"/>
  <c r="AH15" i="88" s="1"/>
  <c r="AS9" i="92"/>
  <c r="AK9" i="92"/>
  <c r="AD9" i="92"/>
  <c r="V9" i="92"/>
  <c r="AY9" i="92"/>
  <c r="AG15" i="88" s="1"/>
  <c r="AQ9" i="92"/>
  <c r="AJ9" i="92"/>
  <c r="AB9" i="92"/>
  <c r="AW9" i="92"/>
  <c r="AO9" i="92"/>
  <c r="AH9" i="92"/>
  <c r="Z9" i="92"/>
  <c r="R7" i="92"/>
  <c r="T15" i="90" s="1"/>
  <c r="BC9" i="92"/>
  <c r="AU9" i="92"/>
  <c r="AM9" i="92"/>
  <c r="AF9" i="92"/>
  <c r="X9" i="92"/>
  <c r="BD55" i="92"/>
  <c r="AY13" i="92"/>
  <c r="AG19" i="88" s="1"/>
  <c r="AH13" i="92"/>
  <c r="AD13" i="92"/>
  <c r="BC13" i="92"/>
  <c r="AS13" i="92"/>
  <c r="AO13" i="92"/>
  <c r="AK13" i="92"/>
  <c r="AL13" i="92" s="1"/>
  <c r="X13" i="92"/>
  <c r="AW13" i="92"/>
  <c r="AJ13" i="92"/>
  <c r="AF13" i="92"/>
  <c r="AB13" i="92"/>
  <c r="R11" i="92"/>
  <c r="T19" i="90" s="1"/>
  <c r="BA13" i="92"/>
  <c r="AU13" i="92"/>
  <c r="AQ13" i="92"/>
  <c r="AM13" i="92"/>
  <c r="Z13" i="92"/>
  <c r="V13" i="92"/>
  <c r="W13" i="92" s="1"/>
  <c r="BD59" i="92"/>
  <c r="AW17" i="92"/>
  <c r="AX17" i="92" s="1"/>
  <c r="AJ17" i="92"/>
  <c r="AF17" i="92"/>
  <c r="AB17" i="92"/>
  <c r="BA17" i="92"/>
  <c r="AU17" i="92"/>
  <c r="AQ17" i="92"/>
  <c r="AM17" i="92"/>
  <c r="AN17" i="92" s="1"/>
  <c r="Z17" i="92"/>
  <c r="V17" i="92"/>
  <c r="R15" i="92"/>
  <c r="AY17" i="92"/>
  <c r="AG23" i="88" s="1"/>
  <c r="AH17" i="92"/>
  <c r="AI17" i="92" s="1"/>
  <c r="AD17" i="92"/>
  <c r="BC17" i="92"/>
  <c r="AS17" i="92"/>
  <c r="AO17" i="92"/>
  <c r="AP17" i="92" s="1"/>
  <c r="AK17" i="92"/>
  <c r="X17" i="92"/>
  <c r="BD63" i="92"/>
  <c r="BA21" i="92"/>
  <c r="AU21" i="92"/>
  <c r="AQ21" i="92"/>
  <c r="AM21" i="92"/>
  <c r="Z21" i="92"/>
  <c r="V21" i="92"/>
  <c r="AY21" i="92"/>
  <c r="AG27" i="88" s="1"/>
  <c r="AH21" i="92"/>
  <c r="AD21" i="92"/>
  <c r="BC21" i="92"/>
  <c r="AS21" i="92"/>
  <c r="AO21" i="92"/>
  <c r="AK21" i="92"/>
  <c r="X21" i="92"/>
  <c r="AJ21" i="92"/>
  <c r="R19" i="92"/>
  <c r="AW21" i="92"/>
  <c r="AF21" i="92"/>
  <c r="AB21" i="92"/>
  <c r="AC21" i="92" s="1"/>
  <c r="BD67" i="92"/>
  <c r="BA25" i="92"/>
  <c r="AU25" i="92"/>
  <c r="AQ25" i="92"/>
  <c r="AM25" i="92"/>
  <c r="AN25" i="92" s="1"/>
  <c r="Z25" i="92"/>
  <c r="V25" i="92"/>
  <c r="AY25" i="92"/>
  <c r="AG31" i="88" s="1"/>
  <c r="AH25" i="92"/>
  <c r="AI25" i="92" s="1"/>
  <c r="AD25" i="92"/>
  <c r="R23" i="92"/>
  <c r="BC25" i="92"/>
  <c r="AS25" i="92"/>
  <c r="AO25" i="92"/>
  <c r="AP25" i="92" s="1"/>
  <c r="AK25" i="92"/>
  <c r="X25" i="92"/>
  <c r="AW25" i="92"/>
  <c r="AJ25" i="92"/>
  <c r="AF25" i="92"/>
  <c r="AB25" i="92"/>
  <c r="P43" i="91"/>
  <c r="O43" i="91"/>
  <c r="BL22" i="92"/>
  <c r="BL6" i="92"/>
  <c r="BL9" i="92"/>
  <c r="BD50" i="92"/>
  <c r="AW8" i="92"/>
  <c r="AO8" i="92"/>
  <c r="AH8" i="92"/>
  <c r="Z8" i="92"/>
  <c r="R6" i="92"/>
  <c r="T14" i="90" s="1"/>
  <c r="BC8" i="92"/>
  <c r="AU8" i="92"/>
  <c r="AM8" i="92"/>
  <c r="AF8" i="92"/>
  <c r="X8" i="92"/>
  <c r="BA8" i="92"/>
  <c r="AH14" i="88" s="1"/>
  <c r="AS8" i="92"/>
  <c r="AK8" i="92"/>
  <c r="AD8" i="92"/>
  <c r="V8" i="92"/>
  <c r="AY8" i="92"/>
  <c r="AG14" i="88" s="1"/>
  <c r="AQ8" i="92"/>
  <c r="AJ8" i="92"/>
  <c r="AB8" i="92"/>
  <c r="BD54" i="92"/>
  <c r="BC12" i="92"/>
  <c r="AS12" i="92"/>
  <c r="AT12" i="92" s="1"/>
  <c r="AE18" i="88" s="1"/>
  <c r="AO12" i="92"/>
  <c r="AK12" i="92"/>
  <c r="X12" i="92"/>
  <c r="R10" i="92"/>
  <c r="T18" i="90" s="1"/>
  <c r="AW12" i="92"/>
  <c r="AX12" i="92" s="1"/>
  <c r="Y18" i="88" s="1"/>
  <c r="AJ12" i="92"/>
  <c r="AF12" i="92"/>
  <c r="AG12" i="92" s="1"/>
  <c r="J18" i="88" s="1"/>
  <c r="AB12" i="92"/>
  <c r="BA12" i="92"/>
  <c r="AU12" i="92"/>
  <c r="AQ12" i="92"/>
  <c r="AM12" i="92"/>
  <c r="Z12" i="92"/>
  <c r="V12" i="92"/>
  <c r="AY12" i="92"/>
  <c r="AG18" i="88" s="1"/>
  <c r="AH12" i="92"/>
  <c r="AD12" i="92"/>
  <c r="BD58" i="92"/>
  <c r="BA16" i="92"/>
  <c r="AU16" i="92"/>
  <c r="AQ16" i="92"/>
  <c r="AM16" i="92"/>
  <c r="Z16" i="92"/>
  <c r="V16" i="92"/>
  <c r="AY16" i="92"/>
  <c r="AG22" i="88" s="1"/>
  <c r="AH16" i="92"/>
  <c r="AD16" i="92"/>
  <c r="BC16" i="92"/>
  <c r="AS16" i="92"/>
  <c r="AT16" i="92" s="1"/>
  <c r="AO16" i="92"/>
  <c r="AK16" i="92"/>
  <c r="X16" i="92"/>
  <c r="R14" i="92"/>
  <c r="AW16" i="92"/>
  <c r="AJ16" i="92"/>
  <c r="AF16" i="92"/>
  <c r="AB16" i="92"/>
  <c r="AC16" i="92" s="1"/>
  <c r="BD62" i="92"/>
  <c r="AY20" i="92"/>
  <c r="AG26" i="88" s="1"/>
  <c r="AH20" i="92"/>
  <c r="AD20" i="92"/>
  <c r="BC20" i="92"/>
  <c r="AS20" i="92"/>
  <c r="AO20" i="92"/>
  <c r="AK20" i="92"/>
  <c r="X20" i="92"/>
  <c r="AW20" i="92"/>
  <c r="AJ20" i="92"/>
  <c r="AF20" i="92"/>
  <c r="AB20" i="92"/>
  <c r="AU20" i="92"/>
  <c r="R18" i="92"/>
  <c r="AQ20" i="92"/>
  <c r="Z20" i="92"/>
  <c r="AM20" i="92"/>
  <c r="AN20" i="92" s="1"/>
  <c r="V20" i="92"/>
  <c r="BA20" i="92"/>
  <c r="BD66" i="92"/>
  <c r="BA24" i="92"/>
  <c r="AU24" i="92"/>
  <c r="AQ24" i="92"/>
  <c r="AR24" i="92" s="1"/>
  <c r="AM24" i="92"/>
  <c r="Z24" i="92"/>
  <c r="V24" i="92"/>
  <c r="AY24" i="92"/>
  <c r="AG30" i="88" s="1"/>
  <c r="AH24" i="92"/>
  <c r="AD24" i="92"/>
  <c r="AE24" i="92" s="1"/>
  <c r="BC24" i="92"/>
  <c r="AS24" i="92"/>
  <c r="AO24" i="92"/>
  <c r="AK24" i="92"/>
  <c r="AL24" i="92" s="1"/>
  <c r="X24" i="92"/>
  <c r="AW24" i="92"/>
  <c r="AJ24" i="92"/>
  <c r="AF24" i="92"/>
  <c r="AG24" i="92" s="1"/>
  <c r="AB24" i="92"/>
  <c r="R22" i="92"/>
  <c r="BC70" i="92"/>
  <c r="K34" i="91"/>
  <c r="L34" i="91" s="1"/>
  <c r="BC71" i="92"/>
  <c r="K35" i="91"/>
  <c r="L35" i="91" s="1"/>
  <c r="BC72" i="92"/>
  <c r="K36" i="91"/>
  <c r="L36" i="91" s="1"/>
  <c r="BC73" i="92"/>
  <c r="K37" i="91"/>
  <c r="L37" i="91" s="1"/>
  <c r="BC75" i="92"/>
  <c r="K39" i="91"/>
  <c r="L39" i="91" s="1"/>
  <c r="I44" i="91"/>
  <c r="K44" i="91" s="1"/>
  <c r="L44" i="91" s="1"/>
  <c r="F45" i="91"/>
  <c r="BL15" i="92"/>
  <c r="BK16" i="92"/>
  <c r="BL19" i="92"/>
  <c r="BL8" i="92"/>
  <c r="BL11" i="92"/>
  <c r="BD49" i="92"/>
  <c r="BA7" i="92"/>
  <c r="AH13" i="88" s="1"/>
  <c r="AS7" i="92"/>
  <c r="AK7" i="92"/>
  <c r="AD7" i="92"/>
  <c r="V7" i="92"/>
  <c r="AY7" i="92"/>
  <c r="AG13" i="88" s="1"/>
  <c r="AQ7" i="92"/>
  <c r="AJ7" i="92"/>
  <c r="AB7" i="92"/>
  <c r="AW7" i="92"/>
  <c r="AO7" i="92"/>
  <c r="AH7" i="92"/>
  <c r="Z7" i="92"/>
  <c r="R5" i="92"/>
  <c r="T13" i="90" s="1"/>
  <c r="BC7" i="92"/>
  <c r="AU7" i="92"/>
  <c r="AM7" i="92"/>
  <c r="AF7" i="92"/>
  <c r="X7" i="92"/>
  <c r="K14" i="91"/>
  <c r="L14" i="91" s="1"/>
  <c r="BD53" i="92"/>
  <c r="BA11" i="92"/>
  <c r="AH17" i="88" s="1"/>
  <c r="AS11" i="92"/>
  <c r="AK11" i="92"/>
  <c r="AD11" i="92"/>
  <c r="V11" i="92"/>
  <c r="AY11" i="92"/>
  <c r="AG17" i="88" s="1"/>
  <c r="AQ11" i="92"/>
  <c r="AJ11" i="92"/>
  <c r="AB11" i="92"/>
  <c r="AW11" i="92"/>
  <c r="AO11" i="92"/>
  <c r="AH11" i="92"/>
  <c r="Z11" i="92"/>
  <c r="R9" i="92"/>
  <c r="T17" i="90" s="1"/>
  <c r="BC11" i="92"/>
  <c r="AU11" i="92"/>
  <c r="AM11" i="92"/>
  <c r="AF11" i="92"/>
  <c r="X11" i="92"/>
  <c r="K18" i="91"/>
  <c r="L18" i="91" s="1"/>
  <c r="BD57" i="92"/>
  <c r="AY15" i="92"/>
  <c r="AG21" i="88" s="1"/>
  <c r="AH15" i="92"/>
  <c r="AI15" i="92" s="1"/>
  <c r="AD15" i="92"/>
  <c r="AE15" i="92" s="1"/>
  <c r="BC15" i="92"/>
  <c r="AS15" i="92"/>
  <c r="AT15" i="92" s="1"/>
  <c r="AO15" i="92"/>
  <c r="AP15" i="92" s="1"/>
  <c r="AK15" i="92"/>
  <c r="AL15" i="92" s="1"/>
  <c r="X15" i="92"/>
  <c r="Y15" i="92" s="1"/>
  <c r="R13" i="92"/>
  <c r="AW15" i="92"/>
  <c r="AX15" i="92" s="1"/>
  <c r="AJ15" i="92"/>
  <c r="AF15" i="92"/>
  <c r="AG15" i="92" s="1"/>
  <c r="AB15" i="92"/>
  <c r="AC15" i="92" s="1"/>
  <c r="BA15" i="92"/>
  <c r="AU15" i="92"/>
  <c r="AQ15" i="92"/>
  <c r="AR15" i="92" s="1"/>
  <c r="AM15" i="92"/>
  <c r="AN15" i="92" s="1"/>
  <c r="Z15" i="92"/>
  <c r="V15" i="92"/>
  <c r="W15" i="92" s="1"/>
  <c r="K22" i="91"/>
  <c r="L22" i="91" s="1"/>
  <c r="BD61" i="92"/>
  <c r="AY19" i="92"/>
  <c r="AG25" i="88" s="1"/>
  <c r="AH19" i="92"/>
  <c r="AI19" i="92" s="1"/>
  <c r="AD19" i="92"/>
  <c r="AE19" i="92" s="1"/>
  <c r="BC19" i="92"/>
  <c r="AS19" i="92"/>
  <c r="AT19" i="92" s="1"/>
  <c r="AO19" i="92"/>
  <c r="AP19" i="92" s="1"/>
  <c r="AK19" i="92"/>
  <c r="AL19" i="92" s="1"/>
  <c r="X19" i="92"/>
  <c r="Y19" i="92" s="1"/>
  <c r="AW19" i="92"/>
  <c r="AX19" i="92" s="1"/>
  <c r="AJ19" i="92"/>
  <c r="AF19" i="92"/>
  <c r="AG19" i="92" s="1"/>
  <c r="AB19" i="92"/>
  <c r="AC19" i="92" s="1"/>
  <c r="BA19" i="92"/>
  <c r="AU19" i="92"/>
  <c r="AQ19" i="92"/>
  <c r="AR19" i="92" s="1"/>
  <c r="AM19" i="92"/>
  <c r="AN19" i="92" s="1"/>
  <c r="Z19" i="92"/>
  <c r="V19" i="92"/>
  <c r="W19" i="92" s="1"/>
  <c r="R17" i="92"/>
  <c r="K26" i="91"/>
  <c r="L26" i="91" s="1"/>
  <c r="BD65" i="92"/>
  <c r="AY23" i="92"/>
  <c r="AG29" i="88" s="1"/>
  <c r="AH23" i="92"/>
  <c r="AI23" i="92" s="1"/>
  <c r="AD23" i="92"/>
  <c r="AE23" i="92" s="1"/>
  <c r="BC23" i="92"/>
  <c r="AS23" i="92"/>
  <c r="AT23" i="92" s="1"/>
  <c r="AO23" i="92"/>
  <c r="AP23" i="92" s="1"/>
  <c r="AK23" i="92"/>
  <c r="AL23" i="92" s="1"/>
  <c r="X23" i="92"/>
  <c r="Y23" i="92" s="1"/>
  <c r="AW23" i="92"/>
  <c r="AX23" i="92" s="1"/>
  <c r="AJ23" i="92"/>
  <c r="AF23" i="92"/>
  <c r="AG23" i="92" s="1"/>
  <c r="AB23" i="92"/>
  <c r="AC23" i="92" s="1"/>
  <c r="BA23" i="92"/>
  <c r="AU23" i="92"/>
  <c r="AQ23" i="92"/>
  <c r="AR23" i="92" s="1"/>
  <c r="AM23" i="92"/>
  <c r="AN23" i="92" s="1"/>
  <c r="Z23" i="92"/>
  <c r="V23" i="92"/>
  <c r="W23" i="92" s="1"/>
  <c r="R21" i="92"/>
  <c r="K30" i="91"/>
  <c r="L30" i="91" s="1"/>
  <c r="BL17" i="92"/>
  <c r="BL10" i="92"/>
  <c r="BL12" i="92"/>
  <c r="BD77" i="92"/>
  <c r="AH35" i="92"/>
  <c r="AD35" i="92"/>
  <c r="R33" i="92"/>
  <c r="BA35" i="92"/>
  <c r="AW35" i="92"/>
  <c r="AS35" i="92"/>
  <c r="AO35" i="92"/>
  <c r="AK35" i="92"/>
  <c r="X35" i="92"/>
  <c r="AJ35" i="92"/>
  <c r="AF35" i="92"/>
  <c r="AB35" i="92"/>
  <c r="BC35" i="92"/>
  <c r="AM35" i="92"/>
  <c r="V35" i="92"/>
  <c r="AY35" i="92"/>
  <c r="AU35" i="92"/>
  <c r="AQ35" i="92"/>
  <c r="Z35" i="92"/>
  <c r="BC79" i="92"/>
  <c r="BD78" i="92"/>
  <c r="AH36" i="92"/>
  <c r="AD36" i="92"/>
  <c r="Z36" i="92"/>
  <c r="V36" i="92"/>
  <c r="BA36" i="92"/>
  <c r="AW36" i="92"/>
  <c r="AS36" i="92"/>
  <c r="AO36" i="92"/>
  <c r="AK36" i="92"/>
  <c r="AJ36" i="92"/>
  <c r="AF36" i="92"/>
  <c r="AB36" i="92"/>
  <c r="X36" i="92"/>
  <c r="BC36" i="92"/>
  <c r="BC37" i="92" s="1"/>
  <c r="BC38" i="92" s="1"/>
  <c r="BC39" i="92" s="1"/>
  <c r="BC40" i="92" s="1"/>
  <c r="BC41" i="92" s="1"/>
  <c r="BC42" i="92" s="1"/>
  <c r="BC43" i="92" s="1"/>
  <c r="AY36" i="92"/>
  <c r="AU36" i="92"/>
  <c r="AQ36" i="92"/>
  <c r="AM36" i="92"/>
  <c r="R34" i="92"/>
  <c r="K41" i="91"/>
  <c r="L41" i="91" s="1"/>
  <c r="K42" i="91"/>
  <c r="L42" i="91" s="1"/>
  <c r="BL20" i="92"/>
  <c r="AS84" i="92"/>
  <c r="O39" i="92"/>
  <c r="Q47" i="90" s="1"/>
  <c r="BA84" i="92"/>
  <c r="Q39" i="92"/>
  <c r="S47" i="90" s="1"/>
  <c r="D40" i="92"/>
  <c r="E48" i="90" s="1"/>
  <c r="AB85" i="92"/>
  <c r="D41" i="92" s="1"/>
  <c r="E49" i="90" s="1"/>
  <c r="AM84" i="92"/>
  <c r="M39" i="92"/>
  <c r="O47" i="90" s="1"/>
  <c r="X11" i="86" l="1"/>
  <c r="X5" i="86"/>
  <c r="X7" i="86"/>
  <c r="X37" i="86"/>
  <c r="X48" i="86"/>
  <c r="X30" i="86"/>
  <c r="X31" i="86"/>
  <c r="X32" i="86"/>
  <c r="X33" i="86"/>
  <c r="AN36" i="92"/>
  <c r="AM37" i="92" s="1"/>
  <c r="AJ37" i="92"/>
  <c r="AW37" i="92"/>
  <c r="AX36" i="92"/>
  <c r="AE36" i="92"/>
  <c r="AD37" i="92" s="1"/>
  <c r="P26" i="91"/>
  <c r="O26" i="91"/>
  <c r="BE61" i="92"/>
  <c r="BD19" i="92"/>
  <c r="S17" i="92"/>
  <c r="X25" i="90" s="1"/>
  <c r="BD75" i="92"/>
  <c r="BC33" i="92"/>
  <c r="AS33" i="92"/>
  <c r="AO33" i="92"/>
  <c r="AK33" i="92"/>
  <c r="X33" i="92"/>
  <c r="AW33" i="92"/>
  <c r="AJ33" i="92"/>
  <c r="AF33" i="92"/>
  <c r="AB33" i="92"/>
  <c r="BA33" i="92"/>
  <c r="AU33" i="92"/>
  <c r="AQ33" i="92"/>
  <c r="AM33" i="92"/>
  <c r="Z33" i="92"/>
  <c r="V33" i="92"/>
  <c r="AD33" i="92"/>
  <c r="R31" i="92"/>
  <c r="AY33" i="92"/>
  <c r="AG39" i="88" s="1"/>
  <c r="AH33" i="92"/>
  <c r="BD72" i="92"/>
  <c r="BA30" i="92"/>
  <c r="AU30" i="92"/>
  <c r="AQ30" i="92"/>
  <c r="AM30" i="92"/>
  <c r="Z30" i="92"/>
  <c r="V30" i="92"/>
  <c r="AY30" i="92"/>
  <c r="AG36" i="88" s="1"/>
  <c r="AH30" i="92"/>
  <c r="AD30" i="92"/>
  <c r="R28" i="92"/>
  <c r="BC30" i="92"/>
  <c r="AS30" i="92"/>
  <c r="AO30" i="92"/>
  <c r="AK30" i="92"/>
  <c r="X30" i="92"/>
  <c r="AW30" i="92"/>
  <c r="AJ30" i="92"/>
  <c r="AF30" i="92"/>
  <c r="AB30" i="92"/>
  <c r="BD70" i="92"/>
  <c r="AY28" i="92"/>
  <c r="AG34" i="88" s="1"/>
  <c r="AH28" i="92"/>
  <c r="AI28" i="92" s="1"/>
  <c r="AD28" i="92"/>
  <c r="AE28" i="92" s="1"/>
  <c r="BC28" i="92"/>
  <c r="AS28" i="92"/>
  <c r="AT28" i="92" s="1"/>
  <c r="AO28" i="92"/>
  <c r="AP28" i="92" s="1"/>
  <c r="AK28" i="92"/>
  <c r="AL28" i="92" s="1"/>
  <c r="X28" i="92"/>
  <c r="Y28" i="92" s="1"/>
  <c r="R26" i="92"/>
  <c r="AW28" i="92"/>
  <c r="AX28" i="92" s="1"/>
  <c r="AJ28" i="92"/>
  <c r="AF28" i="92"/>
  <c r="AG28" i="92" s="1"/>
  <c r="AB28" i="92"/>
  <c r="AC28" i="92" s="1"/>
  <c r="BA28" i="92"/>
  <c r="AU28" i="92"/>
  <c r="AQ28" i="92"/>
  <c r="AR28" i="92" s="1"/>
  <c r="AM28" i="92"/>
  <c r="AN28" i="92" s="1"/>
  <c r="Z28" i="92"/>
  <c r="V28" i="92"/>
  <c r="W28" i="92" s="1"/>
  <c r="AP24" i="92"/>
  <c r="AI24" i="92"/>
  <c r="AN24" i="92"/>
  <c r="BE66" i="92"/>
  <c r="BD24" i="92"/>
  <c r="S22" i="92"/>
  <c r="X30" i="90" s="1"/>
  <c r="AC20" i="92"/>
  <c r="Y20" i="92"/>
  <c r="BE62" i="92"/>
  <c r="BD20" i="92"/>
  <c r="S18" i="92"/>
  <c r="X26" i="90" s="1"/>
  <c r="AX16" i="92"/>
  <c r="AP16" i="92"/>
  <c r="AI16" i="92"/>
  <c r="AN16" i="92"/>
  <c r="BE58" i="92"/>
  <c r="BD16" i="92"/>
  <c r="S14" i="92"/>
  <c r="X22" i="90" s="1"/>
  <c r="W12" i="92"/>
  <c r="B18" i="88" s="1"/>
  <c r="B19" i="88" s="1"/>
  <c r="BE12" i="92"/>
  <c r="W18" i="88"/>
  <c r="AL12" i="92"/>
  <c r="AC18" i="88" s="1"/>
  <c r="AC19" i="88" s="1"/>
  <c r="BE54" i="92"/>
  <c r="BD12" i="92"/>
  <c r="S10" i="92"/>
  <c r="X18" i="90" s="1"/>
  <c r="BD8" i="92"/>
  <c r="S6" i="92"/>
  <c r="X14" i="90" s="1"/>
  <c r="AG25" i="92"/>
  <c r="AL25" i="92"/>
  <c r="W25" i="92"/>
  <c r="BE25" i="92"/>
  <c r="W31" i="88"/>
  <c r="AG21" i="92"/>
  <c r="Y21" i="92"/>
  <c r="W21" i="92"/>
  <c r="BE21" i="92"/>
  <c r="W27" i="88"/>
  <c r="AL17" i="92"/>
  <c r="AE17" i="92"/>
  <c r="W17" i="92"/>
  <c r="BE17" i="92"/>
  <c r="W23" i="88"/>
  <c r="BB13" i="92"/>
  <c r="AH19" i="88"/>
  <c r="AP13" i="92"/>
  <c r="AI13" i="92"/>
  <c r="P40" i="91"/>
  <c r="O40" i="91"/>
  <c r="AP27" i="92"/>
  <c r="AI27" i="92"/>
  <c r="BD27" i="92"/>
  <c r="S25" i="92"/>
  <c r="X33" i="90" s="1"/>
  <c r="AN26" i="92"/>
  <c r="AX26" i="92"/>
  <c r="AT26" i="92"/>
  <c r="AL22" i="92"/>
  <c r="AT22" i="92"/>
  <c r="AR22" i="92"/>
  <c r="AG22" i="92"/>
  <c r="P25" i="91"/>
  <c r="O25" i="91"/>
  <c r="AN18" i="92"/>
  <c r="AC18" i="92"/>
  <c r="Y18" i="92"/>
  <c r="AC14" i="92"/>
  <c r="Y14" i="92"/>
  <c r="AR14" i="92"/>
  <c r="P17" i="91"/>
  <c r="O17" i="91"/>
  <c r="BK23" i="92"/>
  <c r="BL23" i="92" s="1"/>
  <c r="T12" i="90"/>
  <c r="T3" i="90" s="1"/>
  <c r="T4" i="90" s="1"/>
  <c r="T5" i="90" s="1"/>
  <c r="T6" i="90" s="1"/>
  <c r="T7" i="90" s="1"/>
  <c r="T8" i="90" s="1"/>
  <c r="T9" i="90" s="1"/>
  <c r="T10" i="90" s="1"/>
  <c r="T11" i="90" s="1"/>
  <c r="BE6" i="92"/>
  <c r="W12" i="88"/>
  <c r="X29" i="86"/>
  <c r="X16" i="86"/>
  <c r="X6" i="86"/>
  <c r="X4" i="86"/>
  <c r="D48" i="83"/>
  <c r="D43" i="83"/>
  <c r="G18" i="83"/>
  <c r="H22" i="83"/>
  <c r="H18" i="83"/>
  <c r="G25" i="83"/>
  <c r="F23" i="83"/>
  <c r="F19" i="83"/>
  <c r="F15" i="83"/>
  <c r="E27" i="83"/>
  <c r="H27" i="83"/>
  <c r="D39" i="83"/>
  <c r="F27" i="83"/>
  <c r="G27" i="83"/>
  <c r="H23" i="83"/>
  <c r="G21" i="83"/>
  <c r="N12" i="83"/>
  <c r="E15" i="83"/>
  <c r="E19" i="83"/>
  <c r="E25" i="83"/>
  <c r="AM85" i="92"/>
  <c r="M41" i="92" s="1"/>
  <c r="O49" i="90" s="1"/>
  <c r="M40" i="92"/>
  <c r="O48" i="90" s="1"/>
  <c r="BA85" i="92"/>
  <c r="Q41" i="92" s="1"/>
  <c r="S49" i="90" s="1"/>
  <c r="Q40" i="92"/>
  <c r="S48" i="90" s="1"/>
  <c r="P42" i="91"/>
  <c r="O42" i="91"/>
  <c r="AR36" i="92"/>
  <c r="AQ37" i="92" s="1"/>
  <c r="X37" i="92"/>
  <c r="Y36" i="92"/>
  <c r="AL36" i="92"/>
  <c r="AK37" i="92" s="1"/>
  <c r="BA37" i="92"/>
  <c r="BB36" i="92"/>
  <c r="AH42" i="88"/>
  <c r="AI36" i="92"/>
  <c r="AH37" i="92" s="1"/>
  <c r="AT35" i="92"/>
  <c r="AE35" i="92"/>
  <c r="BE23" i="92"/>
  <c r="W29" i="88"/>
  <c r="P22" i="91"/>
  <c r="O22" i="91"/>
  <c r="BE57" i="92"/>
  <c r="BD15" i="92"/>
  <c r="S13" i="92"/>
  <c r="X21" i="90" s="1"/>
  <c r="I45" i="91"/>
  <c r="K45" i="91" s="1"/>
  <c r="L45" i="91" s="1"/>
  <c r="F46" i="91"/>
  <c r="O37" i="91"/>
  <c r="P37" i="91"/>
  <c r="O35" i="91"/>
  <c r="P35" i="91"/>
  <c r="AX24" i="92"/>
  <c r="AT24" i="92"/>
  <c r="BB20" i="92"/>
  <c r="AH26" i="88"/>
  <c r="AR20" i="92"/>
  <c r="AG20" i="92"/>
  <c r="AL20" i="92"/>
  <c r="AE20" i="92"/>
  <c r="AR16" i="92"/>
  <c r="AE12" i="92"/>
  <c r="BB12" i="92"/>
  <c r="AH18" i="88"/>
  <c r="Y19" i="88"/>
  <c r="AP12" i="92"/>
  <c r="R18" i="88" s="1"/>
  <c r="BE8" i="92"/>
  <c r="W14" i="88"/>
  <c r="AE25" i="92"/>
  <c r="BB25" i="92"/>
  <c r="AH31" i="88"/>
  <c r="AX21" i="92"/>
  <c r="AL21" i="92"/>
  <c r="AE21" i="92"/>
  <c r="BB21" i="92"/>
  <c r="AH27" i="88"/>
  <c r="BB17" i="92"/>
  <c r="AH23" i="88"/>
  <c r="AN13" i="92"/>
  <c r="W19" i="90"/>
  <c r="T20" i="90"/>
  <c r="AX13" i="92"/>
  <c r="AT13" i="92"/>
  <c r="AE19" i="88" s="1"/>
  <c r="AE20" i="88" s="1"/>
  <c r="AE21" i="88" s="1"/>
  <c r="AE22" i="88" s="1"/>
  <c r="AE23" i="88" s="1"/>
  <c r="AE24" i="88" s="1"/>
  <c r="AE25" i="88" s="1"/>
  <c r="AE26" i="88" s="1"/>
  <c r="AE27" i="88" s="1"/>
  <c r="AE28" i="88" s="1"/>
  <c r="AE29" i="88" s="1"/>
  <c r="AE30" i="88" s="1"/>
  <c r="AE31" i="88" s="1"/>
  <c r="AE32" i="88" s="1"/>
  <c r="AE33" i="88" s="1"/>
  <c r="AE34" i="88" s="1"/>
  <c r="AE35" i="88" s="1"/>
  <c r="BD76" i="92"/>
  <c r="AW34" i="92"/>
  <c r="AX34" i="92" s="1"/>
  <c r="AJ34" i="92"/>
  <c r="AF34" i="92"/>
  <c r="AG34" i="92" s="1"/>
  <c r="AB34" i="92"/>
  <c r="AC34" i="92" s="1"/>
  <c r="BA34" i="92"/>
  <c r="AU34" i="92"/>
  <c r="AQ34" i="92"/>
  <c r="AR34" i="92" s="1"/>
  <c r="AM34" i="92"/>
  <c r="AN34" i="92" s="1"/>
  <c r="Z34" i="92"/>
  <c r="V34" i="92"/>
  <c r="W34" i="92" s="1"/>
  <c r="R32" i="92"/>
  <c r="AY34" i="92"/>
  <c r="AG40" i="88" s="1"/>
  <c r="AH34" i="92"/>
  <c r="AI34" i="92" s="1"/>
  <c r="AD34" i="92"/>
  <c r="AE34" i="92" s="1"/>
  <c r="AS34" i="92"/>
  <c r="AT34" i="92" s="1"/>
  <c r="AO34" i="92"/>
  <c r="AP34" i="92" s="1"/>
  <c r="X34" i="92"/>
  <c r="Y34" i="92" s="1"/>
  <c r="BC34" i="92"/>
  <c r="AK34" i="92"/>
  <c r="AL34" i="92" s="1"/>
  <c r="AR26" i="92"/>
  <c r="AC26" i="92"/>
  <c r="Y26" i="92"/>
  <c r="BD26" i="92"/>
  <c r="S24" i="92"/>
  <c r="X32" i="90" s="1"/>
  <c r="AE22" i="92"/>
  <c r="BE22" i="92"/>
  <c r="W28" i="88"/>
  <c r="AR18" i="92"/>
  <c r="AG18" i="92"/>
  <c r="BE60" i="92"/>
  <c r="S16" i="92"/>
  <c r="X24" i="90" s="1"/>
  <c r="BD18" i="92"/>
  <c r="AG14" i="92"/>
  <c r="AL14" i="92"/>
  <c r="AE14" i="92"/>
  <c r="W14" i="92"/>
  <c r="BE14" i="92"/>
  <c r="W20" i="88"/>
  <c r="BE52" i="92"/>
  <c r="BD10" i="92"/>
  <c r="S8" i="92"/>
  <c r="X16" i="90" s="1"/>
  <c r="AJ49" i="88"/>
  <c r="AO12" i="88"/>
  <c r="D12" i="88" s="1"/>
  <c r="AL13" i="88"/>
  <c r="AO13" i="88" s="1"/>
  <c r="D13" i="88" s="1"/>
  <c r="X10" i="86"/>
  <c r="X12" i="86"/>
  <c r="X35" i="86"/>
  <c r="X44" i="86"/>
  <c r="D47" i="83"/>
  <c r="D42" i="83"/>
  <c r="E26" i="83"/>
  <c r="H26" i="83"/>
  <c r="G26" i="83"/>
  <c r="D38" i="83"/>
  <c r="F26" i="83"/>
  <c r="H14" i="83"/>
  <c r="G19" i="83"/>
  <c r="E24" i="83"/>
  <c r="L20" i="83"/>
  <c r="N16" i="83"/>
  <c r="E18" i="83"/>
  <c r="E14" i="83"/>
  <c r="E17" i="83"/>
  <c r="P41" i="91"/>
  <c r="O41" i="91"/>
  <c r="BE36" i="92"/>
  <c r="AU37" i="92"/>
  <c r="AV36" i="92"/>
  <c r="W42" i="88"/>
  <c r="AC36" i="92"/>
  <c r="AB37" i="92" s="1"/>
  <c r="AP36" i="92"/>
  <c r="AO37" i="92" s="1"/>
  <c r="W36" i="92"/>
  <c r="V37" i="92" s="1"/>
  <c r="BD79" i="92"/>
  <c r="BD36" i="92"/>
  <c r="BD37" i="92" s="1"/>
  <c r="BD38" i="92" s="1"/>
  <c r="BD39" i="92" s="1"/>
  <c r="BD40" i="92" s="1"/>
  <c r="BD41" i="92" s="1"/>
  <c r="BD42" i="92" s="1"/>
  <c r="BD43" i="92" s="1"/>
  <c r="S34" i="92"/>
  <c r="X42" i="90" s="1"/>
  <c r="BE35" i="92"/>
  <c r="AV35" i="92"/>
  <c r="W41" i="88"/>
  <c r="Y35" i="92"/>
  <c r="AX35" i="92"/>
  <c r="BB23" i="92"/>
  <c r="AH29" i="88"/>
  <c r="BE19" i="92"/>
  <c r="W25" i="88"/>
  <c r="BE15" i="92"/>
  <c r="W21" i="88"/>
  <c r="P18" i="91"/>
  <c r="O18" i="91"/>
  <c r="BE11" i="92"/>
  <c r="W17" i="88"/>
  <c r="BE53" i="92"/>
  <c r="S9" i="92"/>
  <c r="X17" i="90" s="1"/>
  <c r="BD11" i="92"/>
  <c r="P44" i="91"/>
  <c r="O44" i="91"/>
  <c r="BD73" i="92"/>
  <c r="BA31" i="92"/>
  <c r="AU31" i="92"/>
  <c r="AQ31" i="92"/>
  <c r="AR31" i="92" s="1"/>
  <c r="AM31" i="92"/>
  <c r="AN31" i="92" s="1"/>
  <c r="AY31" i="92"/>
  <c r="AG37" i="88" s="1"/>
  <c r="AH31" i="92"/>
  <c r="AI31" i="92" s="1"/>
  <c r="BC31" i="92"/>
  <c r="AS31" i="92"/>
  <c r="AT31" i="92" s="1"/>
  <c r="AO31" i="92"/>
  <c r="AP31" i="92" s="1"/>
  <c r="AD31" i="92"/>
  <c r="AE31" i="92" s="1"/>
  <c r="X31" i="92"/>
  <c r="Y31" i="92" s="1"/>
  <c r="AK31" i="92"/>
  <c r="AL31" i="92" s="1"/>
  <c r="AF31" i="92"/>
  <c r="AG31" i="92" s="1"/>
  <c r="AB31" i="92"/>
  <c r="AC31" i="92" s="1"/>
  <c r="AW31" i="92"/>
  <c r="AX31" i="92" s="1"/>
  <c r="AJ31" i="92"/>
  <c r="Z31" i="92"/>
  <c r="V31" i="92"/>
  <c r="W31" i="92" s="1"/>
  <c r="R29" i="92"/>
  <c r="BD71" i="92"/>
  <c r="AW29" i="92"/>
  <c r="AX29" i="92" s="1"/>
  <c r="AJ29" i="92"/>
  <c r="AF29" i="92"/>
  <c r="AG29" i="92" s="1"/>
  <c r="AB29" i="92"/>
  <c r="AC29" i="92" s="1"/>
  <c r="BA29" i="92"/>
  <c r="AU29" i="92"/>
  <c r="AQ29" i="92"/>
  <c r="AR29" i="92" s="1"/>
  <c r="AM29" i="92"/>
  <c r="AN29" i="92" s="1"/>
  <c r="Z29" i="92"/>
  <c r="V29" i="92"/>
  <c r="W29" i="92" s="1"/>
  <c r="AY29" i="92"/>
  <c r="AG35" i="88" s="1"/>
  <c r="AH29" i="92"/>
  <c r="AI29" i="92" s="1"/>
  <c r="AD29" i="92"/>
  <c r="AE29" i="92" s="1"/>
  <c r="R27" i="92"/>
  <c r="BC29" i="92"/>
  <c r="AS29" i="92"/>
  <c r="AT29" i="92" s="1"/>
  <c r="AO29" i="92"/>
  <c r="AP29" i="92" s="1"/>
  <c r="AK29" i="92"/>
  <c r="AL29" i="92" s="1"/>
  <c r="X29" i="92"/>
  <c r="Y29" i="92" s="1"/>
  <c r="AC24" i="92"/>
  <c r="Y24" i="92"/>
  <c r="W24" i="92"/>
  <c r="BE24" i="92"/>
  <c r="W30" i="88"/>
  <c r="W20" i="92"/>
  <c r="AP20" i="92"/>
  <c r="AI20" i="92"/>
  <c r="AG16" i="92"/>
  <c r="Y16" i="92"/>
  <c r="W16" i="92"/>
  <c r="BE16" i="92"/>
  <c r="W22" i="88"/>
  <c r="AI12" i="92"/>
  <c r="L18" i="88" s="1"/>
  <c r="L19" i="88" s="1"/>
  <c r="L20" i="88" s="1"/>
  <c r="L21" i="88" s="1"/>
  <c r="L22" i="88" s="1"/>
  <c r="L23" i="88" s="1"/>
  <c r="AN12" i="92"/>
  <c r="AA18" i="88" s="1"/>
  <c r="AC12" i="92"/>
  <c r="H18" i="88" s="1"/>
  <c r="R43" i="91"/>
  <c r="AX25" i="92"/>
  <c r="AT25" i="92"/>
  <c r="BE67" i="92"/>
  <c r="BD25" i="92"/>
  <c r="S23" i="92"/>
  <c r="X31" i="90" s="1"/>
  <c r="AP21" i="92"/>
  <c r="AI21" i="92"/>
  <c r="AN21" i="92"/>
  <c r="BE63" i="92"/>
  <c r="BD21" i="92"/>
  <c r="S19" i="92"/>
  <c r="X27" i="90" s="1"/>
  <c r="AT17" i="92"/>
  <c r="AC17" i="92"/>
  <c r="BE59" i="92"/>
  <c r="S15" i="92"/>
  <c r="X23" i="90" s="1"/>
  <c r="BD17" i="92"/>
  <c r="AR13" i="92"/>
  <c r="AC13" i="92"/>
  <c r="Y13" i="92"/>
  <c r="BE55" i="92"/>
  <c r="BD13" i="92"/>
  <c r="S11" i="92"/>
  <c r="X19" i="90" s="1"/>
  <c r="BE9" i="92"/>
  <c r="W15" i="88"/>
  <c r="S7" i="92"/>
  <c r="X15" i="90" s="1"/>
  <c r="BD9" i="92"/>
  <c r="O38" i="91"/>
  <c r="Q38" i="91" s="1"/>
  <c r="P38" i="91"/>
  <c r="BE27" i="92"/>
  <c r="W33" i="88"/>
  <c r="BE26" i="92"/>
  <c r="W32" i="88"/>
  <c r="AE26" i="92"/>
  <c r="P29" i="91"/>
  <c r="O29" i="91"/>
  <c r="Q29" i="91" s="1"/>
  <c r="AI22" i="92"/>
  <c r="BB22" i="92"/>
  <c r="AH28" i="88"/>
  <c r="AX22" i="92"/>
  <c r="BE18" i="92"/>
  <c r="W24" i="88"/>
  <c r="AP18" i="92"/>
  <c r="P21" i="91"/>
  <c r="R21" i="91" s="1"/>
  <c r="O21" i="91"/>
  <c r="BB14" i="92"/>
  <c r="AH20" i="88"/>
  <c r="BE10" i="92"/>
  <c r="W16" i="88"/>
  <c r="O13" i="91"/>
  <c r="BD6" i="92"/>
  <c r="S4" i="92"/>
  <c r="O12" i="91"/>
  <c r="Q23" i="91" s="1"/>
  <c r="R12" i="91"/>
  <c r="Q19" i="91"/>
  <c r="AV13" i="88"/>
  <c r="X18" i="86"/>
  <c r="X40" i="86"/>
  <c r="D45" i="83"/>
  <c r="L15" i="83"/>
  <c r="N11" i="83"/>
  <c r="G31" i="83" s="1"/>
  <c r="D41" i="83"/>
  <c r="H29" i="83"/>
  <c r="H25" i="83"/>
  <c r="G17" i="83"/>
  <c r="E20" i="83"/>
  <c r="G23" i="83"/>
  <c r="E22" i="83"/>
  <c r="AS85" i="92"/>
  <c r="O41" i="92" s="1"/>
  <c r="Q49" i="90" s="1"/>
  <c r="O40" i="92"/>
  <c r="Q48" i="90" s="1"/>
  <c r="AZ36" i="92"/>
  <c r="AY37" i="92" s="1"/>
  <c r="AG42" i="88"/>
  <c r="AF37" i="92"/>
  <c r="AG36" i="92"/>
  <c r="AT36" i="92"/>
  <c r="AS37" i="92" s="1"/>
  <c r="Z37" i="92"/>
  <c r="AA36" i="92"/>
  <c r="BC80" i="92"/>
  <c r="R35" i="92"/>
  <c r="AZ35" i="92"/>
  <c r="AG41" i="88"/>
  <c r="AC35" i="92"/>
  <c r="AL35" i="92"/>
  <c r="BB35" i="92"/>
  <c r="AH41" i="88"/>
  <c r="BD35" i="92"/>
  <c r="S33" i="92"/>
  <c r="X41" i="90" s="1"/>
  <c r="P30" i="91"/>
  <c r="R30" i="91" s="1"/>
  <c r="O30" i="91"/>
  <c r="BE65" i="92"/>
  <c r="BD23" i="92"/>
  <c r="S21" i="92"/>
  <c r="X29" i="90" s="1"/>
  <c r="BB19" i="92"/>
  <c r="AH25" i="88"/>
  <c r="BB15" i="92"/>
  <c r="AH21" i="88"/>
  <c r="O14" i="91"/>
  <c r="BE7" i="92"/>
  <c r="W13" i="88"/>
  <c r="S5" i="92"/>
  <c r="X13" i="90" s="1"/>
  <c r="BD7" i="92"/>
  <c r="BL16" i="92"/>
  <c r="O39" i="91"/>
  <c r="Q39" i="91" s="1"/>
  <c r="P39" i="91"/>
  <c r="O36" i="91"/>
  <c r="Q36" i="91" s="1"/>
  <c r="P36" i="91"/>
  <c r="R36" i="91" s="1"/>
  <c r="O34" i="91"/>
  <c r="Q34" i="91" s="1"/>
  <c r="P34" i="91"/>
  <c r="BB24" i="92"/>
  <c r="AH30" i="88"/>
  <c r="BE20" i="92"/>
  <c r="W26" i="88"/>
  <c r="AX20" i="92"/>
  <c r="AT20" i="92"/>
  <c r="AL16" i="92"/>
  <c r="AE16" i="92"/>
  <c r="BB16" i="92"/>
  <c r="AH22" i="88"/>
  <c r="AR12" i="92"/>
  <c r="T18" i="88" s="1"/>
  <c r="T19" i="88" s="1"/>
  <c r="T20" i="88" s="1"/>
  <c r="T21" i="88" s="1"/>
  <c r="T22" i="88" s="1"/>
  <c r="T23" i="88" s="1"/>
  <c r="T24" i="88" s="1"/>
  <c r="T25" i="88" s="1"/>
  <c r="T26" i="88" s="1"/>
  <c r="T27" i="88" s="1"/>
  <c r="T28" i="88" s="1"/>
  <c r="T29" i="88" s="1"/>
  <c r="T30" i="88" s="1"/>
  <c r="T31" i="88" s="1"/>
  <c r="T32" i="88" s="1"/>
  <c r="T33" i="88" s="1"/>
  <c r="T34" i="88" s="1"/>
  <c r="T35" i="88" s="1"/>
  <c r="Y12" i="92"/>
  <c r="D18" i="88" s="1"/>
  <c r="AC25" i="92"/>
  <c r="Y25" i="92"/>
  <c r="AR25" i="92"/>
  <c r="AT21" i="92"/>
  <c r="AR21" i="92"/>
  <c r="Y17" i="92"/>
  <c r="AR17" i="92"/>
  <c r="AG17" i="92"/>
  <c r="BE13" i="92"/>
  <c r="W19" i="88"/>
  <c r="AG13" i="92"/>
  <c r="J19" i="88" s="1"/>
  <c r="J20" i="88" s="1"/>
  <c r="J21" i="88" s="1"/>
  <c r="J22" i="88" s="1"/>
  <c r="J23" i="88" s="1"/>
  <c r="J24" i="88" s="1"/>
  <c r="J25" i="88" s="1"/>
  <c r="J26" i="88" s="1"/>
  <c r="J27" i="88" s="1"/>
  <c r="J28" i="88" s="1"/>
  <c r="J29" i="88" s="1"/>
  <c r="J30" i="88" s="1"/>
  <c r="J31" i="88" s="1"/>
  <c r="J32" i="88" s="1"/>
  <c r="J33" i="88" s="1"/>
  <c r="J34" i="88" s="1"/>
  <c r="J35" i="88" s="1"/>
  <c r="AE13" i="92"/>
  <c r="BD74" i="92"/>
  <c r="AY32" i="92"/>
  <c r="AG38" i="88" s="1"/>
  <c r="AH32" i="92"/>
  <c r="AI32" i="92" s="1"/>
  <c r="AD32" i="92"/>
  <c r="AE32" i="92" s="1"/>
  <c r="BC32" i="92"/>
  <c r="AS32" i="92"/>
  <c r="AT32" i="92" s="1"/>
  <c r="AO32" i="92"/>
  <c r="AP32" i="92" s="1"/>
  <c r="AK32" i="92"/>
  <c r="AL32" i="92" s="1"/>
  <c r="X32" i="92"/>
  <c r="AW32" i="92"/>
  <c r="AX32" i="92" s="1"/>
  <c r="AJ32" i="92"/>
  <c r="AF32" i="92"/>
  <c r="AG32" i="92" s="1"/>
  <c r="AB32" i="92"/>
  <c r="AC32" i="92" s="1"/>
  <c r="AM32" i="92"/>
  <c r="AN32" i="92" s="1"/>
  <c r="V32" i="92"/>
  <c r="W32" i="92" s="1"/>
  <c r="BA32" i="92"/>
  <c r="AU32" i="92"/>
  <c r="R30" i="92"/>
  <c r="AQ32" i="92"/>
  <c r="AR32" i="92" s="1"/>
  <c r="Z32" i="92"/>
  <c r="BB27" i="92"/>
  <c r="AH33" i="88"/>
  <c r="BB26" i="92"/>
  <c r="AH32" i="88"/>
  <c r="AP26" i="92"/>
  <c r="AI26" i="92"/>
  <c r="R28" i="91"/>
  <c r="AP22" i="92"/>
  <c r="AN22" i="92"/>
  <c r="AC22" i="92"/>
  <c r="BE64" i="92"/>
  <c r="S20" i="92"/>
  <c r="X28" i="90" s="1"/>
  <c r="BD22" i="92"/>
  <c r="AI18" i="92"/>
  <c r="BB18" i="92"/>
  <c r="AH24" i="88"/>
  <c r="AX18" i="92"/>
  <c r="AT18" i="92"/>
  <c r="R20" i="91"/>
  <c r="AX14" i="92"/>
  <c r="AT14" i="92"/>
  <c r="AN14" i="92"/>
  <c r="BE56" i="92"/>
  <c r="BD14" i="92"/>
  <c r="S12" i="92"/>
  <c r="X20" i="90" s="1"/>
  <c r="Q27" i="91"/>
  <c r="K10" i="91"/>
  <c r="L11" i="91"/>
  <c r="AL8" i="88"/>
  <c r="AO7" i="88"/>
  <c r="D7" i="88" s="1"/>
  <c r="AV9" i="88"/>
  <c r="X19" i="86"/>
  <c r="U6" i="85"/>
  <c r="V5" i="85"/>
  <c r="E37" i="83"/>
  <c r="F37" i="83"/>
  <c r="D49" i="83"/>
  <c r="G37" i="83"/>
  <c r="E32" i="83"/>
  <c r="G32" i="83"/>
  <c r="D44" i="83"/>
  <c r="H32" i="83"/>
  <c r="E28" i="83"/>
  <c r="D40" i="83"/>
  <c r="F28" i="83"/>
  <c r="H28" i="83"/>
  <c r="G28" i="83"/>
  <c r="X14" i="86"/>
  <c r="F24" i="83"/>
  <c r="F20" i="83"/>
  <c r="F16" i="83"/>
  <c r="D46" i="83"/>
  <c r="H34" i="83"/>
  <c r="F34" i="83"/>
  <c r="H24" i="83"/>
  <c r="G24" i="83"/>
  <c r="G15" i="83"/>
  <c r="E16" i="83"/>
  <c r="E23" i="83"/>
  <c r="L21" i="83"/>
  <c r="N17" i="83"/>
  <c r="L18" i="83"/>
  <c r="N14" i="83"/>
  <c r="AS38" i="92" l="1"/>
  <c r="AT37" i="92"/>
  <c r="AZ37" i="92"/>
  <c r="AY38" i="92" s="1"/>
  <c r="AG43" i="88"/>
  <c r="W37" i="92"/>
  <c r="V38" i="92" s="1"/>
  <c r="AO38" i="92"/>
  <c r="AP37" i="92"/>
  <c r="AC37" i="92"/>
  <c r="AB38" i="92" s="1"/>
  <c r="AQ38" i="92"/>
  <c r="AR37" i="92"/>
  <c r="AI37" i="92"/>
  <c r="AH38" i="92"/>
  <c r="AK38" i="92"/>
  <c r="AL37" i="92"/>
  <c r="AE37" i="92"/>
  <c r="AD38" i="92" s="1"/>
  <c r="AM38" i="92"/>
  <c r="AN37" i="92"/>
  <c r="W28" i="87"/>
  <c r="L25" i="83"/>
  <c r="N21" i="83"/>
  <c r="K9" i="91"/>
  <c r="L10" i="91"/>
  <c r="D56" i="83"/>
  <c r="L22" i="83"/>
  <c r="N18" i="83"/>
  <c r="G34" i="83"/>
  <c r="E34" i="83"/>
  <c r="E40" i="83"/>
  <c r="G40" i="83"/>
  <c r="F40" i="83"/>
  <c r="D52" i="83"/>
  <c r="H40" i="83"/>
  <c r="F32" i="83"/>
  <c r="H37" i="83"/>
  <c r="R19" i="91"/>
  <c r="W20" i="87"/>
  <c r="BE32" i="92"/>
  <c r="W38" i="88"/>
  <c r="Y32" i="92"/>
  <c r="BD32" i="92"/>
  <c r="S30" i="92"/>
  <c r="X38" i="90" s="1"/>
  <c r="D19" i="88"/>
  <c r="D20" i="88" s="1"/>
  <c r="D21" i="88" s="1"/>
  <c r="D22" i="88" s="1"/>
  <c r="D23" i="88" s="1"/>
  <c r="D24" i="88" s="1"/>
  <c r="D25" i="88" s="1"/>
  <c r="D26" i="88" s="1"/>
  <c r="D27" i="88" s="1"/>
  <c r="D28" i="88" s="1"/>
  <c r="D29" i="88" s="1"/>
  <c r="D30" i="88" s="1"/>
  <c r="D31" i="88" s="1"/>
  <c r="D32" i="88" s="1"/>
  <c r="D33" i="88" s="1"/>
  <c r="D34" i="88" s="1"/>
  <c r="D35" i="88" s="1"/>
  <c r="R34" i="91"/>
  <c r="R39" i="91"/>
  <c r="R14" i="91"/>
  <c r="Q30" i="91"/>
  <c r="G29" i="83"/>
  <c r="E29" i="83"/>
  <c r="H33" i="83"/>
  <c r="R23" i="91"/>
  <c r="BK24" i="92"/>
  <c r="BL24" i="92" s="1"/>
  <c r="X12" i="90"/>
  <c r="Q21" i="91"/>
  <c r="R38" i="91"/>
  <c r="W15" i="87"/>
  <c r="W31" i="87"/>
  <c r="AA19" i="88"/>
  <c r="AA20" i="88" s="1"/>
  <c r="AA21" i="88" s="1"/>
  <c r="AA22" i="88" s="1"/>
  <c r="AA23" i="88" s="1"/>
  <c r="AA24" i="88" s="1"/>
  <c r="AA25" i="88" s="1"/>
  <c r="AA26" i="88" s="1"/>
  <c r="AA27" i="88" s="1"/>
  <c r="AA28" i="88" s="1"/>
  <c r="AA29" i="88" s="1"/>
  <c r="AA30" i="88" s="1"/>
  <c r="AA31" i="88" s="1"/>
  <c r="AA32" i="88" s="1"/>
  <c r="AA33" i="88" s="1"/>
  <c r="AA34" i="88" s="1"/>
  <c r="AA35" i="88" s="1"/>
  <c r="BE29" i="92"/>
  <c r="W35" i="88"/>
  <c r="BE31" i="92"/>
  <c r="W37" i="88"/>
  <c r="R44" i="91"/>
  <c r="R18" i="91"/>
  <c r="AI35" i="92"/>
  <c r="BD80" i="92"/>
  <c r="S35" i="92"/>
  <c r="X43" i="90" s="1"/>
  <c r="W43" i="87" s="1"/>
  <c r="R41" i="91"/>
  <c r="F30" i="83"/>
  <c r="H35" i="83"/>
  <c r="R31" i="91"/>
  <c r="BE34" i="92"/>
  <c r="W40" i="88"/>
  <c r="Q43" i="91"/>
  <c r="R19" i="88"/>
  <c r="R20" i="88" s="1"/>
  <c r="R21" i="88" s="1"/>
  <c r="R22" i="88" s="1"/>
  <c r="R23" i="88" s="1"/>
  <c r="R24" i="88" s="1"/>
  <c r="R25" i="88" s="1"/>
  <c r="R26" i="88" s="1"/>
  <c r="R27" i="88" s="1"/>
  <c r="R28" i="88" s="1"/>
  <c r="R29" i="88" s="1"/>
  <c r="R30" i="88" s="1"/>
  <c r="R31" i="88" s="1"/>
  <c r="R32" i="88" s="1"/>
  <c r="R33" i="88" s="1"/>
  <c r="R34" i="88" s="1"/>
  <c r="R35" i="88" s="1"/>
  <c r="R37" i="91"/>
  <c r="Q22" i="91"/>
  <c r="AR35" i="92"/>
  <c r="Q42" i="91"/>
  <c r="H31" i="83"/>
  <c r="E31" i="83"/>
  <c r="F36" i="83"/>
  <c r="R27" i="91"/>
  <c r="R40" i="91"/>
  <c r="W14" i="87"/>
  <c r="B20" i="88"/>
  <c r="B21" i="88" s="1"/>
  <c r="B22" i="88" s="1"/>
  <c r="B23" i="88" s="1"/>
  <c r="B24" i="88" s="1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W26" i="87"/>
  <c r="BB28" i="92"/>
  <c r="AH34" i="88"/>
  <c r="AG30" i="92"/>
  <c r="J36" i="88" s="1"/>
  <c r="J37" i="88" s="1"/>
  <c r="J38" i="88" s="1"/>
  <c r="J39" i="88" s="1"/>
  <c r="J40" i="88" s="1"/>
  <c r="J41" i="88" s="1"/>
  <c r="J42" i="88" s="1"/>
  <c r="J43" i="88" s="1"/>
  <c r="AL30" i="92"/>
  <c r="W30" i="92"/>
  <c r="BE30" i="92"/>
  <c r="W36" i="88"/>
  <c r="BB33" i="92"/>
  <c r="AH39" i="88"/>
  <c r="AX33" i="92"/>
  <c r="AT33" i="92"/>
  <c r="Q26" i="91"/>
  <c r="AG35" i="92"/>
  <c r="W29" i="87"/>
  <c r="Z38" i="92"/>
  <c r="AA37" i="92"/>
  <c r="AG37" i="92"/>
  <c r="AF38" i="92" s="1"/>
  <c r="F33" i="83"/>
  <c r="L24" i="88"/>
  <c r="L25" i="88" s="1"/>
  <c r="L26" i="88" s="1"/>
  <c r="L27" i="88" s="1"/>
  <c r="L28" i="88" s="1"/>
  <c r="L29" i="88" s="1"/>
  <c r="L30" i="88" s="1"/>
  <c r="L31" i="88" s="1"/>
  <c r="L32" i="88" s="1"/>
  <c r="L33" i="88" s="1"/>
  <c r="L34" i="88" s="1"/>
  <c r="L35" i="88" s="1"/>
  <c r="BB29" i="92"/>
  <c r="AH35" i="88"/>
  <c r="BB31" i="92"/>
  <c r="AH37" i="88"/>
  <c r="BE37" i="92"/>
  <c r="AV37" i="92"/>
  <c r="AU38" i="92" s="1"/>
  <c r="W43" i="88"/>
  <c r="L24" i="83"/>
  <c r="N20" i="83"/>
  <c r="D54" i="83"/>
  <c r="F35" i="83"/>
  <c r="R16" i="91"/>
  <c r="W24" i="87"/>
  <c r="R24" i="91"/>
  <c r="W32" i="87"/>
  <c r="BB34" i="92"/>
  <c r="AH40" i="88"/>
  <c r="Y20" i="88"/>
  <c r="Y21" i="88" s="1"/>
  <c r="Y22" i="88" s="1"/>
  <c r="Y23" i="88" s="1"/>
  <c r="Y24" i="88" s="1"/>
  <c r="Y25" i="88" s="1"/>
  <c r="Y26" i="88" s="1"/>
  <c r="Y27" i="88" s="1"/>
  <c r="Y28" i="88" s="1"/>
  <c r="Y29" i="88" s="1"/>
  <c r="Y30" i="88" s="1"/>
  <c r="Y31" i="88" s="1"/>
  <c r="Y32" i="88" s="1"/>
  <c r="Y33" i="88" s="1"/>
  <c r="Y34" i="88" s="1"/>
  <c r="Y35" i="88" s="1"/>
  <c r="Q37" i="91"/>
  <c r="W21" i="87"/>
  <c r="R22" i="91"/>
  <c r="BA38" i="92"/>
  <c r="BB37" i="92"/>
  <c r="AH43" i="88"/>
  <c r="Y37" i="92"/>
  <c r="X38" i="92" s="1"/>
  <c r="R42" i="91"/>
  <c r="D55" i="83"/>
  <c r="G36" i="83"/>
  <c r="E36" i="83"/>
  <c r="Q17" i="91"/>
  <c r="Q25" i="91"/>
  <c r="AC20" i="88"/>
  <c r="AC21" i="88" s="1"/>
  <c r="AC22" i="88" s="1"/>
  <c r="AC23" i="88" s="1"/>
  <c r="AC24" i="88" s="1"/>
  <c r="AC25" i="88" s="1"/>
  <c r="AC26" i="88" s="1"/>
  <c r="AC27" i="88" s="1"/>
  <c r="AC28" i="88" s="1"/>
  <c r="AC29" i="88" s="1"/>
  <c r="AC30" i="88" s="1"/>
  <c r="AC31" i="88" s="1"/>
  <c r="AC32" i="88" s="1"/>
  <c r="AC33" i="88" s="1"/>
  <c r="AC34" i="88" s="1"/>
  <c r="AC35" i="88" s="1"/>
  <c r="AC36" i="88" s="1"/>
  <c r="AC37" i="88" s="1"/>
  <c r="AC38" i="88" s="1"/>
  <c r="W22" i="87"/>
  <c r="W30" i="87"/>
  <c r="AP30" i="92"/>
  <c r="AE30" i="92"/>
  <c r="BB30" i="92"/>
  <c r="AH36" i="88"/>
  <c r="AN33" i="92"/>
  <c r="AC33" i="92"/>
  <c r="Y33" i="92"/>
  <c r="W25" i="87"/>
  <c r="R26" i="91"/>
  <c r="W35" i="92"/>
  <c r="AW38" i="92"/>
  <c r="AX37" i="92"/>
  <c r="D61" i="83"/>
  <c r="W41" i="87"/>
  <c r="F29" i="83"/>
  <c r="L19" i="83"/>
  <c r="N15" i="83"/>
  <c r="F42" i="83" s="1"/>
  <c r="D57" i="83"/>
  <c r="F45" i="83"/>
  <c r="R29" i="91"/>
  <c r="W23" i="87"/>
  <c r="W27" i="87"/>
  <c r="S27" i="92"/>
  <c r="X35" i="90" s="1"/>
  <c r="W35" i="87" s="1"/>
  <c r="BD29" i="92"/>
  <c r="BD31" i="92"/>
  <c r="S29" i="92"/>
  <c r="X37" i="90" s="1"/>
  <c r="W37" i="87" s="1"/>
  <c r="W42" i="87"/>
  <c r="E38" i="83"/>
  <c r="D50" i="83"/>
  <c r="F38" i="83"/>
  <c r="H38" i="83"/>
  <c r="G38" i="83"/>
  <c r="G30" i="83"/>
  <c r="E30" i="83"/>
  <c r="E47" i="83"/>
  <c r="D59" i="83"/>
  <c r="F47" i="83"/>
  <c r="H47" i="83"/>
  <c r="W16" i="87"/>
  <c r="R32" i="91"/>
  <c r="S32" i="92"/>
  <c r="X40" i="90" s="1"/>
  <c r="W40" i="87" s="1"/>
  <c r="BD34" i="92"/>
  <c r="R35" i="91"/>
  <c r="I46" i="91"/>
  <c r="K46" i="91" s="1"/>
  <c r="L46" i="91" s="1"/>
  <c r="F47" i="91"/>
  <c r="E39" i="83"/>
  <c r="D51" i="83"/>
  <c r="F39" i="83"/>
  <c r="H39" i="83"/>
  <c r="G39" i="83"/>
  <c r="F31" i="83"/>
  <c r="H36" i="83"/>
  <c r="R15" i="91"/>
  <c r="R17" i="91"/>
  <c r="R25" i="91"/>
  <c r="W33" i="87"/>
  <c r="R33" i="91"/>
  <c r="W18" i="87"/>
  <c r="BD28" i="92"/>
  <c r="S26" i="92"/>
  <c r="X34" i="90" s="1"/>
  <c r="W34" i="87" s="1"/>
  <c r="AX30" i="92"/>
  <c r="AT30" i="92"/>
  <c r="AE36" i="88" s="1"/>
  <c r="AE37" i="88" s="1"/>
  <c r="AE38" i="88" s="1"/>
  <c r="AE39" i="88" s="1"/>
  <c r="AE40" i="88" s="1"/>
  <c r="AE41" i="88" s="1"/>
  <c r="AE42" i="88" s="1"/>
  <c r="AE43" i="88" s="1"/>
  <c r="AI30" i="92"/>
  <c r="AN30" i="92"/>
  <c r="S28" i="92"/>
  <c r="X36" i="90" s="1"/>
  <c r="W36" i="87" s="1"/>
  <c r="BD30" i="92"/>
  <c r="AE33" i="92"/>
  <c r="AR33" i="92"/>
  <c r="AG33" i="92"/>
  <c r="AL33" i="92"/>
  <c r="S31" i="92"/>
  <c r="X39" i="90" s="1"/>
  <c r="W39" i="87" s="1"/>
  <c r="BD33" i="92"/>
  <c r="AJ38" i="92"/>
  <c r="AJ39" i="92" s="1"/>
  <c r="V6" i="85"/>
  <c r="U7" i="85"/>
  <c r="R11" i="91"/>
  <c r="O11" i="91"/>
  <c r="BB32" i="92"/>
  <c r="AH38" i="88"/>
  <c r="E46" i="83"/>
  <c r="G46" i="83"/>
  <c r="D58" i="83"/>
  <c r="H46" i="83"/>
  <c r="AO8" i="88"/>
  <c r="D8" i="88" s="1"/>
  <c r="AL9" i="88"/>
  <c r="AO9" i="88" s="1"/>
  <c r="D9" i="88" s="1"/>
  <c r="BC81" i="92"/>
  <c r="R36" i="92"/>
  <c r="E41" i="83"/>
  <c r="F41" i="83"/>
  <c r="D53" i="83"/>
  <c r="H41" i="83"/>
  <c r="G41" i="83"/>
  <c r="G33" i="83"/>
  <c r="E33" i="83"/>
  <c r="Q20" i="91"/>
  <c r="Q28" i="91"/>
  <c r="Q32" i="91"/>
  <c r="Q24" i="91"/>
  <c r="Q16" i="91"/>
  <c r="Q33" i="91"/>
  <c r="R13" i="91"/>
  <c r="W19" i="87"/>
  <c r="H19" i="88"/>
  <c r="H20" i="88" s="1"/>
  <c r="H21" i="88" s="1"/>
  <c r="H22" i="88" s="1"/>
  <c r="H23" i="88" s="1"/>
  <c r="H24" i="88" s="1"/>
  <c r="H25" i="88" s="1"/>
  <c r="H26" i="88" s="1"/>
  <c r="H27" i="88" s="1"/>
  <c r="H28" i="88" s="1"/>
  <c r="H29" i="88" s="1"/>
  <c r="H30" i="88" s="1"/>
  <c r="H31" i="88" s="1"/>
  <c r="H32" i="88" s="1"/>
  <c r="H33" i="88" s="1"/>
  <c r="H34" i="88" s="1"/>
  <c r="H35" i="88" s="1"/>
  <c r="H36" i="88" s="1"/>
  <c r="H37" i="88" s="1"/>
  <c r="H38" i="88" s="1"/>
  <c r="H39" i="88" s="1"/>
  <c r="H40" i="88" s="1"/>
  <c r="H41" i="88" s="1"/>
  <c r="H42" i="88" s="1"/>
  <c r="H43" i="88" s="1"/>
  <c r="Q44" i="91"/>
  <c r="W17" i="87"/>
  <c r="Q18" i="91"/>
  <c r="Q41" i="91"/>
  <c r="H30" i="83"/>
  <c r="G35" i="83"/>
  <c r="E35" i="83"/>
  <c r="W20" i="90"/>
  <c r="T21" i="90"/>
  <c r="Q35" i="91"/>
  <c r="P45" i="91"/>
  <c r="R45" i="91" s="1"/>
  <c r="O45" i="91"/>
  <c r="Q45" i="91" s="1"/>
  <c r="AN35" i="92"/>
  <c r="E48" i="83"/>
  <c r="H48" i="83"/>
  <c r="D60" i="83"/>
  <c r="F48" i="83"/>
  <c r="Q31" i="91"/>
  <c r="Q40" i="91"/>
  <c r="BE28" i="92"/>
  <c r="W34" i="88"/>
  <c r="AC30" i="92"/>
  <c r="Y30" i="92"/>
  <c r="AR30" i="92"/>
  <c r="T36" i="88" s="1"/>
  <c r="T37" i="88" s="1"/>
  <c r="T38" i="88" s="1"/>
  <c r="T39" i="88" s="1"/>
  <c r="T40" i="88" s="1"/>
  <c r="T41" i="88" s="1"/>
  <c r="T42" i="88" s="1"/>
  <c r="T43" i="88" s="1"/>
  <c r="AI33" i="92"/>
  <c r="W33" i="92"/>
  <c r="BE33" i="92"/>
  <c r="W39" i="88"/>
  <c r="AP33" i="92"/>
  <c r="AP35" i="92"/>
  <c r="AV38" i="92" l="1"/>
  <c r="AU39" i="92" s="1"/>
  <c r="BE38" i="92"/>
  <c r="W44" i="88"/>
  <c r="AF39" i="92"/>
  <c r="AG38" i="92"/>
  <c r="J44" i="88" s="1"/>
  <c r="AE38" i="92"/>
  <c r="AD39" i="92"/>
  <c r="AZ38" i="92"/>
  <c r="AY39" i="92" s="1"/>
  <c r="AG44" i="88"/>
  <c r="Y38" i="92"/>
  <c r="X39" i="92" s="1"/>
  <c r="W38" i="92"/>
  <c r="V39" i="92" s="1"/>
  <c r="AB39" i="92"/>
  <c r="AC38" i="92"/>
  <c r="G48" i="83"/>
  <c r="W21" i="90"/>
  <c r="T22" i="90"/>
  <c r="T23" i="90" s="1"/>
  <c r="T24" i="90" s="1"/>
  <c r="D65" i="83"/>
  <c r="BC82" i="92"/>
  <c r="R37" i="92"/>
  <c r="F46" i="83"/>
  <c r="U8" i="85"/>
  <c r="V7" i="85"/>
  <c r="E51" i="83"/>
  <c r="G51" i="83"/>
  <c r="D63" i="83"/>
  <c r="F51" i="83"/>
  <c r="H51" i="83"/>
  <c r="D71" i="83"/>
  <c r="D69" i="83"/>
  <c r="F49" i="83"/>
  <c r="D67" i="83"/>
  <c r="D66" i="83"/>
  <c r="L36" i="88"/>
  <c r="L37" i="88" s="1"/>
  <c r="L38" i="88" s="1"/>
  <c r="L39" i="88" s="1"/>
  <c r="L40" i="88" s="1"/>
  <c r="L41" i="88" s="1"/>
  <c r="L42" i="88" s="1"/>
  <c r="L43" i="88" s="1"/>
  <c r="L44" i="88" s="1"/>
  <c r="W12" i="87"/>
  <c r="W11" i="87"/>
  <c r="W10" i="87"/>
  <c r="W9" i="87"/>
  <c r="W8" i="87"/>
  <c r="W7" i="87"/>
  <c r="W6" i="87"/>
  <c r="W5" i="87"/>
  <c r="W4" i="87"/>
  <c r="W3" i="87"/>
  <c r="W2" i="87"/>
  <c r="W13" i="87"/>
  <c r="W38" i="87"/>
  <c r="F44" i="83"/>
  <c r="K8" i="91"/>
  <c r="L9" i="91"/>
  <c r="H45" i="83"/>
  <c r="E45" i="83"/>
  <c r="G49" i="83"/>
  <c r="AX38" i="92"/>
  <c r="AW39" i="92" s="1"/>
  <c r="F43" i="83"/>
  <c r="BB38" i="92"/>
  <c r="BA39" i="92" s="1"/>
  <c r="AH44" i="88"/>
  <c r="Y36" i="88"/>
  <c r="Y37" i="88" s="1"/>
  <c r="Y38" i="88" s="1"/>
  <c r="Y39" i="88" s="1"/>
  <c r="Y40" i="88" s="1"/>
  <c r="Y41" i="88" s="1"/>
  <c r="Y42" i="88" s="1"/>
  <c r="Y43" i="88" s="1"/>
  <c r="G42" i="83"/>
  <c r="E42" i="83"/>
  <c r="Z39" i="92"/>
  <c r="AA38" i="92"/>
  <c r="L26" i="83"/>
  <c r="N22" i="83"/>
  <c r="H44" i="83"/>
  <c r="AN38" i="92"/>
  <c r="AM39" i="92"/>
  <c r="AK39" i="92"/>
  <c r="AL38" i="92"/>
  <c r="AR38" i="92"/>
  <c r="T44" i="88" s="1"/>
  <c r="AQ39" i="92"/>
  <c r="AS39" i="92"/>
  <c r="AT38" i="92"/>
  <c r="AE44" i="88" s="1"/>
  <c r="H44" i="88"/>
  <c r="H49" i="83"/>
  <c r="AC39" i="88"/>
  <c r="AC40" i="88" s="1"/>
  <c r="AC41" i="88" s="1"/>
  <c r="AC42" i="88" s="1"/>
  <c r="AC43" i="88" s="1"/>
  <c r="AC44" i="88" s="1"/>
  <c r="H43" i="83"/>
  <c r="H42" i="83"/>
  <c r="B39" i="88"/>
  <c r="B40" i="88" s="1"/>
  <c r="B41" i="88" s="1"/>
  <c r="B42" i="88" s="1"/>
  <c r="R36" i="88"/>
  <c r="R37" i="88" s="1"/>
  <c r="R38" i="88" s="1"/>
  <c r="R39" i="88" s="1"/>
  <c r="R40" i="88" s="1"/>
  <c r="R41" i="88" s="1"/>
  <c r="R42" i="88" s="1"/>
  <c r="R43" i="88" s="1"/>
  <c r="E52" i="83"/>
  <c r="H52" i="83"/>
  <c r="D64" i="83"/>
  <c r="F52" i="83"/>
  <c r="G52" i="83"/>
  <c r="G44" i="83"/>
  <c r="E44" i="83"/>
  <c r="L29" i="83"/>
  <c r="N25" i="83"/>
  <c r="AI38" i="92"/>
  <c r="AH39" i="92"/>
  <c r="AP38" i="92"/>
  <c r="AO39" i="92" s="1"/>
  <c r="BL26" i="92"/>
  <c r="BL28" i="92" s="1"/>
  <c r="D72" i="83"/>
  <c r="D70" i="83"/>
  <c r="I47" i="91"/>
  <c r="K47" i="91" s="1"/>
  <c r="L47" i="91" s="1"/>
  <c r="F48" i="91"/>
  <c r="P46" i="91"/>
  <c r="R46" i="91" s="1"/>
  <c r="O46" i="91"/>
  <c r="Q46" i="91" s="1"/>
  <c r="G47" i="83"/>
  <c r="E50" i="83"/>
  <c r="H50" i="83"/>
  <c r="D62" i="83"/>
  <c r="G50" i="83"/>
  <c r="F50" i="83"/>
  <c r="G45" i="83"/>
  <c r="L23" i="83"/>
  <c r="N19" i="83"/>
  <c r="E53" i="83" s="1"/>
  <c r="D73" i="83"/>
  <c r="G61" i="83"/>
  <c r="E49" i="83"/>
  <c r="G43" i="83"/>
  <c r="E43" i="83"/>
  <c r="L28" i="83"/>
  <c r="N24" i="83"/>
  <c r="BD81" i="92"/>
  <c r="S36" i="92"/>
  <c r="X44" i="90" s="1"/>
  <c r="W44" i="87" s="1"/>
  <c r="AA36" i="88"/>
  <c r="AA37" i="88" s="1"/>
  <c r="AA38" i="88" s="1"/>
  <c r="AA39" i="88" s="1"/>
  <c r="AA40" i="88" s="1"/>
  <c r="AA41" i="88" s="1"/>
  <c r="AA42" i="88" s="1"/>
  <c r="AA43" i="88" s="1"/>
  <c r="AA44" i="88" s="1"/>
  <c r="D36" i="88"/>
  <c r="D37" i="88" s="1"/>
  <c r="D38" i="88" s="1"/>
  <c r="D39" i="88" s="1"/>
  <c r="D40" i="88" s="1"/>
  <c r="D41" i="88" s="1"/>
  <c r="D42" i="88" s="1"/>
  <c r="D68" i="83"/>
  <c r="O10" i="91"/>
  <c r="R10" i="91"/>
  <c r="AP39" i="92" l="1"/>
  <c r="AO40" i="92" s="1"/>
  <c r="BA40" i="92"/>
  <c r="BB39" i="92"/>
  <c r="AH45" i="88"/>
  <c r="V40" i="92"/>
  <c r="W39" i="92"/>
  <c r="Y39" i="92"/>
  <c r="X40" i="92"/>
  <c r="AW40" i="92"/>
  <c r="AX39" i="92"/>
  <c r="BE39" i="92"/>
  <c r="AV39" i="92"/>
  <c r="AU40" i="92" s="1"/>
  <c r="W45" i="88"/>
  <c r="AZ39" i="92"/>
  <c r="AY40" i="92" s="1"/>
  <c r="AG45" i="88"/>
  <c r="D82" i="83"/>
  <c r="E58" i="83"/>
  <c r="R44" i="88"/>
  <c r="F58" i="83"/>
  <c r="E60" i="83"/>
  <c r="AI39" i="92"/>
  <c r="AH40" i="92" s="1"/>
  <c r="H56" i="83"/>
  <c r="L32" i="83"/>
  <c r="N28" i="83"/>
  <c r="F61" i="83"/>
  <c r="D85" i="83"/>
  <c r="I48" i="91"/>
  <c r="K48" i="91" s="1"/>
  <c r="L48" i="91" s="1"/>
  <c r="F49" i="91"/>
  <c r="I49" i="91" s="1"/>
  <c r="K49" i="91" s="1"/>
  <c r="L49" i="91" s="1"/>
  <c r="H58" i="83"/>
  <c r="F60" i="83"/>
  <c r="BM15" i="92"/>
  <c r="L54" i="90" s="1"/>
  <c r="BM5" i="92"/>
  <c r="BM17" i="92"/>
  <c r="N54" i="90" s="1"/>
  <c r="BM22" i="92"/>
  <c r="S54" i="90" s="1"/>
  <c r="BM12" i="92"/>
  <c r="I54" i="90" s="1"/>
  <c r="BM6" i="92"/>
  <c r="C54" i="90" s="1"/>
  <c r="BM21" i="92"/>
  <c r="R54" i="90" s="1"/>
  <c r="BM13" i="92"/>
  <c r="J54" i="90" s="1"/>
  <c r="BM7" i="92"/>
  <c r="D54" i="90" s="1"/>
  <c r="BM18" i="92"/>
  <c r="O54" i="90" s="1"/>
  <c r="BM20" i="92"/>
  <c r="Q54" i="90" s="1"/>
  <c r="BM9" i="92"/>
  <c r="F54" i="90" s="1"/>
  <c r="BM19" i="92"/>
  <c r="P54" i="90" s="1"/>
  <c r="BM11" i="92"/>
  <c r="H54" i="90" s="1"/>
  <c r="BM10" i="92"/>
  <c r="G54" i="90" s="1"/>
  <c r="BM8" i="92"/>
  <c r="E54" i="90" s="1"/>
  <c r="BM14" i="92"/>
  <c r="K54" i="90" s="1"/>
  <c r="BM16" i="92"/>
  <c r="M54" i="90" s="1"/>
  <c r="BM23" i="92"/>
  <c r="T54" i="90" s="1"/>
  <c r="BM24" i="92"/>
  <c r="K7" i="91"/>
  <c r="L8" i="91"/>
  <c r="H54" i="83"/>
  <c r="E54" i="83"/>
  <c r="D79" i="83"/>
  <c r="F57" i="83"/>
  <c r="G59" i="83"/>
  <c r="E59" i="83"/>
  <c r="G53" i="83"/>
  <c r="T25" i="90"/>
  <c r="U24" i="90"/>
  <c r="P47" i="91"/>
  <c r="R47" i="91" s="1"/>
  <c r="O47" i="91"/>
  <c r="Q47" i="91" s="1"/>
  <c r="H60" i="83"/>
  <c r="Y44" i="88"/>
  <c r="Y45" i="88" s="1"/>
  <c r="F54" i="83"/>
  <c r="G55" i="83"/>
  <c r="E55" i="83"/>
  <c r="H57" i="83"/>
  <c r="F59" i="83"/>
  <c r="H53" i="83"/>
  <c r="AC39" i="92"/>
  <c r="H45" i="88" s="1"/>
  <c r="D80" i="83"/>
  <c r="E56" i="83"/>
  <c r="BD82" i="92"/>
  <c r="S37" i="92"/>
  <c r="X45" i="90" s="1"/>
  <c r="W45" i="87" s="1"/>
  <c r="G58" i="83"/>
  <c r="AS40" i="92"/>
  <c r="AT39" i="92"/>
  <c r="AE45" i="88" s="1"/>
  <c r="AA39" i="92"/>
  <c r="Z40" i="92" s="1"/>
  <c r="D78" i="83"/>
  <c r="F55" i="83"/>
  <c r="D81" i="83"/>
  <c r="H59" i="83"/>
  <c r="BC83" i="92"/>
  <c r="R38" i="92"/>
  <c r="D77" i="83"/>
  <c r="AG39" i="92"/>
  <c r="J45" i="88" s="1"/>
  <c r="AF40" i="92"/>
  <c r="F56" i="83"/>
  <c r="H61" i="83"/>
  <c r="L27" i="83"/>
  <c r="N23" i="83"/>
  <c r="F70" i="83" s="1"/>
  <c r="D74" i="83"/>
  <c r="E62" i="83"/>
  <c r="G62" i="83"/>
  <c r="H62" i="83"/>
  <c r="F62" i="83"/>
  <c r="D84" i="83"/>
  <c r="E72" i="83"/>
  <c r="F72" i="83"/>
  <c r="L33" i="83"/>
  <c r="N29" i="83"/>
  <c r="AC45" i="88"/>
  <c r="AL39" i="92"/>
  <c r="AK40" i="92" s="1"/>
  <c r="G56" i="83"/>
  <c r="E61" i="83"/>
  <c r="G60" i="83"/>
  <c r="D76" i="83"/>
  <c r="E64" i="83"/>
  <c r="H64" i="83"/>
  <c r="G64" i="83"/>
  <c r="F64" i="83"/>
  <c r="AR39" i="92"/>
  <c r="T45" i="88" s="1"/>
  <c r="AQ40" i="92"/>
  <c r="AN39" i="92"/>
  <c r="AA45" i="88" s="1"/>
  <c r="AM40" i="92"/>
  <c r="L30" i="83"/>
  <c r="N26" i="83"/>
  <c r="R9" i="91"/>
  <c r="O9" i="91"/>
  <c r="L45" i="88"/>
  <c r="G54" i="83"/>
  <c r="H55" i="83"/>
  <c r="G57" i="83"/>
  <c r="E57" i="83"/>
  <c r="D83" i="83"/>
  <c r="F71" i="83"/>
  <c r="G71" i="83"/>
  <c r="D75" i="83"/>
  <c r="E63" i="83"/>
  <c r="H63" i="83"/>
  <c r="G63" i="83"/>
  <c r="F63" i="83"/>
  <c r="V8" i="85"/>
  <c r="U9" i="85"/>
  <c r="F53" i="83"/>
  <c r="AJ40" i="92"/>
  <c r="AE39" i="92"/>
  <c r="AD40" i="92" s="1"/>
  <c r="AE40" i="92" l="1"/>
  <c r="AD41" i="92" s="1"/>
  <c r="AZ40" i="92"/>
  <c r="AY41" i="92" s="1"/>
  <c r="AG46" i="88"/>
  <c r="AL40" i="92"/>
  <c r="AK41" i="92"/>
  <c r="AI40" i="92"/>
  <c r="AH41" i="92" s="1"/>
  <c r="AP40" i="92"/>
  <c r="AO41" i="92"/>
  <c r="AA40" i="92"/>
  <c r="Z41" i="92" s="1"/>
  <c r="AU41" i="92"/>
  <c r="BE40" i="92"/>
  <c r="AV40" i="92"/>
  <c r="W46" i="88"/>
  <c r="D95" i="83"/>
  <c r="AR40" i="92"/>
  <c r="T46" i="88" s="1"/>
  <c r="L34" i="83"/>
  <c r="N30" i="83"/>
  <c r="H71" i="83"/>
  <c r="AJ41" i="92"/>
  <c r="AJ42" i="92" s="1"/>
  <c r="F75" i="83"/>
  <c r="D87" i="83"/>
  <c r="H75" i="83"/>
  <c r="E75" i="83"/>
  <c r="G75" i="83"/>
  <c r="E71" i="83"/>
  <c r="G72" i="83"/>
  <c r="D96" i="83"/>
  <c r="F65" i="83"/>
  <c r="D89" i="83"/>
  <c r="F69" i="83"/>
  <c r="D93" i="83"/>
  <c r="H66" i="83"/>
  <c r="F68" i="83"/>
  <c r="AB40" i="92"/>
  <c r="H67" i="83"/>
  <c r="G43" i="87"/>
  <c r="G39" i="87"/>
  <c r="G35" i="87"/>
  <c r="G42" i="87"/>
  <c r="G38" i="87"/>
  <c r="G34" i="87"/>
  <c r="G45" i="87"/>
  <c r="G37" i="87"/>
  <c r="G40" i="87"/>
  <c r="G32" i="87"/>
  <c r="G30" i="87"/>
  <c r="G28" i="87"/>
  <c r="G26" i="87"/>
  <c r="G24" i="87"/>
  <c r="G22" i="87"/>
  <c r="G44" i="87"/>
  <c r="G36" i="87"/>
  <c r="G31" i="87"/>
  <c r="G29" i="87"/>
  <c r="G27" i="87"/>
  <c r="G25" i="87"/>
  <c r="G23" i="87"/>
  <c r="G21" i="87"/>
  <c r="G17" i="87"/>
  <c r="G13" i="87"/>
  <c r="G9" i="87"/>
  <c r="G20" i="87"/>
  <c r="G16" i="87"/>
  <c r="G12" i="87"/>
  <c r="G33" i="87"/>
  <c r="G18" i="87"/>
  <c r="G14" i="87"/>
  <c r="G10" i="87"/>
  <c r="G41" i="87"/>
  <c r="G11" i="87"/>
  <c r="G15" i="87"/>
  <c r="G19" i="87"/>
  <c r="H42" i="87"/>
  <c r="H38" i="87"/>
  <c r="H34" i="87"/>
  <c r="H45" i="87"/>
  <c r="H41" i="87"/>
  <c r="H37" i="87"/>
  <c r="H33" i="87"/>
  <c r="H40" i="87"/>
  <c r="H32" i="87"/>
  <c r="H30" i="87"/>
  <c r="H28" i="87"/>
  <c r="H26" i="87"/>
  <c r="H24" i="87"/>
  <c r="H22" i="87"/>
  <c r="H43" i="87"/>
  <c r="H35" i="87"/>
  <c r="H21" i="87"/>
  <c r="H20" i="87"/>
  <c r="H19" i="87"/>
  <c r="H18" i="87"/>
  <c r="H17" i="87"/>
  <c r="H16" i="87"/>
  <c r="H15" i="87"/>
  <c r="H14" i="87"/>
  <c r="H13" i="87"/>
  <c r="H12" i="87"/>
  <c r="H11" i="87"/>
  <c r="H10" i="87"/>
  <c r="H9" i="87"/>
  <c r="H39" i="87"/>
  <c r="H25" i="87"/>
  <c r="H31" i="87"/>
  <c r="H23" i="87"/>
  <c r="H36" i="87"/>
  <c r="H27" i="87"/>
  <c r="H44" i="87"/>
  <c r="H29" i="87"/>
  <c r="L43" i="87"/>
  <c r="F43" i="86" s="1"/>
  <c r="L39" i="87"/>
  <c r="F39" i="86" s="1"/>
  <c r="L35" i="87"/>
  <c r="F35" i="86" s="1"/>
  <c r="L42" i="87"/>
  <c r="F42" i="86" s="1"/>
  <c r="L38" i="87"/>
  <c r="F38" i="86" s="1"/>
  <c r="L34" i="87"/>
  <c r="F34" i="86" s="1"/>
  <c r="G34" i="86" s="1"/>
  <c r="L41" i="87"/>
  <c r="F41" i="86" s="1"/>
  <c r="L33" i="87"/>
  <c r="F33" i="86" s="1"/>
  <c r="L44" i="87"/>
  <c r="F44" i="86" s="1"/>
  <c r="G44" i="86" s="1"/>
  <c r="L36" i="87"/>
  <c r="F36" i="86" s="1"/>
  <c r="G36" i="86" s="1"/>
  <c r="L31" i="87"/>
  <c r="F31" i="86" s="1"/>
  <c r="L29" i="87"/>
  <c r="F29" i="86" s="1"/>
  <c r="L27" i="87"/>
  <c r="F27" i="86" s="1"/>
  <c r="G27" i="86" s="1"/>
  <c r="L25" i="87"/>
  <c r="F25" i="86" s="1"/>
  <c r="L23" i="87"/>
  <c r="F23" i="86" s="1"/>
  <c r="L40" i="87"/>
  <c r="F40" i="86" s="1"/>
  <c r="L32" i="87"/>
  <c r="F32" i="86" s="1"/>
  <c r="G32" i="86" s="1"/>
  <c r="L30" i="87"/>
  <c r="F30" i="86" s="1"/>
  <c r="G30" i="86" s="1"/>
  <c r="L28" i="87"/>
  <c r="F28" i="86" s="1"/>
  <c r="L26" i="87"/>
  <c r="F26" i="86" s="1"/>
  <c r="L24" i="87"/>
  <c r="F24" i="86" s="1"/>
  <c r="G24" i="86" s="1"/>
  <c r="L22" i="87"/>
  <c r="F22" i="86" s="1"/>
  <c r="L37" i="87"/>
  <c r="F37" i="86" s="1"/>
  <c r="L20" i="87"/>
  <c r="F20" i="86" s="1"/>
  <c r="L16" i="87"/>
  <c r="F16" i="86" s="1"/>
  <c r="L12" i="87"/>
  <c r="F12" i="86" s="1"/>
  <c r="G12" i="86" s="1"/>
  <c r="L8" i="87"/>
  <c r="F8" i="86" s="1"/>
  <c r="L4" i="87"/>
  <c r="F4" i="86" s="1"/>
  <c r="L19" i="87"/>
  <c r="F19" i="86" s="1"/>
  <c r="L15" i="87"/>
  <c r="F15" i="86" s="1"/>
  <c r="L11" i="87"/>
  <c r="F11" i="86" s="1"/>
  <c r="L7" i="87"/>
  <c r="F7" i="86" s="1"/>
  <c r="L3" i="87"/>
  <c r="F3" i="86" s="1"/>
  <c r="L21" i="87"/>
  <c r="F21" i="86" s="1"/>
  <c r="G21" i="86" s="1"/>
  <c r="L17" i="87"/>
  <c r="F17" i="86" s="1"/>
  <c r="L13" i="87"/>
  <c r="F13" i="86" s="1"/>
  <c r="L9" i="87"/>
  <c r="F9" i="86" s="1"/>
  <c r="G9" i="86" s="1"/>
  <c r="L5" i="87"/>
  <c r="F5" i="86" s="1"/>
  <c r="G5" i="86" s="1"/>
  <c r="L14" i="87"/>
  <c r="F14" i="86" s="1"/>
  <c r="G14" i="86" s="1"/>
  <c r="L10" i="87"/>
  <c r="F10" i="86" s="1"/>
  <c r="L18" i="87"/>
  <c r="F18" i="86" s="1"/>
  <c r="L2" i="87"/>
  <c r="F2" i="86" s="1"/>
  <c r="L6" i="87"/>
  <c r="F6" i="86" s="1"/>
  <c r="U42" i="87"/>
  <c r="U38" i="87"/>
  <c r="U34" i="87"/>
  <c r="U45" i="87"/>
  <c r="U41" i="87"/>
  <c r="U37" i="87"/>
  <c r="U33" i="87"/>
  <c r="U44" i="87"/>
  <c r="U36" i="87"/>
  <c r="U31" i="87"/>
  <c r="U29" i="87"/>
  <c r="U27" i="87"/>
  <c r="U25" i="87"/>
  <c r="U23" i="87"/>
  <c r="U39" i="87"/>
  <c r="U20" i="87"/>
  <c r="U19" i="87"/>
  <c r="U18" i="87"/>
  <c r="U17" i="87"/>
  <c r="U16" i="87"/>
  <c r="U15" i="87"/>
  <c r="U14" i="87"/>
  <c r="U13" i="87"/>
  <c r="U12" i="87"/>
  <c r="U11" i="87"/>
  <c r="U10" i="87"/>
  <c r="U9" i="87"/>
  <c r="U8" i="87"/>
  <c r="U7" i="87"/>
  <c r="U6" i="87"/>
  <c r="U5" i="87"/>
  <c r="U4" i="87"/>
  <c r="U3" i="87"/>
  <c r="U2" i="87"/>
  <c r="U43" i="87"/>
  <c r="U35" i="87"/>
  <c r="U26" i="87"/>
  <c r="U32" i="87"/>
  <c r="U24" i="87"/>
  <c r="U21" i="87"/>
  <c r="U40" i="87"/>
  <c r="U28" i="87"/>
  <c r="U30" i="87"/>
  <c r="U22" i="87"/>
  <c r="E73" i="83"/>
  <c r="F73" i="83"/>
  <c r="R45" i="88"/>
  <c r="R46" i="88" s="1"/>
  <c r="L46" i="87" s="1"/>
  <c r="F46" i="86" s="1"/>
  <c r="H70" i="83"/>
  <c r="AC46" i="88"/>
  <c r="F74" i="83"/>
  <c r="D86" i="83"/>
  <c r="H74" i="83"/>
  <c r="G74" i="83"/>
  <c r="E74" i="83"/>
  <c r="G65" i="83"/>
  <c r="H69" i="83"/>
  <c r="E66" i="83"/>
  <c r="BD83" i="92"/>
  <c r="S38" i="92"/>
  <c r="X46" i="90" s="1"/>
  <c r="W46" i="87" s="1"/>
  <c r="H68" i="83"/>
  <c r="T26" i="90"/>
  <c r="V26" i="87" s="1"/>
  <c r="U25" i="90"/>
  <c r="E67" i="83"/>
  <c r="O8" i="91"/>
  <c r="G8" i="87" s="1"/>
  <c r="R8" i="91"/>
  <c r="H8" i="87" s="1"/>
  <c r="V25" i="87"/>
  <c r="V24" i="87"/>
  <c r="V23" i="87"/>
  <c r="V22" i="87"/>
  <c r="V21" i="87"/>
  <c r="V20" i="87"/>
  <c r="V19" i="87"/>
  <c r="V18" i="87"/>
  <c r="V17" i="87"/>
  <c r="V16" i="87"/>
  <c r="V15" i="87"/>
  <c r="V14" i="87"/>
  <c r="V13" i="87"/>
  <c r="V12" i="87"/>
  <c r="V11" i="87"/>
  <c r="V10" i="87"/>
  <c r="V9" i="87"/>
  <c r="V8" i="87"/>
  <c r="V7" i="87"/>
  <c r="V6" i="87"/>
  <c r="V5" i="87"/>
  <c r="V4" i="87"/>
  <c r="V3" i="87"/>
  <c r="V2" i="87"/>
  <c r="I45" i="87"/>
  <c r="I41" i="87"/>
  <c r="I37" i="87"/>
  <c r="I33" i="87"/>
  <c r="I44" i="87"/>
  <c r="I40" i="87"/>
  <c r="I36" i="87"/>
  <c r="I32" i="87"/>
  <c r="I31" i="87"/>
  <c r="I30" i="87"/>
  <c r="I29" i="87"/>
  <c r="I28" i="87"/>
  <c r="I27" i="87"/>
  <c r="I26" i="87"/>
  <c r="I25" i="87"/>
  <c r="I24" i="87"/>
  <c r="I23" i="87"/>
  <c r="I22" i="87"/>
  <c r="I43" i="87"/>
  <c r="I35" i="87"/>
  <c r="I21" i="87"/>
  <c r="I20" i="87"/>
  <c r="I19" i="87"/>
  <c r="I18" i="87"/>
  <c r="I17" i="87"/>
  <c r="I16" i="87"/>
  <c r="I15" i="87"/>
  <c r="I14" i="87"/>
  <c r="I13" i="87"/>
  <c r="I12" i="87"/>
  <c r="I11" i="87"/>
  <c r="I10" i="87"/>
  <c r="I9" i="87"/>
  <c r="I38" i="87"/>
  <c r="I42" i="87"/>
  <c r="I34" i="87"/>
  <c r="I39" i="87"/>
  <c r="S44" i="87"/>
  <c r="S40" i="87"/>
  <c r="S36" i="87"/>
  <c r="S32" i="87"/>
  <c r="S31" i="87"/>
  <c r="S30" i="87"/>
  <c r="S29" i="87"/>
  <c r="S28" i="87"/>
  <c r="S27" i="87"/>
  <c r="S26" i="87"/>
  <c r="S25" i="87"/>
  <c r="S24" i="87"/>
  <c r="S23" i="87"/>
  <c r="S22" i="87"/>
  <c r="S43" i="87"/>
  <c r="S39" i="87"/>
  <c r="S35" i="87"/>
  <c r="S38" i="87"/>
  <c r="S21" i="87"/>
  <c r="S41" i="87"/>
  <c r="S33" i="87"/>
  <c r="S45" i="87"/>
  <c r="S37" i="87"/>
  <c r="S20" i="87"/>
  <c r="S19" i="87"/>
  <c r="S18" i="87"/>
  <c r="S17" i="87"/>
  <c r="S16" i="87"/>
  <c r="S15" i="87"/>
  <c r="S14" i="87"/>
  <c r="S13" i="87"/>
  <c r="S12" i="87"/>
  <c r="S11" i="87"/>
  <c r="S10" i="87"/>
  <c r="S9" i="87"/>
  <c r="S8" i="87"/>
  <c r="S7" i="87"/>
  <c r="S6" i="87"/>
  <c r="S5" i="87"/>
  <c r="S4" i="87"/>
  <c r="S3" i="87"/>
  <c r="S2" i="87"/>
  <c r="S34" i="87"/>
  <c r="S42" i="87"/>
  <c r="T46" i="87"/>
  <c r="T43" i="87"/>
  <c r="T39" i="87"/>
  <c r="T35" i="87"/>
  <c r="T42" i="87"/>
  <c r="T38" i="87"/>
  <c r="T34" i="87"/>
  <c r="T41" i="87"/>
  <c r="T33" i="87"/>
  <c r="T44" i="87"/>
  <c r="T36" i="87"/>
  <c r="T31" i="87"/>
  <c r="T29" i="87"/>
  <c r="T27" i="87"/>
  <c r="T25" i="87"/>
  <c r="T23" i="87"/>
  <c r="T40" i="87"/>
  <c r="T32" i="87"/>
  <c r="T30" i="87"/>
  <c r="T28" i="87"/>
  <c r="T26" i="87"/>
  <c r="T24" i="87"/>
  <c r="T22" i="87"/>
  <c r="T21" i="87"/>
  <c r="T18" i="87"/>
  <c r="T14" i="87"/>
  <c r="T10" i="87"/>
  <c r="T6" i="87"/>
  <c r="T2" i="87"/>
  <c r="T17" i="87"/>
  <c r="T13" i="87"/>
  <c r="T9" i="87"/>
  <c r="T5" i="87"/>
  <c r="T37" i="87"/>
  <c r="T19" i="87"/>
  <c r="T15" i="87"/>
  <c r="T11" i="87"/>
  <c r="T7" i="87"/>
  <c r="T3" i="87"/>
  <c r="T45" i="87"/>
  <c r="T20" i="87"/>
  <c r="T4" i="87"/>
  <c r="T16" i="87"/>
  <c r="T8" i="87"/>
  <c r="T12" i="87"/>
  <c r="P43" i="87"/>
  <c r="P39" i="87"/>
  <c r="P35" i="87"/>
  <c r="P42" i="87"/>
  <c r="P38" i="87"/>
  <c r="P34" i="87"/>
  <c r="P45" i="87"/>
  <c r="P37" i="87"/>
  <c r="P40" i="87"/>
  <c r="P32" i="87"/>
  <c r="P30" i="87"/>
  <c r="P28" i="87"/>
  <c r="P26" i="87"/>
  <c r="P24" i="87"/>
  <c r="P22" i="87"/>
  <c r="P44" i="87"/>
  <c r="P36" i="87"/>
  <c r="P31" i="87"/>
  <c r="P29" i="87"/>
  <c r="P27" i="87"/>
  <c r="P25" i="87"/>
  <c r="P23" i="87"/>
  <c r="P19" i="87"/>
  <c r="P41" i="87"/>
  <c r="P18" i="87"/>
  <c r="P20" i="87"/>
  <c r="P16" i="87"/>
  <c r="P17" i="87"/>
  <c r="P21" i="87"/>
  <c r="P33" i="87"/>
  <c r="G73" i="83"/>
  <c r="E70" i="83"/>
  <c r="AX40" i="92"/>
  <c r="Y46" i="88" s="1"/>
  <c r="BB40" i="92"/>
  <c r="BA41" i="92"/>
  <c r="AH46" i="88"/>
  <c r="U46" i="87" s="1"/>
  <c r="U10" i="85"/>
  <c r="V9" i="85"/>
  <c r="H65" i="83"/>
  <c r="BC84" i="92"/>
  <c r="R39" i="92"/>
  <c r="F66" i="83"/>
  <c r="D90" i="83"/>
  <c r="AT40" i="92"/>
  <c r="AE46" i="88" s="1"/>
  <c r="AS41" i="92"/>
  <c r="E68" i="83"/>
  <c r="G67" i="83"/>
  <c r="D91" i="83"/>
  <c r="K6" i="91"/>
  <c r="L7" i="91"/>
  <c r="O44" i="87"/>
  <c r="O40" i="87"/>
  <c r="O36" i="87"/>
  <c r="O32" i="87"/>
  <c r="O31" i="87"/>
  <c r="O30" i="87"/>
  <c r="O29" i="87"/>
  <c r="O28" i="87"/>
  <c r="O27" i="87"/>
  <c r="O26" i="87"/>
  <c r="O25" i="87"/>
  <c r="O24" i="87"/>
  <c r="O23" i="87"/>
  <c r="O22" i="87"/>
  <c r="O43" i="87"/>
  <c r="O39" i="87"/>
  <c r="O35" i="87"/>
  <c r="O42" i="87"/>
  <c r="O34" i="87"/>
  <c r="O45" i="87"/>
  <c r="O37" i="87"/>
  <c r="O46" i="87"/>
  <c r="O41" i="87"/>
  <c r="O33" i="87"/>
  <c r="O21" i="87"/>
  <c r="O20" i="87"/>
  <c r="O19" i="87"/>
  <c r="O18" i="87"/>
  <c r="O17" i="87"/>
  <c r="O16" i="87"/>
  <c r="O15" i="87"/>
  <c r="O14" i="87"/>
  <c r="O13" i="87"/>
  <c r="O12" i="87"/>
  <c r="O11" i="87"/>
  <c r="O10" i="87"/>
  <c r="O9" i="87"/>
  <c r="O8" i="87"/>
  <c r="O7" i="87"/>
  <c r="O6" i="87"/>
  <c r="O5" i="87"/>
  <c r="O4" i="87"/>
  <c r="O3" i="87"/>
  <c r="O2" i="87"/>
  <c r="O38" i="87"/>
  <c r="Q42" i="87"/>
  <c r="Q38" i="87"/>
  <c r="Q34" i="87"/>
  <c r="Q45" i="87"/>
  <c r="Q41" i="87"/>
  <c r="Q37" i="87"/>
  <c r="Q33" i="87"/>
  <c r="Q40" i="87"/>
  <c r="Q32" i="87"/>
  <c r="Q30" i="87"/>
  <c r="Q28" i="87"/>
  <c r="Q26" i="87"/>
  <c r="Q24" i="87"/>
  <c r="Q22" i="87"/>
  <c r="Q43" i="87"/>
  <c r="Q35" i="87"/>
  <c r="Q21" i="87"/>
  <c r="Q20" i="87"/>
  <c r="Q19" i="87"/>
  <c r="Q18" i="87"/>
  <c r="Q17" i="87"/>
  <c r="Q16" i="87"/>
  <c r="Q39" i="87"/>
  <c r="Q31" i="87"/>
  <c r="Q23" i="87"/>
  <c r="Q44" i="87"/>
  <c r="Q29" i="87"/>
  <c r="Q25" i="87"/>
  <c r="Q36" i="87"/>
  <c r="Q27" i="87"/>
  <c r="E40" i="87"/>
  <c r="E36" i="87"/>
  <c r="E32" i="87"/>
  <c r="E31" i="87"/>
  <c r="E30" i="87"/>
  <c r="E29" i="87"/>
  <c r="E28" i="87"/>
  <c r="E27" i="87"/>
  <c r="E26" i="87"/>
  <c r="E25" i="87"/>
  <c r="E24" i="87"/>
  <c r="E23" i="87"/>
  <c r="E39" i="87"/>
  <c r="E35" i="87"/>
  <c r="E42" i="87"/>
  <c r="E34" i="87"/>
  <c r="E37" i="87"/>
  <c r="E41" i="87"/>
  <c r="E33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E22" i="87"/>
  <c r="E38" i="87"/>
  <c r="BM26" i="92"/>
  <c r="B54" i="90"/>
  <c r="P49" i="91"/>
  <c r="R49" i="91" s="1"/>
  <c r="O49" i="91"/>
  <c r="Q49" i="91" s="1"/>
  <c r="H73" i="83"/>
  <c r="G70" i="83"/>
  <c r="F82" i="83"/>
  <c r="D94" i="83"/>
  <c r="G82" i="83"/>
  <c r="E82" i="83"/>
  <c r="W40" i="92"/>
  <c r="V41" i="92" s="1"/>
  <c r="L46" i="88"/>
  <c r="I46" i="87" s="1"/>
  <c r="AG40" i="92"/>
  <c r="J46" i="88" s="1"/>
  <c r="G69" i="83"/>
  <c r="AM41" i="92"/>
  <c r="AN40" i="92"/>
  <c r="AA46" i="88" s="1"/>
  <c r="F76" i="83"/>
  <c r="D88" i="83"/>
  <c r="H76" i="83"/>
  <c r="G76" i="83"/>
  <c r="E76" i="83"/>
  <c r="L37" i="83"/>
  <c r="N33" i="83"/>
  <c r="H72" i="83"/>
  <c r="L31" i="83"/>
  <c r="N27" i="83"/>
  <c r="H83" i="83" s="1"/>
  <c r="E65" i="83"/>
  <c r="E69" i="83"/>
  <c r="G66" i="83"/>
  <c r="G68" i="83"/>
  <c r="F80" i="83"/>
  <c r="D92" i="83"/>
  <c r="G80" i="83"/>
  <c r="E80" i="83"/>
  <c r="F67" i="83"/>
  <c r="M42" i="87"/>
  <c r="M38" i="87"/>
  <c r="M34" i="87"/>
  <c r="M45" i="87"/>
  <c r="M41" i="87"/>
  <c r="M37" i="87"/>
  <c r="M33" i="87"/>
  <c r="M44" i="87"/>
  <c r="M36" i="87"/>
  <c r="M31" i="87"/>
  <c r="M29" i="87"/>
  <c r="M27" i="87"/>
  <c r="M25" i="87"/>
  <c r="M23" i="87"/>
  <c r="M39" i="87"/>
  <c r="M21" i="87"/>
  <c r="M20" i="87"/>
  <c r="M19" i="87"/>
  <c r="M18" i="87"/>
  <c r="M17" i="87"/>
  <c r="M16" i="87"/>
  <c r="M15" i="87"/>
  <c r="M14" i="87"/>
  <c r="M13" i="87"/>
  <c r="M12" i="87"/>
  <c r="M11" i="87"/>
  <c r="M10" i="87"/>
  <c r="M9" i="87"/>
  <c r="M8" i="87"/>
  <c r="M7" i="87"/>
  <c r="M6" i="87"/>
  <c r="M5" i="87"/>
  <c r="M4" i="87"/>
  <c r="M3" i="87"/>
  <c r="M2" i="87"/>
  <c r="M43" i="87"/>
  <c r="M35" i="87"/>
  <c r="M40" i="87"/>
  <c r="M28" i="87"/>
  <c r="M26" i="87"/>
  <c r="M30" i="87"/>
  <c r="M22" i="87"/>
  <c r="M32" i="87"/>
  <c r="M24" i="87"/>
  <c r="R45" i="87"/>
  <c r="R41" i="87"/>
  <c r="R37" i="87"/>
  <c r="R33" i="87"/>
  <c r="R46" i="87"/>
  <c r="R44" i="87"/>
  <c r="R40" i="87"/>
  <c r="R36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43" i="87"/>
  <c r="R35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R3" i="87"/>
  <c r="R2" i="87"/>
  <c r="R38" i="87"/>
  <c r="R42" i="87"/>
  <c r="R34" i="87"/>
  <c r="R39" i="87"/>
  <c r="K47" i="87"/>
  <c r="K49" i="87"/>
  <c r="K44" i="87"/>
  <c r="K40" i="87"/>
  <c r="K36" i="87"/>
  <c r="K32" i="87"/>
  <c r="K31" i="87"/>
  <c r="K30" i="87"/>
  <c r="K29" i="87"/>
  <c r="K28" i="87"/>
  <c r="K27" i="87"/>
  <c r="K26" i="87"/>
  <c r="K25" i="87"/>
  <c r="K24" i="87"/>
  <c r="K23" i="87"/>
  <c r="K22" i="87"/>
  <c r="K43" i="87"/>
  <c r="K39" i="87"/>
  <c r="K35" i="87"/>
  <c r="K46" i="87"/>
  <c r="K38" i="87"/>
  <c r="K41" i="87"/>
  <c r="K33" i="87"/>
  <c r="K45" i="87"/>
  <c r="K37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34" i="87"/>
  <c r="K42" i="87"/>
  <c r="N41" i="87"/>
  <c r="N37" i="87"/>
  <c r="N33" i="87"/>
  <c r="N40" i="87"/>
  <c r="N36" i="87"/>
  <c r="N32" i="87"/>
  <c r="N31" i="87"/>
  <c r="N30" i="87"/>
  <c r="N29" i="87"/>
  <c r="N28" i="87"/>
  <c r="N27" i="87"/>
  <c r="N26" i="87"/>
  <c r="N25" i="87"/>
  <c r="N24" i="87"/>
  <c r="N23" i="87"/>
  <c r="N22" i="87"/>
  <c r="N39" i="87"/>
  <c r="N21" i="87"/>
  <c r="N20" i="87"/>
  <c r="N19" i="87"/>
  <c r="N18" i="87"/>
  <c r="N17" i="87"/>
  <c r="N16" i="87"/>
  <c r="N15" i="87"/>
  <c r="N14" i="87"/>
  <c r="N13" i="87"/>
  <c r="N12" i="87"/>
  <c r="N11" i="87"/>
  <c r="N10" i="87"/>
  <c r="N9" i="87"/>
  <c r="N8" i="87"/>
  <c r="N7" i="87"/>
  <c r="N6" i="87"/>
  <c r="N5" i="87"/>
  <c r="N4" i="87"/>
  <c r="N3" i="87"/>
  <c r="N2" i="87"/>
  <c r="N42" i="87"/>
  <c r="N43" i="87" s="1"/>
  <c r="N44" i="87" s="1"/>
  <c r="N45" i="87" s="1"/>
  <c r="N46" i="87" s="1"/>
  <c r="N47" i="87" s="1"/>
  <c r="N48" i="87" s="1"/>
  <c r="N49" i="87" s="1"/>
  <c r="N34" i="87"/>
  <c r="N38" i="87"/>
  <c r="N35" i="87"/>
  <c r="P48" i="91"/>
  <c r="R48" i="91" s="1"/>
  <c r="K48" i="87" s="1"/>
  <c r="O48" i="91"/>
  <c r="Q48" i="91" s="1"/>
  <c r="F85" i="83"/>
  <c r="D97" i="83"/>
  <c r="H85" i="83"/>
  <c r="E85" i="83"/>
  <c r="G85" i="83"/>
  <c r="L36" i="83"/>
  <c r="N32" i="83"/>
  <c r="Y40" i="92"/>
  <c r="X41" i="92"/>
  <c r="G6" i="86" l="1"/>
  <c r="G17" i="86"/>
  <c r="G22" i="86"/>
  <c r="G3" i="86"/>
  <c r="G19" i="86"/>
  <c r="G38" i="86"/>
  <c r="G10" i="86"/>
  <c r="G13" i="86"/>
  <c r="G29" i="86"/>
  <c r="G42" i="86"/>
  <c r="S46" i="87"/>
  <c r="H46" i="87"/>
  <c r="Q46" i="87"/>
  <c r="M46" i="87"/>
  <c r="P46" i="87"/>
  <c r="AI41" i="92"/>
  <c r="AH42" i="92"/>
  <c r="AY42" i="92"/>
  <c r="AZ41" i="92"/>
  <c r="AG47" i="88"/>
  <c r="T47" i="87" s="1"/>
  <c r="W41" i="92"/>
  <c r="V42" i="92"/>
  <c r="C8" i="87"/>
  <c r="AA41" i="92"/>
  <c r="Z42" i="92"/>
  <c r="AE41" i="92"/>
  <c r="AD42" i="92" s="1"/>
  <c r="L40" i="83"/>
  <c r="N36" i="83"/>
  <c r="F97" i="83"/>
  <c r="D109" i="83"/>
  <c r="E97" i="83"/>
  <c r="G97" i="83"/>
  <c r="H4" i="86"/>
  <c r="H8" i="86"/>
  <c r="H12" i="86"/>
  <c r="H16" i="86"/>
  <c r="H20" i="86"/>
  <c r="H25" i="86"/>
  <c r="H80" i="83"/>
  <c r="L35" i="83"/>
  <c r="N31" i="83"/>
  <c r="H97" i="83" s="1"/>
  <c r="AF41" i="92"/>
  <c r="F94" i="83"/>
  <c r="D106" i="83"/>
  <c r="H94" i="83"/>
  <c r="G94" i="83"/>
  <c r="E94" i="83"/>
  <c r="R7" i="91"/>
  <c r="O7" i="91"/>
  <c r="H79" i="83"/>
  <c r="G78" i="83"/>
  <c r="I8" i="87"/>
  <c r="D8" i="86" s="1"/>
  <c r="BD84" i="92"/>
  <c r="S39" i="92"/>
  <c r="X47" i="90" s="1"/>
  <c r="W47" i="87" s="1"/>
  <c r="G18" i="86"/>
  <c r="L45" i="87"/>
  <c r="F45" i="86" s="1"/>
  <c r="G45" i="86" s="1"/>
  <c r="G11" i="86"/>
  <c r="G8" i="86"/>
  <c r="G37" i="86"/>
  <c r="G28" i="86"/>
  <c r="G23" i="86"/>
  <c r="G31" i="86"/>
  <c r="G41" i="86"/>
  <c r="C27" i="87"/>
  <c r="D27" i="86"/>
  <c r="C25" i="87"/>
  <c r="D25" i="86"/>
  <c r="C12" i="87"/>
  <c r="D12" i="86"/>
  <c r="C16" i="87"/>
  <c r="D16" i="86"/>
  <c r="C20" i="87"/>
  <c r="D20" i="86"/>
  <c r="D22" i="86"/>
  <c r="C22" i="87"/>
  <c r="D30" i="86"/>
  <c r="C30" i="87"/>
  <c r="C37" i="87"/>
  <c r="D37" i="86"/>
  <c r="C38" i="87"/>
  <c r="D38" i="86"/>
  <c r="AC40" i="92"/>
  <c r="H46" i="88" s="1"/>
  <c r="E81" i="83"/>
  <c r="F89" i="83"/>
  <c r="D101" i="83"/>
  <c r="E89" i="83"/>
  <c r="G89" i="83"/>
  <c r="G84" i="83"/>
  <c r="AQ41" i="92"/>
  <c r="F95" i="83"/>
  <c r="D107" i="83"/>
  <c r="H95" i="83"/>
  <c r="G95" i="83"/>
  <c r="Y41" i="92"/>
  <c r="X42" i="92"/>
  <c r="H24" i="86"/>
  <c r="H26" i="86"/>
  <c r="H5" i="86"/>
  <c r="I5" i="86" s="1"/>
  <c r="H9" i="86"/>
  <c r="H13" i="86"/>
  <c r="H17" i="86"/>
  <c r="I17" i="86" s="1"/>
  <c r="H21" i="86"/>
  <c r="D104" i="83"/>
  <c r="H92" i="83"/>
  <c r="G92" i="83"/>
  <c r="K5" i="91"/>
  <c r="L6" i="91"/>
  <c r="D103" i="83"/>
  <c r="H91" i="83"/>
  <c r="G91" i="83"/>
  <c r="AT41" i="92"/>
  <c r="AE47" i="88" s="1"/>
  <c r="AS42" i="92"/>
  <c r="H78" i="83"/>
  <c r="V10" i="85"/>
  <c r="U11" i="85"/>
  <c r="AW41" i="92"/>
  <c r="T27" i="90"/>
  <c r="U26" i="90"/>
  <c r="G15" i="86"/>
  <c r="G25" i="86"/>
  <c r="G35" i="86"/>
  <c r="C36" i="87"/>
  <c r="D36" i="86"/>
  <c r="C39" i="87"/>
  <c r="D39" i="86"/>
  <c r="C9" i="87"/>
  <c r="D9" i="86"/>
  <c r="C13" i="87"/>
  <c r="D13" i="86"/>
  <c r="C17" i="87"/>
  <c r="D17" i="86"/>
  <c r="E17" i="86" s="1"/>
  <c r="C21" i="87"/>
  <c r="D21" i="86"/>
  <c r="D24" i="86"/>
  <c r="C24" i="87"/>
  <c r="D32" i="86"/>
  <c r="C32" i="87"/>
  <c r="C41" i="87"/>
  <c r="D41" i="86"/>
  <c r="C42" i="87"/>
  <c r="D42" i="86"/>
  <c r="H81" i="83"/>
  <c r="G77" i="83"/>
  <c r="F77" i="83"/>
  <c r="H84" i="83"/>
  <c r="F87" i="83"/>
  <c r="D99" i="83"/>
  <c r="H87" i="83"/>
  <c r="G87" i="83"/>
  <c r="E87" i="83"/>
  <c r="G83" i="83"/>
  <c r="F83" i="83"/>
  <c r="BE41" i="92"/>
  <c r="AV41" i="92"/>
  <c r="AU42" i="92" s="1"/>
  <c r="W47" i="88"/>
  <c r="O47" i="87" s="1"/>
  <c r="H2" i="86"/>
  <c r="H6" i="86"/>
  <c r="H10" i="86"/>
  <c r="I10" i="86" s="1"/>
  <c r="H14" i="86"/>
  <c r="I14" i="86" s="1"/>
  <c r="H18" i="86"/>
  <c r="AM42" i="92"/>
  <c r="AN41" i="92"/>
  <c r="AA47" i="88" s="1"/>
  <c r="L47" i="88"/>
  <c r="D41" i="87"/>
  <c r="D37" i="87"/>
  <c r="D33" i="87"/>
  <c r="D40" i="87"/>
  <c r="D36" i="87"/>
  <c r="D32" i="87"/>
  <c r="D31" i="87"/>
  <c r="D30" i="87"/>
  <c r="D29" i="87"/>
  <c r="D28" i="87"/>
  <c r="D27" i="87"/>
  <c r="D26" i="87"/>
  <c r="D25" i="87"/>
  <c r="D24" i="87"/>
  <c r="D23" i="87"/>
  <c r="D22" i="87"/>
  <c r="D39" i="87"/>
  <c r="D21" i="87"/>
  <c r="D20" i="87"/>
  <c r="D19" i="87"/>
  <c r="D18" i="87"/>
  <c r="D17" i="87"/>
  <c r="D16" i="87"/>
  <c r="D15" i="87"/>
  <c r="D14" i="87"/>
  <c r="D13" i="87"/>
  <c r="D12" i="87"/>
  <c r="D11" i="87"/>
  <c r="D10" i="87"/>
  <c r="D9" i="87"/>
  <c r="D8" i="87"/>
  <c r="D7" i="87"/>
  <c r="D42" i="87"/>
  <c r="D34" i="87"/>
  <c r="D38" i="87"/>
  <c r="D35" i="87"/>
  <c r="E79" i="83"/>
  <c r="F79" i="83"/>
  <c r="F90" i="83"/>
  <c r="D102" i="83"/>
  <c r="H90" i="83"/>
  <c r="G90" i="83"/>
  <c r="E90" i="83"/>
  <c r="BC85" i="92"/>
  <c r="R41" i="92" s="1"/>
  <c r="R40" i="92"/>
  <c r="G16" i="86"/>
  <c r="G39" i="86"/>
  <c r="C29" i="87"/>
  <c r="D29" i="86"/>
  <c r="C23" i="87"/>
  <c r="D23" i="86"/>
  <c r="E23" i="86" s="1"/>
  <c r="C10" i="87"/>
  <c r="D10" i="86"/>
  <c r="C14" i="87"/>
  <c r="D14" i="86"/>
  <c r="E14" i="86" s="1"/>
  <c r="C18" i="87"/>
  <c r="D18" i="86"/>
  <c r="D35" i="86"/>
  <c r="E35" i="86" s="1"/>
  <c r="C35" i="87"/>
  <c r="D26" i="86"/>
  <c r="E26" i="86" s="1"/>
  <c r="C26" i="87"/>
  <c r="C40" i="87"/>
  <c r="D40" i="86"/>
  <c r="E40" i="86" s="1"/>
  <c r="C45" i="87"/>
  <c r="D45" i="86"/>
  <c r="F93" i="83"/>
  <c r="D105" i="83"/>
  <c r="H93" i="83"/>
  <c r="E93" i="83"/>
  <c r="G93" i="83"/>
  <c r="E77" i="83"/>
  <c r="F96" i="83"/>
  <c r="D108" i="83"/>
  <c r="H96" i="83"/>
  <c r="G96" i="83"/>
  <c r="E96" i="83"/>
  <c r="L38" i="83"/>
  <c r="N34" i="83"/>
  <c r="E83" i="83"/>
  <c r="H22" i="86"/>
  <c r="H3" i="86"/>
  <c r="I3" i="86" s="1"/>
  <c r="H7" i="86"/>
  <c r="I7" i="86" s="1"/>
  <c r="H11" i="86"/>
  <c r="I11" i="86" s="1"/>
  <c r="H15" i="86"/>
  <c r="I15" i="86" s="1"/>
  <c r="H19" i="86"/>
  <c r="H23" i="86"/>
  <c r="L41" i="83"/>
  <c r="N37" i="83"/>
  <c r="F88" i="83"/>
  <c r="D100" i="83"/>
  <c r="H88" i="83"/>
  <c r="G88" i="83"/>
  <c r="E88" i="83"/>
  <c r="H82" i="83"/>
  <c r="G79" i="83"/>
  <c r="E78" i="83"/>
  <c r="F78" i="83"/>
  <c r="BB41" i="92"/>
  <c r="BA42" i="92" s="1"/>
  <c r="AH47" i="88"/>
  <c r="U47" i="87" s="1"/>
  <c r="F86" i="83"/>
  <c r="D98" i="83"/>
  <c r="H86" i="83"/>
  <c r="G86" i="83"/>
  <c r="E86" i="83"/>
  <c r="G7" i="86"/>
  <c r="G4" i="86"/>
  <c r="G20" i="86"/>
  <c r="G26" i="86"/>
  <c r="G40" i="86"/>
  <c r="G33" i="86"/>
  <c r="G43" i="86"/>
  <c r="C44" i="87"/>
  <c r="D44" i="86"/>
  <c r="C31" i="87"/>
  <c r="D31" i="86"/>
  <c r="E31" i="86" s="1"/>
  <c r="C11" i="87"/>
  <c r="D11" i="86"/>
  <c r="C15" i="87"/>
  <c r="D15" i="86"/>
  <c r="E15" i="86" s="1"/>
  <c r="C19" i="87"/>
  <c r="D19" i="86"/>
  <c r="C43" i="87"/>
  <c r="D43" i="86"/>
  <c r="E43" i="86" s="1"/>
  <c r="D28" i="86"/>
  <c r="E28" i="86" s="1"/>
  <c r="C28" i="87"/>
  <c r="C33" i="87"/>
  <c r="D33" i="86"/>
  <c r="E33" i="86" s="1"/>
  <c r="C34" i="87"/>
  <c r="D34" i="86"/>
  <c r="G81" i="83"/>
  <c r="F81" i="83"/>
  <c r="H77" i="83"/>
  <c r="E84" i="83"/>
  <c r="F84" i="83"/>
  <c r="AP41" i="92"/>
  <c r="R47" i="88" s="1"/>
  <c r="AL41" i="92"/>
  <c r="AC47" i="88" s="1"/>
  <c r="AK42" i="92"/>
  <c r="E45" i="86" l="1"/>
  <c r="E18" i="86"/>
  <c r="E10" i="86"/>
  <c r="I18" i="86"/>
  <c r="I13" i="86"/>
  <c r="E41" i="86"/>
  <c r="E22" i="86"/>
  <c r="E38" i="86"/>
  <c r="BB42" i="92"/>
  <c r="BA43" i="92" s="1"/>
  <c r="AH48" i="88"/>
  <c r="U48" i="87" s="1"/>
  <c r="R47" i="87"/>
  <c r="S47" i="87"/>
  <c r="L47" i="87"/>
  <c r="F47" i="86" s="1"/>
  <c r="G47" i="86" s="1"/>
  <c r="Q47" i="87"/>
  <c r="BE42" i="92"/>
  <c r="AV42" i="92"/>
  <c r="AU43" i="92" s="1"/>
  <c r="W48" i="88"/>
  <c r="O48" i="87" s="1"/>
  <c r="AE42" i="92"/>
  <c r="AD43" i="92"/>
  <c r="AE43" i="92" s="1"/>
  <c r="I22" i="86"/>
  <c r="M22" i="86"/>
  <c r="AO42" i="92"/>
  <c r="E34" i="86"/>
  <c r="E19" i="86"/>
  <c r="E11" i="86"/>
  <c r="E44" i="86"/>
  <c r="L45" i="83"/>
  <c r="N41" i="83"/>
  <c r="I23" i="86"/>
  <c r="M23" i="86"/>
  <c r="F105" i="83"/>
  <c r="D117" i="83"/>
  <c r="G105" i="83"/>
  <c r="E105" i="83"/>
  <c r="B42" i="87"/>
  <c r="B42" i="86"/>
  <c r="B8" i="87"/>
  <c r="B8" i="86"/>
  <c r="B12" i="86"/>
  <c r="B12" i="87"/>
  <c r="B16" i="86"/>
  <c r="B16" i="87"/>
  <c r="B20" i="86"/>
  <c r="B20" i="87"/>
  <c r="B23" i="87"/>
  <c r="B23" i="86"/>
  <c r="B27" i="87"/>
  <c r="B27" i="86"/>
  <c r="B31" i="87"/>
  <c r="B31" i="86"/>
  <c r="I6" i="86"/>
  <c r="E42" i="86"/>
  <c r="E21" i="86"/>
  <c r="E13" i="86"/>
  <c r="E39" i="86"/>
  <c r="E91" i="83"/>
  <c r="F91" i="83"/>
  <c r="E92" i="83"/>
  <c r="F92" i="83"/>
  <c r="I9" i="86"/>
  <c r="I24" i="86"/>
  <c r="M24" i="86"/>
  <c r="E95" i="83"/>
  <c r="AR41" i="92"/>
  <c r="T47" i="88" s="1"/>
  <c r="H89" i="83"/>
  <c r="AB41" i="92"/>
  <c r="E37" i="86"/>
  <c r="E16" i="86"/>
  <c r="E25" i="86"/>
  <c r="H7" i="87"/>
  <c r="D7" i="86" s="1"/>
  <c r="E8" i="86" s="1"/>
  <c r="I7" i="87"/>
  <c r="K7" i="87"/>
  <c r="F106" i="83"/>
  <c r="D118" i="83"/>
  <c r="G106" i="83"/>
  <c r="E106" i="83"/>
  <c r="L39" i="83"/>
  <c r="N35" i="83"/>
  <c r="H105" i="83" s="1"/>
  <c r="I12" i="86"/>
  <c r="F109" i="83"/>
  <c r="D121" i="83"/>
  <c r="H109" i="83"/>
  <c r="G109" i="83"/>
  <c r="E109" i="83"/>
  <c r="F98" i="83"/>
  <c r="D110" i="83"/>
  <c r="H98" i="83"/>
  <c r="G98" i="83"/>
  <c r="E98" i="83"/>
  <c r="F100" i="83"/>
  <c r="D112" i="83"/>
  <c r="H100" i="83"/>
  <c r="E100" i="83"/>
  <c r="G100" i="83"/>
  <c r="M19" i="86"/>
  <c r="I19" i="86"/>
  <c r="B38" i="87"/>
  <c r="B38" i="86"/>
  <c r="B9" i="86"/>
  <c r="B9" i="87"/>
  <c r="B13" i="86"/>
  <c r="B13" i="87"/>
  <c r="B17" i="86"/>
  <c r="B17" i="87"/>
  <c r="B21" i="86"/>
  <c r="B21" i="87"/>
  <c r="B24" i="87"/>
  <c r="B24" i="86"/>
  <c r="B28" i="87"/>
  <c r="B28" i="86"/>
  <c r="B32" i="87"/>
  <c r="B32" i="86"/>
  <c r="B33" i="87"/>
  <c r="B33" i="86"/>
  <c r="AN42" i="92"/>
  <c r="AM43" i="92" s="1"/>
  <c r="AN43" i="92" s="1"/>
  <c r="F99" i="83"/>
  <c r="D111" i="83"/>
  <c r="H99" i="83"/>
  <c r="G99" i="83"/>
  <c r="E99" i="83"/>
  <c r="E32" i="86"/>
  <c r="T28" i="90"/>
  <c r="U27" i="90"/>
  <c r="V27" i="87"/>
  <c r="H27" i="86" s="1"/>
  <c r="O6" i="91"/>
  <c r="R6" i="91"/>
  <c r="I21" i="86"/>
  <c r="M21" i="86"/>
  <c r="Y42" i="92"/>
  <c r="D43" i="88" s="1"/>
  <c r="F101" i="83"/>
  <c r="D113" i="83"/>
  <c r="H101" i="83"/>
  <c r="G101" i="83"/>
  <c r="E101" i="83"/>
  <c r="G46" i="87"/>
  <c r="I25" i="86"/>
  <c r="M25" i="86"/>
  <c r="I8" i="86"/>
  <c r="G46" i="86"/>
  <c r="AL42" i="92"/>
  <c r="AC48" i="88" s="1"/>
  <c r="AJ43" i="92"/>
  <c r="F108" i="83"/>
  <c r="D120" i="83"/>
  <c r="H108" i="83"/>
  <c r="E108" i="83"/>
  <c r="G108" i="83"/>
  <c r="E29" i="86"/>
  <c r="B10" i="87"/>
  <c r="B10" i="86"/>
  <c r="B14" i="87"/>
  <c r="B14" i="86"/>
  <c r="B18" i="87"/>
  <c r="B18" i="86"/>
  <c r="B39" i="87"/>
  <c r="B39" i="86"/>
  <c r="B25" i="87"/>
  <c r="B25" i="86"/>
  <c r="B29" i="86"/>
  <c r="B29" i="87"/>
  <c r="B36" i="87"/>
  <c r="B36" i="86"/>
  <c r="B37" i="86"/>
  <c r="B37" i="87"/>
  <c r="E9" i="86"/>
  <c r="E36" i="86"/>
  <c r="AX41" i="92"/>
  <c r="Y47" i="88" s="1"/>
  <c r="AW42" i="92"/>
  <c r="AS43" i="92"/>
  <c r="AT43" i="92" s="1"/>
  <c r="AT42" i="92"/>
  <c r="AE48" i="88" s="1"/>
  <c r="K4" i="91"/>
  <c r="L5" i="91"/>
  <c r="F107" i="83"/>
  <c r="D119" i="83"/>
  <c r="H107" i="83"/>
  <c r="G107" i="83"/>
  <c r="E107" i="83"/>
  <c r="E20" i="86"/>
  <c r="E12" i="86"/>
  <c r="E27" i="86"/>
  <c r="BD85" i="92"/>
  <c r="S41" i="92" s="1"/>
  <c r="X49" i="90" s="1"/>
  <c r="W49" i="87" s="1"/>
  <c r="S40" i="92"/>
  <c r="X48" i="90" s="1"/>
  <c r="W48" i="87" s="1"/>
  <c r="AG41" i="92"/>
  <c r="J47" i="88" s="1"/>
  <c r="AF42" i="92"/>
  <c r="I20" i="86"/>
  <c r="M20" i="86"/>
  <c r="I4" i="86"/>
  <c r="AA42" i="92"/>
  <c r="Z43" i="92"/>
  <c r="AA43" i="92" s="1"/>
  <c r="W42" i="92"/>
  <c r="B43" i="88" s="1"/>
  <c r="AZ42" i="92"/>
  <c r="AY43" i="92" s="1"/>
  <c r="AG48" i="88"/>
  <c r="T48" i="87" s="1"/>
  <c r="C46" i="87"/>
  <c r="D46" i="86"/>
  <c r="E46" i="86" s="1"/>
  <c r="L42" i="83"/>
  <c r="N38" i="83"/>
  <c r="F102" i="83"/>
  <c r="D114" i="83"/>
  <c r="H102" i="83"/>
  <c r="G102" i="83"/>
  <c r="E102" i="83"/>
  <c r="B35" i="87"/>
  <c r="B35" i="86"/>
  <c r="B34" i="87"/>
  <c r="B34" i="86"/>
  <c r="B11" i="86"/>
  <c r="B11" i="87"/>
  <c r="B15" i="86"/>
  <c r="B15" i="87"/>
  <c r="B19" i="86"/>
  <c r="B19" i="87"/>
  <c r="B22" i="87"/>
  <c r="B22" i="86"/>
  <c r="B26" i="87"/>
  <c r="B26" i="86"/>
  <c r="B30" i="86"/>
  <c r="B30" i="87"/>
  <c r="B40" i="86"/>
  <c r="B40" i="87"/>
  <c r="B41" i="87"/>
  <c r="B41" i="86"/>
  <c r="I47" i="87"/>
  <c r="E24" i="86"/>
  <c r="U12" i="85"/>
  <c r="V11" i="85"/>
  <c r="F103" i="83"/>
  <c r="D115" i="83"/>
  <c r="H103" i="83"/>
  <c r="E103" i="83"/>
  <c r="G103" i="83"/>
  <c r="F104" i="83"/>
  <c r="D116" i="83"/>
  <c r="H104" i="83"/>
  <c r="G104" i="83"/>
  <c r="E104" i="83"/>
  <c r="I26" i="86"/>
  <c r="M26" i="86"/>
  <c r="E30" i="86"/>
  <c r="G7" i="87"/>
  <c r="C7" i="87" s="1"/>
  <c r="E7" i="87"/>
  <c r="I16" i="86"/>
  <c r="L44" i="83"/>
  <c r="N40" i="83"/>
  <c r="AI42" i="92"/>
  <c r="L48" i="88" s="1"/>
  <c r="AH43" i="92"/>
  <c r="AI43" i="92" s="1"/>
  <c r="B7" i="86" l="1"/>
  <c r="L49" i="88"/>
  <c r="I49" i="87" s="1"/>
  <c r="I48" i="87"/>
  <c r="AZ43" i="92"/>
  <c r="AG49" i="88"/>
  <c r="T49" i="87" s="1"/>
  <c r="AE49" i="88"/>
  <c r="S49" i="87" s="1"/>
  <c r="S48" i="87"/>
  <c r="BB43" i="92"/>
  <c r="AH49" i="88"/>
  <c r="U49" i="87" s="1"/>
  <c r="R48" i="87"/>
  <c r="BE43" i="92"/>
  <c r="AV43" i="92"/>
  <c r="W49" i="88"/>
  <c r="O49" i="87" s="1"/>
  <c r="D128" i="83"/>
  <c r="V12" i="85"/>
  <c r="U13" i="85"/>
  <c r="B7" i="87"/>
  <c r="D127" i="83"/>
  <c r="J15" i="86"/>
  <c r="C15" i="86"/>
  <c r="L48" i="83"/>
  <c r="N44" i="83"/>
  <c r="J26" i="86"/>
  <c r="C26" i="86"/>
  <c r="C34" i="86"/>
  <c r="V43" i="92"/>
  <c r="W43" i="92" s="1"/>
  <c r="B44" i="88" s="1"/>
  <c r="H47" i="87"/>
  <c r="K3" i="91"/>
  <c r="L4" i="91"/>
  <c r="P47" i="87"/>
  <c r="C37" i="86"/>
  <c r="C29" i="86"/>
  <c r="X43" i="92"/>
  <c r="Y43" i="92" s="1"/>
  <c r="E6" i="87"/>
  <c r="G6" i="87"/>
  <c r="D6" i="87"/>
  <c r="F111" i="83"/>
  <c r="D123" i="83"/>
  <c r="H111" i="83"/>
  <c r="E111" i="83"/>
  <c r="G111" i="83"/>
  <c r="C33" i="86"/>
  <c r="C28" i="86"/>
  <c r="C38" i="86"/>
  <c r="F110" i="83"/>
  <c r="D122" i="83"/>
  <c r="H110" i="83"/>
  <c r="G110" i="83"/>
  <c r="E110" i="83"/>
  <c r="H106" i="83"/>
  <c r="AQ42" i="92"/>
  <c r="C27" i="86"/>
  <c r="J27" i="86" s="1"/>
  <c r="C42" i="86"/>
  <c r="C40" i="86"/>
  <c r="C19" i="86"/>
  <c r="J19" i="86" s="1"/>
  <c r="C11" i="86"/>
  <c r="J11" i="86" s="1"/>
  <c r="D43" i="87"/>
  <c r="F119" i="83"/>
  <c r="D131" i="83"/>
  <c r="G119" i="83"/>
  <c r="E119" i="83"/>
  <c r="C36" i="86"/>
  <c r="C25" i="86"/>
  <c r="J25" i="86" s="1"/>
  <c r="C18" i="86"/>
  <c r="J18" i="86" s="1"/>
  <c r="C10" i="86"/>
  <c r="J10" i="86"/>
  <c r="F113" i="83"/>
  <c r="D125" i="83"/>
  <c r="H113" i="83"/>
  <c r="G113" i="83"/>
  <c r="E113" i="83"/>
  <c r="I27" i="86"/>
  <c r="M27" i="86"/>
  <c r="J21" i="86"/>
  <c r="C21" i="86"/>
  <c r="C13" i="86"/>
  <c r="J13" i="86" s="1"/>
  <c r="F121" i="83"/>
  <c r="D133" i="83"/>
  <c r="G121" i="83"/>
  <c r="E121" i="83"/>
  <c r="L43" i="83"/>
  <c r="N39" i="83"/>
  <c r="H116" i="83" s="1"/>
  <c r="F118" i="83"/>
  <c r="D130" i="83"/>
  <c r="H118" i="83"/>
  <c r="E118" i="83"/>
  <c r="G118" i="83"/>
  <c r="AC41" i="92"/>
  <c r="H47" i="88" s="1"/>
  <c r="C20" i="86"/>
  <c r="J20" i="86" s="1"/>
  <c r="C12" i="86"/>
  <c r="J12" i="86" s="1"/>
  <c r="F117" i="83"/>
  <c r="D129" i="83"/>
  <c r="H117" i="83"/>
  <c r="G117" i="83"/>
  <c r="E117" i="83"/>
  <c r="AA48" i="88"/>
  <c r="C32" i="86"/>
  <c r="C24" i="86"/>
  <c r="J24" i="86" s="1"/>
  <c r="C31" i="86"/>
  <c r="C23" i="86"/>
  <c r="J23" i="86" s="1"/>
  <c r="C8" i="86"/>
  <c r="J8" i="86" s="1"/>
  <c r="L49" i="83"/>
  <c r="N45" i="83"/>
  <c r="C41" i="86"/>
  <c r="C22" i="86"/>
  <c r="J22" i="86" s="1"/>
  <c r="K22" i="86" s="1"/>
  <c r="C35" i="86"/>
  <c r="L46" i="83"/>
  <c r="N42" i="83"/>
  <c r="C30" i="86"/>
  <c r="F114" i="83"/>
  <c r="D126" i="83"/>
  <c r="H114" i="83"/>
  <c r="G114" i="83"/>
  <c r="E114" i="83"/>
  <c r="AF43" i="92"/>
  <c r="AG43" i="92" s="1"/>
  <c r="AG42" i="92"/>
  <c r="J48" i="88" s="1"/>
  <c r="R5" i="91"/>
  <c r="O5" i="91"/>
  <c r="AW43" i="92"/>
  <c r="AX43" i="92" s="1"/>
  <c r="AX42" i="92"/>
  <c r="Y48" i="88" s="1"/>
  <c r="C39" i="86"/>
  <c r="C14" i="86"/>
  <c r="J14" i="86" s="1"/>
  <c r="F120" i="83"/>
  <c r="D132" i="83"/>
  <c r="H120" i="83"/>
  <c r="E120" i="83"/>
  <c r="G120" i="83"/>
  <c r="AK43" i="92"/>
  <c r="AL43" i="92" s="1"/>
  <c r="AC49" i="88" s="1"/>
  <c r="R49" i="87" s="1"/>
  <c r="D44" i="88"/>
  <c r="E43" i="87"/>
  <c r="K6" i="87"/>
  <c r="H6" i="87"/>
  <c r="I6" i="87"/>
  <c r="T29" i="90"/>
  <c r="U28" i="90"/>
  <c r="V28" i="87"/>
  <c r="H28" i="86" s="1"/>
  <c r="J28" i="86" s="1"/>
  <c r="K28" i="86" s="1"/>
  <c r="J17" i="86"/>
  <c r="C17" i="86"/>
  <c r="C9" i="86"/>
  <c r="J9" i="86" s="1"/>
  <c r="K9" i="86" s="1"/>
  <c r="F112" i="83"/>
  <c r="D124" i="83"/>
  <c r="H112" i="83"/>
  <c r="G112" i="83"/>
  <c r="E112" i="83"/>
  <c r="M47" i="87"/>
  <c r="C16" i="86"/>
  <c r="J16" i="86"/>
  <c r="K16" i="86" s="1"/>
  <c r="AO43" i="92"/>
  <c r="AP43" i="92" s="1"/>
  <c r="AP42" i="92"/>
  <c r="R48" i="88" s="1"/>
  <c r="K23" i="86" l="1"/>
  <c r="K13" i="86"/>
  <c r="K18" i="86"/>
  <c r="K11" i="86"/>
  <c r="K27" i="86"/>
  <c r="K25" i="86"/>
  <c r="Y49" i="88"/>
  <c r="P49" i="87" s="1"/>
  <c r="P48" i="87"/>
  <c r="J49" i="88"/>
  <c r="H49" i="87" s="1"/>
  <c r="H48" i="87"/>
  <c r="K19" i="86"/>
  <c r="K14" i="86"/>
  <c r="K24" i="86"/>
  <c r="K12" i="86"/>
  <c r="B45" i="88"/>
  <c r="D44" i="87"/>
  <c r="K20" i="86"/>
  <c r="D6" i="86"/>
  <c r="D144" i="83"/>
  <c r="L50" i="83"/>
  <c r="N46" i="83"/>
  <c r="R49" i="88"/>
  <c r="L49" i="87" s="1"/>
  <c r="F49" i="86" s="1"/>
  <c r="L48" i="87"/>
  <c r="F48" i="86" s="1"/>
  <c r="G48" i="86" s="1"/>
  <c r="K5" i="87"/>
  <c r="H5" i="87"/>
  <c r="I5" i="87"/>
  <c r="AB42" i="92"/>
  <c r="H121" i="83"/>
  <c r="D137" i="83"/>
  <c r="H119" i="83"/>
  <c r="F122" i="83"/>
  <c r="D134" i="83"/>
  <c r="H122" i="83"/>
  <c r="G122" i="83"/>
  <c r="E122" i="83"/>
  <c r="K2" i="91"/>
  <c r="L2" i="91" s="1"/>
  <c r="L3" i="91"/>
  <c r="E115" i="83"/>
  <c r="F115" i="83"/>
  <c r="G116" i="83"/>
  <c r="F116" i="83"/>
  <c r="F124" i="83"/>
  <c r="D136" i="83"/>
  <c r="H124" i="83"/>
  <c r="G124" i="83"/>
  <c r="E124" i="83"/>
  <c r="T30" i="90"/>
  <c r="U29" i="90"/>
  <c r="V29" i="87"/>
  <c r="H29" i="86" s="1"/>
  <c r="G47" i="87"/>
  <c r="L47" i="83"/>
  <c r="N43" i="83"/>
  <c r="F132" i="83" s="1"/>
  <c r="F133" i="83"/>
  <c r="D145" i="83"/>
  <c r="H133" i="83"/>
  <c r="G133" i="83"/>
  <c r="E133" i="83"/>
  <c r="F131" i="83"/>
  <c r="D143" i="83"/>
  <c r="H131" i="83"/>
  <c r="G131" i="83"/>
  <c r="E131" i="83"/>
  <c r="B6" i="87"/>
  <c r="B6" i="86"/>
  <c r="C47" i="87"/>
  <c r="D47" i="86"/>
  <c r="E47" i="86" s="1"/>
  <c r="L52" i="83"/>
  <c r="N48" i="83"/>
  <c r="G115" i="83"/>
  <c r="E116" i="83"/>
  <c r="K17" i="86"/>
  <c r="F126" i="83"/>
  <c r="D138" i="83"/>
  <c r="H126" i="83"/>
  <c r="G126" i="83"/>
  <c r="E126" i="83"/>
  <c r="AA49" i="88"/>
  <c r="Q49" i="87" s="1"/>
  <c r="Q48" i="87"/>
  <c r="F129" i="83"/>
  <c r="D141" i="83"/>
  <c r="H129" i="83"/>
  <c r="G129" i="83"/>
  <c r="E129" i="83"/>
  <c r="F130" i="83"/>
  <c r="D142" i="83"/>
  <c r="H130" i="83"/>
  <c r="G130" i="83"/>
  <c r="E130" i="83"/>
  <c r="K21" i="86"/>
  <c r="K10" i="86"/>
  <c r="C6" i="87"/>
  <c r="H115" i="83"/>
  <c r="U14" i="85"/>
  <c r="V13" i="85"/>
  <c r="D45" i="88"/>
  <c r="E44" i="87"/>
  <c r="I28" i="86"/>
  <c r="M28" i="86"/>
  <c r="G5" i="87"/>
  <c r="C5" i="87" s="1"/>
  <c r="E5" i="87"/>
  <c r="D5" i="87"/>
  <c r="L53" i="83"/>
  <c r="N49" i="83"/>
  <c r="B43" i="87"/>
  <c r="B43" i="86"/>
  <c r="AQ43" i="92"/>
  <c r="AR43" i="92" s="1"/>
  <c r="AR42" i="92"/>
  <c r="T48" i="88" s="1"/>
  <c r="F123" i="83"/>
  <c r="D135" i="83"/>
  <c r="H123" i="83"/>
  <c r="E123" i="83"/>
  <c r="G123" i="83"/>
  <c r="O4" i="91"/>
  <c r="R4" i="91"/>
  <c r="K26" i="86"/>
  <c r="K15" i="86"/>
  <c r="F127" i="83"/>
  <c r="D139" i="83"/>
  <c r="H127" i="83"/>
  <c r="G127" i="83"/>
  <c r="E127" i="83"/>
  <c r="F128" i="83"/>
  <c r="D140" i="83"/>
  <c r="H128" i="83"/>
  <c r="E128" i="83"/>
  <c r="G128" i="83"/>
  <c r="D153" i="83" l="1"/>
  <c r="C7" i="86"/>
  <c r="J7" i="86" s="1"/>
  <c r="I29" i="86"/>
  <c r="M29" i="86"/>
  <c r="R3" i="91"/>
  <c r="O3" i="91"/>
  <c r="E125" i="83"/>
  <c r="F125" i="83"/>
  <c r="D5" i="86"/>
  <c r="E132" i="83"/>
  <c r="E7" i="86"/>
  <c r="B46" i="88"/>
  <c r="D45" i="87"/>
  <c r="C48" i="87"/>
  <c r="D48" i="86"/>
  <c r="E48" i="86" s="1"/>
  <c r="F140" i="83"/>
  <c r="D152" i="83"/>
  <c r="G140" i="83"/>
  <c r="T49" i="88"/>
  <c r="M49" i="87" s="1"/>
  <c r="M48" i="87"/>
  <c r="D46" i="88"/>
  <c r="E45" i="87"/>
  <c r="L56" i="83"/>
  <c r="N52" i="83"/>
  <c r="D155" i="83"/>
  <c r="L51" i="83"/>
  <c r="N47" i="83"/>
  <c r="F141" i="83" s="1"/>
  <c r="O2" i="91"/>
  <c r="R2" i="91"/>
  <c r="F134" i="83"/>
  <c r="D146" i="83"/>
  <c r="H134" i="83"/>
  <c r="E134" i="83"/>
  <c r="G134" i="83"/>
  <c r="G125" i="83"/>
  <c r="H132" i="83"/>
  <c r="C49" i="87"/>
  <c r="D49" i="86"/>
  <c r="F139" i="83"/>
  <c r="D151" i="83"/>
  <c r="G139" i="83"/>
  <c r="E139" i="83"/>
  <c r="K4" i="87"/>
  <c r="H4" i="87"/>
  <c r="I4" i="87"/>
  <c r="L57" i="83"/>
  <c r="N53" i="83"/>
  <c r="F145" i="83"/>
  <c r="D157" i="83"/>
  <c r="H145" i="83"/>
  <c r="G145" i="83"/>
  <c r="E145" i="83"/>
  <c r="T31" i="90"/>
  <c r="U30" i="90"/>
  <c r="V30" i="87"/>
  <c r="H30" i="86" s="1"/>
  <c r="F136" i="83"/>
  <c r="D148" i="83"/>
  <c r="H136" i="83"/>
  <c r="E136" i="83"/>
  <c r="G136" i="83"/>
  <c r="H125" i="83"/>
  <c r="AB43" i="92"/>
  <c r="AC43" i="92" s="1"/>
  <c r="AC42" i="92"/>
  <c r="H48" i="88" s="1"/>
  <c r="L54" i="83"/>
  <c r="N50" i="83"/>
  <c r="F144" i="83"/>
  <c r="D156" i="83"/>
  <c r="H144" i="83"/>
  <c r="E144" i="83"/>
  <c r="G144" i="83"/>
  <c r="J29" i="86"/>
  <c r="K29" i="86" s="1"/>
  <c r="G4" i="87"/>
  <c r="E4" i="87"/>
  <c r="D4" i="87"/>
  <c r="F135" i="83"/>
  <c r="D147" i="83"/>
  <c r="H135" i="83"/>
  <c r="G135" i="83"/>
  <c r="E135" i="83"/>
  <c r="C43" i="86"/>
  <c r="B5" i="87"/>
  <c r="B5" i="86"/>
  <c r="C6" i="86" s="1"/>
  <c r="V14" i="85"/>
  <c r="U15" i="85"/>
  <c r="F142" i="83"/>
  <c r="D154" i="83"/>
  <c r="H142" i="83"/>
  <c r="G142" i="83"/>
  <c r="E142" i="83"/>
  <c r="F138" i="83"/>
  <c r="D150" i="83"/>
  <c r="H138" i="83"/>
  <c r="G138" i="83"/>
  <c r="E138" i="83"/>
  <c r="F137" i="83"/>
  <c r="D149" i="83"/>
  <c r="H137" i="83"/>
  <c r="G137" i="83"/>
  <c r="E137" i="83"/>
  <c r="G132" i="83"/>
  <c r="B44" i="86"/>
  <c r="B44" i="87"/>
  <c r="C44" i="86" l="1"/>
  <c r="B4" i="87"/>
  <c r="B4" i="86"/>
  <c r="L61" i="83"/>
  <c r="N57" i="83"/>
  <c r="F146" i="83"/>
  <c r="D158" i="83"/>
  <c r="H146" i="83"/>
  <c r="E146" i="83"/>
  <c r="G146" i="83"/>
  <c r="H143" i="83"/>
  <c r="L60" i="83"/>
  <c r="N56" i="83"/>
  <c r="D164" i="83"/>
  <c r="B45" i="86"/>
  <c r="B45" i="87"/>
  <c r="G3" i="87"/>
  <c r="E3" i="87"/>
  <c r="D3" i="87"/>
  <c r="K8" i="86"/>
  <c r="G141" i="83"/>
  <c r="U16" i="85"/>
  <c r="V15" i="85"/>
  <c r="F148" i="83"/>
  <c r="D160" i="83"/>
  <c r="H148" i="83"/>
  <c r="E148" i="83"/>
  <c r="G148" i="83"/>
  <c r="T32" i="90"/>
  <c r="U31" i="90"/>
  <c r="V31" i="87"/>
  <c r="H31" i="86" s="1"/>
  <c r="D169" i="83"/>
  <c r="F157" i="83"/>
  <c r="G157" i="83"/>
  <c r="E157" i="83"/>
  <c r="L55" i="83"/>
  <c r="N51" i="83"/>
  <c r="G152" i="83" s="1"/>
  <c r="F155" i="83"/>
  <c r="H155" i="83"/>
  <c r="D167" i="83"/>
  <c r="E155" i="83"/>
  <c r="G155" i="83"/>
  <c r="B47" i="88"/>
  <c r="D46" i="87"/>
  <c r="H3" i="87"/>
  <c r="D3" i="86" s="1"/>
  <c r="I3" i="87"/>
  <c r="K3" i="87"/>
  <c r="H141" i="83"/>
  <c r="F150" i="83"/>
  <c r="D162" i="83"/>
  <c r="H150" i="83"/>
  <c r="E150" i="83"/>
  <c r="G150" i="83"/>
  <c r="F147" i="83"/>
  <c r="D159" i="83"/>
  <c r="H147" i="83"/>
  <c r="G147" i="83"/>
  <c r="E147" i="83"/>
  <c r="C4" i="87"/>
  <c r="L58" i="83"/>
  <c r="N54" i="83"/>
  <c r="D4" i="86"/>
  <c r="E5" i="86" s="1"/>
  <c r="H139" i="83"/>
  <c r="H2" i="87"/>
  <c r="I2" i="87"/>
  <c r="K2" i="87"/>
  <c r="E143" i="83"/>
  <c r="F143" i="83"/>
  <c r="D47" i="88"/>
  <c r="E46" i="87"/>
  <c r="E140" i="83"/>
  <c r="F153" i="83"/>
  <c r="D165" i="83"/>
  <c r="H153" i="83"/>
  <c r="G153" i="83"/>
  <c r="E153" i="83"/>
  <c r="F149" i="83"/>
  <c r="D161" i="83"/>
  <c r="H149" i="83"/>
  <c r="G149" i="83"/>
  <c r="E149" i="83"/>
  <c r="F154" i="83"/>
  <c r="D166" i="83"/>
  <c r="H154" i="83"/>
  <c r="G154" i="83"/>
  <c r="E154" i="83"/>
  <c r="C5" i="86"/>
  <c r="J5" i="86" s="1"/>
  <c r="D168" i="83"/>
  <c r="F156" i="83"/>
  <c r="H156" i="83"/>
  <c r="G156" i="83"/>
  <c r="E156" i="83"/>
  <c r="H49" i="88"/>
  <c r="G49" i="87" s="1"/>
  <c r="G48" i="87"/>
  <c r="M30" i="86"/>
  <c r="I30" i="86"/>
  <c r="J30" i="86"/>
  <c r="K30" i="86" s="1"/>
  <c r="F151" i="83"/>
  <c r="D163" i="83"/>
  <c r="H151" i="83"/>
  <c r="G151" i="83"/>
  <c r="E151" i="83"/>
  <c r="E2" i="87"/>
  <c r="G2" i="87"/>
  <c r="C2" i="87" s="1"/>
  <c r="D2" i="87"/>
  <c r="G143" i="83"/>
  <c r="H140" i="83"/>
  <c r="E6" i="86"/>
  <c r="J6" i="86" s="1"/>
  <c r="E141" i="83"/>
  <c r="K6" i="86" l="1"/>
  <c r="K7" i="86"/>
  <c r="D177" i="83"/>
  <c r="D48" i="88"/>
  <c r="E47" i="87"/>
  <c r="M31" i="86"/>
  <c r="I31" i="86"/>
  <c r="J31" i="86"/>
  <c r="K31" i="86" s="1"/>
  <c r="H152" i="83"/>
  <c r="D180" i="83"/>
  <c r="D175" i="83"/>
  <c r="D2" i="86"/>
  <c r="E3" i="86" s="1"/>
  <c r="L62" i="83"/>
  <c r="N58" i="83"/>
  <c r="H157" i="83"/>
  <c r="V16" i="85"/>
  <c r="U17" i="85"/>
  <c r="B3" i="86"/>
  <c r="B3" i="87"/>
  <c r="C45" i="86"/>
  <c r="D176" i="83"/>
  <c r="L64" i="83"/>
  <c r="N60" i="83"/>
  <c r="L65" i="83"/>
  <c r="N61" i="83"/>
  <c r="D178" i="83"/>
  <c r="D171" i="83"/>
  <c r="F159" i="83"/>
  <c r="H159" i="83"/>
  <c r="G159" i="83"/>
  <c r="E159" i="83"/>
  <c r="B46" i="87"/>
  <c r="B46" i="86"/>
  <c r="E167" i="83"/>
  <c r="D179" i="83"/>
  <c r="G167" i="83"/>
  <c r="H167" i="83"/>
  <c r="L59" i="83"/>
  <c r="N55" i="83"/>
  <c r="F165" i="83" s="1"/>
  <c r="T33" i="90"/>
  <c r="U32" i="90"/>
  <c r="V32" i="87"/>
  <c r="H32" i="86" s="1"/>
  <c r="F160" i="83"/>
  <c r="D172" i="83"/>
  <c r="H160" i="83"/>
  <c r="E160" i="83"/>
  <c r="G160" i="83"/>
  <c r="E152" i="83"/>
  <c r="F152" i="83"/>
  <c r="F158" i="83"/>
  <c r="D170" i="83"/>
  <c r="H158" i="83"/>
  <c r="E158" i="83"/>
  <c r="G158" i="83"/>
  <c r="C4" i="86"/>
  <c r="B2" i="87"/>
  <c r="B2" i="86"/>
  <c r="J2" i="86" s="1"/>
  <c r="D173" i="83"/>
  <c r="F161" i="83"/>
  <c r="H161" i="83"/>
  <c r="G161" i="83"/>
  <c r="E161" i="83"/>
  <c r="E4" i="86"/>
  <c r="J4" i="86" s="1"/>
  <c r="F162" i="83"/>
  <c r="H162" i="83"/>
  <c r="E162" i="83"/>
  <c r="D174" i="83"/>
  <c r="G162" i="83"/>
  <c r="B48" i="88"/>
  <c r="D47" i="87"/>
  <c r="H169" i="83"/>
  <c r="G169" i="83"/>
  <c r="D181" i="83"/>
  <c r="E169" i="83"/>
  <c r="F169" i="83"/>
  <c r="C3" i="87"/>
  <c r="K5" i="86" l="1"/>
  <c r="B47" i="87"/>
  <c r="B47" i="86"/>
  <c r="D185" i="83"/>
  <c r="G170" i="83"/>
  <c r="D182" i="83"/>
  <c r="F170" i="83"/>
  <c r="H170" i="83"/>
  <c r="E170" i="83"/>
  <c r="D191" i="83"/>
  <c r="F166" i="83"/>
  <c r="L69" i="83"/>
  <c r="N65" i="83"/>
  <c r="G164" i="83"/>
  <c r="U18" i="85"/>
  <c r="V17" i="85"/>
  <c r="L66" i="83"/>
  <c r="N62" i="83"/>
  <c r="H163" i="83"/>
  <c r="F168" i="83"/>
  <c r="G165" i="83"/>
  <c r="F181" i="83"/>
  <c r="D193" i="83"/>
  <c r="B49" i="88"/>
  <c r="D49" i="87" s="1"/>
  <c r="D48" i="87"/>
  <c r="I32" i="86"/>
  <c r="M32" i="86"/>
  <c r="J32" i="86"/>
  <c r="K32" i="86" s="1"/>
  <c r="L63" i="83"/>
  <c r="N59" i="83"/>
  <c r="E173" i="83" s="1"/>
  <c r="E171" i="83"/>
  <c r="H171" i="83"/>
  <c r="D183" i="83"/>
  <c r="F171" i="83"/>
  <c r="G171" i="83"/>
  <c r="E178" i="83"/>
  <c r="D190" i="83"/>
  <c r="H178" i="83"/>
  <c r="F178" i="83"/>
  <c r="G178" i="83"/>
  <c r="H164" i="83"/>
  <c r="G175" i="83"/>
  <c r="F175" i="83"/>
  <c r="D187" i="83"/>
  <c r="H175" i="83"/>
  <c r="E175" i="83"/>
  <c r="H168" i="83"/>
  <c r="H165" i="83"/>
  <c r="F167" i="83"/>
  <c r="E166" i="83"/>
  <c r="G166" i="83"/>
  <c r="L68" i="83"/>
  <c r="N64" i="83"/>
  <c r="F164" i="83"/>
  <c r="E163" i="83"/>
  <c r="F163" i="83"/>
  <c r="E180" i="83"/>
  <c r="D192" i="83"/>
  <c r="H180" i="83"/>
  <c r="F180" i="83"/>
  <c r="G180" i="83"/>
  <c r="D49" i="88"/>
  <c r="E49" i="87" s="1"/>
  <c r="E48" i="87"/>
  <c r="G177" i="83"/>
  <c r="F177" i="83"/>
  <c r="D189" i="83"/>
  <c r="H177" i="83"/>
  <c r="E177" i="83"/>
  <c r="F174" i="83"/>
  <c r="D186" i="83"/>
  <c r="E174" i="83"/>
  <c r="G174" i="83"/>
  <c r="H174" i="83"/>
  <c r="G172" i="83"/>
  <c r="D184" i="83"/>
  <c r="F172" i="83"/>
  <c r="H172" i="83"/>
  <c r="E172" i="83"/>
  <c r="T34" i="90"/>
  <c r="U33" i="90"/>
  <c r="V33" i="87"/>
  <c r="H33" i="86" s="1"/>
  <c r="C46" i="86"/>
  <c r="H166" i="83"/>
  <c r="E164" i="83"/>
  <c r="E176" i="83"/>
  <c r="D188" i="83"/>
  <c r="H176" i="83"/>
  <c r="F176" i="83"/>
  <c r="G176" i="83"/>
  <c r="C3" i="86"/>
  <c r="J3" i="86"/>
  <c r="K3" i="86" s="1"/>
  <c r="G163" i="83"/>
  <c r="G168" i="83"/>
  <c r="E168" i="83"/>
  <c r="E165" i="83"/>
  <c r="N68" i="83" l="1"/>
  <c r="L72" i="83"/>
  <c r="D199" i="83"/>
  <c r="B49" i="87"/>
  <c r="B49" i="86"/>
  <c r="V18" i="85"/>
  <c r="U19" i="85"/>
  <c r="F179" i="83"/>
  <c r="F173" i="83"/>
  <c r="C47" i="86"/>
  <c r="D200" i="83"/>
  <c r="T35" i="90"/>
  <c r="U34" i="90"/>
  <c r="V34" i="87"/>
  <c r="H34" i="86" s="1"/>
  <c r="E184" i="83"/>
  <c r="D196" i="83"/>
  <c r="H184" i="83"/>
  <c r="F184" i="83"/>
  <c r="G184" i="83"/>
  <c r="E181" i="83"/>
  <c r="G181" i="83"/>
  <c r="E179" i="83"/>
  <c r="G179" i="83"/>
  <c r="E182" i="83"/>
  <c r="D194" i="83"/>
  <c r="H182" i="83"/>
  <c r="F182" i="83"/>
  <c r="G182" i="83"/>
  <c r="D197" i="83"/>
  <c r="D198" i="83"/>
  <c r="D201" i="83"/>
  <c r="D204" i="83"/>
  <c r="H192" i="83"/>
  <c r="H181" i="83"/>
  <c r="L70" i="83"/>
  <c r="N66" i="83"/>
  <c r="H179" i="83"/>
  <c r="H173" i="83"/>
  <c r="I33" i="86"/>
  <c r="M33" i="86"/>
  <c r="J33" i="86"/>
  <c r="K33" i="86" s="1"/>
  <c r="E190" i="83"/>
  <c r="D202" i="83"/>
  <c r="G190" i="83"/>
  <c r="G183" i="83"/>
  <c r="F183" i="83"/>
  <c r="D195" i="83"/>
  <c r="H183" i="83"/>
  <c r="E183" i="83"/>
  <c r="L67" i="83"/>
  <c r="N63" i="83"/>
  <c r="F187" i="83" s="1"/>
  <c r="B48" i="87"/>
  <c r="B48" i="86"/>
  <c r="G193" i="83"/>
  <c r="F193" i="83"/>
  <c r="D205" i="83"/>
  <c r="H193" i="83"/>
  <c r="E193" i="83"/>
  <c r="L73" i="83"/>
  <c r="N69" i="83"/>
  <c r="G191" i="83"/>
  <c r="F191" i="83"/>
  <c r="D203" i="83"/>
  <c r="H191" i="83"/>
  <c r="E191" i="83"/>
  <c r="G173" i="83"/>
  <c r="K4" i="86"/>
  <c r="D214" i="83" l="1"/>
  <c r="L74" i="83"/>
  <c r="N70" i="83"/>
  <c r="H189" i="83"/>
  <c r="G186" i="83"/>
  <c r="E186" i="83"/>
  <c r="F185" i="83"/>
  <c r="M34" i="86"/>
  <c r="I34" i="86"/>
  <c r="J34" i="86"/>
  <c r="K34" i="86" s="1"/>
  <c r="F188" i="83"/>
  <c r="U20" i="85"/>
  <c r="V19" i="85"/>
  <c r="E187" i="83"/>
  <c r="G187" i="83"/>
  <c r="D217" i="83"/>
  <c r="D216" i="83"/>
  <c r="D213" i="83"/>
  <c r="F186" i="83"/>
  <c r="E185" i="83"/>
  <c r="G185" i="83"/>
  <c r="E194" i="83"/>
  <c r="D206" i="83"/>
  <c r="H194" i="83"/>
  <c r="F194" i="83"/>
  <c r="G194" i="83"/>
  <c r="H188" i="83"/>
  <c r="H187" i="83"/>
  <c r="L76" i="83"/>
  <c r="N72" i="83"/>
  <c r="C48" i="86"/>
  <c r="D215" i="83"/>
  <c r="L77" i="83"/>
  <c r="N73" i="83"/>
  <c r="G195" i="83"/>
  <c r="F195" i="83"/>
  <c r="D207" i="83"/>
  <c r="H195" i="83"/>
  <c r="E195" i="83"/>
  <c r="F190" i="83"/>
  <c r="G192" i="83"/>
  <c r="E192" i="83"/>
  <c r="F189" i="83"/>
  <c r="H186" i="83"/>
  <c r="H185" i="83"/>
  <c r="E196" i="83"/>
  <c r="D208" i="83"/>
  <c r="H196" i="83"/>
  <c r="F196" i="83"/>
  <c r="G196" i="83"/>
  <c r="T36" i="90"/>
  <c r="U35" i="90"/>
  <c r="V35" i="87"/>
  <c r="H35" i="86" s="1"/>
  <c r="D212" i="83"/>
  <c r="H200" i="83"/>
  <c r="G199" i="83"/>
  <c r="D211" i="83"/>
  <c r="E199" i="83"/>
  <c r="L71" i="83"/>
  <c r="N67" i="83"/>
  <c r="E202" i="83" s="1"/>
  <c r="H190" i="83"/>
  <c r="F192" i="83"/>
  <c r="E189" i="83"/>
  <c r="G189" i="83"/>
  <c r="E198" i="83"/>
  <c r="D210" i="83"/>
  <c r="F198" i="83"/>
  <c r="G198" i="83"/>
  <c r="G197" i="83"/>
  <c r="F197" i="83"/>
  <c r="D209" i="83"/>
  <c r="H197" i="83"/>
  <c r="E197" i="83"/>
  <c r="G188" i="83"/>
  <c r="E188" i="83"/>
  <c r="H199" i="83" l="1"/>
  <c r="D224" i="83"/>
  <c r="T37" i="90"/>
  <c r="U36" i="90"/>
  <c r="V36" i="87"/>
  <c r="H36" i="86" s="1"/>
  <c r="E208" i="83"/>
  <c r="D220" i="83"/>
  <c r="H208" i="83"/>
  <c r="F208" i="83"/>
  <c r="G208" i="83"/>
  <c r="H203" i="83"/>
  <c r="D225" i="83"/>
  <c r="F204" i="83"/>
  <c r="E205" i="83"/>
  <c r="G205" i="83"/>
  <c r="V20" i="85"/>
  <c r="U21" i="85"/>
  <c r="F202" i="83"/>
  <c r="D222" i="83"/>
  <c r="D223" i="83"/>
  <c r="G200" i="83"/>
  <c r="E200" i="83"/>
  <c r="D227" i="83"/>
  <c r="E206" i="83"/>
  <c r="D218" i="83"/>
  <c r="H206" i="83"/>
  <c r="F206" i="83"/>
  <c r="G206" i="83"/>
  <c r="F201" i="83"/>
  <c r="H204" i="83"/>
  <c r="H205" i="83"/>
  <c r="H202" i="83"/>
  <c r="G209" i="83"/>
  <c r="D221" i="83"/>
  <c r="E209" i="83"/>
  <c r="H198" i="83"/>
  <c r="L75" i="83"/>
  <c r="N71" i="83"/>
  <c r="H212" i="83" s="1"/>
  <c r="F199" i="83"/>
  <c r="F200" i="83"/>
  <c r="M35" i="86"/>
  <c r="I35" i="86"/>
  <c r="J35" i="86"/>
  <c r="K35" i="86" s="1"/>
  <c r="G207" i="83"/>
  <c r="F207" i="83"/>
  <c r="D219" i="83"/>
  <c r="H207" i="83"/>
  <c r="E207" i="83"/>
  <c r="L81" i="83"/>
  <c r="N77" i="83"/>
  <c r="F203" i="83"/>
  <c r="E201" i="83"/>
  <c r="G201" i="83"/>
  <c r="E216" i="83"/>
  <c r="D228" i="83"/>
  <c r="H216" i="83"/>
  <c r="F216" i="83"/>
  <c r="G216" i="83"/>
  <c r="G217" i="83"/>
  <c r="F217" i="83"/>
  <c r="D229" i="83"/>
  <c r="H217" i="83"/>
  <c r="E217" i="83"/>
  <c r="L78" i="83"/>
  <c r="N74" i="83"/>
  <c r="E214" i="83"/>
  <c r="D226" i="83"/>
  <c r="H214" i="83"/>
  <c r="F214" i="83"/>
  <c r="G214" i="83"/>
  <c r="E203" i="83"/>
  <c r="G203" i="83"/>
  <c r="L80" i="83"/>
  <c r="N76" i="83"/>
  <c r="H201" i="83"/>
  <c r="G204" i="83"/>
  <c r="E204" i="83"/>
  <c r="F205" i="83"/>
  <c r="G202" i="83"/>
  <c r="L84" i="83" l="1"/>
  <c r="N80" i="83"/>
  <c r="D241" i="83"/>
  <c r="L85" i="83"/>
  <c r="N81" i="83"/>
  <c r="L79" i="83"/>
  <c r="N75" i="83"/>
  <c r="F221" i="83" s="1"/>
  <c r="G221" i="83"/>
  <c r="D233" i="83"/>
  <c r="H221" i="83"/>
  <c r="E221" i="83"/>
  <c r="E215" i="83"/>
  <c r="G215" i="83"/>
  <c r="H211" i="83"/>
  <c r="G210" i="83"/>
  <c r="E210" i="83"/>
  <c r="H213" i="83"/>
  <c r="E220" i="83"/>
  <c r="D232" i="83"/>
  <c r="H220" i="83"/>
  <c r="F220" i="83"/>
  <c r="G220" i="83"/>
  <c r="T38" i="90"/>
  <c r="U37" i="90"/>
  <c r="V37" i="87"/>
  <c r="H37" i="86" s="1"/>
  <c r="E224" i="83"/>
  <c r="D236" i="83"/>
  <c r="H224" i="83"/>
  <c r="F224" i="83"/>
  <c r="G224" i="83"/>
  <c r="L82" i="83"/>
  <c r="N78" i="83"/>
  <c r="F209" i="83"/>
  <c r="H215" i="83"/>
  <c r="G223" i="83"/>
  <c r="F223" i="83"/>
  <c r="D235" i="83"/>
  <c r="H223" i="83"/>
  <c r="E223" i="83"/>
  <c r="F210" i="83"/>
  <c r="G225" i="83"/>
  <c r="F225" i="83"/>
  <c r="D237" i="83"/>
  <c r="H225" i="83"/>
  <c r="E225" i="83"/>
  <c r="G212" i="83"/>
  <c r="E212" i="83"/>
  <c r="E226" i="83"/>
  <c r="D238" i="83"/>
  <c r="H226" i="83"/>
  <c r="F226" i="83"/>
  <c r="G226" i="83"/>
  <c r="E218" i="83"/>
  <c r="D230" i="83"/>
  <c r="H218" i="83"/>
  <c r="F218" i="83"/>
  <c r="G218" i="83"/>
  <c r="G227" i="83"/>
  <c r="F227" i="83"/>
  <c r="D239" i="83"/>
  <c r="H227" i="83"/>
  <c r="E227" i="83"/>
  <c r="F211" i="83"/>
  <c r="H210" i="83"/>
  <c r="U22" i="85"/>
  <c r="V21" i="85"/>
  <c r="F213" i="83"/>
  <c r="I36" i="86"/>
  <c r="M36" i="86"/>
  <c r="J36" i="86"/>
  <c r="K36" i="86" s="1"/>
  <c r="F212" i="83"/>
  <c r="E228" i="83"/>
  <c r="D240" i="83"/>
  <c r="H228" i="83"/>
  <c r="F228" i="83"/>
  <c r="G228" i="83"/>
  <c r="G219" i="83"/>
  <c r="F219" i="83"/>
  <c r="D231" i="83"/>
  <c r="H219" i="83"/>
  <c r="E219" i="83"/>
  <c r="H209" i="83"/>
  <c r="F215" i="83"/>
  <c r="E211" i="83"/>
  <c r="G211" i="83"/>
  <c r="E222" i="83"/>
  <c r="D234" i="83"/>
  <c r="H222" i="83"/>
  <c r="F222" i="83"/>
  <c r="G222" i="83"/>
  <c r="E213" i="83"/>
  <c r="G213" i="83"/>
  <c r="D246" i="83" l="1"/>
  <c r="G231" i="83"/>
  <c r="F231" i="83"/>
  <c r="D243" i="83"/>
  <c r="H231" i="83"/>
  <c r="E231" i="83"/>
  <c r="D249" i="83"/>
  <c r="L86" i="83"/>
  <c r="N82" i="83"/>
  <c r="D248" i="83"/>
  <c r="T39" i="90"/>
  <c r="U38" i="90"/>
  <c r="V38" i="87"/>
  <c r="H38" i="86" s="1"/>
  <c r="E232" i="83"/>
  <c r="D244" i="83"/>
  <c r="H232" i="83"/>
  <c r="F232" i="83"/>
  <c r="G232" i="83"/>
  <c r="L89" i="83"/>
  <c r="N85" i="83"/>
  <c r="F229" i="83"/>
  <c r="E230" i="83"/>
  <c r="D242" i="83"/>
  <c r="H230" i="83"/>
  <c r="F230" i="83"/>
  <c r="G230" i="83"/>
  <c r="E229" i="83"/>
  <c r="G229" i="83"/>
  <c r="E240" i="83"/>
  <c r="D252" i="83"/>
  <c r="F240" i="83"/>
  <c r="G240" i="83"/>
  <c r="V22" i="85"/>
  <c r="U23" i="85"/>
  <c r="E238" i="83"/>
  <c r="D250" i="83"/>
  <c r="H238" i="83"/>
  <c r="G238" i="83"/>
  <c r="G235" i="83"/>
  <c r="F235" i="83"/>
  <c r="D247" i="83"/>
  <c r="H235" i="83"/>
  <c r="E235" i="83"/>
  <c r="I37" i="86"/>
  <c r="M37" i="86"/>
  <c r="J37" i="86"/>
  <c r="K37" i="86" s="1"/>
  <c r="G233" i="83"/>
  <c r="F233" i="83"/>
  <c r="D245" i="83"/>
  <c r="H233" i="83"/>
  <c r="E233" i="83"/>
  <c r="L83" i="83"/>
  <c r="N79" i="83"/>
  <c r="E234" i="83" s="1"/>
  <c r="H229" i="83"/>
  <c r="G239" i="83"/>
  <c r="F239" i="83"/>
  <c r="D251" i="83"/>
  <c r="H239" i="83"/>
  <c r="E239" i="83"/>
  <c r="G241" i="83"/>
  <c r="F241" i="83"/>
  <c r="D253" i="83"/>
  <c r="H241" i="83"/>
  <c r="E241" i="83"/>
  <c r="L88" i="83"/>
  <c r="N84" i="83"/>
  <c r="D265" i="83" l="1"/>
  <c r="H236" i="83"/>
  <c r="L90" i="83"/>
  <c r="N86" i="83"/>
  <c r="F237" i="83"/>
  <c r="G243" i="83"/>
  <c r="F243" i="83"/>
  <c r="D255" i="83"/>
  <c r="H243" i="83"/>
  <c r="E243" i="83"/>
  <c r="F234" i="83"/>
  <c r="L92" i="83"/>
  <c r="N88" i="83"/>
  <c r="D263" i="83"/>
  <c r="D257" i="83"/>
  <c r="D259" i="83"/>
  <c r="F238" i="83"/>
  <c r="U24" i="85"/>
  <c r="V23" i="85"/>
  <c r="H240" i="83"/>
  <c r="E242" i="83"/>
  <c r="D254" i="83"/>
  <c r="H242" i="83"/>
  <c r="F242" i="83"/>
  <c r="G242" i="83"/>
  <c r="L93" i="83"/>
  <c r="N89" i="83"/>
  <c r="E244" i="83"/>
  <c r="D256" i="83"/>
  <c r="H244" i="83"/>
  <c r="F244" i="83"/>
  <c r="G244" i="83"/>
  <c r="T40" i="90"/>
  <c r="U39" i="90"/>
  <c r="V39" i="87"/>
  <c r="H39" i="86" s="1"/>
  <c r="D260" i="83"/>
  <c r="G248" i="83"/>
  <c r="E237" i="83"/>
  <c r="G237" i="83"/>
  <c r="H234" i="83"/>
  <c r="E252" i="83"/>
  <c r="D264" i="83"/>
  <c r="F252" i="83"/>
  <c r="G252" i="83"/>
  <c r="G236" i="83"/>
  <c r="E236" i="83"/>
  <c r="H237" i="83"/>
  <c r="E246" i="83"/>
  <c r="D258" i="83"/>
  <c r="F246" i="83"/>
  <c r="G246" i="83"/>
  <c r="L87" i="83"/>
  <c r="N83" i="83"/>
  <c r="G253" i="83" s="1"/>
  <c r="E250" i="83"/>
  <c r="D262" i="83"/>
  <c r="F250" i="83"/>
  <c r="G250" i="83"/>
  <c r="I38" i="86"/>
  <c r="M38" i="86"/>
  <c r="J38" i="86"/>
  <c r="K38" i="86" s="1"/>
  <c r="F236" i="83"/>
  <c r="G249" i="83"/>
  <c r="D261" i="83"/>
  <c r="H249" i="83"/>
  <c r="E249" i="83"/>
  <c r="G234" i="83"/>
  <c r="E248" i="83" l="1"/>
  <c r="E247" i="83"/>
  <c r="G247" i="83"/>
  <c r="F245" i="83"/>
  <c r="D275" i="83"/>
  <c r="L96" i="83"/>
  <c r="N92" i="83"/>
  <c r="G255" i="83"/>
  <c r="F255" i="83"/>
  <c r="D267" i="83"/>
  <c r="H255" i="83"/>
  <c r="E255" i="83"/>
  <c r="H253" i="83"/>
  <c r="F248" i="83"/>
  <c r="I39" i="86"/>
  <c r="M39" i="86"/>
  <c r="J39" i="86"/>
  <c r="K39" i="86" s="1"/>
  <c r="H247" i="83"/>
  <c r="E245" i="83"/>
  <c r="G245" i="83"/>
  <c r="F251" i="83"/>
  <c r="L94" i="83"/>
  <c r="N90" i="83"/>
  <c r="D277" i="83"/>
  <c r="D274" i="83"/>
  <c r="D273" i="83"/>
  <c r="H246" i="83"/>
  <c r="H252" i="83"/>
  <c r="H248" i="83"/>
  <c r="L97" i="83"/>
  <c r="N93" i="83"/>
  <c r="E254" i="83"/>
  <c r="D266" i="83"/>
  <c r="H254" i="83"/>
  <c r="F254" i="83"/>
  <c r="G254" i="83"/>
  <c r="V24" i="85"/>
  <c r="U25" i="85"/>
  <c r="F259" i="83"/>
  <c r="D271" i="83"/>
  <c r="H245" i="83"/>
  <c r="E251" i="83"/>
  <c r="G251" i="83"/>
  <c r="F253" i="83"/>
  <c r="F249" i="83"/>
  <c r="H250" i="83"/>
  <c r="L91" i="83"/>
  <c r="N87" i="83"/>
  <c r="G263" i="83" s="1"/>
  <c r="E258" i="83"/>
  <c r="D270" i="83"/>
  <c r="F258" i="83"/>
  <c r="G258" i="83"/>
  <c r="E264" i="83"/>
  <c r="D276" i="83"/>
  <c r="H264" i="83"/>
  <c r="F264" i="83"/>
  <c r="G264" i="83"/>
  <c r="D272" i="83"/>
  <c r="H260" i="83"/>
  <c r="F260" i="83"/>
  <c r="G260" i="83"/>
  <c r="T41" i="90"/>
  <c r="U40" i="90"/>
  <c r="V40" i="87"/>
  <c r="H40" i="86" s="1"/>
  <c r="E256" i="83"/>
  <c r="D268" i="83"/>
  <c r="H256" i="83"/>
  <c r="F256" i="83"/>
  <c r="G256" i="83"/>
  <c r="F247" i="83"/>
  <c r="G257" i="83"/>
  <c r="F257" i="83"/>
  <c r="D269" i="83"/>
  <c r="H257" i="83"/>
  <c r="E257" i="83"/>
  <c r="H251" i="83"/>
  <c r="E253" i="83"/>
  <c r="D285" i="83" l="1"/>
  <c r="F262" i="83"/>
  <c r="E265" i="83"/>
  <c r="G265" i="83"/>
  <c r="H263" i="83"/>
  <c r="E268" i="83"/>
  <c r="D280" i="83"/>
  <c r="H268" i="83"/>
  <c r="F268" i="83"/>
  <c r="G268" i="83"/>
  <c r="T42" i="90"/>
  <c r="U41" i="90"/>
  <c r="V41" i="87"/>
  <c r="H41" i="86" s="1"/>
  <c r="D284" i="83"/>
  <c r="E259" i="83"/>
  <c r="G259" i="83"/>
  <c r="F261" i="83"/>
  <c r="H262" i="83"/>
  <c r="H265" i="83"/>
  <c r="D287" i="83"/>
  <c r="D281" i="83"/>
  <c r="E260" i="83"/>
  <c r="D288" i="83"/>
  <c r="H258" i="83"/>
  <c r="L95" i="83"/>
  <c r="N91" i="83"/>
  <c r="G273" i="83" s="1"/>
  <c r="H259" i="83"/>
  <c r="U26" i="85"/>
  <c r="V25" i="85"/>
  <c r="L101" i="83"/>
  <c r="N97" i="83"/>
  <c r="E261" i="83"/>
  <c r="G261" i="83"/>
  <c r="E274" i="83"/>
  <c r="D286" i="83"/>
  <c r="F274" i="83"/>
  <c r="G274" i="83"/>
  <c r="D289" i="83"/>
  <c r="H277" i="83"/>
  <c r="L98" i="83"/>
  <c r="N94" i="83"/>
  <c r="G267" i="83"/>
  <c r="F267" i="83"/>
  <c r="D279" i="83"/>
  <c r="H267" i="83"/>
  <c r="E267" i="83"/>
  <c r="L100" i="83"/>
  <c r="N96" i="83"/>
  <c r="F263" i="83"/>
  <c r="I40" i="86"/>
  <c r="M40" i="86"/>
  <c r="J40" i="86"/>
  <c r="K40" i="86" s="1"/>
  <c r="E270" i="83"/>
  <c r="D282" i="83"/>
  <c r="F270" i="83"/>
  <c r="G270" i="83"/>
  <c r="G271" i="83"/>
  <c r="F271" i="83"/>
  <c r="D283" i="83"/>
  <c r="H271" i="83"/>
  <c r="E271" i="83"/>
  <c r="E266" i="83"/>
  <c r="D278" i="83"/>
  <c r="H266" i="83"/>
  <c r="F266" i="83"/>
  <c r="G266" i="83"/>
  <c r="H261" i="83"/>
  <c r="G262" i="83"/>
  <c r="E262" i="83"/>
  <c r="F265" i="83"/>
  <c r="E263" i="83"/>
  <c r="E278" i="83" l="1"/>
  <c r="D290" i="83"/>
  <c r="H278" i="83"/>
  <c r="F278" i="83"/>
  <c r="G278" i="83"/>
  <c r="D295" i="83"/>
  <c r="G279" i="83"/>
  <c r="F279" i="83"/>
  <c r="D291" i="83"/>
  <c r="H279" i="83"/>
  <c r="E279" i="83"/>
  <c r="L102" i="83"/>
  <c r="N98" i="83"/>
  <c r="F277" i="83"/>
  <c r="H274" i="83"/>
  <c r="V26" i="85"/>
  <c r="U27" i="85"/>
  <c r="D300" i="83"/>
  <c r="H269" i="83"/>
  <c r="E275" i="83"/>
  <c r="G275" i="83"/>
  <c r="H272" i="83"/>
  <c r="H273" i="83"/>
  <c r="H270" i="83"/>
  <c r="L104" i="83"/>
  <c r="N100" i="83"/>
  <c r="E277" i="83"/>
  <c r="G277" i="83"/>
  <c r="D298" i="83"/>
  <c r="G276" i="83"/>
  <c r="E276" i="83"/>
  <c r="D293" i="83"/>
  <c r="H275" i="83"/>
  <c r="D296" i="83"/>
  <c r="T43" i="90"/>
  <c r="U42" i="90"/>
  <c r="V42" i="87"/>
  <c r="H42" i="86" s="1"/>
  <c r="E280" i="83"/>
  <c r="D292" i="83"/>
  <c r="H280" i="83"/>
  <c r="F280" i="83"/>
  <c r="G280" i="83"/>
  <c r="D297" i="83"/>
  <c r="L105" i="83"/>
  <c r="N101" i="83"/>
  <c r="F276" i="83"/>
  <c r="F269" i="83"/>
  <c r="G287" i="83"/>
  <c r="D299" i="83"/>
  <c r="E287" i="83"/>
  <c r="G272" i="83"/>
  <c r="E272" i="83"/>
  <c r="F273" i="83"/>
  <c r="E282" i="83"/>
  <c r="D294" i="83"/>
  <c r="G282" i="83"/>
  <c r="F289" i="83"/>
  <c r="D301" i="83"/>
  <c r="H289" i="83"/>
  <c r="L99" i="83"/>
  <c r="N95" i="83"/>
  <c r="H283" i="83" s="1"/>
  <c r="H276" i="83"/>
  <c r="E269" i="83"/>
  <c r="G269" i="83"/>
  <c r="F275" i="83"/>
  <c r="F272" i="83"/>
  <c r="I41" i="86"/>
  <c r="M41" i="86"/>
  <c r="J41" i="86"/>
  <c r="K41" i="86" s="1"/>
  <c r="E273" i="83"/>
  <c r="L109" i="83" l="1"/>
  <c r="N105" i="83"/>
  <c r="F285" i="83"/>
  <c r="H284" i="83"/>
  <c r="E281" i="83"/>
  <c r="G281" i="83"/>
  <c r="F286" i="83"/>
  <c r="H288" i="83"/>
  <c r="L106" i="83"/>
  <c r="N102" i="83"/>
  <c r="D307" i="83"/>
  <c r="D313" i="83"/>
  <c r="F282" i="83"/>
  <c r="H287" i="83"/>
  <c r="E285" i="83"/>
  <c r="G285" i="83"/>
  <c r="E292" i="83"/>
  <c r="D304" i="83"/>
  <c r="H292" i="83"/>
  <c r="F292" i="83"/>
  <c r="G292" i="83"/>
  <c r="T44" i="90"/>
  <c r="V43" i="87"/>
  <c r="H43" i="86" s="1"/>
  <c r="D308" i="83"/>
  <c r="H281" i="83"/>
  <c r="H286" i="83"/>
  <c r="D312" i="83"/>
  <c r="F283" i="83"/>
  <c r="H282" i="83"/>
  <c r="D311" i="83"/>
  <c r="H285" i="83"/>
  <c r="G284" i="83"/>
  <c r="E284" i="83"/>
  <c r="D305" i="83"/>
  <c r="E298" i="83"/>
  <c r="D310" i="83"/>
  <c r="G298" i="83"/>
  <c r="G288" i="83"/>
  <c r="E288" i="83"/>
  <c r="E283" i="83"/>
  <c r="G283" i="83"/>
  <c r="E290" i="83"/>
  <c r="D302" i="83"/>
  <c r="H290" i="83"/>
  <c r="F290" i="83"/>
  <c r="G290" i="83"/>
  <c r="L103" i="83"/>
  <c r="N99" i="83"/>
  <c r="F301" i="83" s="1"/>
  <c r="E289" i="83"/>
  <c r="G289" i="83"/>
  <c r="E294" i="83"/>
  <c r="D306" i="83"/>
  <c r="H294" i="83"/>
  <c r="F294" i="83"/>
  <c r="G294" i="83"/>
  <c r="F287" i="83"/>
  <c r="G297" i="83"/>
  <c r="F297" i="83"/>
  <c r="D309" i="83"/>
  <c r="H297" i="83"/>
  <c r="E297" i="83"/>
  <c r="I42" i="86"/>
  <c r="M42" i="86"/>
  <c r="J42" i="86"/>
  <c r="K42" i="86" s="1"/>
  <c r="F284" i="83"/>
  <c r="F281" i="83"/>
  <c r="G286" i="83"/>
  <c r="E286" i="83"/>
  <c r="L108" i="83"/>
  <c r="N104" i="83"/>
  <c r="F288" i="83"/>
  <c r="U28" i="85"/>
  <c r="V27" i="85"/>
  <c r="G291" i="83"/>
  <c r="F291" i="83"/>
  <c r="D303" i="83"/>
  <c r="H291" i="83"/>
  <c r="E291" i="83"/>
  <c r="D322" i="83" l="1"/>
  <c r="D317" i="83"/>
  <c r="D323" i="83"/>
  <c r="D324" i="83"/>
  <c r="G296" i="83"/>
  <c r="E296" i="83"/>
  <c r="E301" i="83"/>
  <c r="G301" i="83"/>
  <c r="F295" i="83"/>
  <c r="F293" i="83"/>
  <c r="F299" i="83"/>
  <c r="G300" i="83"/>
  <c r="E300" i="83"/>
  <c r="F296" i="83"/>
  <c r="I43" i="86"/>
  <c r="M43" i="86"/>
  <c r="J43" i="86"/>
  <c r="K43" i="86" s="1"/>
  <c r="H301" i="83"/>
  <c r="E295" i="83"/>
  <c r="G295" i="83"/>
  <c r="L112" i="83"/>
  <c r="N108" i="83"/>
  <c r="G303" i="83"/>
  <c r="F303" i="83"/>
  <c r="D315" i="83"/>
  <c r="H303" i="83"/>
  <c r="E303" i="83"/>
  <c r="V28" i="85"/>
  <c r="U29" i="85"/>
  <c r="D318" i="83"/>
  <c r="H306" i="83"/>
  <c r="F298" i="83"/>
  <c r="E293" i="83"/>
  <c r="G293" i="83"/>
  <c r="E299" i="83"/>
  <c r="G299" i="83"/>
  <c r="F300" i="83"/>
  <c r="H296" i="83"/>
  <c r="T45" i="90"/>
  <c r="V44" i="87"/>
  <c r="H44" i="86" s="1"/>
  <c r="E304" i="83"/>
  <c r="D316" i="83"/>
  <c r="H304" i="83"/>
  <c r="F304" i="83"/>
  <c r="G304" i="83"/>
  <c r="F313" i="83"/>
  <c r="D325" i="83"/>
  <c r="H313" i="83"/>
  <c r="H295" i="83"/>
  <c r="G309" i="83"/>
  <c r="F309" i="83"/>
  <c r="D321" i="83"/>
  <c r="H309" i="83"/>
  <c r="E309" i="83"/>
  <c r="L107" i="83"/>
  <c r="N103" i="83"/>
  <c r="E310" i="83" s="1"/>
  <c r="E302" i="83"/>
  <c r="D314" i="83"/>
  <c r="H302" i="83"/>
  <c r="F302" i="83"/>
  <c r="G302" i="83"/>
  <c r="H298" i="83"/>
  <c r="H293" i="83"/>
  <c r="H299" i="83"/>
  <c r="H300" i="83"/>
  <c r="E308" i="83"/>
  <c r="D320" i="83"/>
  <c r="H308" i="83"/>
  <c r="F308" i="83"/>
  <c r="G308" i="83"/>
  <c r="G307" i="83"/>
  <c r="F307" i="83"/>
  <c r="D319" i="83"/>
  <c r="H307" i="83"/>
  <c r="E307" i="83"/>
  <c r="L110" i="83"/>
  <c r="N106" i="83"/>
  <c r="L113" i="83"/>
  <c r="N109" i="83"/>
  <c r="G312" i="83" l="1"/>
  <c r="E312" i="83"/>
  <c r="F311" i="83"/>
  <c r="D329" i="83"/>
  <c r="F310" i="83"/>
  <c r="E314" i="83"/>
  <c r="D326" i="83"/>
  <c r="H314" i="83"/>
  <c r="F314" i="83"/>
  <c r="G314" i="83"/>
  <c r="D337" i="83"/>
  <c r="I44" i="86"/>
  <c r="M44" i="86"/>
  <c r="J44" i="86"/>
  <c r="K44" i="86" s="1"/>
  <c r="D330" i="83"/>
  <c r="F312" i="83"/>
  <c r="E311" i="83"/>
  <c r="G311" i="83"/>
  <c r="F305" i="83"/>
  <c r="H310" i="83"/>
  <c r="L111" i="83"/>
  <c r="N107" i="83"/>
  <c r="F317" i="83" s="1"/>
  <c r="L117" i="83"/>
  <c r="N113" i="83"/>
  <c r="T46" i="90"/>
  <c r="V45" i="87"/>
  <c r="H45" i="86" s="1"/>
  <c r="G306" i="83"/>
  <c r="E306" i="83"/>
  <c r="H312" i="83"/>
  <c r="H311" i="83"/>
  <c r="E305" i="83"/>
  <c r="G305" i="83"/>
  <c r="E322" i="83"/>
  <c r="D334" i="83"/>
  <c r="H322" i="83"/>
  <c r="F322" i="83"/>
  <c r="G322" i="83"/>
  <c r="E320" i="83"/>
  <c r="D332" i="83"/>
  <c r="H320" i="83"/>
  <c r="F320" i="83"/>
  <c r="G320" i="83"/>
  <c r="G319" i="83"/>
  <c r="F319" i="83"/>
  <c r="D331" i="83"/>
  <c r="H319" i="83"/>
  <c r="E319" i="83"/>
  <c r="L114" i="83"/>
  <c r="N110" i="83"/>
  <c r="G321" i="83"/>
  <c r="F321" i="83"/>
  <c r="D333" i="83"/>
  <c r="H321" i="83"/>
  <c r="E321" i="83"/>
  <c r="E313" i="83"/>
  <c r="G313" i="83"/>
  <c r="E316" i="83"/>
  <c r="D328" i="83"/>
  <c r="H316" i="83"/>
  <c r="F316" i="83"/>
  <c r="G316" i="83"/>
  <c r="F306" i="83"/>
  <c r="U30" i="85"/>
  <c r="V29" i="85"/>
  <c r="G315" i="83"/>
  <c r="F315" i="83"/>
  <c r="D327" i="83"/>
  <c r="H315" i="83"/>
  <c r="E315" i="83"/>
  <c r="L116" i="83"/>
  <c r="N112" i="83"/>
  <c r="E324" i="83"/>
  <c r="D336" i="83"/>
  <c r="H324" i="83"/>
  <c r="F324" i="83"/>
  <c r="G324" i="83"/>
  <c r="G323" i="83"/>
  <c r="F323" i="83"/>
  <c r="D335" i="83"/>
  <c r="H323" i="83"/>
  <c r="E323" i="83"/>
  <c r="H305" i="83"/>
  <c r="G310" i="83"/>
  <c r="D345" i="83" l="1"/>
  <c r="L118" i="83"/>
  <c r="N114" i="83"/>
  <c r="D342" i="83"/>
  <c r="F325" i="83"/>
  <c r="E317" i="83"/>
  <c r="G317" i="83"/>
  <c r="D347" i="83"/>
  <c r="G327" i="83"/>
  <c r="F327" i="83"/>
  <c r="D339" i="83"/>
  <c r="H327" i="83"/>
  <c r="E327" i="83"/>
  <c r="V30" i="85"/>
  <c r="U31" i="85"/>
  <c r="D344" i="83"/>
  <c r="L121" i="83"/>
  <c r="N117" i="83"/>
  <c r="G318" i="83"/>
  <c r="E318" i="83"/>
  <c r="E325" i="83"/>
  <c r="G325" i="83"/>
  <c r="E326" i="83"/>
  <c r="D338" i="83"/>
  <c r="H326" i="83"/>
  <c r="F326" i="83"/>
  <c r="G326" i="83"/>
  <c r="H317" i="83"/>
  <c r="L120" i="83"/>
  <c r="N116" i="83"/>
  <c r="E328" i="83"/>
  <c r="D340" i="83"/>
  <c r="H328" i="83"/>
  <c r="F328" i="83"/>
  <c r="G328" i="83"/>
  <c r="D346" i="83"/>
  <c r="I45" i="86"/>
  <c r="M45" i="86"/>
  <c r="J45" i="86"/>
  <c r="K45" i="86" s="1"/>
  <c r="F318" i="83"/>
  <c r="H325" i="83"/>
  <c r="D341" i="83"/>
  <c r="D348" i="83"/>
  <c r="G331" i="83"/>
  <c r="D343" i="83"/>
  <c r="E331" i="83"/>
  <c r="T47" i="90"/>
  <c r="V46" i="87"/>
  <c r="H46" i="86" s="1"/>
  <c r="L115" i="83"/>
  <c r="N111" i="83"/>
  <c r="G333" i="83" s="1"/>
  <c r="H318" i="83"/>
  <c r="D349" i="83"/>
  <c r="E337" i="83"/>
  <c r="D360" i="83" l="1"/>
  <c r="D353" i="83"/>
  <c r="G334" i="83"/>
  <c r="E334" i="83"/>
  <c r="E340" i="83"/>
  <c r="D352" i="83"/>
  <c r="H340" i="83"/>
  <c r="F340" i="83"/>
  <c r="G340" i="83"/>
  <c r="E338" i="83"/>
  <c r="D350" i="83"/>
  <c r="H338" i="83"/>
  <c r="F338" i="83"/>
  <c r="G338" i="83"/>
  <c r="G332" i="83"/>
  <c r="E332" i="83"/>
  <c r="E335" i="83"/>
  <c r="G335" i="83"/>
  <c r="G330" i="83"/>
  <c r="E330" i="83"/>
  <c r="H333" i="83"/>
  <c r="D361" i="83"/>
  <c r="F337" i="83"/>
  <c r="L119" i="83"/>
  <c r="N115" i="83"/>
  <c r="E348" i="83" s="1"/>
  <c r="H331" i="83"/>
  <c r="G336" i="83"/>
  <c r="E336" i="83"/>
  <c r="F329" i="83"/>
  <c r="F334" i="83"/>
  <c r="F332" i="83"/>
  <c r="U32" i="85"/>
  <c r="V31" i="85"/>
  <c r="G339" i="83"/>
  <c r="F339" i="83"/>
  <c r="D351" i="83"/>
  <c r="H339" i="83"/>
  <c r="E339" i="83"/>
  <c r="H335" i="83"/>
  <c r="F330" i="83"/>
  <c r="G345" i="83"/>
  <c r="F345" i="83"/>
  <c r="D357" i="83"/>
  <c r="H345" i="83"/>
  <c r="E345" i="83"/>
  <c r="G337" i="83"/>
  <c r="I46" i="86"/>
  <c r="M46" i="86"/>
  <c r="J46" i="86"/>
  <c r="K46" i="86" s="1"/>
  <c r="G343" i="83"/>
  <c r="F343" i="83"/>
  <c r="D355" i="83"/>
  <c r="H343" i="83"/>
  <c r="E343" i="83"/>
  <c r="F336" i="83"/>
  <c r="E329" i="83"/>
  <c r="G329" i="83"/>
  <c r="H334" i="83"/>
  <c r="H332" i="83"/>
  <c r="G347" i="83"/>
  <c r="F347" i="83"/>
  <c r="D359" i="83"/>
  <c r="H347" i="83"/>
  <c r="E347" i="83"/>
  <c r="H330" i="83"/>
  <c r="L122" i="83"/>
  <c r="N118" i="83"/>
  <c r="F333" i="83"/>
  <c r="H337" i="83"/>
  <c r="T48" i="90"/>
  <c r="V47" i="87"/>
  <c r="H47" i="86" s="1"/>
  <c r="F331" i="83"/>
  <c r="H336" i="83"/>
  <c r="H329" i="83"/>
  <c r="E346" i="83"/>
  <c r="D358" i="83"/>
  <c r="H346" i="83"/>
  <c r="F346" i="83"/>
  <c r="G346" i="83"/>
  <c r="L124" i="83"/>
  <c r="N120" i="83"/>
  <c r="L125" i="83"/>
  <c r="N121" i="83"/>
  <c r="E344" i="83"/>
  <c r="D356" i="83"/>
  <c r="H344" i="83"/>
  <c r="F344" i="83"/>
  <c r="G344" i="83"/>
  <c r="F335" i="83"/>
  <c r="E342" i="83"/>
  <c r="D354" i="83"/>
  <c r="H342" i="83"/>
  <c r="F342" i="83"/>
  <c r="G342" i="83"/>
  <c r="E333" i="83"/>
  <c r="L128" i="83" l="1"/>
  <c r="N124" i="83"/>
  <c r="D370" i="83"/>
  <c r="F358" i="83"/>
  <c r="D367" i="83"/>
  <c r="G351" i="83"/>
  <c r="F351" i="83"/>
  <c r="D363" i="83"/>
  <c r="H351" i="83"/>
  <c r="E351" i="83"/>
  <c r="L123" i="83"/>
  <c r="N119" i="83"/>
  <c r="H358" i="83" s="1"/>
  <c r="G361" i="83"/>
  <c r="F361" i="83"/>
  <c r="D373" i="83"/>
  <c r="H361" i="83"/>
  <c r="E361" i="83"/>
  <c r="G353" i="83"/>
  <c r="F353" i="83"/>
  <c r="D365" i="83"/>
  <c r="H353" i="83"/>
  <c r="E353" i="83"/>
  <c r="F348" i="83"/>
  <c r="E354" i="83"/>
  <c r="D366" i="83"/>
  <c r="H354" i="83"/>
  <c r="F354" i="83"/>
  <c r="G354" i="83"/>
  <c r="I47" i="86"/>
  <c r="M47" i="86"/>
  <c r="J47" i="86"/>
  <c r="K47" i="86" s="1"/>
  <c r="G357" i="83"/>
  <c r="F357" i="83"/>
  <c r="D369" i="83"/>
  <c r="H357" i="83"/>
  <c r="E357" i="83"/>
  <c r="F349" i="83"/>
  <c r="E350" i="83"/>
  <c r="D362" i="83"/>
  <c r="H350" i="83"/>
  <c r="F350" i="83"/>
  <c r="G350" i="83"/>
  <c r="F341" i="83"/>
  <c r="H348" i="83"/>
  <c r="L129" i="83"/>
  <c r="N125" i="83"/>
  <c r="T49" i="90"/>
  <c r="V49" i="87" s="1"/>
  <c r="H49" i="86" s="1"/>
  <c r="J49" i="86" s="1"/>
  <c r="V48" i="87"/>
  <c r="H48" i="86" s="1"/>
  <c r="L126" i="83"/>
  <c r="N122" i="83"/>
  <c r="G359" i="83"/>
  <c r="F359" i="83"/>
  <c r="D371" i="83"/>
  <c r="H359" i="83"/>
  <c r="E359" i="83"/>
  <c r="E349" i="83"/>
  <c r="G349" i="83"/>
  <c r="E352" i="83"/>
  <c r="D364" i="83"/>
  <c r="H352" i="83"/>
  <c r="F352" i="83"/>
  <c r="G352" i="83"/>
  <c r="E341" i="83"/>
  <c r="G341" i="83"/>
  <c r="E360" i="83"/>
  <c r="D372" i="83"/>
  <c r="H360" i="83"/>
  <c r="F360" i="83"/>
  <c r="G360" i="83"/>
  <c r="E356" i="83"/>
  <c r="D368" i="83"/>
  <c r="H356" i="83"/>
  <c r="F356" i="83"/>
  <c r="G356" i="83"/>
  <c r="H349" i="83"/>
  <c r="H341" i="83"/>
  <c r="G348" i="83"/>
  <c r="D383" i="83" l="1"/>
  <c r="L130" i="83"/>
  <c r="N126" i="83"/>
  <c r="L133" i="83"/>
  <c r="N129" i="83"/>
  <c r="D378" i="83"/>
  <c r="E355" i="83"/>
  <c r="G355" i="83"/>
  <c r="D382" i="83"/>
  <c r="I48" i="86"/>
  <c r="M48" i="86"/>
  <c r="J48" i="86"/>
  <c r="K48" i="86" s="1"/>
  <c r="G365" i="83"/>
  <c r="D377" i="83"/>
  <c r="H365" i="83"/>
  <c r="E365" i="83"/>
  <c r="G363" i="83"/>
  <c r="F363" i="83"/>
  <c r="D375" i="83"/>
  <c r="H363" i="83"/>
  <c r="E363" i="83"/>
  <c r="H355" i="83"/>
  <c r="G358" i="83"/>
  <c r="E358" i="83"/>
  <c r="E368" i="83"/>
  <c r="D380" i="83"/>
  <c r="H368" i="83"/>
  <c r="F368" i="83"/>
  <c r="G368" i="83"/>
  <c r="E362" i="83"/>
  <c r="D374" i="83"/>
  <c r="H362" i="83"/>
  <c r="F362" i="83"/>
  <c r="G362" i="83"/>
  <c r="G373" i="83"/>
  <c r="F373" i="83"/>
  <c r="D385" i="83"/>
  <c r="H373" i="83"/>
  <c r="E373" i="83"/>
  <c r="L127" i="83"/>
  <c r="N123" i="83"/>
  <c r="G371" i="83" s="1"/>
  <c r="G367" i="83"/>
  <c r="F367" i="83"/>
  <c r="D379" i="83"/>
  <c r="H367" i="83"/>
  <c r="E367" i="83"/>
  <c r="E364" i="83"/>
  <c r="D376" i="83"/>
  <c r="H364" i="83"/>
  <c r="F364" i="83"/>
  <c r="G364" i="83"/>
  <c r="E372" i="83"/>
  <c r="D384" i="83"/>
  <c r="H372" i="83"/>
  <c r="F372" i="83"/>
  <c r="G372" i="83"/>
  <c r="G369" i="83"/>
  <c r="F369" i="83"/>
  <c r="D381" i="83"/>
  <c r="H369" i="83"/>
  <c r="E369" i="83"/>
  <c r="F355" i="83"/>
  <c r="L132" i="83"/>
  <c r="N128" i="83"/>
  <c r="L136" i="83" l="1"/>
  <c r="N132" i="83"/>
  <c r="D393" i="83"/>
  <c r="G375" i="83"/>
  <c r="F375" i="83"/>
  <c r="D387" i="83"/>
  <c r="H375" i="83"/>
  <c r="E375" i="83"/>
  <c r="F370" i="83"/>
  <c r="H366" i="83"/>
  <c r="L137" i="83"/>
  <c r="N133" i="83"/>
  <c r="H371" i="83"/>
  <c r="D396" i="83"/>
  <c r="D397" i="83"/>
  <c r="K49" i="86"/>
  <c r="D392" i="83"/>
  <c r="D389" i="83"/>
  <c r="H370" i="83"/>
  <c r="D390" i="83"/>
  <c r="D395" i="83"/>
  <c r="H383" i="83"/>
  <c r="E376" i="83"/>
  <c r="D388" i="83"/>
  <c r="H376" i="83"/>
  <c r="F376" i="83"/>
  <c r="G376" i="83"/>
  <c r="G379" i="83"/>
  <c r="F379" i="83"/>
  <c r="D391" i="83"/>
  <c r="H379" i="83"/>
  <c r="E379" i="83"/>
  <c r="L131" i="83"/>
  <c r="N127" i="83"/>
  <c r="F384" i="83" s="1"/>
  <c r="F365" i="83"/>
  <c r="E382" i="83"/>
  <c r="D394" i="83"/>
  <c r="H382" i="83"/>
  <c r="F382" i="83"/>
  <c r="G382" i="83"/>
  <c r="G366" i="83"/>
  <c r="E366" i="83"/>
  <c r="L134" i="83"/>
  <c r="N130" i="83"/>
  <c r="F371" i="83"/>
  <c r="E374" i="83"/>
  <c r="D386" i="83"/>
  <c r="H374" i="83"/>
  <c r="F374" i="83"/>
  <c r="G374" i="83"/>
  <c r="G370" i="83"/>
  <c r="E370" i="83"/>
  <c r="F366" i="83"/>
  <c r="E371" i="83"/>
  <c r="D406" i="83" l="1"/>
  <c r="F394" i="83"/>
  <c r="G394" i="83"/>
  <c r="L135" i="83"/>
  <c r="N131" i="83"/>
  <c r="E394" i="83" s="1"/>
  <c r="G378" i="83"/>
  <c r="E378" i="83"/>
  <c r="F389" i="83"/>
  <c r="D401" i="83"/>
  <c r="H389" i="83"/>
  <c r="E389" i="83"/>
  <c r="F380" i="83"/>
  <c r="F385" i="83"/>
  <c r="H384" i="83"/>
  <c r="F381" i="83"/>
  <c r="E388" i="83"/>
  <c r="D400" i="83"/>
  <c r="H388" i="83"/>
  <c r="F388" i="83"/>
  <c r="G388" i="83"/>
  <c r="G395" i="83"/>
  <c r="F395" i="83"/>
  <c r="D407" i="83"/>
  <c r="H395" i="83"/>
  <c r="E395" i="83"/>
  <c r="F378" i="83"/>
  <c r="F377" i="83"/>
  <c r="H380" i="83"/>
  <c r="E385" i="83"/>
  <c r="G385" i="83"/>
  <c r="E396" i="83"/>
  <c r="D408" i="83"/>
  <c r="H396" i="83"/>
  <c r="F396" i="83"/>
  <c r="G396" i="83"/>
  <c r="L141" i="83"/>
  <c r="N137" i="83"/>
  <c r="E381" i="83"/>
  <c r="G381" i="83"/>
  <c r="E386" i="83"/>
  <c r="D398" i="83"/>
  <c r="H386" i="83"/>
  <c r="F386" i="83"/>
  <c r="G386" i="83"/>
  <c r="L138" i="83"/>
  <c r="N134" i="83"/>
  <c r="F383" i="83"/>
  <c r="H378" i="83"/>
  <c r="E377" i="83"/>
  <c r="G377" i="83"/>
  <c r="E392" i="83"/>
  <c r="D404" i="83"/>
  <c r="H392" i="83"/>
  <c r="F392" i="83"/>
  <c r="G392" i="83"/>
  <c r="H385" i="83"/>
  <c r="G384" i="83"/>
  <c r="E384" i="83"/>
  <c r="G387" i="83"/>
  <c r="F387" i="83"/>
  <c r="D399" i="83"/>
  <c r="H387" i="83"/>
  <c r="E387" i="83"/>
  <c r="H381" i="83"/>
  <c r="G391" i="83"/>
  <c r="F391" i="83"/>
  <c r="D403" i="83"/>
  <c r="H391" i="83"/>
  <c r="E391" i="83"/>
  <c r="E383" i="83"/>
  <c r="G383" i="83"/>
  <c r="E390" i="83"/>
  <c r="D402" i="83"/>
  <c r="H390" i="83"/>
  <c r="F390" i="83"/>
  <c r="G390" i="83"/>
  <c r="H377" i="83"/>
  <c r="G380" i="83"/>
  <c r="E380" i="83"/>
  <c r="G397" i="83"/>
  <c r="F397" i="83"/>
  <c r="D409" i="83"/>
  <c r="H397" i="83"/>
  <c r="E397" i="83"/>
  <c r="G393" i="83"/>
  <c r="F393" i="83"/>
  <c r="D405" i="83"/>
  <c r="H393" i="83"/>
  <c r="E393" i="83"/>
  <c r="L140" i="83"/>
  <c r="N136" i="83"/>
  <c r="D414" i="83" l="1"/>
  <c r="G399" i="83"/>
  <c r="F399" i="83"/>
  <c r="D411" i="83"/>
  <c r="H399" i="83"/>
  <c r="E399" i="83"/>
  <c r="L142" i="83"/>
  <c r="N138" i="83"/>
  <c r="E398" i="83"/>
  <c r="D410" i="83"/>
  <c r="H398" i="83"/>
  <c r="F398" i="83"/>
  <c r="G398" i="83"/>
  <c r="E400" i="83"/>
  <c r="D412" i="83"/>
  <c r="H400" i="83"/>
  <c r="F400" i="83"/>
  <c r="G400" i="83"/>
  <c r="D413" i="83"/>
  <c r="D416" i="83"/>
  <c r="L145" i="83"/>
  <c r="N141" i="83"/>
  <c r="D420" i="83"/>
  <c r="H394" i="83"/>
  <c r="D417" i="83"/>
  <c r="D415" i="83"/>
  <c r="D419" i="83"/>
  <c r="G389" i="83"/>
  <c r="L139" i="83"/>
  <c r="N135" i="83"/>
  <c r="E402" i="83" s="1"/>
  <c r="E406" i="83"/>
  <c r="D418" i="83"/>
  <c r="F406" i="83"/>
  <c r="G406" i="83"/>
  <c r="L144" i="83"/>
  <c r="N140" i="83"/>
  <c r="G409" i="83"/>
  <c r="F409" i="83"/>
  <c r="D421" i="83"/>
  <c r="H409" i="83"/>
  <c r="E409" i="83"/>
  <c r="D433" i="83" l="1"/>
  <c r="L148" i="83"/>
  <c r="N144" i="83"/>
  <c r="D430" i="83"/>
  <c r="F407" i="83"/>
  <c r="D427" i="83"/>
  <c r="H405" i="83"/>
  <c r="D432" i="83"/>
  <c r="G404" i="83"/>
  <c r="E404" i="83"/>
  <c r="F401" i="83"/>
  <c r="G411" i="83"/>
  <c r="F411" i="83"/>
  <c r="D423" i="83"/>
  <c r="H411" i="83"/>
  <c r="E411" i="83"/>
  <c r="F402" i="83"/>
  <c r="E407" i="83"/>
  <c r="G407" i="83"/>
  <c r="F403" i="83"/>
  <c r="D429" i="83"/>
  <c r="G408" i="83"/>
  <c r="E408" i="83"/>
  <c r="F404" i="83"/>
  <c r="E401" i="83"/>
  <c r="G401" i="83"/>
  <c r="E412" i="83"/>
  <c r="D424" i="83"/>
  <c r="H412" i="83"/>
  <c r="F412" i="83"/>
  <c r="G412" i="83"/>
  <c r="L146" i="83"/>
  <c r="N142" i="83"/>
  <c r="H402" i="83"/>
  <c r="H407" i="83"/>
  <c r="E403" i="83"/>
  <c r="G403" i="83"/>
  <c r="F405" i="83"/>
  <c r="F408" i="83"/>
  <c r="H404" i="83"/>
  <c r="H401" i="83"/>
  <c r="E410" i="83"/>
  <c r="D422" i="83"/>
  <c r="H410" i="83"/>
  <c r="F410" i="83"/>
  <c r="G410" i="83"/>
  <c r="D426" i="83"/>
  <c r="H406" i="83"/>
  <c r="L143" i="83"/>
  <c r="N139" i="83"/>
  <c r="G421" i="83" s="1"/>
  <c r="F419" i="83"/>
  <c r="D431" i="83"/>
  <c r="H419" i="83"/>
  <c r="E419" i="83"/>
  <c r="H403" i="83"/>
  <c r="E405" i="83"/>
  <c r="G405" i="83"/>
  <c r="H408" i="83"/>
  <c r="L149" i="83"/>
  <c r="N145" i="83"/>
  <c r="E416" i="83"/>
  <c r="D428" i="83"/>
  <c r="H416" i="83"/>
  <c r="F416" i="83"/>
  <c r="G416" i="83"/>
  <c r="G413" i="83"/>
  <c r="F413" i="83"/>
  <c r="D425" i="83"/>
  <c r="H413" i="83"/>
  <c r="E413" i="83"/>
  <c r="G402" i="83"/>
  <c r="L153" i="83" l="1"/>
  <c r="N149" i="83"/>
  <c r="D438" i="83"/>
  <c r="L150" i="83"/>
  <c r="N146" i="83"/>
  <c r="E424" i="83"/>
  <c r="D436" i="83"/>
  <c r="H424" i="83"/>
  <c r="F424" i="83"/>
  <c r="G424" i="83"/>
  <c r="H417" i="83"/>
  <c r="G420" i="83"/>
  <c r="E420" i="83"/>
  <c r="D439" i="83"/>
  <c r="G418" i="83"/>
  <c r="E418" i="83"/>
  <c r="H421" i="83"/>
  <c r="D440" i="83"/>
  <c r="G419" i="83"/>
  <c r="G414" i="83"/>
  <c r="E414" i="83"/>
  <c r="E422" i="83"/>
  <c r="D434" i="83"/>
  <c r="H422" i="83"/>
  <c r="F422" i="83"/>
  <c r="G422" i="83"/>
  <c r="D441" i="83"/>
  <c r="F420" i="83"/>
  <c r="F415" i="83"/>
  <c r="F418" i="83"/>
  <c r="D445" i="83"/>
  <c r="F414" i="83"/>
  <c r="F417" i="83"/>
  <c r="G423" i="83"/>
  <c r="F423" i="83"/>
  <c r="D435" i="83"/>
  <c r="H423" i="83"/>
  <c r="E423" i="83"/>
  <c r="H420" i="83"/>
  <c r="E415" i="83"/>
  <c r="G415" i="83"/>
  <c r="H418" i="83"/>
  <c r="L152" i="83"/>
  <c r="N148" i="83"/>
  <c r="F421" i="83"/>
  <c r="D437" i="83"/>
  <c r="D443" i="83"/>
  <c r="H431" i="83"/>
  <c r="L147" i="83"/>
  <c r="N143" i="83"/>
  <c r="H426" i="83" s="1"/>
  <c r="H414" i="83"/>
  <c r="E417" i="83"/>
  <c r="G417" i="83"/>
  <c r="D444" i="83"/>
  <c r="E432" i="83"/>
  <c r="G432" i="83"/>
  <c r="H415" i="83"/>
  <c r="D442" i="83"/>
  <c r="H430" i="83"/>
  <c r="F430" i="83"/>
  <c r="G430" i="83"/>
  <c r="E421" i="83"/>
  <c r="E430" i="83" l="1"/>
  <c r="F432" i="83"/>
  <c r="L151" i="83"/>
  <c r="N147" i="83"/>
  <c r="F443" i="83"/>
  <c r="E443" i="83"/>
  <c r="G443" i="83"/>
  <c r="H443" i="83"/>
  <c r="D455" i="83"/>
  <c r="G437" i="83"/>
  <c r="F437" i="83"/>
  <c r="H437" i="83"/>
  <c r="D449" i="83"/>
  <c r="E437" i="83"/>
  <c r="G435" i="83"/>
  <c r="F435" i="83"/>
  <c r="D447" i="83"/>
  <c r="H435" i="83"/>
  <c r="E435" i="83"/>
  <c r="G433" i="83"/>
  <c r="F429" i="83"/>
  <c r="H428" i="83"/>
  <c r="G439" i="83"/>
  <c r="D451" i="83"/>
  <c r="F439" i="83"/>
  <c r="H439" i="83"/>
  <c r="E439" i="83"/>
  <c r="L154" i="83"/>
  <c r="N150" i="83"/>
  <c r="D450" i="83"/>
  <c r="E438" i="83"/>
  <c r="H438" i="83"/>
  <c r="F438" i="83"/>
  <c r="G438" i="83"/>
  <c r="D454" i="83"/>
  <c r="H442" i="83"/>
  <c r="G442" i="83"/>
  <c r="E442" i="83"/>
  <c r="F442" i="83"/>
  <c r="H432" i="83"/>
  <c r="E431" i="83"/>
  <c r="G431" i="83"/>
  <c r="F425" i="83"/>
  <c r="L156" i="83"/>
  <c r="N152" i="83"/>
  <c r="E433" i="83"/>
  <c r="F445" i="83"/>
  <c r="E445" i="83"/>
  <c r="G445" i="83"/>
  <c r="H445" i="83"/>
  <c r="D457" i="83"/>
  <c r="F441" i="83"/>
  <c r="E441" i="83"/>
  <c r="G441" i="83"/>
  <c r="D453" i="83"/>
  <c r="H441" i="83"/>
  <c r="G429" i="83"/>
  <c r="D446" i="83"/>
  <c r="E434" i="83"/>
  <c r="H434" i="83"/>
  <c r="F434" i="83"/>
  <c r="G434" i="83"/>
  <c r="E428" i="83"/>
  <c r="F427" i="83"/>
  <c r="D448" i="83"/>
  <c r="E436" i="83"/>
  <c r="H436" i="83"/>
  <c r="F436" i="83"/>
  <c r="G436" i="83"/>
  <c r="G426" i="83"/>
  <c r="E426" i="83"/>
  <c r="E425" i="83"/>
  <c r="G425" i="83"/>
  <c r="H433" i="83"/>
  <c r="E429" i="83"/>
  <c r="G428" i="83"/>
  <c r="D452" i="83"/>
  <c r="H440" i="83"/>
  <c r="G440" i="83"/>
  <c r="F440" i="83"/>
  <c r="E440" i="83"/>
  <c r="E427" i="83"/>
  <c r="G427" i="83"/>
  <c r="F426" i="83"/>
  <c r="D456" i="83"/>
  <c r="H444" i="83"/>
  <c r="G444" i="83"/>
  <c r="E444" i="83"/>
  <c r="F444" i="83"/>
  <c r="F431" i="83"/>
  <c r="H425" i="83"/>
  <c r="F433" i="83"/>
  <c r="H429" i="83"/>
  <c r="F428" i="83"/>
  <c r="H427" i="83"/>
  <c r="L157" i="83"/>
  <c r="N153" i="83"/>
  <c r="L161" i="83" l="1"/>
  <c r="N157" i="83"/>
  <c r="L160" i="83"/>
  <c r="N156" i="83"/>
  <c r="L158" i="83"/>
  <c r="N154" i="83"/>
  <c r="D463" i="83"/>
  <c r="D465" i="83"/>
  <c r="D469" i="83"/>
  <c r="D466" i="83"/>
  <c r="E454" i="83"/>
  <c r="L155" i="83"/>
  <c r="N151" i="83"/>
  <c r="G451" i="83" s="1"/>
  <c r="D458" i="83"/>
  <c r="H446" i="83"/>
  <c r="G446" i="83"/>
  <c r="E446" i="83"/>
  <c r="F446" i="83"/>
  <c r="D462" i="83"/>
  <c r="H450" i="83"/>
  <c r="G450" i="83"/>
  <c r="E450" i="83"/>
  <c r="F450" i="83"/>
  <c r="D468" i="83"/>
  <c r="H456" i="83"/>
  <c r="G456" i="83"/>
  <c r="E456" i="83"/>
  <c r="F456" i="83"/>
  <c r="D464" i="83"/>
  <c r="H452" i="83"/>
  <c r="G452" i="83"/>
  <c r="E452" i="83"/>
  <c r="F452" i="83"/>
  <c r="D460" i="83"/>
  <c r="H448" i="83"/>
  <c r="G448" i="83"/>
  <c r="E448" i="83"/>
  <c r="F448" i="83"/>
  <c r="F447" i="83"/>
  <c r="E447" i="83"/>
  <c r="G447" i="83"/>
  <c r="D459" i="83"/>
  <c r="H447" i="83"/>
  <c r="F449" i="83"/>
  <c r="E449" i="83"/>
  <c r="G449" i="83"/>
  <c r="D461" i="83"/>
  <c r="H449" i="83"/>
  <c r="F455" i="83"/>
  <c r="E455" i="83"/>
  <c r="G455" i="83"/>
  <c r="D467" i="83"/>
  <c r="H455" i="83"/>
  <c r="D476" i="83" l="1"/>
  <c r="G454" i="83"/>
  <c r="D481" i="83"/>
  <c r="D477" i="83"/>
  <c r="F453" i="83"/>
  <c r="E451" i="83"/>
  <c r="D479" i="83"/>
  <c r="D480" i="83"/>
  <c r="F468" i="83"/>
  <c r="L159" i="83"/>
  <c r="N155" i="83"/>
  <c r="F464" i="83" s="1"/>
  <c r="H454" i="83"/>
  <c r="G457" i="83"/>
  <c r="H453" i="83"/>
  <c r="F463" i="83"/>
  <c r="G463" i="83"/>
  <c r="D475" i="83"/>
  <c r="H463" i="83"/>
  <c r="F451" i="83"/>
  <c r="L164" i="83"/>
  <c r="N160" i="83"/>
  <c r="F461" i="83"/>
  <c r="E461" i="83"/>
  <c r="G461" i="83"/>
  <c r="H461" i="83"/>
  <c r="D473" i="83"/>
  <c r="D474" i="83"/>
  <c r="H462" i="83"/>
  <c r="G462" i="83"/>
  <c r="E462" i="83"/>
  <c r="F462" i="83"/>
  <c r="F454" i="83"/>
  <c r="D478" i="83"/>
  <c r="H466" i="83"/>
  <c r="G466" i="83"/>
  <c r="E466" i="83"/>
  <c r="F466" i="83"/>
  <c r="E457" i="83"/>
  <c r="G453" i="83"/>
  <c r="H451" i="83"/>
  <c r="F459" i="83"/>
  <c r="E459" i="83"/>
  <c r="G459" i="83"/>
  <c r="H459" i="83"/>
  <c r="D471" i="83"/>
  <c r="D472" i="83"/>
  <c r="H460" i="83"/>
  <c r="G460" i="83"/>
  <c r="E460" i="83"/>
  <c r="F460" i="83"/>
  <c r="D470" i="83"/>
  <c r="H458" i="83"/>
  <c r="G458" i="83"/>
  <c r="E458" i="83"/>
  <c r="F458" i="83"/>
  <c r="H457" i="83"/>
  <c r="F457" i="83"/>
  <c r="E453" i="83"/>
  <c r="L162" i="83"/>
  <c r="N158" i="83"/>
  <c r="L165" i="83"/>
  <c r="N161" i="83"/>
  <c r="L168" i="83" l="1"/>
  <c r="N168" i="83" s="1"/>
  <c r="N164" i="83"/>
  <c r="D492" i="83"/>
  <c r="E467" i="83"/>
  <c r="H465" i="83"/>
  <c r="F465" i="83"/>
  <c r="E469" i="83"/>
  <c r="E464" i="83"/>
  <c r="L166" i="83"/>
  <c r="N166" i="83" s="1"/>
  <c r="N162" i="83"/>
  <c r="D482" i="83"/>
  <c r="H470" i="83"/>
  <c r="G470" i="83"/>
  <c r="E470" i="83"/>
  <c r="F470" i="83"/>
  <c r="D486" i="83"/>
  <c r="E463" i="83"/>
  <c r="E468" i="83"/>
  <c r="D491" i="83"/>
  <c r="F467" i="83"/>
  <c r="D489" i="83"/>
  <c r="D493" i="83"/>
  <c r="F469" i="83"/>
  <c r="G464" i="83"/>
  <c r="D484" i="83"/>
  <c r="H472" i="83"/>
  <c r="G472" i="83"/>
  <c r="E472" i="83"/>
  <c r="F472" i="83"/>
  <c r="D485" i="83"/>
  <c r="G468" i="83"/>
  <c r="H467" i="83"/>
  <c r="G465" i="83"/>
  <c r="H469" i="83"/>
  <c r="H464" i="83"/>
  <c r="L169" i="83"/>
  <c r="N169" i="83" s="1"/>
  <c r="N165" i="83"/>
  <c r="F471" i="83"/>
  <c r="E471" i="83"/>
  <c r="G471" i="83"/>
  <c r="D483" i="83"/>
  <c r="H471" i="83"/>
  <c r="D490" i="83"/>
  <c r="H478" i="83"/>
  <c r="F478" i="83"/>
  <c r="F475" i="83"/>
  <c r="G475" i="83"/>
  <c r="H475" i="83"/>
  <c r="D487" i="83"/>
  <c r="L163" i="83"/>
  <c r="N159" i="83"/>
  <c r="G480" i="83" s="1"/>
  <c r="H468" i="83"/>
  <c r="G467" i="83"/>
  <c r="E465" i="83"/>
  <c r="G469" i="83"/>
  <c r="D488" i="83"/>
  <c r="H476" i="83"/>
  <c r="E476" i="83"/>
  <c r="F476" i="83"/>
  <c r="D499" i="83" l="1"/>
  <c r="G473" i="83"/>
  <c r="G481" i="83"/>
  <c r="H477" i="83"/>
  <c r="E479" i="83"/>
  <c r="F474" i="83"/>
  <c r="D498" i="83"/>
  <c r="H480" i="83"/>
  <c r="D500" i="83"/>
  <c r="D502" i="83"/>
  <c r="E473" i="83"/>
  <c r="E481" i="83"/>
  <c r="G477" i="83"/>
  <c r="H479" i="83"/>
  <c r="F479" i="83"/>
  <c r="E474" i="83"/>
  <c r="H482" i="83"/>
  <c r="G482" i="83"/>
  <c r="D494" i="83"/>
  <c r="E482" i="83"/>
  <c r="F482" i="83"/>
  <c r="F480" i="83"/>
  <c r="D504" i="83"/>
  <c r="H473" i="83"/>
  <c r="F473" i="83"/>
  <c r="H481" i="83"/>
  <c r="F481" i="83"/>
  <c r="E477" i="83"/>
  <c r="D503" i="83"/>
  <c r="G474" i="83"/>
  <c r="E480" i="83"/>
  <c r="E478" i="83"/>
  <c r="G476" i="83"/>
  <c r="L167" i="83"/>
  <c r="N167" i="83" s="1"/>
  <c r="N163" i="83"/>
  <c r="H487" i="83" s="1"/>
  <c r="E475" i="83"/>
  <c r="G478" i="83"/>
  <c r="D495" i="83"/>
  <c r="F483" i="83"/>
  <c r="E483" i="83"/>
  <c r="G483" i="83"/>
  <c r="H483" i="83"/>
  <c r="F485" i="83"/>
  <c r="E485" i="83"/>
  <c r="G485" i="83"/>
  <c r="D497" i="83"/>
  <c r="H485" i="83"/>
  <c r="H484" i="83"/>
  <c r="D496" i="83"/>
  <c r="G484" i="83"/>
  <c r="E484" i="83"/>
  <c r="F484" i="83"/>
  <c r="F493" i="83"/>
  <c r="E493" i="83"/>
  <c r="G493" i="83"/>
  <c r="D505" i="83"/>
  <c r="H493" i="83"/>
  <c r="F489" i="83"/>
  <c r="E489" i="83"/>
  <c r="G489" i="83"/>
  <c r="H489" i="83"/>
  <c r="D501" i="83"/>
  <c r="F477" i="83"/>
  <c r="G479" i="83"/>
  <c r="H474" i="83"/>
  <c r="H505" i="83" l="1"/>
  <c r="F505" i="83"/>
  <c r="E505" i="83"/>
  <c r="G505" i="83"/>
  <c r="G491" i="83"/>
  <c r="E504" i="83"/>
  <c r="G504" i="83"/>
  <c r="F504" i="83"/>
  <c r="H504" i="83"/>
  <c r="G502" i="83"/>
  <c r="E502" i="83"/>
  <c r="H502" i="83"/>
  <c r="F502" i="83"/>
  <c r="E488" i="83"/>
  <c r="G486" i="83"/>
  <c r="G487" i="83"/>
  <c r="E491" i="83"/>
  <c r="F492" i="83"/>
  <c r="H492" i="83"/>
  <c r="G494" i="83"/>
  <c r="E494" i="83"/>
  <c r="H494" i="83"/>
  <c r="F494" i="83"/>
  <c r="G490" i="83"/>
  <c r="G488" i="83"/>
  <c r="F486" i="83"/>
  <c r="H486" i="83"/>
  <c r="E487" i="83"/>
  <c r="H501" i="83"/>
  <c r="E501" i="83"/>
  <c r="F501" i="83"/>
  <c r="G501" i="83"/>
  <c r="H497" i="83"/>
  <c r="E497" i="83"/>
  <c r="F497" i="83"/>
  <c r="G497" i="83"/>
  <c r="F495" i="83"/>
  <c r="E495" i="83"/>
  <c r="H495" i="83"/>
  <c r="G495" i="83"/>
  <c r="F491" i="83"/>
  <c r="E492" i="83"/>
  <c r="F490" i="83"/>
  <c r="H490" i="83"/>
  <c r="E500" i="83"/>
  <c r="G500" i="83"/>
  <c r="F500" i="83"/>
  <c r="H500" i="83"/>
  <c r="E486" i="83"/>
  <c r="F487" i="83"/>
  <c r="E496" i="83"/>
  <c r="G496" i="83"/>
  <c r="F496" i="83"/>
  <c r="H496" i="83"/>
  <c r="H491" i="83"/>
  <c r="F503" i="83"/>
  <c r="G503" i="83"/>
  <c r="E503" i="83"/>
  <c r="H503" i="83"/>
  <c r="G492" i="83"/>
  <c r="E490" i="83"/>
  <c r="F488" i="83"/>
  <c r="H488" i="83"/>
  <c r="G498" i="83"/>
  <c r="E498" i="83"/>
  <c r="H498" i="83"/>
  <c r="F498" i="83"/>
  <c r="G499" i="83"/>
  <c r="F499" i="83"/>
  <c r="E499" i="83"/>
  <c r="H499" i="83"/>
  <c r="N13" i="82" l="1"/>
  <c r="K13" i="82"/>
  <c r="J13" i="82"/>
  <c r="I13" i="82"/>
  <c r="H13" i="82"/>
  <c r="D13" i="82"/>
  <c r="N12" i="82"/>
  <c r="K12" i="82"/>
  <c r="J12" i="82"/>
  <c r="I12" i="82"/>
  <c r="H12" i="82"/>
  <c r="D12" i="82"/>
  <c r="N11" i="82"/>
  <c r="K11" i="82"/>
  <c r="J11" i="82"/>
  <c r="I11" i="82"/>
  <c r="H11" i="82"/>
  <c r="D11" i="82"/>
  <c r="N10" i="82"/>
  <c r="K10" i="82"/>
  <c r="J10" i="82"/>
  <c r="I10" i="82"/>
  <c r="H10" i="82"/>
  <c r="D10" i="82"/>
  <c r="N9" i="82"/>
  <c r="K9" i="82"/>
  <c r="J9" i="82"/>
  <c r="I9" i="82"/>
  <c r="H9" i="82"/>
  <c r="D9" i="82"/>
  <c r="N8" i="82"/>
  <c r="K8" i="82"/>
  <c r="J8" i="82"/>
  <c r="I8" i="82"/>
  <c r="H8" i="82"/>
  <c r="D8" i="82"/>
  <c r="N7" i="82"/>
  <c r="K7" i="82"/>
  <c r="J7" i="82"/>
  <c r="I7" i="82"/>
  <c r="H7" i="82"/>
  <c r="D7" i="82"/>
  <c r="N6" i="82"/>
  <c r="K6" i="82"/>
  <c r="J6" i="82"/>
  <c r="I6" i="82"/>
  <c r="H6" i="82"/>
  <c r="D6" i="82"/>
  <c r="N5" i="82"/>
  <c r="K5" i="82"/>
  <c r="J5" i="82"/>
  <c r="I5" i="82"/>
  <c r="H5" i="82"/>
  <c r="D5" i="82"/>
  <c r="N4" i="82"/>
  <c r="K4" i="82"/>
  <c r="J4" i="82"/>
  <c r="I4" i="82"/>
  <c r="H4" i="82"/>
  <c r="D4" i="82"/>
  <c r="N3" i="82"/>
  <c r="K3" i="82"/>
  <c r="J3" i="82"/>
  <c r="I3" i="82"/>
  <c r="H3" i="82"/>
  <c r="D3" i="82"/>
  <c r="N2" i="82"/>
  <c r="K2" i="82"/>
  <c r="J2" i="82"/>
  <c r="I2" i="82"/>
  <c r="H2" i="82"/>
  <c r="D2" i="82"/>
  <c r="B48" i="81"/>
  <c r="B49" i="81" s="1"/>
  <c r="C47" i="81"/>
  <c r="C48" i="81" s="1"/>
  <c r="C49" i="81" s="1"/>
  <c r="D46" i="81"/>
  <c r="D47" i="81" s="1"/>
  <c r="D48" i="81" s="1"/>
  <c r="D49" i="81" s="1"/>
  <c r="G44" i="81"/>
  <c r="G45" i="81" s="1"/>
  <c r="G46" i="81" s="1"/>
  <c r="G47" i="81" s="1"/>
  <c r="G48" i="81" s="1"/>
  <c r="G49" i="81" s="1"/>
  <c r="B44" i="81"/>
  <c r="B45" i="81" s="1"/>
  <c r="B46" i="81" s="1"/>
  <c r="B47" i="81" s="1"/>
  <c r="N43" i="81"/>
  <c r="N44" i="81" s="1"/>
  <c r="N45" i="81" s="1"/>
  <c r="N46" i="81" s="1"/>
  <c r="N47" i="81" s="1"/>
  <c r="N48" i="81" s="1"/>
  <c r="N49" i="81" s="1"/>
  <c r="M43" i="81"/>
  <c r="M44" i="81" s="1"/>
  <c r="M45" i="81" s="1"/>
  <c r="M46" i="81" s="1"/>
  <c r="M47" i="81" s="1"/>
  <c r="M48" i="81" s="1"/>
  <c r="M49" i="81" s="1"/>
  <c r="H43" i="81"/>
  <c r="G43" i="81"/>
  <c r="F43" i="81"/>
  <c r="F44" i="81" s="1"/>
  <c r="D43" i="81"/>
  <c r="D44" i="81" s="1"/>
  <c r="D45" i="81" s="1"/>
  <c r="C43" i="81"/>
  <c r="C44" i="81" s="1"/>
  <c r="C45" i="81" s="1"/>
  <c r="C46" i="81" s="1"/>
  <c r="B43" i="81"/>
  <c r="K42" i="81"/>
  <c r="L42" i="81" s="1"/>
  <c r="I42" i="81"/>
  <c r="J42" i="81" s="1"/>
  <c r="L41" i="81"/>
  <c r="I41" i="81"/>
  <c r="K41" i="81" s="1"/>
  <c r="I40" i="81"/>
  <c r="P39" i="81"/>
  <c r="K39" i="81"/>
  <c r="L39" i="81" s="1"/>
  <c r="O39" i="81" s="1"/>
  <c r="J39" i="81"/>
  <c r="I39" i="81"/>
  <c r="K38" i="81"/>
  <c r="L38" i="81" s="1"/>
  <c r="I38" i="81"/>
  <c r="J38" i="81" s="1"/>
  <c r="L37" i="81"/>
  <c r="I37" i="81"/>
  <c r="K37" i="81" s="1"/>
  <c r="I36" i="81"/>
  <c r="K35" i="81"/>
  <c r="L35" i="81" s="1"/>
  <c r="O35" i="81" s="1"/>
  <c r="J35" i="81"/>
  <c r="I35" i="81"/>
  <c r="K34" i="81"/>
  <c r="L34" i="81" s="1"/>
  <c r="I34" i="81"/>
  <c r="J34" i="81" s="1"/>
  <c r="I33" i="81"/>
  <c r="K33" i="81" s="1"/>
  <c r="L33" i="81" s="1"/>
  <c r="A33" i="8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A45" i="81" s="1"/>
  <c r="A46" i="81" s="1"/>
  <c r="A47" i="81" s="1"/>
  <c r="A48" i="81" s="1"/>
  <c r="A49" i="81" s="1"/>
  <c r="I32" i="81"/>
  <c r="I31" i="81"/>
  <c r="I30" i="81"/>
  <c r="I29" i="81"/>
  <c r="I28" i="81"/>
  <c r="I27" i="81"/>
  <c r="I26" i="81"/>
  <c r="I25" i="81"/>
  <c r="I24" i="81"/>
  <c r="K24" i="81" s="1"/>
  <c r="L24" i="81" s="1"/>
  <c r="P24" i="81" s="1"/>
  <c r="I23" i="81"/>
  <c r="K23" i="81" s="1"/>
  <c r="L23" i="81" s="1"/>
  <c r="P23" i="81" s="1"/>
  <c r="I22" i="81"/>
  <c r="K22" i="81" s="1"/>
  <c r="L22" i="81" s="1"/>
  <c r="P22" i="81" s="1"/>
  <c r="I21" i="81"/>
  <c r="K21" i="81" s="1"/>
  <c r="L21" i="81" s="1"/>
  <c r="P21" i="81" s="1"/>
  <c r="I20" i="81"/>
  <c r="K20" i="81" s="1"/>
  <c r="L20" i="81" s="1"/>
  <c r="P20" i="81" s="1"/>
  <c r="I19" i="81"/>
  <c r="K19" i="81" s="1"/>
  <c r="L19" i="81" s="1"/>
  <c r="P19" i="81" s="1"/>
  <c r="I18" i="81"/>
  <c r="K18" i="81" s="1"/>
  <c r="L18" i="81" s="1"/>
  <c r="P18" i="81" s="1"/>
  <c r="I17" i="81"/>
  <c r="K17" i="81" s="1"/>
  <c r="L17" i="81" s="1"/>
  <c r="P17" i="81" s="1"/>
  <c r="I16" i="81"/>
  <c r="K16" i="81" s="1"/>
  <c r="L16" i="81" s="1"/>
  <c r="P16" i="81" s="1"/>
  <c r="I15" i="81"/>
  <c r="K15" i="81" s="1"/>
  <c r="L15" i="81" s="1"/>
  <c r="J14" i="81"/>
  <c r="I14" i="81"/>
  <c r="K14" i="81" s="1"/>
  <c r="L14" i="81" s="1"/>
  <c r="I13" i="81"/>
  <c r="K13" i="81" s="1"/>
  <c r="L13" i="81" s="1"/>
  <c r="I12" i="81"/>
  <c r="K12" i="81" s="1"/>
  <c r="D12" i="81"/>
  <c r="C12" i="81"/>
  <c r="B12" i="81"/>
  <c r="V49" i="80"/>
  <c r="W49" i="80" s="1"/>
  <c r="W48" i="80"/>
  <c r="W47" i="80"/>
  <c r="W46" i="80"/>
  <c r="W45" i="80"/>
  <c r="W44" i="80"/>
  <c r="W43" i="80"/>
  <c r="W42" i="80"/>
  <c r="N42" i="80"/>
  <c r="M42" i="80"/>
  <c r="L42" i="80"/>
  <c r="J42" i="80"/>
  <c r="I42" i="80"/>
  <c r="H42" i="80"/>
  <c r="G42" i="80"/>
  <c r="F42" i="80"/>
  <c r="D42" i="80"/>
  <c r="C42" i="80"/>
  <c r="W41" i="80"/>
  <c r="N41" i="80"/>
  <c r="L41" i="80"/>
  <c r="M41" i="80" s="1"/>
  <c r="J41" i="80"/>
  <c r="I41" i="80"/>
  <c r="H41" i="80"/>
  <c r="G41" i="80"/>
  <c r="F41" i="80"/>
  <c r="D41" i="80"/>
  <c r="C41" i="80"/>
  <c r="W40" i="80"/>
  <c r="N40" i="80"/>
  <c r="M40" i="80"/>
  <c r="L40" i="80"/>
  <c r="J40" i="80"/>
  <c r="I40" i="80"/>
  <c r="H40" i="80"/>
  <c r="G40" i="80"/>
  <c r="F40" i="80"/>
  <c r="D40" i="80"/>
  <c r="C40" i="80"/>
  <c r="W39" i="80"/>
  <c r="N39" i="80"/>
  <c r="L39" i="80"/>
  <c r="M39" i="80" s="1"/>
  <c r="J39" i="80"/>
  <c r="I39" i="80"/>
  <c r="H39" i="80"/>
  <c r="G39" i="80"/>
  <c r="F39" i="80"/>
  <c r="D39" i="80"/>
  <c r="C39" i="80"/>
  <c r="W38" i="80"/>
  <c r="N38" i="80"/>
  <c r="M38" i="80"/>
  <c r="L38" i="80"/>
  <c r="J38" i="80"/>
  <c r="I38" i="80"/>
  <c r="H38" i="80"/>
  <c r="G38" i="80"/>
  <c r="F38" i="80"/>
  <c r="D38" i="80"/>
  <c r="C38" i="80"/>
  <c r="W37" i="80"/>
  <c r="N37" i="80"/>
  <c r="L37" i="80"/>
  <c r="M37" i="80" s="1"/>
  <c r="J37" i="80"/>
  <c r="I37" i="80"/>
  <c r="H37" i="80"/>
  <c r="G37" i="80"/>
  <c r="F37" i="80"/>
  <c r="D37" i="80"/>
  <c r="C37" i="80"/>
  <c r="W36" i="80"/>
  <c r="N36" i="80"/>
  <c r="M36" i="80"/>
  <c r="L36" i="80"/>
  <c r="J36" i="80"/>
  <c r="I36" i="80"/>
  <c r="H36" i="80"/>
  <c r="G36" i="80"/>
  <c r="F36" i="80"/>
  <c r="D36" i="80"/>
  <c r="C36" i="80"/>
  <c r="W35" i="80"/>
  <c r="N35" i="80"/>
  <c r="M35" i="80"/>
  <c r="L35" i="80"/>
  <c r="J35" i="80"/>
  <c r="I35" i="80"/>
  <c r="H35" i="80"/>
  <c r="G35" i="80"/>
  <c r="F35" i="80"/>
  <c r="D35" i="80"/>
  <c r="C35" i="80"/>
  <c r="W34" i="80"/>
  <c r="N34" i="80"/>
  <c r="M34" i="80"/>
  <c r="L34" i="80"/>
  <c r="J34" i="80"/>
  <c r="I34" i="80"/>
  <c r="H34" i="80"/>
  <c r="G34" i="80"/>
  <c r="F34" i="80"/>
  <c r="D34" i="80"/>
  <c r="C34" i="80"/>
  <c r="W33" i="80"/>
  <c r="N33" i="80"/>
  <c r="L33" i="80"/>
  <c r="M33" i="80" s="1"/>
  <c r="J33" i="80"/>
  <c r="I33" i="80"/>
  <c r="H33" i="80"/>
  <c r="G33" i="80"/>
  <c r="F33" i="80"/>
  <c r="D33" i="80"/>
  <c r="C33" i="80"/>
  <c r="A33" i="80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W32" i="80"/>
  <c r="N32" i="80"/>
  <c r="M32" i="80"/>
  <c r="L32" i="80"/>
  <c r="J32" i="80"/>
  <c r="I32" i="80"/>
  <c r="H32" i="80"/>
  <c r="G32" i="80"/>
  <c r="F32" i="80"/>
  <c r="D32" i="80"/>
  <c r="C32" i="80"/>
  <c r="W31" i="80"/>
  <c r="N31" i="80"/>
  <c r="M31" i="80"/>
  <c r="L31" i="80"/>
  <c r="J31" i="80"/>
  <c r="I31" i="80"/>
  <c r="H31" i="80"/>
  <c r="G31" i="80"/>
  <c r="F31" i="80"/>
  <c r="D31" i="80"/>
  <c r="C31" i="80"/>
  <c r="W30" i="80"/>
  <c r="N30" i="80"/>
  <c r="M30" i="80"/>
  <c r="L30" i="80"/>
  <c r="J30" i="80"/>
  <c r="I30" i="80"/>
  <c r="H30" i="80"/>
  <c r="G30" i="80"/>
  <c r="F30" i="80"/>
  <c r="D30" i="80"/>
  <c r="C30" i="80"/>
  <c r="W29" i="80"/>
  <c r="N29" i="80"/>
  <c r="M29" i="80"/>
  <c r="L29" i="80"/>
  <c r="J29" i="80"/>
  <c r="I29" i="80"/>
  <c r="H29" i="80"/>
  <c r="G29" i="80"/>
  <c r="F29" i="80"/>
  <c r="D29" i="80"/>
  <c r="C29" i="80"/>
  <c r="W28" i="80"/>
  <c r="N28" i="80"/>
  <c r="L28" i="80"/>
  <c r="M28" i="80" s="1"/>
  <c r="J28" i="80"/>
  <c r="I28" i="80"/>
  <c r="H28" i="80"/>
  <c r="G28" i="80"/>
  <c r="F28" i="80"/>
  <c r="D28" i="80"/>
  <c r="C28" i="80"/>
  <c r="W27" i="80"/>
  <c r="N27" i="80"/>
  <c r="M27" i="80"/>
  <c r="L27" i="80"/>
  <c r="J27" i="80"/>
  <c r="I27" i="80"/>
  <c r="H27" i="80"/>
  <c r="G27" i="80"/>
  <c r="F27" i="80"/>
  <c r="D27" i="80"/>
  <c r="C27" i="80"/>
  <c r="W26" i="80"/>
  <c r="N26" i="80"/>
  <c r="L26" i="80"/>
  <c r="M26" i="80" s="1"/>
  <c r="J26" i="80"/>
  <c r="I26" i="80"/>
  <c r="H26" i="80"/>
  <c r="G26" i="80"/>
  <c r="F26" i="80"/>
  <c r="D26" i="80"/>
  <c r="C26" i="80"/>
  <c r="W25" i="80"/>
  <c r="N25" i="80"/>
  <c r="M25" i="80"/>
  <c r="L25" i="80"/>
  <c r="J25" i="80"/>
  <c r="I25" i="80"/>
  <c r="H25" i="80"/>
  <c r="G25" i="80"/>
  <c r="F25" i="80"/>
  <c r="D25" i="80"/>
  <c r="C25" i="80"/>
  <c r="W24" i="80"/>
  <c r="N24" i="80"/>
  <c r="L24" i="80"/>
  <c r="M24" i="80" s="1"/>
  <c r="J24" i="80"/>
  <c r="I24" i="80"/>
  <c r="H24" i="80"/>
  <c r="G24" i="80"/>
  <c r="F24" i="80"/>
  <c r="D24" i="80"/>
  <c r="C24" i="80"/>
  <c r="W23" i="80"/>
  <c r="N23" i="80"/>
  <c r="M23" i="80"/>
  <c r="L23" i="80"/>
  <c r="J23" i="80"/>
  <c r="I23" i="80"/>
  <c r="H23" i="80"/>
  <c r="G23" i="80"/>
  <c r="F23" i="80"/>
  <c r="D23" i="80"/>
  <c r="C23" i="80"/>
  <c r="W22" i="80"/>
  <c r="N22" i="80"/>
  <c r="M22" i="80"/>
  <c r="L22" i="80"/>
  <c r="J22" i="80"/>
  <c r="I22" i="80"/>
  <c r="H22" i="80"/>
  <c r="G22" i="80"/>
  <c r="F22" i="80"/>
  <c r="D22" i="80"/>
  <c r="C22" i="80"/>
  <c r="W21" i="80"/>
  <c r="N21" i="80"/>
  <c r="M21" i="80"/>
  <c r="L21" i="80"/>
  <c r="J21" i="80"/>
  <c r="I21" i="80"/>
  <c r="H21" i="80"/>
  <c r="G21" i="80"/>
  <c r="F21" i="80"/>
  <c r="D21" i="80"/>
  <c r="C21" i="80"/>
  <c r="W20" i="80"/>
  <c r="N20" i="80"/>
  <c r="M20" i="80"/>
  <c r="L20" i="80"/>
  <c r="J20" i="80"/>
  <c r="I20" i="80"/>
  <c r="H20" i="80"/>
  <c r="G20" i="80"/>
  <c r="F20" i="80"/>
  <c r="D20" i="80"/>
  <c r="C20" i="80"/>
  <c r="W19" i="80"/>
  <c r="N19" i="80"/>
  <c r="L19" i="80"/>
  <c r="M19" i="80" s="1"/>
  <c r="J19" i="80"/>
  <c r="I19" i="80"/>
  <c r="H19" i="80"/>
  <c r="G19" i="80"/>
  <c r="F19" i="80"/>
  <c r="D19" i="80"/>
  <c r="C19" i="80"/>
  <c r="W18" i="80"/>
  <c r="N18" i="80"/>
  <c r="L18" i="80"/>
  <c r="M18" i="80" s="1"/>
  <c r="J18" i="80"/>
  <c r="I18" i="80"/>
  <c r="H18" i="80"/>
  <c r="G18" i="80"/>
  <c r="F18" i="80"/>
  <c r="D18" i="80"/>
  <c r="C18" i="80"/>
  <c r="N17" i="80"/>
  <c r="L17" i="80"/>
  <c r="M17" i="80" s="1"/>
  <c r="J17" i="80"/>
  <c r="I17" i="80"/>
  <c r="H17" i="80"/>
  <c r="G17" i="80"/>
  <c r="F17" i="80"/>
  <c r="D17" i="80"/>
  <c r="C17" i="80"/>
  <c r="N16" i="80"/>
  <c r="M16" i="80"/>
  <c r="L16" i="80"/>
  <c r="J16" i="80"/>
  <c r="I16" i="80"/>
  <c r="H16" i="80"/>
  <c r="G16" i="80"/>
  <c r="F16" i="80"/>
  <c r="D16" i="80"/>
  <c r="C16" i="80"/>
  <c r="N15" i="80"/>
  <c r="L15" i="80"/>
  <c r="M15" i="80" s="1"/>
  <c r="J15" i="80"/>
  <c r="I15" i="80"/>
  <c r="H15" i="80"/>
  <c r="G15" i="80"/>
  <c r="F15" i="80"/>
  <c r="D15" i="80"/>
  <c r="C15" i="80"/>
  <c r="N14" i="80"/>
  <c r="M14" i="80"/>
  <c r="L14" i="80"/>
  <c r="J14" i="80"/>
  <c r="I14" i="80"/>
  <c r="H14" i="80"/>
  <c r="G14" i="80"/>
  <c r="F14" i="80"/>
  <c r="D14" i="80"/>
  <c r="C14" i="80"/>
  <c r="N13" i="80"/>
  <c r="L13" i="80"/>
  <c r="M13" i="80" s="1"/>
  <c r="J13" i="80"/>
  <c r="I13" i="80"/>
  <c r="H13" i="80"/>
  <c r="G13" i="80"/>
  <c r="F13" i="80"/>
  <c r="D13" i="80"/>
  <c r="C13" i="80"/>
  <c r="H12" i="80"/>
  <c r="D12" i="80"/>
  <c r="H3" i="80"/>
  <c r="H4" i="80" s="1"/>
  <c r="H5" i="80" s="1"/>
  <c r="H6" i="80" s="1"/>
  <c r="H7" i="80" s="1"/>
  <c r="H8" i="80" s="1"/>
  <c r="H9" i="80" s="1"/>
  <c r="H10" i="80" s="1"/>
  <c r="H11" i="80" s="1"/>
  <c r="D3" i="80"/>
  <c r="D4" i="80" s="1"/>
  <c r="D5" i="80" s="1"/>
  <c r="D6" i="80" s="1"/>
  <c r="D7" i="80" s="1"/>
  <c r="D8" i="80" s="1"/>
  <c r="D9" i="80" s="1"/>
  <c r="D10" i="80" s="1"/>
  <c r="D11" i="80" s="1"/>
  <c r="BE123" i="78"/>
  <c r="BD123" i="78"/>
  <c r="BD124" i="78" s="1"/>
  <c r="BC123" i="78"/>
  <c r="BC124" i="78" s="1"/>
  <c r="BC125" i="78" s="1"/>
  <c r="BC126" i="78" s="1"/>
  <c r="BC127" i="78" s="1"/>
  <c r="BA123" i="78"/>
  <c r="BA124" i="78" s="1"/>
  <c r="BA125" i="78" s="1"/>
  <c r="BA126" i="78" s="1"/>
  <c r="BA127" i="78" s="1"/>
  <c r="BA128" i="78" s="1"/>
  <c r="AY123" i="78"/>
  <c r="AY124" i="78" s="1"/>
  <c r="AY125" i="78" s="1"/>
  <c r="AY126" i="78" s="1"/>
  <c r="AY127" i="78" s="1"/>
  <c r="AW123" i="78"/>
  <c r="AW124" i="78" s="1"/>
  <c r="AW125" i="78" s="1"/>
  <c r="AW126" i="78" s="1"/>
  <c r="AW127" i="78" s="1"/>
  <c r="AW128" i="78" s="1"/>
  <c r="AW129" i="78" s="1"/>
  <c r="AU123" i="78"/>
  <c r="AU124" i="78" s="1"/>
  <c r="AU125" i="78" s="1"/>
  <c r="AU126" i="78" s="1"/>
  <c r="AU127" i="78" s="1"/>
  <c r="AU128" i="78" s="1"/>
  <c r="AU129" i="78" s="1"/>
  <c r="AS123" i="78"/>
  <c r="AS124" i="78" s="1"/>
  <c r="AS125" i="78" s="1"/>
  <c r="AS126" i="78" s="1"/>
  <c r="AS127" i="78" s="1"/>
  <c r="AS128" i="78" s="1"/>
  <c r="AQ123" i="78"/>
  <c r="AQ124" i="78" s="1"/>
  <c r="AQ125" i="78" s="1"/>
  <c r="AQ126" i="78" s="1"/>
  <c r="AQ127" i="78" s="1"/>
  <c r="AO123" i="78"/>
  <c r="AO124" i="78" s="1"/>
  <c r="AO125" i="78" s="1"/>
  <c r="AO126" i="78" s="1"/>
  <c r="AO127" i="78" s="1"/>
  <c r="AO128" i="78" s="1"/>
  <c r="AO129" i="78" s="1"/>
  <c r="AM123" i="78"/>
  <c r="AM124" i="78" s="1"/>
  <c r="AM125" i="78" s="1"/>
  <c r="AM126" i="78" s="1"/>
  <c r="AM127" i="78" s="1"/>
  <c r="AM128" i="78" s="1"/>
  <c r="AK123" i="78"/>
  <c r="AK124" i="78" s="1"/>
  <c r="AK125" i="78" s="1"/>
  <c r="AK126" i="78" s="1"/>
  <c r="AK127" i="78" s="1"/>
  <c r="AJ123" i="78"/>
  <c r="AJ124" i="78" s="1"/>
  <c r="AJ125" i="78" s="1"/>
  <c r="AJ126" i="78" s="1"/>
  <c r="AJ127" i="78" s="1"/>
  <c r="AJ128" i="78" s="1"/>
  <c r="AJ129" i="78" s="1"/>
  <c r="AH123" i="78"/>
  <c r="AH124" i="78" s="1"/>
  <c r="AH125" i="78" s="1"/>
  <c r="AH126" i="78" s="1"/>
  <c r="AH127" i="78" s="1"/>
  <c r="AH128" i="78" s="1"/>
  <c r="AH129" i="78" s="1"/>
  <c r="AF123" i="78"/>
  <c r="AF124" i="78" s="1"/>
  <c r="AF125" i="78" s="1"/>
  <c r="AF126" i="78" s="1"/>
  <c r="AF127" i="78" s="1"/>
  <c r="AF128" i="78" s="1"/>
  <c r="AF129" i="78" s="1"/>
  <c r="AD123" i="78"/>
  <c r="AD124" i="78" s="1"/>
  <c r="AD125" i="78" s="1"/>
  <c r="AD126" i="78" s="1"/>
  <c r="AD127" i="78" s="1"/>
  <c r="AD128" i="78" s="1"/>
  <c r="AD129" i="78" s="1"/>
  <c r="AB123" i="78"/>
  <c r="AB124" i="78" s="1"/>
  <c r="AB125" i="78" s="1"/>
  <c r="AB126" i="78" s="1"/>
  <c r="AB127" i="78" s="1"/>
  <c r="AB128" i="78" s="1"/>
  <c r="AB129" i="78" s="1"/>
  <c r="Z123" i="78"/>
  <c r="Z124" i="78" s="1"/>
  <c r="Z125" i="78" s="1"/>
  <c r="Z126" i="78" s="1"/>
  <c r="Z127" i="78" s="1"/>
  <c r="Z128" i="78" s="1"/>
  <c r="Z129" i="78" s="1"/>
  <c r="X123" i="78"/>
  <c r="X124" i="78" s="1"/>
  <c r="X125" i="78" s="1"/>
  <c r="X126" i="78" s="1"/>
  <c r="X127" i="78" s="1"/>
  <c r="X128" i="78" s="1"/>
  <c r="X129" i="78" s="1"/>
  <c r="V123" i="78"/>
  <c r="V124" i="78" s="1"/>
  <c r="V125" i="78" s="1"/>
  <c r="V126" i="78" s="1"/>
  <c r="V127" i="78" s="1"/>
  <c r="V128" i="78" s="1"/>
  <c r="V129" i="78" s="1"/>
  <c r="BE122" i="78"/>
  <c r="BE121" i="78"/>
  <c r="BE120" i="78"/>
  <c r="BE119" i="78"/>
  <c r="BE118" i="78"/>
  <c r="BE117" i="78"/>
  <c r="BE116" i="78"/>
  <c r="BE115" i="78"/>
  <c r="BE114" i="78"/>
  <c r="BE113" i="78"/>
  <c r="BE112" i="78"/>
  <c r="BE111" i="78"/>
  <c r="BE110" i="78"/>
  <c r="BE109" i="78"/>
  <c r="BE108" i="78"/>
  <c r="BE107" i="78"/>
  <c r="BE106" i="78"/>
  <c r="BE105" i="78"/>
  <c r="BE104" i="78"/>
  <c r="BF103" i="78"/>
  <c r="BE103" i="78"/>
  <c r="BF102" i="78"/>
  <c r="BE102" i="78"/>
  <c r="BF101" i="78"/>
  <c r="BE101" i="78"/>
  <c r="BF100" i="78"/>
  <c r="BE100" i="78"/>
  <c r="BF99" i="78"/>
  <c r="BE99" i="78"/>
  <c r="BF98" i="78"/>
  <c r="BE98" i="78"/>
  <c r="BE97" i="78"/>
  <c r="BE96" i="78"/>
  <c r="BE95" i="78"/>
  <c r="BE94" i="78"/>
  <c r="BE93" i="78"/>
  <c r="AY80" i="78"/>
  <c r="AY81" i="78" s="1"/>
  <c r="AY82" i="78" s="1"/>
  <c r="AY83" i="78" s="1"/>
  <c r="AY84" i="78" s="1"/>
  <c r="AY85" i="78" s="1"/>
  <c r="AU80" i="78"/>
  <c r="AU81" i="78" s="1"/>
  <c r="AU82" i="78" s="1"/>
  <c r="AU83" i="78" s="1"/>
  <c r="AU84" i="78" s="1"/>
  <c r="AU85" i="78" s="1"/>
  <c r="AQ80" i="78"/>
  <c r="AQ81" i="78" s="1"/>
  <c r="AQ82" i="78" s="1"/>
  <c r="AQ83" i="78" s="1"/>
  <c r="AQ84" i="78" s="1"/>
  <c r="AQ85" i="78" s="1"/>
  <c r="AM80" i="78"/>
  <c r="AM81" i="78" s="1"/>
  <c r="AM82" i="78" s="1"/>
  <c r="AM83" i="78" s="1"/>
  <c r="AM84" i="78" s="1"/>
  <c r="AM85" i="78" s="1"/>
  <c r="AF80" i="78"/>
  <c r="AF81" i="78" s="1"/>
  <c r="AF82" i="78" s="1"/>
  <c r="AF83" i="78" s="1"/>
  <c r="AF84" i="78" s="1"/>
  <c r="AF85" i="78" s="1"/>
  <c r="AB80" i="78"/>
  <c r="AB81" i="78" s="1"/>
  <c r="AB82" i="78" s="1"/>
  <c r="AB83" i="78" s="1"/>
  <c r="AB84" i="78" s="1"/>
  <c r="AB85" i="78" s="1"/>
  <c r="X80" i="78"/>
  <c r="X81" i="78" s="1"/>
  <c r="X82" i="78" s="1"/>
  <c r="X83" i="78" s="1"/>
  <c r="X84" i="78" s="1"/>
  <c r="X85" i="78" s="1"/>
  <c r="BA79" i="78"/>
  <c r="BA80" i="78" s="1"/>
  <c r="BA81" i="78" s="1"/>
  <c r="BA82" i="78" s="1"/>
  <c r="BA83" i="78" s="1"/>
  <c r="BA84" i="78" s="1"/>
  <c r="BA85" i="78" s="1"/>
  <c r="AY79" i="78"/>
  <c r="AW79" i="78"/>
  <c r="AW80" i="78" s="1"/>
  <c r="AW81" i="78" s="1"/>
  <c r="AW82" i="78" s="1"/>
  <c r="AW83" i="78" s="1"/>
  <c r="AW84" i="78" s="1"/>
  <c r="AW85" i="78" s="1"/>
  <c r="AU79" i="78"/>
  <c r="AS79" i="78"/>
  <c r="AS80" i="78" s="1"/>
  <c r="AS81" i="78" s="1"/>
  <c r="AS82" i="78" s="1"/>
  <c r="AS83" i="78" s="1"/>
  <c r="AS84" i="78" s="1"/>
  <c r="AS85" i="78" s="1"/>
  <c r="AQ79" i="78"/>
  <c r="AO79" i="78"/>
  <c r="AO80" i="78" s="1"/>
  <c r="AO81" i="78" s="1"/>
  <c r="AO82" i="78" s="1"/>
  <c r="AO83" i="78" s="1"/>
  <c r="AO84" i="78" s="1"/>
  <c r="AO85" i="78" s="1"/>
  <c r="AM79" i="78"/>
  <c r="AK79" i="78"/>
  <c r="AK80" i="78" s="1"/>
  <c r="AK81" i="78" s="1"/>
  <c r="AK82" i="78" s="1"/>
  <c r="AK83" i="78" s="1"/>
  <c r="AK84" i="78" s="1"/>
  <c r="AK85" i="78" s="1"/>
  <c r="AF79" i="78"/>
  <c r="AD79" i="78"/>
  <c r="AD80" i="78" s="1"/>
  <c r="AD81" i="78" s="1"/>
  <c r="AD82" i="78" s="1"/>
  <c r="AD83" i="78" s="1"/>
  <c r="AD84" i="78" s="1"/>
  <c r="AD85" i="78" s="1"/>
  <c r="AB79" i="78"/>
  <c r="Z79" i="78"/>
  <c r="Z80" i="78" s="1"/>
  <c r="Z81" i="78" s="1"/>
  <c r="Z82" i="78" s="1"/>
  <c r="Z83" i="78" s="1"/>
  <c r="Z84" i="78" s="1"/>
  <c r="Z85" i="78" s="1"/>
  <c r="X79" i="78"/>
  <c r="V79" i="78"/>
  <c r="V80" i="78" s="1"/>
  <c r="V81" i="78" s="1"/>
  <c r="V82" i="78" s="1"/>
  <c r="V83" i="78" s="1"/>
  <c r="V84" i="78" s="1"/>
  <c r="V85" i="78" s="1"/>
  <c r="BC78" i="78"/>
  <c r="BC79" i="78" s="1"/>
  <c r="BC80" i="78" s="1"/>
  <c r="BC81" i="78" s="1"/>
  <c r="BC82" i="78" s="1"/>
  <c r="BC83" i="78" s="1"/>
  <c r="BC84" i="78" s="1"/>
  <c r="BC85" i="78" s="1"/>
  <c r="AJ78" i="78"/>
  <c r="AJ79" i="78" s="1"/>
  <c r="AJ80" i="78" s="1"/>
  <c r="AJ81" i="78" s="1"/>
  <c r="AJ82" i="78" s="1"/>
  <c r="AJ83" i="78" s="1"/>
  <c r="AJ84" i="78" s="1"/>
  <c r="AJ85" i="78" s="1"/>
  <c r="AH78" i="78"/>
  <c r="AH79" i="78" s="1"/>
  <c r="AH80" i="78" s="1"/>
  <c r="AH81" i="78" s="1"/>
  <c r="AH82" i="78" s="1"/>
  <c r="AH83" i="78" s="1"/>
  <c r="AH84" i="78" s="1"/>
  <c r="AH85" i="78" s="1"/>
  <c r="BC77" i="78"/>
  <c r="BD77" i="78" s="1"/>
  <c r="BE77" i="78" s="1"/>
  <c r="AJ77" i="78"/>
  <c r="AH77" i="78"/>
  <c r="BC76" i="78"/>
  <c r="BD76" i="78" s="1"/>
  <c r="AJ76" i="78"/>
  <c r="AH76" i="78"/>
  <c r="BC75" i="78"/>
  <c r="BD75" i="78" s="1"/>
  <c r="BE75" i="78" s="1"/>
  <c r="AJ75" i="78"/>
  <c r="AH75" i="78"/>
  <c r="BO74" i="78"/>
  <c r="BO73" i="78" s="1"/>
  <c r="BO72" i="78" s="1"/>
  <c r="BO71" i="78" s="1"/>
  <c r="BO70" i="78" s="1"/>
  <c r="BO69" i="78" s="1"/>
  <c r="BO68" i="78" s="1"/>
  <c r="BO67" i="78" s="1"/>
  <c r="BO66" i="78" s="1"/>
  <c r="BO65" i="78" s="1"/>
  <c r="BD74" i="78"/>
  <c r="BC74" i="78"/>
  <c r="AJ74" i="78"/>
  <c r="AH74" i="78"/>
  <c r="BC73" i="78"/>
  <c r="BD73" i="78" s="1"/>
  <c r="BE73" i="78" s="1"/>
  <c r="AJ73" i="78"/>
  <c r="AH73" i="78"/>
  <c r="BD72" i="78"/>
  <c r="BC72" i="78"/>
  <c r="AJ72" i="78"/>
  <c r="AH72" i="78"/>
  <c r="BC71" i="78"/>
  <c r="BD71" i="78" s="1"/>
  <c r="BE71" i="78" s="1"/>
  <c r="AJ71" i="78"/>
  <c r="AH71" i="78"/>
  <c r="BD70" i="78"/>
  <c r="BC70" i="78"/>
  <c r="AJ70" i="78"/>
  <c r="AH70" i="78"/>
  <c r="BC69" i="78"/>
  <c r="BD69" i="78" s="1"/>
  <c r="BE69" i="78" s="1"/>
  <c r="AJ69" i="78"/>
  <c r="AH69" i="78"/>
  <c r="BD68" i="78"/>
  <c r="BC68" i="78"/>
  <c r="AJ68" i="78"/>
  <c r="AH68" i="78"/>
  <c r="BC67" i="78"/>
  <c r="BD67" i="78" s="1"/>
  <c r="BE67" i="78" s="1"/>
  <c r="AJ67" i="78"/>
  <c r="AH67" i="78"/>
  <c r="BD66" i="78"/>
  <c r="BE66" i="78" s="1"/>
  <c r="BC66" i="78"/>
  <c r="AJ66" i="78"/>
  <c r="AH66" i="78"/>
  <c r="BZ65" i="78"/>
  <c r="BZ66" i="78" s="1"/>
  <c r="BZ67" i="78" s="1"/>
  <c r="BZ68" i="78" s="1"/>
  <c r="BZ69" i="78" s="1"/>
  <c r="BZ70" i="78" s="1"/>
  <c r="BZ71" i="78" s="1"/>
  <c r="BZ72" i="78" s="1"/>
  <c r="BZ73" i="78" s="1"/>
  <c r="BZ74" i="78" s="1"/>
  <c r="BZ75" i="78" s="1"/>
  <c r="BZ76" i="78" s="1"/>
  <c r="BZ77" i="78" s="1"/>
  <c r="BZ78" i="78" s="1"/>
  <c r="BZ79" i="78" s="1"/>
  <c r="BZ86" i="78" s="1"/>
  <c r="BZ87" i="78" s="1"/>
  <c r="BZ88" i="78" s="1"/>
  <c r="BZ89" i="78" s="1"/>
  <c r="BZ90" i="78" s="1"/>
  <c r="BZ91" i="78" s="1"/>
  <c r="BZ92" i="78" s="1"/>
  <c r="BZ93" i="78" s="1"/>
  <c r="BZ94" i="78" s="1"/>
  <c r="BZ95" i="78" s="1"/>
  <c r="BZ96" i="78" s="1"/>
  <c r="BZ97" i="78" s="1"/>
  <c r="BZ98" i="78" s="1"/>
  <c r="BZ99" i="78" s="1"/>
  <c r="BZ100" i="78" s="1"/>
  <c r="BZ101" i="78" s="1"/>
  <c r="BZ102" i="78" s="1"/>
  <c r="BZ103" i="78" s="1"/>
  <c r="BZ104" i="78" s="1"/>
  <c r="BZ105" i="78" s="1"/>
  <c r="BZ106" i="78" s="1"/>
  <c r="BZ107" i="78" s="1"/>
  <c r="BZ108" i="78" s="1"/>
  <c r="BZ109" i="78" s="1"/>
  <c r="BZ110" i="78" s="1"/>
  <c r="BZ111" i="78" s="1"/>
  <c r="BZ112" i="78" s="1"/>
  <c r="BZ113" i="78" s="1"/>
  <c r="BZ114" i="78" s="1"/>
  <c r="BZ115" i="78" s="1"/>
  <c r="BC65" i="78"/>
  <c r="BD65" i="78" s="1"/>
  <c r="BE65" i="78" s="1"/>
  <c r="AJ65" i="78"/>
  <c r="AH65" i="78"/>
  <c r="BD64" i="78"/>
  <c r="BC64" i="78"/>
  <c r="AJ64" i="78"/>
  <c r="AH64" i="78"/>
  <c r="BC63" i="78"/>
  <c r="BD63" i="78" s="1"/>
  <c r="BE63" i="78" s="1"/>
  <c r="AJ63" i="78"/>
  <c r="AH63" i="78"/>
  <c r="BD62" i="78"/>
  <c r="BC62" i="78"/>
  <c r="AJ62" i="78"/>
  <c r="AH62" i="78"/>
  <c r="BC61" i="78"/>
  <c r="BD61" i="78" s="1"/>
  <c r="BE61" i="78" s="1"/>
  <c r="AJ61" i="78"/>
  <c r="AH61" i="78"/>
  <c r="BD60" i="78"/>
  <c r="BC60" i="78"/>
  <c r="AJ60" i="78"/>
  <c r="AH60" i="78"/>
  <c r="BC59" i="78"/>
  <c r="BD59" i="78" s="1"/>
  <c r="BE59" i="78" s="1"/>
  <c r="AJ59" i="78"/>
  <c r="AH59" i="78"/>
  <c r="BD58" i="78"/>
  <c r="BC58" i="78"/>
  <c r="AJ58" i="78"/>
  <c r="AH58" i="78"/>
  <c r="BC57" i="78"/>
  <c r="BD57" i="78" s="1"/>
  <c r="BE57" i="78" s="1"/>
  <c r="AJ57" i="78"/>
  <c r="AH57" i="78"/>
  <c r="BD56" i="78"/>
  <c r="BC56" i="78"/>
  <c r="AJ56" i="78"/>
  <c r="AH56" i="78"/>
  <c r="BC55" i="78"/>
  <c r="BD55" i="78" s="1"/>
  <c r="BE55" i="78" s="1"/>
  <c r="AJ55" i="78"/>
  <c r="AH55" i="78"/>
  <c r="CI54" i="78"/>
  <c r="CH54" i="78"/>
  <c r="CG54" i="78"/>
  <c r="CF54" i="78"/>
  <c r="CE54" i="78"/>
  <c r="CD54" i="78"/>
  <c r="CC54" i="78"/>
  <c r="CB54" i="78"/>
  <c r="CA54" i="78"/>
  <c r="BX54" i="78"/>
  <c r="BW54" i="78"/>
  <c r="BV54" i="78"/>
  <c r="BU54" i="78"/>
  <c r="BT54" i="78"/>
  <c r="BS54" i="78"/>
  <c r="BR54" i="78"/>
  <c r="BQ54" i="78"/>
  <c r="BP54" i="78"/>
  <c r="BD54" i="78"/>
  <c r="BE54" i="78" s="1"/>
  <c r="BC54" i="78"/>
  <c r="AJ54" i="78"/>
  <c r="AH54" i="78"/>
  <c r="CI53" i="78"/>
  <c r="CH53" i="78"/>
  <c r="CG53" i="78"/>
  <c r="CF53" i="78"/>
  <c r="CE53" i="78"/>
  <c r="CD53" i="78"/>
  <c r="CC53" i="78"/>
  <c r="CB53" i="78"/>
  <c r="CA53" i="78"/>
  <c r="BX53" i="78"/>
  <c r="BW53" i="78"/>
  <c r="BV53" i="78"/>
  <c r="BU53" i="78"/>
  <c r="BT53" i="78"/>
  <c r="BS53" i="78"/>
  <c r="BR53" i="78"/>
  <c r="BQ53" i="78"/>
  <c r="BP53" i="78"/>
  <c r="BC53" i="78"/>
  <c r="BD53" i="78" s="1"/>
  <c r="BE53" i="78" s="1"/>
  <c r="AJ53" i="78"/>
  <c r="AH53" i="78"/>
  <c r="CI52" i="78"/>
  <c r="CH52" i="78"/>
  <c r="CG52" i="78"/>
  <c r="CF52" i="78"/>
  <c r="CE52" i="78"/>
  <c r="CD52" i="78"/>
  <c r="CC52" i="78"/>
  <c r="CB52" i="78"/>
  <c r="CA52" i="78"/>
  <c r="BX52" i="78"/>
  <c r="BW52" i="78"/>
  <c r="BV52" i="78"/>
  <c r="BU52" i="78"/>
  <c r="BT52" i="78"/>
  <c r="BS52" i="78"/>
  <c r="BR52" i="78"/>
  <c r="BQ52" i="78"/>
  <c r="BP52" i="78"/>
  <c r="BD52" i="78"/>
  <c r="BE52" i="78" s="1"/>
  <c r="BC52" i="78"/>
  <c r="AJ52" i="78"/>
  <c r="AH52" i="78"/>
  <c r="CI51" i="78"/>
  <c r="CH51" i="78"/>
  <c r="CG51" i="78"/>
  <c r="CF51" i="78"/>
  <c r="CE51" i="78"/>
  <c r="CD51" i="78"/>
  <c r="CC51" i="78"/>
  <c r="CB51" i="78"/>
  <c r="CA51" i="78"/>
  <c r="BX51" i="78"/>
  <c r="BW51" i="78"/>
  <c r="BV51" i="78"/>
  <c r="BU51" i="78"/>
  <c r="BT51" i="78"/>
  <c r="BS51" i="78"/>
  <c r="BR51" i="78"/>
  <c r="BQ51" i="78"/>
  <c r="BP51" i="78"/>
  <c r="BD51" i="78"/>
  <c r="BC51" i="78"/>
  <c r="AJ51" i="78"/>
  <c r="AH51" i="78"/>
  <c r="CI50" i="78"/>
  <c r="CH50" i="78"/>
  <c r="CG50" i="78"/>
  <c r="CF50" i="78"/>
  <c r="CE50" i="78"/>
  <c r="CD50" i="78"/>
  <c r="CC50" i="78"/>
  <c r="CB50" i="78"/>
  <c r="CA50" i="78"/>
  <c r="BX50" i="78"/>
  <c r="BW50" i="78"/>
  <c r="BV50" i="78"/>
  <c r="BU50" i="78"/>
  <c r="BT50" i="78"/>
  <c r="BS50" i="78"/>
  <c r="BR50" i="78"/>
  <c r="BQ50" i="78"/>
  <c r="BP50" i="78"/>
  <c r="BD50" i="78"/>
  <c r="BC50" i="78"/>
  <c r="AJ50" i="78"/>
  <c r="AH50" i="78"/>
  <c r="CI49" i="78"/>
  <c r="CH49" i="78"/>
  <c r="CG49" i="78"/>
  <c r="CF49" i="78"/>
  <c r="CE49" i="78"/>
  <c r="CD49" i="78"/>
  <c r="CC49" i="78"/>
  <c r="CB49" i="78"/>
  <c r="CA49" i="78"/>
  <c r="BX49" i="78"/>
  <c r="BW49" i="78"/>
  <c r="BV49" i="78"/>
  <c r="BU49" i="78"/>
  <c r="BT49" i="78"/>
  <c r="BS49" i="78"/>
  <c r="BR49" i="78"/>
  <c r="BQ49" i="78"/>
  <c r="BP49" i="78"/>
  <c r="BD49" i="78"/>
  <c r="BC49" i="78"/>
  <c r="AJ49" i="78"/>
  <c r="AH49" i="78"/>
  <c r="CI48" i="78"/>
  <c r="CH48" i="78"/>
  <c r="CG48" i="78"/>
  <c r="CF48" i="78"/>
  <c r="CE48" i="78"/>
  <c r="CD48" i="78"/>
  <c r="CC48" i="78"/>
  <c r="CB48" i="78"/>
  <c r="CA48" i="78"/>
  <c r="BX48" i="78"/>
  <c r="BW48" i="78"/>
  <c r="BV48" i="78"/>
  <c r="BU48" i="78"/>
  <c r="BT48" i="78"/>
  <c r="BS48" i="78"/>
  <c r="BR48" i="78"/>
  <c r="BQ48" i="78"/>
  <c r="BP48" i="78"/>
  <c r="BD48" i="78"/>
  <c r="BC48" i="78"/>
  <c r="AJ48" i="78"/>
  <c r="AH48" i="78"/>
  <c r="CI47" i="78"/>
  <c r="CH47" i="78"/>
  <c r="CG47" i="78"/>
  <c r="CF47" i="78"/>
  <c r="CE47" i="78"/>
  <c r="CD47" i="78"/>
  <c r="CC47" i="78"/>
  <c r="CB47" i="78"/>
  <c r="CA47" i="78"/>
  <c r="BX47" i="78"/>
  <c r="BW47" i="78"/>
  <c r="BV47" i="78"/>
  <c r="BU47" i="78"/>
  <c r="BT47" i="78"/>
  <c r="BS47" i="78"/>
  <c r="BR47" i="78"/>
  <c r="BQ47" i="78"/>
  <c r="BP47" i="78"/>
  <c r="CI46" i="78"/>
  <c r="CH46" i="78"/>
  <c r="CG46" i="78"/>
  <c r="CF46" i="78"/>
  <c r="CE46" i="78"/>
  <c r="CD46" i="78"/>
  <c r="CC46" i="78"/>
  <c r="CB46" i="78"/>
  <c r="CA46" i="78"/>
  <c r="BX46" i="78"/>
  <c r="BW46" i="78"/>
  <c r="BV46" i="78"/>
  <c r="BU46" i="78"/>
  <c r="BT46" i="78"/>
  <c r="BS46" i="78"/>
  <c r="BR46" i="78"/>
  <c r="BQ46" i="78"/>
  <c r="BP46" i="78"/>
  <c r="CI45" i="78"/>
  <c r="CH45" i="78"/>
  <c r="CG45" i="78"/>
  <c r="CF45" i="78"/>
  <c r="CE45" i="78"/>
  <c r="CD45" i="78"/>
  <c r="CC45" i="78"/>
  <c r="CB45" i="78"/>
  <c r="CA45" i="78"/>
  <c r="BX45" i="78"/>
  <c r="BW45" i="78"/>
  <c r="BV45" i="78"/>
  <c r="BU45" i="78"/>
  <c r="BT45" i="78"/>
  <c r="BS45" i="78"/>
  <c r="BR45" i="78"/>
  <c r="BQ45" i="78"/>
  <c r="BP45" i="78"/>
  <c r="CI44" i="78"/>
  <c r="CH44" i="78"/>
  <c r="CG44" i="78"/>
  <c r="CF44" i="78"/>
  <c r="CE44" i="78"/>
  <c r="CD44" i="78"/>
  <c r="CC44" i="78"/>
  <c r="CB44" i="78"/>
  <c r="CA44" i="78"/>
  <c r="BX44" i="78"/>
  <c r="BW44" i="78"/>
  <c r="BV44" i="78"/>
  <c r="BU44" i="78"/>
  <c r="BT44" i="78"/>
  <c r="BS44" i="78"/>
  <c r="BR44" i="78"/>
  <c r="BQ44" i="78"/>
  <c r="BP44" i="78"/>
  <c r="CI43" i="78"/>
  <c r="CH43" i="78"/>
  <c r="CG43" i="78"/>
  <c r="CF43" i="78"/>
  <c r="CE43" i="78"/>
  <c r="CD43" i="78"/>
  <c r="CC43" i="78"/>
  <c r="CB43" i="78"/>
  <c r="CA43" i="78"/>
  <c r="BX43" i="78"/>
  <c r="BW43" i="78"/>
  <c r="BV43" i="78"/>
  <c r="BU43" i="78"/>
  <c r="BT43" i="78"/>
  <c r="BS43" i="78"/>
  <c r="BR43" i="78"/>
  <c r="BQ43" i="78"/>
  <c r="BP43" i="78"/>
  <c r="CI42" i="78"/>
  <c r="CH42" i="78"/>
  <c r="CG42" i="78"/>
  <c r="CF42" i="78"/>
  <c r="CE42" i="78"/>
  <c r="CD42" i="78"/>
  <c r="CC42" i="78"/>
  <c r="CB42" i="78"/>
  <c r="CA42" i="78"/>
  <c r="BX42" i="78"/>
  <c r="BW42" i="78"/>
  <c r="BV42" i="78"/>
  <c r="BU42" i="78"/>
  <c r="BT42" i="78"/>
  <c r="BS42" i="78"/>
  <c r="BR42" i="78"/>
  <c r="BQ42" i="78"/>
  <c r="BP42" i="78"/>
  <c r="Q39" i="78"/>
  <c r="S47" i="80" s="1"/>
  <c r="O39" i="78"/>
  <c r="Q47" i="80" s="1"/>
  <c r="M39" i="78"/>
  <c r="O47" i="80" s="1"/>
  <c r="R38" i="78"/>
  <c r="T46" i="80" s="1"/>
  <c r="Q38" i="78"/>
  <c r="S46" i="80" s="1"/>
  <c r="P38" i="78"/>
  <c r="R46" i="80" s="1"/>
  <c r="O38" i="78"/>
  <c r="Q46" i="80" s="1"/>
  <c r="N38" i="78"/>
  <c r="P46" i="80" s="1"/>
  <c r="M38" i="78"/>
  <c r="O46" i="80" s="1"/>
  <c r="L38" i="78"/>
  <c r="K46" i="80" s="1"/>
  <c r="R37" i="78"/>
  <c r="T45" i="80" s="1"/>
  <c r="Q37" i="78"/>
  <c r="S45" i="80" s="1"/>
  <c r="P37" i="78"/>
  <c r="R45" i="80" s="1"/>
  <c r="O37" i="78"/>
  <c r="Q45" i="80" s="1"/>
  <c r="N37" i="78"/>
  <c r="P45" i="80" s="1"/>
  <c r="M37" i="78"/>
  <c r="O45" i="80" s="1"/>
  <c r="L37" i="78"/>
  <c r="K45" i="80" s="1"/>
  <c r="CI36" i="78"/>
  <c r="CH36" i="78"/>
  <c r="CG36" i="78"/>
  <c r="CF36" i="78"/>
  <c r="CE36" i="78"/>
  <c r="CD36" i="78"/>
  <c r="CC36" i="78"/>
  <c r="CB36" i="78"/>
  <c r="CA36" i="78"/>
  <c r="BX36" i="78"/>
  <c r="BW36" i="78"/>
  <c r="BV36" i="78"/>
  <c r="BU36" i="78"/>
  <c r="BT36" i="78"/>
  <c r="BS36" i="78"/>
  <c r="BR36" i="78"/>
  <c r="BQ36" i="78"/>
  <c r="BP36" i="78"/>
  <c r="BE36" i="78"/>
  <c r="BC36" i="78"/>
  <c r="BC37" i="78" s="1"/>
  <c r="BC38" i="78" s="1"/>
  <c r="BC39" i="78" s="1"/>
  <c r="BC40" i="78" s="1"/>
  <c r="BC41" i="78" s="1"/>
  <c r="BC42" i="78" s="1"/>
  <c r="BC43" i="78" s="1"/>
  <c r="BA36" i="78"/>
  <c r="AY36" i="78"/>
  <c r="AW36" i="78"/>
  <c r="AU36" i="78"/>
  <c r="AS36" i="78"/>
  <c r="AQ36" i="78"/>
  <c r="AO36" i="78"/>
  <c r="AM36" i="78"/>
  <c r="AK36" i="78"/>
  <c r="AJ36" i="78"/>
  <c r="AH36" i="78"/>
  <c r="AG36" i="78"/>
  <c r="AF37" i="78" s="1"/>
  <c r="AF36" i="78"/>
  <c r="AD36" i="78"/>
  <c r="AC36" i="78"/>
  <c r="AB37" i="78" s="1"/>
  <c r="AB36" i="78"/>
  <c r="AA36" i="78"/>
  <c r="Z37" i="78" s="1"/>
  <c r="Z36" i="78"/>
  <c r="Y36" i="78"/>
  <c r="X37" i="78" s="1"/>
  <c r="X36" i="78"/>
  <c r="W36" i="78"/>
  <c r="V37" i="78" s="1"/>
  <c r="V36" i="78"/>
  <c r="R36" i="78"/>
  <c r="T44" i="80" s="1"/>
  <c r="Q36" i="78"/>
  <c r="S44" i="80" s="1"/>
  <c r="P36" i="78"/>
  <c r="R44" i="80" s="1"/>
  <c r="O36" i="78"/>
  <c r="Q44" i="80" s="1"/>
  <c r="N36" i="78"/>
  <c r="P44" i="80" s="1"/>
  <c r="M36" i="78"/>
  <c r="O44" i="80" s="1"/>
  <c r="L36" i="78"/>
  <c r="K44" i="80" s="1"/>
  <c r="D36" i="78"/>
  <c r="E44" i="80" s="1"/>
  <c r="CI35" i="78"/>
  <c r="CH35" i="78"/>
  <c r="CG35" i="78"/>
  <c r="CF35" i="78"/>
  <c r="CE35" i="78"/>
  <c r="CD35" i="78"/>
  <c r="CC35" i="78"/>
  <c r="CB35" i="78"/>
  <c r="CA35" i="78"/>
  <c r="BX35" i="78"/>
  <c r="BW35" i="78"/>
  <c r="BV35" i="78"/>
  <c r="BU35" i="78"/>
  <c r="BT35" i="78"/>
  <c r="BS35" i="78"/>
  <c r="BR35" i="78"/>
  <c r="BQ35" i="78"/>
  <c r="BP35" i="78"/>
  <c r="BC35" i="78"/>
  <c r="BB35" i="78"/>
  <c r="BA35" i="78"/>
  <c r="AY35" i="78"/>
  <c r="AW35" i="78"/>
  <c r="AV35" i="78"/>
  <c r="AU35" i="78"/>
  <c r="BE35" i="78" s="1"/>
  <c r="AT35" i="78"/>
  <c r="AS35" i="78"/>
  <c r="AR35" i="78"/>
  <c r="AQ35" i="78"/>
  <c r="AP35" i="78"/>
  <c r="AO35" i="78"/>
  <c r="AN35" i="78"/>
  <c r="AM35" i="78"/>
  <c r="AL35" i="78"/>
  <c r="AK35" i="78"/>
  <c r="AJ35" i="78"/>
  <c r="AH35" i="78"/>
  <c r="AI36" i="78" s="1"/>
  <c r="AH37" i="78" s="1"/>
  <c r="AF35" i="78"/>
  <c r="AG35" i="78" s="1"/>
  <c r="AD35" i="78"/>
  <c r="AE36" i="78" s="1"/>
  <c r="AD37" i="78" s="1"/>
  <c r="AB35" i="78"/>
  <c r="AC35" i="78" s="1"/>
  <c r="Z35" i="78"/>
  <c r="Y35" i="78"/>
  <c r="X35" i="78"/>
  <c r="W35" i="78"/>
  <c r="V35" i="78"/>
  <c r="R35" i="78"/>
  <c r="T43" i="80" s="1"/>
  <c r="Q35" i="78"/>
  <c r="S43" i="80" s="1"/>
  <c r="P35" i="78"/>
  <c r="R43" i="80" s="1"/>
  <c r="O35" i="78"/>
  <c r="Q43" i="80" s="1"/>
  <c r="N35" i="78"/>
  <c r="P43" i="80" s="1"/>
  <c r="M35" i="78"/>
  <c r="O43" i="80" s="1"/>
  <c r="L35" i="78"/>
  <c r="K43" i="80" s="1"/>
  <c r="K35" i="78"/>
  <c r="N43" i="80" s="1"/>
  <c r="J35" i="78"/>
  <c r="L43" i="80" s="1"/>
  <c r="M43" i="80" s="1"/>
  <c r="I35" i="78"/>
  <c r="J43" i="80" s="1"/>
  <c r="H35" i="78"/>
  <c r="I43" i="80" s="1"/>
  <c r="G35" i="78"/>
  <c r="F43" i="80" s="1"/>
  <c r="F35" i="78"/>
  <c r="H43" i="80" s="1"/>
  <c r="E35" i="78"/>
  <c r="G43" i="80" s="1"/>
  <c r="D35" i="78"/>
  <c r="E43" i="80" s="1"/>
  <c r="C35" i="78"/>
  <c r="D43" i="80" s="1"/>
  <c r="B35" i="78"/>
  <c r="C43" i="80" s="1"/>
  <c r="CI34" i="78"/>
  <c r="CH34" i="78"/>
  <c r="CG34" i="78"/>
  <c r="CF34" i="78"/>
  <c r="CE34" i="78"/>
  <c r="CD34" i="78"/>
  <c r="CC34" i="78"/>
  <c r="CB34" i="78"/>
  <c r="CA34" i="78"/>
  <c r="BX34" i="78"/>
  <c r="BW34" i="78"/>
  <c r="BV34" i="78"/>
  <c r="BU34" i="78"/>
  <c r="BT34" i="78"/>
  <c r="BS34" i="78"/>
  <c r="BR34" i="78"/>
  <c r="BQ34" i="78"/>
  <c r="BP34" i="78"/>
  <c r="BD34" i="78"/>
  <c r="BC34" i="78"/>
  <c r="BB34" i="78"/>
  <c r="BA34" i="78"/>
  <c r="AY34" i="78"/>
  <c r="AZ35" i="78" s="1"/>
  <c r="AW34" i="78"/>
  <c r="AX34" i="78" s="1"/>
  <c r="AU34" i="78"/>
  <c r="BE34" i="78" s="1"/>
  <c r="AS34" i="78"/>
  <c r="AR34" i="78"/>
  <c r="AQ34" i="78"/>
  <c r="AO34" i="78"/>
  <c r="AN34" i="78"/>
  <c r="AM34" i="78"/>
  <c r="AK34" i="78"/>
  <c r="AJ34" i="78"/>
  <c r="AH34" i="78"/>
  <c r="AI34" i="78" s="1"/>
  <c r="AF34" i="78"/>
  <c r="AG34" i="78" s="1"/>
  <c r="AD34" i="78"/>
  <c r="AE34" i="78" s="1"/>
  <c r="AB34" i="78"/>
  <c r="AC34" i="78" s="1"/>
  <c r="Z34" i="78"/>
  <c r="X34" i="78"/>
  <c r="W34" i="78"/>
  <c r="V34" i="78"/>
  <c r="R34" i="78"/>
  <c r="T42" i="80" s="1"/>
  <c r="Q34" i="78"/>
  <c r="S42" i="80" s="1"/>
  <c r="P34" i="78"/>
  <c r="R42" i="80" s="1"/>
  <c r="O34" i="78"/>
  <c r="Q42" i="80" s="1"/>
  <c r="N34" i="78"/>
  <c r="P42" i="80" s="1"/>
  <c r="M34" i="78"/>
  <c r="O42" i="80" s="1"/>
  <c r="L34" i="78"/>
  <c r="K42" i="80" s="1"/>
  <c r="D34" i="78"/>
  <c r="E42" i="80" s="1"/>
  <c r="CI33" i="78"/>
  <c r="CH33" i="78"/>
  <c r="CG33" i="78"/>
  <c r="CF33" i="78"/>
  <c r="CE33" i="78"/>
  <c r="CD33" i="78"/>
  <c r="CC33" i="78"/>
  <c r="CB33" i="78"/>
  <c r="CA33" i="78"/>
  <c r="BX33" i="78"/>
  <c r="BW33" i="78"/>
  <c r="BV33" i="78"/>
  <c r="BU33" i="78"/>
  <c r="BT33" i="78"/>
  <c r="BS33" i="78"/>
  <c r="BR33" i="78"/>
  <c r="BQ33" i="78"/>
  <c r="BP33" i="78"/>
  <c r="BD33" i="78"/>
  <c r="BC33" i="78"/>
  <c r="BA33" i="78"/>
  <c r="BB33" i="78" s="1"/>
  <c r="AY33" i="78"/>
  <c r="AX33" i="78"/>
  <c r="AW33" i="78"/>
  <c r="AU33" i="78"/>
  <c r="BE33" i="78" s="1"/>
  <c r="AS33" i="78"/>
  <c r="AT34" i="78" s="1"/>
  <c r="AQ33" i="78"/>
  <c r="AR33" i="78" s="1"/>
  <c r="AO33" i="78"/>
  <c r="AP34" i="78" s="1"/>
  <c r="AM33" i="78"/>
  <c r="AN33" i="78" s="1"/>
  <c r="AK33" i="78"/>
  <c r="AL34" i="78" s="1"/>
  <c r="AJ33" i="78"/>
  <c r="AH33" i="78"/>
  <c r="AG33" i="78"/>
  <c r="AF33" i="78"/>
  <c r="AD33" i="78"/>
  <c r="AC33" i="78"/>
  <c r="AB33" i="78"/>
  <c r="Z33" i="78"/>
  <c r="X33" i="78"/>
  <c r="Y34" i="78" s="1"/>
  <c r="V33" i="78"/>
  <c r="W33" i="78" s="1"/>
  <c r="R33" i="78"/>
  <c r="T41" i="80" s="1"/>
  <c r="U41" i="80" s="1"/>
  <c r="Q33" i="78"/>
  <c r="S41" i="80" s="1"/>
  <c r="P33" i="78"/>
  <c r="R41" i="80" s="1"/>
  <c r="O33" i="78"/>
  <c r="Q41" i="80" s="1"/>
  <c r="N33" i="78"/>
  <c r="P41" i="80" s="1"/>
  <c r="M33" i="78"/>
  <c r="O41" i="80" s="1"/>
  <c r="L33" i="78"/>
  <c r="K41" i="80" s="1"/>
  <c r="D33" i="78"/>
  <c r="E41" i="80" s="1"/>
  <c r="CI32" i="78"/>
  <c r="CH32" i="78"/>
  <c r="CG32" i="78"/>
  <c r="CF32" i="78"/>
  <c r="CE32" i="78"/>
  <c r="CD32" i="78"/>
  <c r="CC32" i="78"/>
  <c r="CB32" i="78"/>
  <c r="CA32" i="78"/>
  <c r="BX32" i="78"/>
  <c r="BW32" i="78"/>
  <c r="BV32" i="78"/>
  <c r="BU32" i="78"/>
  <c r="BT32" i="78"/>
  <c r="BS32" i="78"/>
  <c r="BR32" i="78"/>
  <c r="BQ32" i="78"/>
  <c r="BP32" i="78"/>
  <c r="BD32" i="78"/>
  <c r="BC32" i="78"/>
  <c r="BA32" i="78"/>
  <c r="AY32" i="78"/>
  <c r="AW32" i="78"/>
  <c r="AX32" i="78" s="1"/>
  <c r="AU32" i="78"/>
  <c r="BE32" i="78" s="1"/>
  <c r="AT32" i="78"/>
  <c r="AS32" i="78"/>
  <c r="AQ32" i="78"/>
  <c r="AP32" i="78"/>
  <c r="AO32" i="78"/>
  <c r="AM32" i="78"/>
  <c r="AL32" i="78"/>
  <c r="AK32" i="78"/>
  <c r="AJ32" i="78"/>
  <c r="AH32" i="78"/>
  <c r="AI33" i="78" s="1"/>
  <c r="AF32" i="78"/>
  <c r="AG32" i="78" s="1"/>
  <c r="AD32" i="78"/>
  <c r="AE33" i="78" s="1"/>
  <c r="AB32" i="78"/>
  <c r="AC32" i="78" s="1"/>
  <c r="Z32" i="78"/>
  <c r="Y32" i="78"/>
  <c r="X32" i="78"/>
  <c r="V32" i="78"/>
  <c r="S32" i="78"/>
  <c r="X40" i="80" s="1"/>
  <c r="Y40" i="80" s="1"/>
  <c r="R32" i="78"/>
  <c r="T40" i="80" s="1"/>
  <c r="Q32" i="78"/>
  <c r="S40" i="80" s="1"/>
  <c r="P32" i="78"/>
  <c r="R40" i="80" s="1"/>
  <c r="O32" i="78"/>
  <c r="Q40" i="80" s="1"/>
  <c r="N32" i="78"/>
  <c r="P40" i="80" s="1"/>
  <c r="M32" i="78"/>
  <c r="O40" i="80" s="1"/>
  <c r="L32" i="78"/>
  <c r="K40" i="80" s="1"/>
  <c r="D32" i="78"/>
  <c r="E40" i="80" s="1"/>
  <c r="CI31" i="78"/>
  <c r="CH31" i="78"/>
  <c r="CG31" i="78"/>
  <c r="CF31" i="78"/>
  <c r="CE31" i="78"/>
  <c r="CD31" i="78"/>
  <c r="CC31" i="78"/>
  <c r="CB31" i="78"/>
  <c r="CA31" i="78"/>
  <c r="BX31" i="78"/>
  <c r="BW31" i="78"/>
  <c r="BV31" i="78"/>
  <c r="BU31" i="78"/>
  <c r="BT31" i="78"/>
  <c r="BS31" i="78"/>
  <c r="BR31" i="78"/>
  <c r="BQ31" i="78"/>
  <c r="BP31" i="78"/>
  <c r="BD31" i="78"/>
  <c r="BC31" i="78"/>
  <c r="BA31" i="78"/>
  <c r="BB32" i="78" s="1"/>
  <c r="AY31" i="78"/>
  <c r="AW31" i="78"/>
  <c r="AU31" i="78"/>
  <c r="BE31" i="78" s="1"/>
  <c r="AS31" i="78"/>
  <c r="AT31" i="78" s="1"/>
  <c r="AQ31" i="78"/>
  <c r="AR32" i="78" s="1"/>
  <c r="AO31" i="78"/>
  <c r="AP31" i="78" s="1"/>
  <c r="AM31" i="78"/>
  <c r="AN32" i="78" s="1"/>
  <c r="AK31" i="78"/>
  <c r="AL31" i="78" s="1"/>
  <c r="AJ31" i="78"/>
  <c r="AI31" i="78"/>
  <c r="AH31" i="78"/>
  <c r="AF31" i="78"/>
  <c r="AE31" i="78"/>
  <c r="AD31" i="78"/>
  <c r="AB31" i="78"/>
  <c r="Z31" i="78"/>
  <c r="X31" i="78"/>
  <c r="Y31" i="78" s="1"/>
  <c r="V31" i="78"/>
  <c r="W32" i="78" s="1"/>
  <c r="S31" i="78"/>
  <c r="X39" i="80" s="1"/>
  <c r="R31" i="78"/>
  <c r="T39" i="80" s="1"/>
  <c r="U39" i="80" s="1"/>
  <c r="Q31" i="78"/>
  <c r="S39" i="80" s="1"/>
  <c r="P31" i="78"/>
  <c r="R39" i="80" s="1"/>
  <c r="O31" i="78"/>
  <c r="Q39" i="80" s="1"/>
  <c r="N31" i="78"/>
  <c r="P39" i="80" s="1"/>
  <c r="M31" i="78"/>
  <c r="O39" i="80" s="1"/>
  <c r="L31" i="78"/>
  <c r="K39" i="80" s="1"/>
  <c r="D31" i="78"/>
  <c r="E39" i="80" s="1"/>
  <c r="CI30" i="78"/>
  <c r="CH30" i="78"/>
  <c r="CG30" i="78"/>
  <c r="CF30" i="78"/>
  <c r="CE30" i="78"/>
  <c r="CD30" i="78"/>
  <c r="CC30" i="78"/>
  <c r="CB30" i="78"/>
  <c r="CA30" i="78"/>
  <c r="BX30" i="78"/>
  <c r="BW30" i="78"/>
  <c r="BV30" i="78"/>
  <c r="BU30" i="78"/>
  <c r="BT30" i="78"/>
  <c r="BS30" i="78"/>
  <c r="BR30" i="78"/>
  <c r="BQ30" i="78"/>
  <c r="BP30" i="78"/>
  <c r="BD30" i="78"/>
  <c r="BC30" i="78"/>
  <c r="BB30" i="78"/>
  <c r="BA30" i="78"/>
  <c r="AY30" i="78"/>
  <c r="AW30" i="78"/>
  <c r="AX31" i="78" s="1"/>
  <c r="AU30" i="78"/>
  <c r="BE30" i="78" s="1"/>
  <c r="AS30" i="78"/>
  <c r="AR30" i="78"/>
  <c r="AQ30" i="78"/>
  <c r="AO30" i="78"/>
  <c r="AN30" i="78"/>
  <c r="AM30" i="78"/>
  <c r="AK30" i="78"/>
  <c r="AJ30" i="78"/>
  <c r="AH30" i="78"/>
  <c r="AI30" i="78" s="1"/>
  <c r="AF30" i="78"/>
  <c r="AG31" i="78" s="1"/>
  <c r="AD30" i="78"/>
  <c r="AE30" i="78" s="1"/>
  <c r="AB30" i="78"/>
  <c r="AC31" i="78" s="1"/>
  <c r="Z30" i="78"/>
  <c r="X30" i="78"/>
  <c r="W30" i="78"/>
  <c r="V30" i="78"/>
  <c r="S30" i="78"/>
  <c r="X38" i="80" s="1"/>
  <c r="R30" i="78"/>
  <c r="T38" i="80" s="1"/>
  <c r="Q30" i="78"/>
  <c r="S38" i="80" s="1"/>
  <c r="P30" i="78"/>
  <c r="R38" i="80" s="1"/>
  <c r="O30" i="78"/>
  <c r="Q38" i="80" s="1"/>
  <c r="N30" i="78"/>
  <c r="P38" i="80" s="1"/>
  <c r="M30" i="78"/>
  <c r="O38" i="80" s="1"/>
  <c r="L30" i="78"/>
  <c r="K38" i="80" s="1"/>
  <c r="D30" i="78"/>
  <c r="E38" i="80" s="1"/>
  <c r="CI29" i="78"/>
  <c r="CH29" i="78"/>
  <c r="CG29" i="78"/>
  <c r="CF29" i="78"/>
  <c r="CE29" i="78"/>
  <c r="CD29" i="78"/>
  <c r="CC29" i="78"/>
  <c r="CB29" i="78"/>
  <c r="CA29" i="78"/>
  <c r="BX29" i="78"/>
  <c r="BW29" i="78"/>
  <c r="BV29" i="78"/>
  <c r="BU29" i="78"/>
  <c r="BT29" i="78"/>
  <c r="BS29" i="78"/>
  <c r="BR29" i="78"/>
  <c r="BQ29" i="78"/>
  <c r="BP29" i="78"/>
  <c r="BD29" i="78"/>
  <c r="BC29" i="78"/>
  <c r="BA29" i="78"/>
  <c r="BB29" i="78" s="1"/>
  <c r="AY29" i="78"/>
  <c r="AW29" i="78"/>
  <c r="AU29" i="78"/>
  <c r="BE29" i="78" s="1"/>
  <c r="AS29" i="78"/>
  <c r="AT30" i="78" s="1"/>
  <c r="AQ29" i="78"/>
  <c r="AR29" i="78" s="1"/>
  <c r="AO29" i="78"/>
  <c r="AP30" i="78" s="1"/>
  <c r="AM29" i="78"/>
  <c r="AN29" i="78" s="1"/>
  <c r="AK29" i="78"/>
  <c r="AL30" i="78" s="1"/>
  <c r="AJ29" i="78"/>
  <c r="AH29" i="78"/>
  <c r="AF29" i="78"/>
  <c r="AD29" i="78"/>
  <c r="AB29" i="78"/>
  <c r="Z29" i="78"/>
  <c r="X29" i="78"/>
  <c r="Y30" i="78" s="1"/>
  <c r="V29" i="78"/>
  <c r="W29" i="78" s="1"/>
  <c r="S29" i="78"/>
  <c r="X37" i="80" s="1"/>
  <c r="Y37" i="80" s="1"/>
  <c r="R29" i="78"/>
  <c r="T37" i="80" s="1"/>
  <c r="Q29" i="78"/>
  <c r="S37" i="80" s="1"/>
  <c r="P29" i="78"/>
  <c r="R37" i="80" s="1"/>
  <c r="O29" i="78"/>
  <c r="Q37" i="80" s="1"/>
  <c r="N29" i="78"/>
  <c r="P37" i="80" s="1"/>
  <c r="M29" i="78"/>
  <c r="O37" i="80" s="1"/>
  <c r="L29" i="78"/>
  <c r="K37" i="80" s="1"/>
  <c r="D29" i="78"/>
  <c r="E37" i="80" s="1"/>
  <c r="CI28" i="78"/>
  <c r="CH28" i="78"/>
  <c r="CG28" i="78"/>
  <c r="CF28" i="78"/>
  <c r="CE28" i="78"/>
  <c r="CD28" i="78"/>
  <c r="CC28" i="78"/>
  <c r="CB28" i="78"/>
  <c r="CA28" i="78"/>
  <c r="BX28" i="78"/>
  <c r="BW28" i="78"/>
  <c r="BV28" i="78"/>
  <c r="BU28" i="78"/>
  <c r="BT28" i="78"/>
  <c r="BS28" i="78"/>
  <c r="BR28" i="78"/>
  <c r="BQ28" i="78"/>
  <c r="BP28" i="78"/>
  <c r="BD28" i="78"/>
  <c r="BC28" i="78"/>
  <c r="BB28" i="78"/>
  <c r="BA28" i="78"/>
  <c r="AY28" i="78"/>
  <c r="AW28" i="78"/>
  <c r="AX28" i="78" s="1"/>
  <c r="AU28" i="78"/>
  <c r="BE28" i="78" s="1"/>
  <c r="AS28" i="78"/>
  <c r="AR28" i="78"/>
  <c r="AQ28" i="78"/>
  <c r="AO28" i="78"/>
  <c r="AN28" i="78"/>
  <c r="AM28" i="78"/>
  <c r="AK28" i="78"/>
  <c r="AJ28" i="78"/>
  <c r="AH28" i="78"/>
  <c r="AI29" i="78" s="1"/>
  <c r="AF28" i="78"/>
  <c r="AG28" i="78" s="1"/>
  <c r="AD28" i="78"/>
  <c r="AE29" i="78" s="1"/>
  <c r="AB28" i="78"/>
  <c r="AC28" i="78" s="1"/>
  <c r="Z28" i="78"/>
  <c r="X28" i="78"/>
  <c r="W28" i="78"/>
  <c r="V28" i="78"/>
  <c r="S28" i="78"/>
  <c r="X36" i="80" s="1"/>
  <c r="R28" i="78"/>
  <c r="T36" i="80" s="1"/>
  <c r="Q28" i="78"/>
  <c r="S36" i="80" s="1"/>
  <c r="P28" i="78"/>
  <c r="R36" i="80" s="1"/>
  <c r="O28" i="78"/>
  <c r="Q36" i="80" s="1"/>
  <c r="N28" i="78"/>
  <c r="P36" i="80" s="1"/>
  <c r="M28" i="78"/>
  <c r="O36" i="80" s="1"/>
  <c r="L28" i="78"/>
  <c r="K36" i="80" s="1"/>
  <c r="D28" i="78"/>
  <c r="E36" i="80" s="1"/>
  <c r="CI27" i="78"/>
  <c r="CH27" i="78"/>
  <c r="CG27" i="78"/>
  <c r="CF27" i="78"/>
  <c r="CE27" i="78"/>
  <c r="CD27" i="78"/>
  <c r="CC27" i="78"/>
  <c r="CB27" i="78"/>
  <c r="CA27" i="78"/>
  <c r="BX27" i="78"/>
  <c r="BW27" i="78"/>
  <c r="BV27" i="78"/>
  <c r="BU27" i="78"/>
  <c r="BT27" i="78"/>
  <c r="BS27" i="78"/>
  <c r="BR27" i="78"/>
  <c r="BQ27" i="78"/>
  <c r="BP27" i="78"/>
  <c r="BC27" i="78"/>
  <c r="BA27" i="78"/>
  <c r="BB27" i="78" s="1"/>
  <c r="AY27" i="78"/>
  <c r="AW27" i="78"/>
  <c r="AU27" i="78"/>
  <c r="BE27" i="78" s="1"/>
  <c r="AS27" i="78"/>
  <c r="AQ27" i="78"/>
  <c r="AR27" i="78" s="1"/>
  <c r="AO27" i="78"/>
  <c r="AM27" i="78"/>
  <c r="AN27" i="78" s="1"/>
  <c r="AK27" i="78"/>
  <c r="AJ27" i="78"/>
  <c r="AH27" i="78"/>
  <c r="AF27" i="78"/>
  <c r="AD27" i="78"/>
  <c r="AB27" i="78"/>
  <c r="Z27" i="78"/>
  <c r="X27" i="78"/>
  <c r="V27" i="78"/>
  <c r="W27" i="78" s="1"/>
  <c r="S27" i="78"/>
  <c r="X35" i="80" s="1"/>
  <c r="R27" i="78"/>
  <c r="T35" i="80" s="1"/>
  <c r="U35" i="80" s="1"/>
  <c r="Q27" i="78"/>
  <c r="S35" i="80" s="1"/>
  <c r="P27" i="78"/>
  <c r="R35" i="80" s="1"/>
  <c r="O27" i="78"/>
  <c r="Q35" i="80" s="1"/>
  <c r="N27" i="78"/>
  <c r="P35" i="80" s="1"/>
  <c r="M27" i="78"/>
  <c r="O35" i="80" s="1"/>
  <c r="L27" i="78"/>
  <c r="K35" i="80" s="1"/>
  <c r="D27" i="78"/>
  <c r="E35" i="80" s="1"/>
  <c r="CI26" i="78"/>
  <c r="CH26" i="78"/>
  <c r="CG26" i="78"/>
  <c r="CF26" i="78"/>
  <c r="CE26" i="78"/>
  <c r="CD26" i="78"/>
  <c r="CC26" i="78"/>
  <c r="CB26" i="78"/>
  <c r="CA26" i="78"/>
  <c r="BX26" i="78"/>
  <c r="BW26" i="78"/>
  <c r="BV26" i="78"/>
  <c r="BU26" i="78"/>
  <c r="BT26" i="78"/>
  <c r="BS26" i="78"/>
  <c r="BR26" i="78"/>
  <c r="BQ26" i="78"/>
  <c r="BP26" i="78"/>
  <c r="BD26" i="78"/>
  <c r="BC26" i="78"/>
  <c r="BB26" i="78"/>
  <c r="BA26" i="78"/>
  <c r="AY26" i="78"/>
  <c r="AW26" i="78"/>
  <c r="AX26" i="78" s="1"/>
  <c r="AU26" i="78"/>
  <c r="BE26" i="78" s="1"/>
  <c r="AS26" i="78"/>
  <c r="AR26" i="78"/>
  <c r="AQ26" i="78"/>
  <c r="AO26" i="78"/>
  <c r="AN26" i="78"/>
  <c r="AM26" i="78"/>
  <c r="AK26" i="78"/>
  <c r="AJ26" i="78"/>
  <c r="AH26" i="78"/>
  <c r="AI27" i="78" s="1"/>
  <c r="AF26" i="78"/>
  <c r="AG26" i="78" s="1"/>
  <c r="AD26" i="78"/>
  <c r="AE27" i="78" s="1"/>
  <c r="AB26" i="78"/>
  <c r="AC26" i="78" s="1"/>
  <c r="Z26" i="78"/>
  <c r="X26" i="78"/>
  <c r="W26" i="78"/>
  <c r="V26" i="78"/>
  <c r="S26" i="78"/>
  <c r="X34" i="80" s="1"/>
  <c r="R26" i="78"/>
  <c r="T34" i="80" s="1"/>
  <c r="Q26" i="78"/>
  <c r="S34" i="80" s="1"/>
  <c r="P26" i="78"/>
  <c r="R34" i="80" s="1"/>
  <c r="O26" i="78"/>
  <c r="Q34" i="80" s="1"/>
  <c r="N26" i="78"/>
  <c r="P34" i="80" s="1"/>
  <c r="M26" i="78"/>
  <c r="O34" i="80" s="1"/>
  <c r="L26" i="78"/>
  <c r="K34" i="80" s="1"/>
  <c r="D26" i="78"/>
  <c r="E34" i="80" s="1"/>
  <c r="CI25" i="78"/>
  <c r="CH25" i="78"/>
  <c r="CG25" i="78"/>
  <c r="CF25" i="78"/>
  <c r="CE25" i="78"/>
  <c r="CD25" i="78"/>
  <c r="CC25" i="78"/>
  <c r="CB25" i="78"/>
  <c r="CA25" i="78"/>
  <c r="BX25" i="78"/>
  <c r="BW25" i="78"/>
  <c r="BV25" i="78"/>
  <c r="BU25" i="78"/>
  <c r="BT25" i="78"/>
  <c r="BS25" i="78"/>
  <c r="BR25" i="78"/>
  <c r="BQ25" i="78"/>
  <c r="BP25" i="78"/>
  <c r="BD25" i="78"/>
  <c r="BC25" i="78"/>
  <c r="BA25" i="78"/>
  <c r="BB25" i="78" s="1"/>
  <c r="AY25" i="78"/>
  <c r="AX25" i="78"/>
  <c r="AW25" i="78"/>
  <c r="AU25" i="78"/>
  <c r="BE25" i="78" s="1"/>
  <c r="AS25" i="78"/>
  <c r="AQ25" i="78"/>
  <c r="AR25" i="78" s="1"/>
  <c r="AO25" i="78"/>
  <c r="AM25" i="78"/>
  <c r="AN25" i="78" s="1"/>
  <c r="AK25" i="78"/>
  <c r="AJ25" i="78"/>
  <c r="AH25" i="78"/>
  <c r="AG25" i="78"/>
  <c r="AF25" i="78"/>
  <c r="AD25" i="78"/>
  <c r="AC25" i="78"/>
  <c r="AB25" i="78"/>
  <c r="Z25" i="78"/>
  <c r="X25" i="78"/>
  <c r="V25" i="78"/>
  <c r="W25" i="78" s="1"/>
  <c r="S25" i="78"/>
  <c r="X33" i="80" s="1"/>
  <c r="R25" i="78"/>
  <c r="T33" i="80" s="1"/>
  <c r="Q25" i="78"/>
  <c r="S33" i="80" s="1"/>
  <c r="P25" i="78"/>
  <c r="R33" i="80" s="1"/>
  <c r="O25" i="78"/>
  <c r="Q33" i="80" s="1"/>
  <c r="N25" i="78"/>
  <c r="P33" i="80" s="1"/>
  <c r="M25" i="78"/>
  <c r="O33" i="80" s="1"/>
  <c r="L25" i="78"/>
  <c r="K33" i="80" s="1"/>
  <c r="D25" i="78"/>
  <c r="E33" i="80" s="1"/>
  <c r="A25" i="78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CI24" i="78"/>
  <c r="CH24" i="78"/>
  <c r="CG24" i="78"/>
  <c r="CF24" i="78"/>
  <c r="CE24" i="78"/>
  <c r="CD24" i="78"/>
  <c r="CC24" i="78"/>
  <c r="CB24" i="78"/>
  <c r="CA24" i="78"/>
  <c r="BX24" i="78"/>
  <c r="BW24" i="78"/>
  <c r="BV24" i="78"/>
  <c r="BU24" i="78"/>
  <c r="BT24" i="78"/>
  <c r="BS24" i="78"/>
  <c r="BR24" i="78"/>
  <c r="BQ24" i="78"/>
  <c r="BP24" i="78"/>
  <c r="BD24" i="78"/>
  <c r="BC24" i="78"/>
  <c r="BA24" i="78"/>
  <c r="BB24" i="78" s="1"/>
  <c r="AY24" i="78"/>
  <c r="AW24" i="78"/>
  <c r="AU24" i="78"/>
  <c r="BE24" i="78" s="1"/>
  <c r="AS24" i="78"/>
  <c r="AT24" i="78" s="1"/>
  <c r="AQ24" i="78"/>
  <c r="AR24" i="78" s="1"/>
  <c r="AO24" i="78"/>
  <c r="AP24" i="78" s="1"/>
  <c r="AM24" i="78"/>
  <c r="AN24" i="78" s="1"/>
  <c r="AK24" i="78"/>
  <c r="AL24" i="78" s="1"/>
  <c r="AJ24" i="78"/>
  <c r="AH24" i="78"/>
  <c r="AI25" i="78" s="1"/>
  <c r="AF24" i="78"/>
  <c r="AD24" i="78"/>
  <c r="AE25" i="78" s="1"/>
  <c r="AB24" i="78"/>
  <c r="Z24" i="78"/>
  <c r="X24" i="78"/>
  <c r="Y24" i="78" s="1"/>
  <c r="V24" i="78"/>
  <c r="W24" i="78" s="1"/>
  <c r="S24" i="78"/>
  <c r="X32" i="80" s="1"/>
  <c r="R24" i="78"/>
  <c r="T32" i="80" s="1"/>
  <c r="U32" i="80" s="1"/>
  <c r="Q24" i="78"/>
  <c r="S32" i="80" s="1"/>
  <c r="P24" i="78"/>
  <c r="R32" i="80" s="1"/>
  <c r="O24" i="78"/>
  <c r="Q32" i="80" s="1"/>
  <c r="N24" i="78"/>
  <c r="P32" i="80" s="1"/>
  <c r="M24" i="78"/>
  <c r="O32" i="80" s="1"/>
  <c r="L24" i="78"/>
  <c r="K32" i="80" s="1"/>
  <c r="D24" i="78"/>
  <c r="E32" i="80" s="1"/>
  <c r="CI23" i="78"/>
  <c r="CH23" i="78"/>
  <c r="CG23" i="78"/>
  <c r="CF23" i="78"/>
  <c r="CE23" i="78"/>
  <c r="CD23" i="78"/>
  <c r="CC23" i="78"/>
  <c r="CB23" i="78"/>
  <c r="CA23" i="78"/>
  <c r="BX23" i="78"/>
  <c r="BW23" i="78"/>
  <c r="BV23" i="78"/>
  <c r="BU23" i="78"/>
  <c r="BT23" i="78"/>
  <c r="BS23" i="78"/>
  <c r="BR23" i="78"/>
  <c r="BQ23" i="78"/>
  <c r="BP23" i="78"/>
  <c r="BD23" i="78"/>
  <c r="BC23" i="78"/>
  <c r="BA23" i="78"/>
  <c r="AY23" i="78"/>
  <c r="AW23" i="78"/>
  <c r="AX23" i="78" s="1"/>
  <c r="AU23" i="78"/>
  <c r="BE23" i="78" s="1"/>
  <c r="AS23" i="78"/>
  <c r="AQ23" i="78"/>
  <c r="AO23" i="78"/>
  <c r="AM23" i="78"/>
  <c r="AK23" i="78"/>
  <c r="AJ23" i="78"/>
  <c r="AH23" i="78"/>
  <c r="AI24" i="78" s="1"/>
  <c r="AF23" i="78"/>
  <c r="AG23" i="78" s="1"/>
  <c r="AD23" i="78"/>
  <c r="AE24" i="78" s="1"/>
  <c r="AB23" i="78"/>
  <c r="AC23" i="78" s="1"/>
  <c r="Z23" i="78"/>
  <c r="X23" i="78"/>
  <c r="W23" i="78"/>
  <c r="V23" i="78"/>
  <c r="S23" i="78"/>
  <c r="X31" i="80" s="1"/>
  <c r="R23" i="78"/>
  <c r="T31" i="80" s="1"/>
  <c r="Q23" i="78"/>
  <c r="S31" i="80" s="1"/>
  <c r="P23" i="78"/>
  <c r="R31" i="80" s="1"/>
  <c r="O23" i="78"/>
  <c r="Q31" i="80" s="1"/>
  <c r="N23" i="78"/>
  <c r="P31" i="80" s="1"/>
  <c r="M23" i="78"/>
  <c r="O31" i="80" s="1"/>
  <c r="L23" i="78"/>
  <c r="K31" i="80" s="1"/>
  <c r="D23" i="78"/>
  <c r="E31" i="80" s="1"/>
  <c r="CI22" i="78"/>
  <c r="CH22" i="78"/>
  <c r="CG22" i="78"/>
  <c r="CF22" i="78"/>
  <c r="CE22" i="78"/>
  <c r="CD22" i="78"/>
  <c r="CC22" i="78"/>
  <c r="CB22" i="78"/>
  <c r="CA22" i="78"/>
  <c r="BX22" i="78"/>
  <c r="BW22" i="78"/>
  <c r="BV22" i="78"/>
  <c r="BU22" i="78"/>
  <c r="BT22" i="78"/>
  <c r="BS22" i="78"/>
  <c r="BR22" i="78"/>
  <c r="BQ22" i="78"/>
  <c r="BP22" i="78"/>
  <c r="BE22" i="78"/>
  <c r="BD22" i="78"/>
  <c r="BC22" i="78"/>
  <c r="BA22" i="78"/>
  <c r="BB22" i="78" s="1"/>
  <c r="AY22" i="78"/>
  <c r="AW22" i="78"/>
  <c r="AU22" i="78"/>
  <c r="AS22" i="78"/>
  <c r="AT23" i="78" s="1"/>
  <c r="AQ22" i="78"/>
  <c r="AR22" i="78" s="1"/>
  <c r="AO22" i="78"/>
  <c r="AP23" i="78" s="1"/>
  <c r="AM22" i="78"/>
  <c r="AN22" i="78" s="1"/>
  <c r="AK22" i="78"/>
  <c r="AL23" i="78" s="1"/>
  <c r="AJ22" i="78"/>
  <c r="AH22" i="78"/>
  <c r="AF22" i="78"/>
  <c r="AD22" i="78"/>
  <c r="AB22" i="78"/>
  <c r="Z22" i="78"/>
  <c r="X22" i="78"/>
  <c r="Y23" i="78" s="1"/>
  <c r="V22" i="78"/>
  <c r="W22" i="78" s="1"/>
  <c r="S22" i="78"/>
  <c r="X30" i="80" s="1"/>
  <c r="R22" i="78"/>
  <c r="T30" i="80" s="1"/>
  <c r="Q22" i="78"/>
  <c r="S30" i="80" s="1"/>
  <c r="P22" i="78"/>
  <c r="R30" i="80" s="1"/>
  <c r="O22" i="78"/>
  <c r="Q30" i="80" s="1"/>
  <c r="N22" i="78"/>
  <c r="P30" i="80" s="1"/>
  <c r="M22" i="78"/>
  <c r="O30" i="80" s="1"/>
  <c r="L22" i="78"/>
  <c r="K30" i="80" s="1"/>
  <c r="D22" i="78"/>
  <c r="E30" i="80" s="1"/>
  <c r="CI21" i="78"/>
  <c r="CH21" i="78"/>
  <c r="CG21" i="78"/>
  <c r="CF21" i="78"/>
  <c r="CE21" i="78"/>
  <c r="CD21" i="78"/>
  <c r="CC21" i="78"/>
  <c r="CB21" i="78"/>
  <c r="CA21" i="78"/>
  <c r="BX21" i="78"/>
  <c r="BW21" i="78"/>
  <c r="BV21" i="78"/>
  <c r="BU21" i="78"/>
  <c r="BT21" i="78"/>
  <c r="BS21" i="78"/>
  <c r="BR21" i="78"/>
  <c r="BQ21" i="78"/>
  <c r="BP21" i="78"/>
  <c r="BD21" i="78"/>
  <c r="BC21" i="78"/>
  <c r="BA21" i="78"/>
  <c r="BB21" i="78" s="1"/>
  <c r="AY21" i="78"/>
  <c r="AW21" i="78"/>
  <c r="AX22" i="78" s="1"/>
  <c r="AU21" i="78"/>
  <c r="BE21" i="78" s="1"/>
  <c r="AS21" i="78"/>
  <c r="AQ21" i="78"/>
  <c r="AR21" i="78" s="1"/>
  <c r="AP21" i="78"/>
  <c r="AO21" i="78"/>
  <c r="AM21" i="78"/>
  <c r="AN21" i="78" s="1"/>
  <c r="AK21" i="78"/>
  <c r="AJ21" i="78"/>
  <c r="AH21" i="78"/>
  <c r="AI21" i="78" s="1"/>
  <c r="AF21" i="78"/>
  <c r="AG22" i="78" s="1"/>
  <c r="AD21" i="78"/>
  <c r="AE21" i="78" s="1"/>
  <c r="AB21" i="78"/>
  <c r="AC22" i="78" s="1"/>
  <c r="Z21" i="78"/>
  <c r="X21" i="78"/>
  <c r="V21" i="78"/>
  <c r="S21" i="78"/>
  <c r="X29" i="80" s="1"/>
  <c r="Y29" i="80" s="1"/>
  <c r="R21" i="78"/>
  <c r="T29" i="80" s="1"/>
  <c r="Q21" i="78"/>
  <c r="S29" i="80" s="1"/>
  <c r="P21" i="78"/>
  <c r="R29" i="80" s="1"/>
  <c r="O21" i="78"/>
  <c r="Q29" i="80" s="1"/>
  <c r="N21" i="78"/>
  <c r="P29" i="80" s="1"/>
  <c r="M21" i="78"/>
  <c r="O29" i="80" s="1"/>
  <c r="L21" i="78"/>
  <c r="K29" i="80" s="1"/>
  <c r="D21" i="78"/>
  <c r="E29" i="80" s="1"/>
  <c r="CI20" i="78"/>
  <c r="CH20" i="78"/>
  <c r="CG20" i="78"/>
  <c r="CF20" i="78"/>
  <c r="CE20" i="78"/>
  <c r="CD20" i="78"/>
  <c r="CC20" i="78"/>
  <c r="CB20" i="78"/>
  <c r="CA20" i="78"/>
  <c r="BX20" i="78"/>
  <c r="BW20" i="78"/>
  <c r="BV20" i="78"/>
  <c r="BU20" i="78"/>
  <c r="BT20" i="78"/>
  <c r="BS20" i="78"/>
  <c r="BR20" i="78"/>
  <c r="BQ20" i="78"/>
  <c r="BP20" i="78"/>
  <c r="BD20" i="78"/>
  <c r="BC20" i="78"/>
  <c r="BA20" i="78"/>
  <c r="BB20" i="78" s="1"/>
  <c r="AY20" i="78"/>
  <c r="AW20" i="78"/>
  <c r="AU20" i="78"/>
  <c r="BE20" i="78" s="1"/>
  <c r="AS20" i="78"/>
  <c r="AT20" i="78" s="1"/>
  <c r="AQ20" i="78"/>
  <c r="AR20" i="78" s="1"/>
  <c r="AO20" i="78"/>
  <c r="AP20" i="78" s="1"/>
  <c r="AM20" i="78"/>
  <c r="AK20" i="78"/>
  <c r="AL20" i="78" s="1"/>
  <c r="AJ20" i="78"/>
  <c r="AH20" i="78"/>
  <c r="AF20" i="78"/>
  <c r="AD20" i="78"/>
  <c r="AB20" i="78"/>
  <c r="Z20" i="78"/>
  <c r="X20" i="78"/>
  <c r="Y20" i="78" s="1"/>
  <c r="V20" i="78"/>
  <c r="W21" i="78" s="1"/>
  <c r="S20" i="78"/>
  <c r="X28" i="80" s="1"/>
  <c r="R20" i="78"/>
  <c r="T28" i="80" s="1"/>
  <c r="U28" i="80" s="1"/>
  <c r="Q20" i="78"/>
  <c r="S28" i="80" s="1"/>
  <c r="P20" i="78"/>
  <c r="R28" i="80" s="1"/>
  <c r="O20" i="78"/>
  <c r="Q28" i="80" s="1"/>
  <c r="N20" i="78"/>
  <c r="P28" i="80" s="1"/>
  <c r="M20" i="78"/>
  <c r="O28" i="80" s="1"/>
  <c r="L20" i="78"/>
  <c r="K28" i="80" s="1"/>
  <c r="D20" i="78"/>
  <c r="E28" i="80" s="1"/>
  <c r="CI19" i="78"/>
  <c r="CH19" i="78"/>
  <c r="CG19" i="78"/>
  <c r="CF19" i="78"/>
  <c r="CE19" i="78"/>
  <c r="CD19" i="78"/>
  <c r="CC19" i="78"/>
  <c r="CB19" i="78"/>
  <c r="CA19" i="78"/>
  <c r="BX19" i="78"/>
  <c r="BW19" i="78"/>
  <c r="BV19" i="78"/>
  <c r="BU19" i="78"/>
  <c r="BT19" i="78"/>
  <c r="BS19" i="78"/>
  <c r="BR19" i="78"/>
  <c r="BQ19" i="78"/>
  <c r="BP19" i="78"/>
  <c r="BD19" i="78"/>
  <c r="BC19" i="78"/>
  <c r="BA19" i="78"/>
  <c r="AY19" i="78"/>
  <c r="AW19" i="78"/>
  <c r="AX19" i="78" s="1"/>
  <c r="AU19" i="78"/>
  <c r="BE19" i="78" s="1"/>
  <c r="AS19" i="78"/>
  <c r="AT19" i="78" s="1"/>
  <c r="AR19" i="78"/>
  <c r="AQ19" i="78"/>
  <c r="AO19" i="78"/>
  <c r="AP19" i="78" s="1"/>
  <c r="AM19" i="78"/>
  <c r="AN20" i="78" s="1"/>
  <c r="AK19" i="78"/>
  <c r="AL19" i="78" s="1"/>
  <c r="AJ19" i="78"/>
  <c r="AH19" i="78"/>
  <c r="AI20" i="78" s="1"/>
  <c r="AF19" i="78"/>
  <c r="AG19" i="78" s="1"/>
  <c r="AD19" i="78"/>
  <c r="AE20" i="78" s="1"/>
  <c r="AB19" i="78"/>
  <c r="AC19" i="78" s="1"/>
  <c r="Z19" i="78"/>
  <c r="X19" i="78"/>
  <c r="Y19" i="78" s="1"/>
  <c r="W19" i="78"/>
  <c r="V19" i="78"/>
  <c r="W20" i="78" s="1"/>
  <c r="S19" i="78"/>
  <c r="X27" i="80" s="1"/>
  <c r="R19" i="78"/>
  <c r="T27" i="80" s="1"/>
  <c r="Q19" i="78"/>
  <c r="S27" i="80" s="1"/>
  <c r="P19" i="78"/>
  <c r="R27" i="80" s="1"/>
  <c r="O19" i="78"/>
  <c r="Q27" i="80" s="1"/>
  <c r="N19" i="78"/>
  <c r="P27" i="80" s="1"/>
  <c r="M19" i="78"/>
  <c r="O27" i="80" s="1"/>
  <c r="L19" i="78"/>
  <c r="K27" i="80" s="1"/>
  <c r="D19" i="78"/>
  <c r="E27" i="80" s="1"/>
  <c r="CI18" i="78"/>
  <c r="CH18" i="78"/>
  <c r="CG18" i="78"/>
  <c r="CF18" i="78"/>
  <c r="CE18" i="78"/>
  <c r="CD18" i="78"/>
  <c r="CC18" i="78"/>
  <c r="CB18" i="78"/>
  <c r="CA18" i="78"/>
  <c r="BX18" i="78"/>
  <c r="BW18" i="78"/>
  <c r="BV18" i="78"/>
  <c r="BU18" i="78"/>
  <c r="BT18" i="78"/>
  <c r="BS18" i="78"/>
  <c r="BR18" i="78"/>
  <c r="BQ18" i="78"/>
  <c r="BP18" i="78"/>
  <c r="BD18" i="78"/>
  <c r="BC18" i="78"/>
  <c r="BA18" i="78"/>
  <c r="BB18" i="78" s="1"/>
  <c r="AY18" i="78"/>
  <c r="AW18" i="78"/>
  <c r="AX18" i="78" s="1"/>
  <c r="AU18" i="78"/>
  <c r="BE18" i="78" s="1"/>
  <c r="AS18" i="78"/>
  <c r="AQ18" i="78"/>
  <c r="AR18" i="78" s="1"/>
  <c r="AO18" i="78"/>
  <c r="AM18" i="78"/>
  <c r="AN18" i="78" s="1"/>
  <c r="AK18" i="78"/>
  <c r="AJ18" i="78"/>
  <c r="AH18" i="78"/>
  <c r="AI19" i="78" s="1"/>
  <c r="AF18" i="78"/>
  <c r="AG18" i="78" s="1"/>
  <c r="AD18" i="78"/>
  <c r="AE19" i="78" s="1"/>
  <c r="AB18" i="78"/>
  <c r="AC18" i="78" s="1"/>
  <c r="Z18" i="78"/>
  <c r="X18" i="78"/>
  <c r="V18" i="78"/>
  <c r="W18" i="78" s="1"/>
  <c r="S18" i="78"/>
  <c r="X26" i="80" s="1"/>
  <c r="R18" i="78"/>
  <c r="T26" i="80" s="1"/>
  <c r="Q18" i="78"/>
  <c r="S26" i="80" s="1"/>
  <c r="P18" i="78"/>
  <c r="R26" i="80" s="1"/>
  <c r="O18" i="78"/>
  <c r="Q26" i="80" s="1"/>
  <c r="N18" i="78"/>
  <c r="P26" i="80" s="1"/>
  <c r="M18" i="78"/>
  <c r="O26" i="80" s="1"/>
  <c r="L18" i="78"/>
  <c r="K26" i="80" s="1"/>
  <c r="D18" i="78"/>
  <c r="E26" i="80" s="1"/>
  <c r="CI17" i="78"/>
  <c r="CH17" i="78"/>
  <c r="CG17" i="78"/>
  <c r="CF17" i="78"/>
  <c r="CE17" i="78"/>
  <c r="CD17" i="78"/>
  <c r="CC17" i="78"/>
  <c r="CB17" i="78"/>
  <c r="CA17" i="78"/>
  <c r="BX17" i="78"/>
  <c r="BW17" i="78"/>
  <c r="BV17" i="78"/>
  <c r="BU17" i="78"/>
  <c r="BT17" i="78"/>
  <c r="BS17" i="78"/>
  <c r="BR17" i="78"/>
  <c r="BQ17" i="78"/>
  <c r="BP17" i="78"/>
  <c r="BD17" i="78"/>
  <c r="BC17" i="78"/>
  <c r="BA17" i="78"/>
  <c r="BB17" i="78" s="1"/>
  <c r="AY17" i="78"/>
  <c r="AW17" i="78"/>
  <c r="AU17" i="78"/>
  <c r="BE17" i="78" s="1"/>
  <c r="AS17" i="78"/>
  <c r="AT18" i="78" s="1"/>
  <c r="AQ17" i="78"/>
  <c r="AR17" i="78" s="1"/>
  <c r="AO17" i="78"/>
  <c r="AP18" i="78" s="1"/>
  <c r="AM17" i="78"/>
  <c r="AN17" i="78" s="1"/>
  <c r="AL17" i="78"/>
  <c r="AK17" i="78"/>
  <c r="AL18" i="78" s="1"/>
  <c r="AJ17" i="78"/>
  <c r="AH17" i="78"/>
  <c r="AI17" i="78" s="1"/>
  <c r="AF17" i="78"/>
  <c r="AD17" i="78"/>
  <c r="AE17" i="78" s="1"/>
  <c r="AB17" i="78"/>
  <c r="Z17" i="78"/>
  <c r="Y17" i="78"/>
  <c r="X17" i="78"/>
  <c r="Y18" i="78" s="1"/>
  <c r="V17" i="78"/>
  <c r="W17" i="78" s="1"/>
  <c r="S17" i="78"/>
  <c r="X25" i="80" s="1"/>
  <c r="Y25" i="80" s="1"/>
  <c r="R17" i="78"/>
  <c r="T25" i="80" s="1"/>
  <c r="Q17" i="78"/>
  <c r="S25" i="80" s="1"/>
  <c r="P17" i="78"/>
  <c r="R25" i="80" s="1"/>
  <c r="O17" i="78"/>
  <c r="Q25" i="80" s="1"/>
  <c r="N17" i="78"/>
  <c r="P25" i="80" s="1"/>
  <c r="M17" i="78"/>
  <c r="O25" i="80" s="1"/>
  <c r="L17" i="78"/>
  <c r="K25" i="80" s="1"/>
  <c r="D17" i="78"/>
  <c r="E25" i="80" s="1"/>
  <c r="CI16" i="78"/>
  <c r="CH16" i="78"/>
  <c r="CG16" i="78"/>
  <c r="CF16" i="78"/>
  <c r="CE16" i="78"/>
  <c r="CD16" i="78"/>
  <c r="CC16" i="78"/>
  <c r="CB16" i="78"/>
  <c r="CA16" i="78"/>
  <c r="BX16" i="78"/>
  <c r="BW16" i="78"/>
  <c r="BV16" i="78"/>
  <c r="BU16" i="78"/>
  <c r="BT16" i="78"/>
  <c r="BS16" i="78"/>
  <c r="BR16" i="78"/>
  <c r="BQ16" i="78"/>
  <c r="BP16" i="78"/>
  <c r="BD16" i="78"/>
  <c r="BC16" i="78"/>
  <c r="BA16" i="78"/>
  <c r="AY16" i="78"/>
  <c r="AW16" i="78"/>
  <c r="AX17" i="78" s="1"/>
  <c r="AU16" i="78"/>
  <c r="BE16" i="78" s="1"/>
  <c r="AS16" i="78"/>
  <c r="AT16" i="78" s="1"/>
  <c r="AQ16" i="78"/>
  <c r="AO16" i="78"/>
  <c r="AP16" i="78" s="1"/>
  <c r="AM16" i="78"/>
  <c r="AK16" i="78"/>
  <c r="AL16" i="78" s="1"/>
  <c r="AJ16" i="78"/>
  <c r="AH16" i="78"/>
  <c r="AI16" i="78" s="1"/>
  <c r="AF16" i="78"/>
  <c r="AG17" i="78" s="1"/>
  <c r="AD16" i="78"/>
  <c r="AE16" i="78" s="1"/>
  <c r="AC16" i="78"/>
  <c r="AB16" i="78"/>
  <c r="AC17" i="78" s="1"/>
  <c r="Z16" i="78"/>
  <c r="X16" i="78"/>
  <c r="Y16" i="78" s="1"/>
  <c r="V16" i="78"/>
  <c r="S16" i="78"/>
  <c r="X24" i="80" s="1"/>
  <c r="R16" i="78"/>
  <c r="T24" i="80" s="1"/>
  <c r="U24" i="80" s="1"/>
  <c r="Q16" i="78"/>
  <c r="S24" i="80" s="1"/>
  <c r="P16" i="78"/>
  <c r="R24" i="80" s="1"/>
  <c r="O16" i="78"/>
  <c r="Q24" i="80" s="1"/>
  <c r="N16" i="78"/>
  <c r="P24" i="80" s="1"/>
  <c r="M16" i="78"/>
  <c r="O24" i="80" s="1"/>
  <c r="L16" i="78"/>
  <c r="K24" i="80" s="1"/>
  <c r="D16" i="78"/>
  <c r="E24" i="80" s="1"/>
  <c r="CI15" i="78"/>
  <c r="CH15" i="78"/>
  <c r="CG15" i="78"/>
  <c r="CF15" i="78"/>
  <c r="CE15" i="78"/>
  <c r="CD15" i="78"/>
  <c r="CC15" i="78"/>
  <c r="CB15" i="78"/>
  <c r="CA15" i="78"/>
  <c r="BX15" i="78"/>
  <c r="BW15" i="78"/>
  <c r="BV15" i="78"/>
  <c r="BU15" i="78"/>
  <c r="BT15" i="78"/>
  <c r="BS15" i="78"/>
  <c r="BR15" i="78"/>
  <c r="BQ15" i="78"/>
  <c r="BP15" i="78"/>
  <c r="BD15" i="78"/>
  <c r="BC15" i="78"/>
  <c r="BB15" i="78"/>
  <c r="BA15" i="78"/>
  <c r="BB16" i="78" s="1"/>
  <c r="AY15" i="78"/>
  <c r="AW15" i="78"/>
  <c r="AX15" i="78" s="1"/>
  <c r="AU15" i="78"/>
  <c r="BE15" i="78" s="1"/>
  <c r="AS15" i="78"/>
  <c r="AT15" i="78" s="1"/>
  <c r="AR15" i="78"/>
  <c r="AQ15" i="78"/>
  <c r="AR16" i="78" s="1"/>
  <c r="AO15" i="78"/>
  <c r="AN15" i="78"/>
  <c r="AM15" i="78"/>
  <c r="AN16" i="78" s="1"/>
  <c r="AK15" i="78"/>
  <c r="AJ15" i="78"/>
  <c r="AH15" i="78"/>
  <c r="AF15" i="78"/>
  <c r="AG15" i="78" s="1"/>
  <c r="AD15" i="78"/>
  <c r="AB15" i="78"/>
  <c r="AC15" i="78" s="1"/>
  <c r="Z15" i="78"/>
  <c r="X15" i="78"/>
  <c r="W15" i="78"/>
  <c r="V15" i="78"/>
  <c r="W16" i="78" s="1"/>
  <c r="S15" i="78"/>
  <c r="X23" i="80" s="1"/>
  <c r="R15" i="78"/>
  <c r="T23" i="80" s="1"/>
  <c r="S23" i="80"/>
  <c r="R23" i="80"/>
  <c r="O15" i="78"/>
  <c r="Q23" i="80" s="1"/>
  <c r="N15" i="78"/>
  <c r="P23" i="80" s="1"/>
  <c r="M15" i="78"/>
  <c r="O23" i="80" s="1"/>
  <c r="L15" i="78"/>
  <c r="K23" i="80" s="1"/>
  <c r="D15" i="78"/>
  <c r="E23" i="80" s="1"/>
  <c r="CI14" i="78"/>
  <c r="CH14" i="78"/>
  <c r="CG14" i="78"/>
  <c r="CF14" i="78"/>
  <c r="CE14" i="78"/>
  <c r="CD14" i="78"/>
  <c r="CC14" i="78"/>
  <c r="CB14" i="78"/>
  <c r="CA14" i="78"/>
  <c r="BZ14" i="78"/>
  <c r="BZ13" i="78" s="1"/>
  <c r="BX14" i="78"/>
  <c r="BW14" i="78"/>
  <c r="BV14" i="78"/>
  <c r="BU14" i="78"/>
  <c r="BT14" i="78"/>
  <c r="BS14" i="78"/>
  <c r="BR14" i="78"/>
  <c r="BQ14" i="78"/>
  <c r="BP14" i="78"/>
  <c r="BO14" i="78"/>
  <c r="BD14" i="78"/>
  <c r="BC14" i="78"/>
  <c r="BA14" i="78"/>
  <c r="AY14" i="78"/>
  <c r="AW14" i="78"/>
  <c r="AU14" i="78"/>
  <c r="BE14" i="78" s="1"/>
  <c r="AS14" i="78"/>
  <c r="AT14" i="78" s="1"/>
  <c r="AQ14" i="78"/>
  <c r="AO14" i="78"/>
  <c r="AP14" i="78" s="1"/>
  <c r="AM14" i="78"/>
  <c r="AK14" i="78"/>
  <c r="AL14" i="78" s="1"/>
  <c r="AJ14" i="78"/>
  <c r="AH14" i="78"/>
  <c r="AI14" i="78" s="1"/>
  <c r="AG14" i="78"/>
  <c r="AF14" i="78"/>
  <c r="AD14" i="78"/>
  <c r="AE14" i="78" s="1"/>
  <c r="AB14" i="78"/>
  <c r="Z14" i="78"/>
  <c r="X14" i="78"/>
  <c r="Y14" i="78" s="1"/>
  <c r="V14" i="78"/>
  <c r="S14" i="78"/>
  <c r="X22" i="80" s="1"/>
  <c r="R14" i="78"/>
  <c r="T22" i="80" s="1"/>
  <c r="U22" i="80" s="1"/>
  <c r="S22" i="80"/>
  <c r="R22" i="80"/>
  <c r="O14" i="78"/>
  <c r="Q22" i="80" s="1"/>
  <c r="N14" i="78"/>
  <c r="P22" i="80" s="1"/>
  <c r="M14" i="78"/>
  <c r="O22" i="80" s="1"/>
  <c r="L14" i="78"/>
  <c r="K22" i="80" s="1"/>
  <c r="D14" i="78"/>
  <c r="E22" i="80" s="1"/>
  <c r="CI13" i="78"/>
  <c r="CH13" i="78"/>
  <c r="CG13" i="78"/>
  <c r="CF13" i="78"/>
  <c r="CE13" i="78"/>
  <c r="CD13" i="78"/>
  <c r="CC13" i="78"/>
  <c r="CB13" i="78"/>
  <c r="CA13" i="78"/>
  <c r="BX13" i="78"/>
  <c r="BW13" i="78"/>
  <c r="BV13" i="78"/>
  <c r="BU13" i="78"/>
  <c r="BT13" i="78"/>
  <c r="BS13" i="78"/>
  <c r="BR13" i="78"/>
  <c r="BQ13" i="78"/>
  <c r="BP13" i="78"/>
  <c r="BO13" i="78"/>
  <c r="BJ13" i="78"/>
  <c r="BK13" i="78" s="1"/>
  <c r="BI13" i="78"/>
  <c r="BD13" i="78"/>
  <c r="BC13" i="78"/>
  <c r="BA13" i="78"/>
  <c r="BB14" i="78" s="1"/>
  <c r="AY13" i="78"/>
  <c r="AW13" i="78"/>
  <c r="AU13" i="78"/>
  <c r="BE13" i="78" s="1"/>
  <c r="AS13" i="78"/>
  <c r="AT13" i="78" s="1"/>
  <c r="AQ13" i="78"/>
  <c r="AR14" i="78" s="1"/>
  <c r="AO13" i="78"/>
  <c r="AP13" i="78" s="1"/>
  <c r="AM13" i="78"/>
  <c r="AN14" i="78" s="1"/>
  <c r="AK13" i="78"/>
  <c r="AL13" i="78" s="1"/>
  <c r="AJ13" i="78"/>
  <c r="AH13" i="78"/>
  <c r="AF13" i="78"/>
  <c r="AD13" i="78"/>
  <c r="AB13" i="78"/>
  <c r="Z13" i="78"/>
  <c r="X13" i="78"/>
  <c r="W13" i="78"/>
  <c r="V13" i="78"/>
  <c r="W14" i="78" s="1"/>
  <c r="S13" i="78"/>
  <c r="X21" i="80" s="1"/>
  <c r="R13" i="78"/>
  <c r="T21" i="80" s="1"/>
  <c r="S21" i="80"/>
  <c r="R21" i="80"/>
  <c r="O13" i="78"/>
  <c r="Q21" i="80" s="1"/>
  <c r="N13" i="78"/>
  <c r="P21" i="80" s="1"/>
  <c r="M13" i="78"/>
  <c r="O21" i="80" s="1"/>
  <c r="L13" i="78"/>
  <c r="K21" i="80" s="1"/>
  <c r="D13" i="78"/>
  <c r="E21" i="80" s="1"/>
  <c r="CI12" i="78"/>
  <c r="CH12" i="78"/>
  <c r="CG12" i="78"/>
  <c r="CF12" i="78"/>
  <c r="CE12" i="78"/>
  <c r="CD12" i="78"/>
  <c r="CC12" i="78"/>
  <c r="CB12" i="78"/>
  <c r="CA12" i="78"/>
  <c r="BZ12" i="78"/>
  <c r="BZ11" i="78" s="1"/>
  <c r="BZ10" i="78" s="1"/>
  <c r="BZ9" i="78" s="1"/>
  <c r="BZ8" i="78" s="1"/>
  <c r="BZ7" i="78" s="1"/>
  <c r="BZ6" i="78" s="1"/>
  <c r="BZ5" i="78" s="1"/>
  <c r="BX12" i="78"/>
  <c r="BW12" i="78"/>
  <c r="BV12" i="78"/>
  <c r="BU12" i="78"/>
  <c r="BT12" i="78"/>
  <c r="BS12" i="78"/>
  <c r="BR12" i="78"/>
  <c r="BQ12" i="78"/>
  <c r="BP12" i="78"/>
  <c r="BO12" i="78"/>
  <c r="BJ12" i="78"/>
  <c r="BI12" i="78"/>
  <c r="BK12" i="78" s="1"/>
  <c r="BL12" i="78" s="1"/>
  <c r="BD12" i="78"/>
  <c r="BC12" i="78"/>
  <c r="BA12" i="78"/>
  <c r="BB13" i="78" s="1"/>
  <c r="AY12" i="78"/>
  <c r="AW12" i="78"/>
  <c r="AX12" i="78" s="1"/>
  <c r="AU12" i="78"/>
  <c r="BE12" i="78" s="1"/>
  <c r="AS12" i="78"/>
  <c r="AR12" i="78"/>
  <c r="AQ12" i="78"/>
  <c r="AR13" i="78" s="1"/>
  <c r="AO12" i="78"/>
  <c r="AM12" i="78"/>
  <c r="AN13" i="78" s="1"/>
  <c r="AK12" i="78"/>
  <c r="AJ12" i="78"/>
  <c r="AH12" i="78"/>
  <c r="AI13" i="78" s="1"/>
  <c r="AF12" i="78"/>
  <c r="AD12" i="78"/>
  <c r="AE13" i="78" s="1"/>
  <c r="AB12" i="78"/>
  <c r="Z12" i="78"/>
  <c r="X12" i="78"/>
  <c r="V12" i="78"/>
  <c r="S12" i="78"/>
  <c r="X20" i="80" s="1"/>
  <c r="Y20" i="80" s="1"/>
  <c r="R12" i="78"/>
  <c r="T20" i="80" s="1"/>
  <c r="S20" i="80"/>
  <c r="R20" i="80"/>
  <c r="O12" i="78"/>
  <c r="Q20" i="80" s="1"/>
  <c r="N12" i="78"/>
  <c r="P20" i="80" s="1"/>
  <c r="M12" i="78"/>
  <c r="O20" i="80" s="1"/>
  <c r="L12" i="78"/>
  <c r="K20" i="80" s="1"/>
  <c r="D12" i="78"/>
  <c r="E20" i="80" s="1"/>
  <c r="CI11" i="78"/>
  <c r="CH11" i="78"/>
  <c r="CG11" i="78"/>
  <c r="CF11" i="78"/>
  <c r="CE11" i="78"/>
  <c r="CD11" i="78"/>
  <c r="CC11" i="78"/>
  <c r="CB11" i="78"/>
  <c r="CA11" i="78"/>
  <c r="BX11" i="78"/>
  <c r="BW11" i="78"/>
  <c r="BV11" i="78"/>
  <c r="BU11" i="78"/>
  <c r="BT11" i="78"/>
  <c r="BS11" i="78"/>
  <c r="BR11" i="78"/>
  <c r="BQ11" i="78"/>
  <c r="BP11" i="78"/>
  <c r="BO11" i="78"/>
  <c r="BO10" i="78" s="1"/>
  <c r="BO9" i="78" s="1"/>
  <c r="BO8" i="78" s="1"/>
  <c r="BO7" i="78" s="1"/>
  <c r="BO6" i="78" s="1"/>
  <c r="BO5" i="78" s="1"/>
  <c r="BJ11" i="78"/>
  <c r="BK11" i="78" s="1"/>
  <c r="BL11" i="78" s="1"/>
  <c r="BI11" i="78"/>
  <c r="BD11" i="78"/>
  <c r="BC11" i="78"/>
  <c r="BA11" i="78"/>
  <c r="BB12" i="78" s="1"/>
  <c r="AY11" i="78"/>
  <c r="AW11" i="78"/>
  <c r="AU11" i="78"/>
  <c r="BE11" i="78" s="1"/>
  <c r="AS11" i="78"/>
  <c r="AT12" i="78" s="1"/>
  <c r="AQ11" i="78"/>
  <c r="AO11" i="78"/>
  <c r="AP12" i="78" s="1"/>
  <c r="AM11" i="78"/>
  <c r="AN12" i="78" s="1"/>
  <c r="AK11" i="78"/>
  <c r="AL12" i="78" s="1"/>
  <c r="AJ11" i="78"/>
  <c r="AH11" i="78"/>
  <c r="AI12" i="78" s="1"/>
  <c r="AF11" i="78"/>
  <c r="AD11" i="78"/>
  <c r="AE12" i="78" s="1"/>
  <c r="AB11" i="78"/>
  <c r="Z11" i="78"/>
  <c r="X11" i="78"/>
  <c r="Y12" i="78" s="1"/>
  <c r="V11" i="78"/>
  <c r="W12" i="78" s="1"/>
  <c r="S11" i="78"/>
  <c r="X19" i="80" s="1"/>
  <c r="R11" i="78"/>
  <c r="T19" i="80" s="1"/>
  <c r="S19" i="80"/>
  <c r="R19" i="80"/>
  <c r="O11" i="78"/>
  <c r="Q19" i="80" s="1"/>
  <c r="N11" i="78"/>
  <c r="P19" i="80" s="1"/>
  <c r="M11" i="78"/>
  <c r="O19" i="80" s="1"/>
  <c r="L11" i="78"/>
  <c r="K19" i="80" s="1"/>
  <c r="D11" i="78"/>
  <c r="E19" i="80" s="1"/>
  <c r="CI10" i="78"/>
  <c r="CH10" i="78"/>
  <c r="CG10" i="78"/>
  <c r="CF10" i="78"/>
  <c r="CE10" i="78"/>
  <c r="CD10" i="78"/>
  <c r="CC10" i="78"/>
  <c r="CB10" i="78"/>
  <c r="CA10" i="78"/>
  <c r="BX10" i="78"/>
  <c r="BW10" i="78"/>
  <c r="BV10" i="78"/>
  <c r="BU10" i="78"/>
  <c r="BT10" i="78"/>
  <c r="BS10" i="78"/>
  <c r="BR10" i="78"/>
  <c r="BQ10" i="78"/>
  <c r="BP10" i="78"/>
  <c r="BK10" i="78"/>
  <c r="BJ10" i="78"/>
  <c r="BI10" i="78"/>
  <c r="BE10" i="78"/>
  <c r="BD10" i="78"/>
  <c r="BC10" i="78"/>
  <c r="BA10" i="78"/>
  <c r="AY10" i="78"/>
  <c r="AW10" i="78"/>
  <c r="AU10" i="78"/>
  <c r="AS10" i="78"/>
  <c r="AQ10" i="78"/>
  <c r="AO10" i="78"/>
  <c r="AM10" i="78"/>
  <c r="AK10" i="78"/>
  <c r="AJ10" i="78"/>
  <c r="AH10" i="78"/>
  <c r="AF10" i="78"/>
  <c r="AD10" i="78"/>
  <c r="AB10" i="78"/>
  <c r="Z10" i="78"/>
  <c r="X10" i="78"/>
  <c r="V10" i="78"/>
  <c r="S10" i="78"/>
  <c r="X18" i="80" s="1"/>
  <c r="Y18" i="80" s="1"/>
  <c r="R10" i="78"/>
  <c r="T18" i="80" s="1"/>
  <c r="O10" i="78"/>
  <c r="N10" i="78"/>
  <c r="P18" i="80" s="1"/>
  <c r="M10" i="78"/>
  <c r="O18" i="80" s="1"/>
  <c r="L10" i="78"/>
  <c r="K18" i="80" s="1"/>
  <c r="D10" i="78"/>
  <c r="E18" i="80" s="1"/>
  <c r="CI9" i="78"/>
  <c r="CH9" i="78"/>
  <c r="CG9" i="78"/>
  <c r="CF9" i="78"/>
  <c r="CE9" i="78"/>
  <c r="CD9" i="78"/>
  <c r="CC9" i="78"/>
  <c r="CB9" i="78"/>
  <c r="CA9" i="78"/>
  <c r="BX9" i="78"/>
  <c r="BW9" i="78"/>
  <c r="BV9" i="78"/>
  <c r="BU9" i="78"/>
  <c r="BT9" i="78"/>
  <c r="BS9" i="78"/>
  <c r="BR9" i="78"/>
  <c r="BQ9" i="78"/>
  <c r="BP9" i="78"/>
  <c r="BJ9" i="78"/>
  <c r="BK9" i="78" s="1"/>
  <c r="BL9" i="78" s="1"/>
  <c r="BI9" i="78"/>
  <c r="BD9" i="78"/>
  <c r="BC9" i="78"/>
  <c r="BA9" i="78"/>
  <c r="AY9" i="78"/>
  <c r="AW9" i="78"/>
  <c r="AU9" i="78"/>
  <c r="BE9" i="78" s="1"/>
  <c r="AS9" i="78"/>
  <c r="AQ9" i="78"/>
  <c r="AO9" i="78"/>
  <c r="AM9" i="78"/>
  <c r="AK9" i="78"/>
  <c r="AJ9" i="78"/>
  <c r="AH9" i="78"/>
  <c r="AF9" i="78"/>
  <c r="AD9" i="78"/>
  <c r="AB9" i="78"/>
  <c r="Z9" i="78"/>
  <c r="X9" i="78"/>
  <c r="V9" i="78"/>
  <c r="S9" i="78"/>
  <c r="X17" i="80" s="1"/>
  <c r="R9" i="78"/>
  <c r="T17" i="80" s="1"/>
  <c r="O9" i="78"/>
  <c r="N9" i="78"/>
  <c r="M9" i="78"/>
  <c r="O17" i="80" s="1"/>
  <c r="L9" i="78"/>
  <c r="K17" i="80" s="1"/>
  <c r="D9" i="78"/>
  <c r="CI8" i="78"/>
  <c r="CH8" i="78"/>
  <c r="CG8" i="78"/>
  <c r="CF8" i="78"/>
  <c r="CE8" i="78"/>
  <c r="CD8" i="78"/>
  <c r="CC8" i="78"/>
  <c r="CB8" i="78"/>
  <c r="CA8" i="78"/>
  <c r="BX8" i="78"/>
  <c r="BW8" i="78"/>
  <c r="BV8" i="78"/>
  <c r="BU8" i="78"/>
  <c r="BT8" i="78"/>
  <c r="BS8" i="78"/>
  <c r="BR8" i="78"/>
  <c r="BQ8" i="78"/>
  <c r="BP8" i="78"/>
  <c r="BK8" i="78"/>
  <c r="BJ8" i="78"/>
  <c r="BI8" i="78"/>
  <c r="BE8" i="78"/>
  <c r="BD8" i="78"/>
  <c r="BC8" i="78"/>
  <c r="BA8" i="78"/>
  <c r="AY8" i="78"/>
  <c r="AW8" i="78"/>
  <c r="AU8" i="78"/>
  <c r="AS8" i="78"/>
  <c r="AQ8" i="78"/>
  <c r="AO8" i="78"/>
  <c r="AM8" i="78"/>
  <c r="AK8" i="78"/>
  <c r="AJ8" i="78"/>
  <c r="AH8" i="78"/>
  <c r="AF8" i="78"/>
  <c r="AD8" i="78"/>
  <c r="AB8" i="78"/>
  <c r="Z8" i="78"/>
  <c r="X8" i="78"/>
  <c r="V8" i="78"/>
  <c r="S8" i="78"/>
  <c r="X16" i="80" s="1"/>
  <c r="R8" i="78"/>
  <c r="T16" i="80" s="1"/>
  <c r="O8" i="78"/>
  <c r="N8" i="78"/>
  <c r="M8" i="78"/>
  <c r="O16" i="80" s="1"/>
  <c r="L8" i="78"/>
  <c r="K16" i="80" s="1"/>
  <c r="D8" i="78"/>
  <c r="CI7" i="78"/>
  <c r="CH7" i="78"/>
  <c r="CG7" i="78"/>
  <c r="CF7" i="78"/>
  <c r="CE7" i="78"/>
  <c r="CD7" i="78"/>
  <c r="CC7" i="78"/>
  <c r="CB7" i="78"/>
  <c r="CA7" i="78"/>
  <c r="BX7" i="78"/>
  <c r="BW7" i="78"/>
  <c r="BV7" i="78"/>
  <c r="BU7" i="78"/>
  <c r="BT7" i="78"/>
  <c r="BS7" i="78"/>
  <c r="BR7" i="78"/>
  <c r="BQ7" i="78"/>
  <c r="BP7" i="78"/>
  <c r="BJ7" i="78"/>
  <c r="BK7" i="78" s="1"/>
  <c r="BL7" i="78" s="1"/>
  <c r="BI7" i="78"/>
  <c r="BD7" i="78"/>
  <c r="BC7" i="78"/>
  <c r="BA7" i="78"/>
  <c r="AY7" i="78"/>
  <c r="AW7" i="78"/>
  <c r="AU7" i="78"/>
  <c r="BE7" i="78" s="1"/>
  <c r="AS7" i="78"/>
  <c r="AQ7" i="78"/>
  <c r="AO7" i="78"/>
  <c r="AM7" i="78"/>
  <c r="AK7" i="78"/>
  <c r="AJ7" i="78"/>
  <c r="AH7" i="78"/>
  <c r="AF7" i="78"/>
  <c r="AD7" i="78"/>
  <c r="AB7" i="78"/>
  <c r="Z7" i="78"/>
  <c r="X7" i="78"/>
  <c r="V7" i="78"/>
  <c r="S7" i="78"/>
  <c r="X15" i="80" s="1"/>
  <c r="R7" i="78"/>
  <c r="T15" i="80" s="1"/>
  <c r="O7" i="78"/>
  <c r="N7" i="78"/>
  <c r="M7" i="78"/>
  <c r="O15" i="80" s="1"/>
  <c r="L7" i="78"/>
  <c r="K15" i="80" s="1"/>
  <c r="D7" i="78"/>
  <c r="CI6" i="78"/>
  <c r="CH6" i="78"/>
  <c r="CG6" i="78"/>
  <c r="CF6" i="78"/>
  <c r="CE6" i="78"/>
  <c r="CD6" i="78"/>
  <c r="CC6" i="78"/>
  <c r="CB6" i="78"/>
  <c r="CA6" i="78"/>
  <c r="BX6" i="78"/>
  <c r="BW6" i="78"/>
  <c r="BV6" i="78"/>
  <c r="BU6" i="78"/>
  <c r="BT6" i="78"/>
  <c r="BS6" i="78"/>
  <c r="BR6" i="78"/>
  <c r="BQ6" i="78"/>
  <c r="BP6" i="78"/>
  <c r="BL6" i="78"/>
  <c r="BK6" i="78"/>
  <c r="BJ6" i="78"/>
  <c r="BI6" i="78"/>
  <c r="BE6" i="78"/>
  <c r="BD6" i="78"/>
  <c r="BC6" i="78"/>
  <c r="BA6" i="78"/>
  <c r="AY6" i="78"/>
  <c r="AW6" i="78"/>
  <c r="AU6" i="78"/>
  <c r="AS6" i="78"/>
  <c r="AQ6" i="78"/>
  <c r="AO6" i="78"/>
  <c r="AM6" i="78"/>
  <c r="AK6" i="78"/>
  <c r="AJ6" i="78"/>
  <c r="AH6" i="78"/>
  <c r="BL10" i="78" s="1"/>
  <c r="AF6" i="78"/>
  <c r="AD6" i="78"/>
  <c r="AB6" i="78"/>
  <c r="BL8" i="78" s="1"/>
  <c r="Z6" i="78"/>
  <c r="X6" i="78"/>
  <c r="V6" i="78"/>
  <c r="S6" i="78"/>
  <c r="X14" i="80" s="1"/>
  <c r="R6" i="78"/>
  <c r="T14" i="80" s="1"/>
  <c r="O6" i="78"/>
  <c r="N6" i="78"/>
  <c r="M6" i="78"/>
  <c r="O14" i="80" s="1"/>
  <c r="L6" i="78"/>
  <c r="K14" i="80" s="1"/>
  <c r="D6" i="78"/>
  <c r="CI5" i="78"/>
  <c r="CH5" i="78"/>
  <c r="CG5" i="78"/>
  <c r="CF5" i="78"/>
  <c r="CE5" i="78"/>
  <c r="CD5" i="78"/>
  <c r="CC5" i="78"/>
  <c r="CB5" i="78"/>
  <c r="CA5" i="78"/>
  <c r="BX5" i="78"/>
  <c r="BW5" i="78"/>
  <c r="BV5" i="78"/>
  <c r="BU5" i="78"/>
  <c r="BT5" i="78"/>
  <c r="BS5" i="78"/>
  <c r="BR5" i="78"/>
  <c r="BQ5" i="78"/>
  <c r="BP5" i="78"/>
  <c r="BJ5" i="78"/>
  <c r="BK5" i="78" s="1"/>
  <c r="BL5" i="78" s="1"/>
  <c r="BI5" i="78"/>
  <c r="S5" i="78"/>
  <c r="X13" i="80" s="1"/>
  <c r="R5" i="78"/>
  <c r="T13" i="80" s="1"/>
  <c r="O5" i="78"/>
  <c r="N5" i="78"/>
  <c r="M5" i="78"/>
  <c r="O13" i="80" s="1"/>
  <c r="L5" i="78"/>
  <c r="K13" i="80" s="1"/>
  <c r="D5" i="78"/>
  <c r="CI4" i="78"/>
  <c r="CH4" i="78"/>
  <c r="CG4" i="78"/>
  <c r="CF4" i="78"/>
  <c r="CE4" i="78"/>
  <c r="CD4" i="78"/>
  <c r="CC4" i="78"/>
  <c r="CB4" i="78"/>
  <c r="CA4" i="78"/>
  <c r="BX4" i="78"/>
  <c r="BW4" i="78"/>
  <c r="BV4" i="78"/>
  <c r="BU4" i="78"/>
  <c r="BT4" i="78"/>
  <c r="BS4" i="78"/>
  <c r="BR4" i="78"/>
  <c r="BQ4" i="78"/>
  <c r="BP4" i="78"/>
  <c r="S4" i="78"/>
  <c r="R4" i="78"/>
  <c r="T12" i="80" s="1"/>
  <c r="T3" i="80" s="1"/>
  <c r="T4" i="80" s="1"/>
  <c r="T5" i="80" s="1"/>
  <c r="T6" i="80" s="1"/>
  <c r="T7" i="80" s="1"/>
  <c r="T8" i="80" s="1"/>
  <c r="T9" i="80" s="1"/>
  <c r="T10" i="80" s="1"/>
  <c r="T11" i="80" s="1"/>
  <c r="O4" i="78"/>
  <c r="N4" i="78"/>
  <c r="M4" i="78"/>
  <c r="L4" i="78"/>
  <c r="K4" i="78"/>
  <c r="J4" i="78"/>
  <c r="L12" i="80" s="1"/>
  <c r="I4" i="78"/>
  <c r="J12" i="80" s="1"/>
  <c r="J3" i="80" s="1"/>
  <c r="J4" i="80" s="1"/>
  <c r="J5" i="80" s="1"/>
  <c r="J6" i="80" s="1"/>
  <c r="J7" i="80" s="1"/>
  <c r="J8" i="80" s="1"/>
  <c r="J9" i="80" s="1"/>
  <c r="J10" i="80" s="1"/>
  <c r="J11" i="80" s="1"/>
  <c r="H4" i="78"/>
  <c r="I12" i="80" s="1"/>
  <c r="I3" i="80" s="1"/>
  <c r="I4" i="80" s="1"/>
  <c r="I5" i="80" s="1"/>
  <c r="I6" i="80" s="1"/>
  <c r="I7" i="80" s="1"/>
  <c r="I8" i="80" s="1"/>
  <c r="I9" i="80" s="1"/>
  <c r="I10" i="80" s="1"/>
  <c r="I11" i="80" s="1"/>
  <c r="G4" i="78"/>
  <c r="F12" i="80" s="1"/>
  <c r="F3" i="80" s="1"/>
  <c r="F4" i="80" s="1"/>
  <c r="F5" i="80" s="1"/>
  <c r="F6" i="80" s="1"/>
  <c r="F7" i="80" s="1"/>
  <c r="F8" i="80" s="1"/>
  <c r="F9" i="80" s="1"/>
  <c r="F10" i="80" s="1"/>
  <c r="F11" i="80" s="1"/>
  <c r="E4" i="78"/>
  <c r="G12" i="80" s="1"/>
  <c r="G3" i="80" s="1"/>
  <c r="G4" i="80" s="1"/>
  <c r="G5" i="80" s="1"/>
  <c r="G6" i="80" s="1"/>
  <c r="G7" i="80" s="1"/>
  <c r="G8" i="80" s="1"/>
  <c r="G9" i="80" s="1"/>
  <c r="G10" i="80" s="1"/>
  <c r="G11" i="80" s="1"/>
  <c r="D4" i="78"/>
  <c r="E12" i="80" s="1"/>
  <c r="E3" i="80" s="1"/>
  <c r="E4" i="80" s="1"/>
  <c r="E5" i="80" s="1"/>
  <c r="E6" i="80" s="1"/>
  <c r="E7" i="80" s="1"/>
  <c r="E8" i="80" s="1"/>
  <c r="E9" i="80" s="1"/>
  <c r="E10" i="80" s="1"/>
  <c r="E11" i="80" s="1"/>
  <c r="B4" i="78"/>
  <c r="C12" i="80" s="1"/>
  <c r="C3" i="80" s="1"/>
  <c r="C4" i="80" s="1"/>
  <c r="C5" i="80" s="1"/>
  <c r="C6" i="80" s="1"/>
  <c r="C7" i="80" s="1"/>
  <c r="C8" i="80" s="1"/>
  <c r="C9" i="80" s="1"/>
  <c r="C10" i="80" s="1"/>
  <c r="C11" i="80" s="1"/>
  <c r="AG49" i="77"/>
  <c r="AJ43" i="77"/>
  <c r="AJ44" i="77" s="1"/>
  <c r="AJ45" i="77" s="1"/>
  <c r="AJ46" i="77" s="1"/>
  <c r="AJ47" i="77" s="1"/>
  <c r="AJ48" i="77" s="1"/>
  <c r="AJ49" i="77" s="1"/>
  <c r="AI43" i="77"/>
  <c r="AI44" i="77" s="1"/>
  <c r="AI45" i="77" s="1"/>
  <c r="AI46" i="77" s="1"/>
  <c r="AI47" i="77" s="1"/>
  <c r="AI48" i="77" s="1"/>
  <c r="AI49" i="77" s="1"/>
  <c r="F43" i="77"/>
  <c r="AH42" i="77"/>
  <c r="AF42" i="77"/>
  <c r="AE43" i="77"/>
  <c r="AE44" i="77" s="1"/>
  <c r="AE45" i="77" s="1"/>
  <c r="AE46" i="77" s="1"/>
  <c r="AE47" i="77" s="1"/>
  <c r="AE48" i="77" s="1"/>
  <c r="AE49" i="77" s="1"/>
  <c r="AC43" i="77"/>
  <c r="AC44" i="77" s="1"/>
  <c r="AC45" i="77" s="1"/>
  <c r="AC46" i="77" s="1"/>
  <c r="AC47" i="77" s="1"/>
  <c r="AC48" i="77" s="1"/>
  <c r="AC49" i="77" s="1"/>
  <c r="AA43" i="77"/>
  <c r="AA44" i="77" s="1"/>
  <c r="AA45" i="77" s="1"/>
  <c r="AA46" i="77" s="1"/>
  <c r="AA47" i="77" s="1"/>
  <c r="AA48" i="77" s="1"/>
  <c r="AA49" i="77" s="1"/>
  <c r="Y43" i="77"/>
  <c r="Y44" i="77" s="1"/>
  <c r="Y45" i="77" s="1"/>
  <c r="Y46" i="77" s="1"/>
  <c r="Y47" i="77" s="1"/>
  <c r="Y48" i="77" s="1"/>
  <c r="Y49" i="77" s="1"/>
  <c r="V42" i="77"/>
  <c r="F42" i="77"/>
  <c r="N42" i="77" s="1"/>
  <c r="N43" i="77" s="1"/>
  <c r="N44" i="77" s="1"/>
  <c r="N45" i="77" s="1"/>
  <c r="N46" i="77" s="1"/>
  <c r="N47" i="77" s="1"/>
  <c r="N48" i="77" s="1"/>
  <c r="N49" i="77" s="1"/>
  <c r="AH41" i="77"/>
  <c r="AF41" i="77"/>
  <c r="V41" i="77"/>
  <c r="F41" i="77"/>
  <c r="N41" i="77" s="1"/>
  <c r="AH40" i="77"/>
  <c r="AF40" i="77"/>
  <c r="V40" i="77"/>
  <c r="F40" i="77"/>
  <c r="N40" i="77" s="1"/>
  <c r="AH39" i="77"/>
  <c r="AF39" i="77"/>
  <c r="V39" i="77"/>
  <c r="F39" i="77"/>
  <c r="N39" i="77" s="1"/>
  <c r="AH38" i="77"/>
  <c r="AF38" i="77"/>
  <c r="V38" i="77"/>
  <c r="F38" i="77"/>
  <c r="N38" i="77" s="1"/>
  <c r="AH37" i="77"/>
  <c r="AF37" i="77"/>
  <c r="V37" i="77"/>
  <c r="F37" i="77"/>
  <c r="N37" i="77" s="1"/>
  <c r="AH36" i="77"/>
  <c r="AF36" i="77"/>
  <c r="V36" i="77"/>
  <c r="F36" i="77"/>
  <c r="N36" i="77" s="1"/>
  <c r="AH35" i="77"/>
  <c r="AF35" i="77"/>
  <c r="V35" i="77"/>
  <c r="F35" i="77"/>
  <c r="N35" i="77" s="1"/>
  <c r="AH34" i="77"/>
  <c r="AF34" i="77"/>
  <c r="V34" i="77"/>
  <c r="F34" i="77"/>
  <c r="N34" i="77" s="1"/>
  <c r="AH33" i="77"/>
  <c r="AF33" i="77"/>
  <c r="V33" i="77"/>
  <c r="F33" i="77"/>
  <c r="N33" i="77" s="1"/>
  <c r="A33" i="77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H32" i="77"/>
  <c r="AF32" i="77"/>
  <c r="V32" i="77"/>
  <c r="F32" i="77"/>
  <c r="N32" i="77" s="1"/>
  <c r="AH31" i="77"/>
  <c r="AF31" i="77"/>
  <c r="V31" i="77"/>
  <c r="F31" i="77"/>
  <c r="N31" i="77" s="1"/>
  <c r="AH30" i="77"/>
  <c r="AF30" i="77"/>
  <c r="V30" i="77"/>
  <c r="F30" i="77"/>
  <c r="N30" i="77" s="1"/>
  <c r="AH29" i="77"/>
  <c r="AF29" i="77"/>
  <c r="V29" i="77"/>
  <c r="F29" i="77"/>
  <c r="N29" i="77" s="1"/>
  <c r="AH28" i="77"/>
  <c r="AF28" i="77"/>
  <c r="V28" i="77"/>
  <c r="F28" i="77"/>
  <c r="N28" i="77" s="1"/>
  <c r="AH27" i="77"/>
  <c r="AF27" i="77"/>
  <c r="V27" i="77"/>
  <c r="F27" i="77"/>
  <c r="N27" i="77" s="1"/>
  <c r="AH26" i="77"/>
  <c r="AF26" i="77"/>
  <c r="V26" i="77"/>
  <c r="F26" i="77"/>
  <c r="N26" i="77" s="1"/>
  <c r="AH25" i="77"/>
  <c r="AF25" i="77"/>
  <c r="V25" i="77"/>
  <c r="F25" i="77"/>
  <c r="N25" i="77" s="1"/>
  <c r="AH24" i="77"/>
  <c r="AF24" i="77"/>
  <c r="V24" i="77"/>
  <c r="F24" i="77"/>
  <c r="N24" i="77" s="1"/>
  <c r="AH23" i="77"/>
  <c r="AF23" i="77"/>
  <c r="V23" i="77"/>
  <c r="F23" i="77"/>
  <c r="N23" i="77" s="1"/>
  <c r="AH22" i="77"/>
  <c r="AF22" i="77"/>
  <c r="V22" i="77"/>
  <c r="F22" i="77"/>
  <c r="N22" i="77" s="1"/>
  <c r="AH21" i="77"/>
  <c r="AF21" i="77"/>
  <c r="V21" i="77"/>
  <c r="F21" i="77"/>
  <c r="N21" i="77" s="1"/>
  <c r="AH20" i="77"/>
  <c r="AF20" i="77"/>
  <c r="V20" i="77"/>
  <c r="F20" i="77"/>
  <c r="N20" i="77" s="1"/>
  <c r="AH19" i="77"/>
  <c r="AF19" i="77"/>
  <c r="V19" i="77"/>
  <c r="F19" i="77"/>
  <c r="N19" i="77" s="1"/>
  <c r="AH18" i="77"/>
  <c r="AF18" i="77"/>
  <c r="V18" i="77"/>
  <c r="F18" i="77"/>
  <c r="N18" i="77" s="1"/>
  <c r="BK17" i="77"/>
  <c r="BI17" i="77"/>
  <c r="BG17" i="77"/>
  <c r="BE17" i="77"/>
  <c r="BC17" i="77"/>
  <c r="BA17" i="77"/>
  <c r="AY17" i="77"/>
  <c r="AW17" i="77"/>
  <c r="AU17" i="77"/>
  <c r="AS17" i="77"/>
  <c r="AQ17" i="77"/>
  <c r="AO17" i="77"/>
  <c r="AN17" i="77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AM17" i="77"/>
  <c r="AH17" i="77"/>
  <c r="AF17" i="77"/>
  <c r="AD17" i="77"/>
  <c r="AD18" i="77" s="1"/>
  <c r="AD19" i="77" s="1"/>
  <c r="AD20" i="77" s="1"/>
  <c r="AD21" i="77" s="1"/>
  <c r="AD22" i="77" s="1"/>
  <c r="AB17" i="77"/>
  <c r="AB18" i="77" s="1"/>
  <c r="AB19" i="77" s="1"/>
  <c r="AB20" i="77" s="1"/>
  <c r="Z17" i="77"/>
  <c r="Z18" i="77" s="1"/>
  <c r="Z19" i="77" s="1"/>
  <c r="Z20" i="77" s="1"/>
  <c r="Z21" i="77" s="1"/>
  <c r="Z22" i="77" s="1"/>
  <c r="Z23" i="77" s="1"/>
  <c r="Z24" i="77" s="1"/>
  <c r="X17" i="77"/>
  <c r="X18" i="77" s="1"/>
  <c r="V17" i="77"/>
  <c r="S17" i="77"/>
  <c r="S18" i="77" s="1"/>
  <c r="S19" i="77" s="1"/>
  <c r="S20" i="77" s="1"/>
  <c r="S21" i="77" s="1"/>
  <c r="S22" i="77" s="1"/>
  <c r="S23" i="77" s="1"/>
  <c r="S24" i="77" s="1"/>
  <c r="S25" i="77" s="1"/>
  <c r="S26" i="77" s="1"/>
  <c r="S27" i="77" s="1"/>
  <c r="S28" i="77" s="1"/>
  <c r="Q17" i="77"/>
  <c r="Q18" i="77" s="1"/>
  <c r="Q19" i="77" s="1"/>
  <c r="Q20" i="77" s="1"/>
  <c r="O17" i="77"/>
  <c r="O18" i="77" s="1"/>
  <c r="O19" i="77" s="1"/>
  <c r="O20" i="77" s="1"/>
  <c r="O21" i="77" s="1"/>
  <c r="O22" i="77" s="1"/>
  <c r="O23" i="77" s="1"/>
  <c r="O24" i="77" s="1"/>
  <c r="O25" i="77" s="1"/>
  <c r="O26" i="77" s="1"/>
  <c r="O27" i="77" s="1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O47" i="77" s="1"/>
  <c r="O48" i="77" s="1"/>
  <c r="O49" i="77" s="1"/>
  <c r="K17" i="77"/>
  <c r="K18" i="77" s="1"/>
  <c r="K19" i="77" s="1"/>
  <c r="K20" i="77" s="1"/>
  <c r="I17" i="77"/>
  <c r="G17" i="77"/>
  <c r="F17" i="77"/>
  <c r="N17" i="77" s="1"/>
  <c r="D17" i="77"/>
  <c r="D18" i="77" s="1"/>
  <c r="AH16" i="77"/>
  <c r="AF16" i="77"/>
  <c r="V16" i="77"/>
  <c r="F16" i="77"/>
  <c r="N16" i="77" s="1"/>
  <c r="BJ15" i="77"/>
  <c r="BJ16" i="77" s="1"/>
  <c r="AD16" i="77" s="1"/>
  <c r="BH15" i="77"/>
  <c r="BH16" i="77" s="1"/>
  <c r="AB16" i="77" s="1"/>
  <c r="BF15" i="77"/>
  <c r="BF16" i="77" s="1"/>
  <c r="Z16" i="77" s="1"/>
  <c r="BD15" i="77"/>
  <c r="BD16" i="77" s="1"/>
  <c r="X16" i="77" s="1"/>
  <c r="BB15" i="77"/>
  <c r="BB16" i="77" s="1"/>
  <c r="AZ15" i="77"/>
  <c r="AZ16" i="77" s="1"/>
  <c r="S16" i="77" s="1"/>
  <c r="AX15" i="77"/>
  <c r="AX16" i="77" s="1"/>
  <c r="Q16" i="77" s="1"/>
  <c r="AV15" i="77"/>
  <c r="AV16" i="77" s="1"/>
  <c r="O16" i="77" s="1"/>
  <c r="AT15" i="77"/>
  <c r="AT16" i="77" s="1"/>
  <c r="K16" i="77" s="1"/>
  <c r="AP15" i="77"/>
  <c r="AP16" i="77" s="1"/>
  <c r="G16" i="77" s="1"/>
  <c r="AO15" i="77"/>
  <c r="AN15" i="77"/>
  <c r="AL15" i="77"/>
  <c r="AL16" i="77" s="1"/>
  <c r="AH15" i="77"/>
  <c r="AF15" i="77"/>
  <c r="AB15" i="77"/>
  <c r="Z15" i="77"/>
  <c r="X15" i="77"/>
  <c r="V15" i="77"/>
  <c r="S15" i="77"/>
  <c r="O15" i="77"/>
  <c r="K15" i="77"/>
  <c r="G15" i="77"/>
  <c r="F15" i="77"/>
  <c r="N15" i="77" s="1"/>
  <c r="D15" i="77"/>
  <c r="B15" i="77"/>
  <c r="AW14" i="77"/>
  <c r="AO14" i="77"/>
  <c r="AN14" i="77"/>
  <c r="AM14" i="77"/>
  <c r="AH14" i="77"/>
  <c r="AF14" i="77"/>
  <c r="AD14" i="77"/>
  <c r="AB14" i="77"/>
  <c r="Z14" i="77"/>
  <c r="X14" i="77"/>
  <c r="V14" i="77"/>
  <c r="S14" i="77"/>
  <c r="O14" i="77"/>
  <c r="K14" i="77"/>
  <c r="G14" i="77"/>
  <c r="F14" i="77"/>
  <c r="N14" i="77" s="1"/>
  <c r="D14" i="77"/>
  <c r="B14" i="77"/>
  <c r="AR13" i="77"/>
  <c r="AR14" i="77" s="1"/>
  <c r="AP13" i="77"/>
  <c r="AH13" i="77"/>
  <c r="AF13" i="77"/>
  <c r="AD13" i="77"/>
  <c r="V13" i="77"/>
  <c r="S13" i="77"/>
  <c r="K13" i="77"/>
  <c r="I13" i="77"/>
  <c r="G13" i="77"/>
  <c r="F13" i="77"/>
  <c r="N13" i="77" s="1"/>
  <c r="AS12" i="77"/>
  <c r="AP12" i="77"/>
  <c r="AH12" i="77"/>
  <c r="AF12" i="77"/>
  <c r="AD12" i="77"/>
  <c r="V12" i="77"/>
  <c r="S12" i="77"/>
  <c r="K12" i="77"/>
  <c r="I12" i="77"/>
  <c r="G12" i="77"/>
  <c r="F12" i="77"/>
  <c r="N12" i="77" s="1"/>
  <c r="AV11" i="77"/>
  <c r="AV12" i="77" s="1"/>
  <c r="AP11" i="77"/>
  <c r="AL11" i="77"/>
  <c r="AL12" i="77" s="1"/>
  <c r="AD11" i="77"/>
  <c r="S11" i="77"/>
  <c r="O11" i="77"/>
  <c r="K11" i="77"/>
  <c r="G11" i="77"/>
  <c r="AW10" i="77"/>
  <c r="AP10" i="77"/>
  <c r="AO10" i="77"/>
  <c r="AN10" i="77"/>
  <c r="AD10" i="77"/>
  <c r="S10" i="77"/>
  <c r="O10" i="77"/>
  <c r="K10" i="77"/>
  <c r="G10" i="77"/>
  <c r="D10" i="77"/>
  <c r="B10" i="77"/>
  <c r="AP9" i="77"/>
  <c r="AO9" i="77"/>
  <c r="AN9" i="77"/>
  <c r="AD9" i="77"/>
  <c r="S9" i="77"/>
  <c r="K9" i="77"/>
  <c r="G9" i="77"/>
  <c r="D9" i="77"/>
  <c r="B9" i="77"/>
  <c r="AP8" i="77"/>
  <c r="AO8" i="77"/>
  <c r="AN8" i="77"/>
  <c r="AD8" i="77"/>
  <c r="S8" i="77"/>
  <c r="K8" i="77"/>
  <c r="G8" i="77"/>
  <c r="D8" i="77"/>
  <c r="B8" i="77"/>
  <c r="AV7" i="77"/>
  <c r="AV8" i="77" s="1"/>
  <c r="AR7" i="77"/>
  <c r="AR8" i="77" s="1"/>
  <c r="AP7" i="77"/>
  <c r="AO7" i="77"/>
  <c r="AN7" i="77"/>
  <c r="AD7" i="77"/>
  <c r="S7" i="77"/>
  <c r="O7" i="77"/>
  <c r="K7" i="77"/>
  <c r="I7" i="77"/>
  <c r="G7" i="77"/>
  <c r="D7" i="77"/>
  <c r="B7" i="77"/>
  <c r="AW6" i="77"/>
  <c r="AS6" i="77"/>
  <c r="AP6" i="77"/>
  <c r="AO6" i="77"/>
  <c r="AN6" i="77"/>
  <c r="AM6" i="77"/>
  <c r="AD6" i="77"/>
  <c r="S6" i="77"/>
  <c r="O6" i="77"/>
  <c r="K6" i="77"/>
  <c r="I6" i="77"/>
  <c r="G6" i="77"/>
  <c r="D6" i="77"/>
  <c r="B6" i="77"/>
  <c r="AP5" i="77"/>
  <c r="AD5" i="77"/>
  <c r="S5" i="77"/>
  <c r="K5" i="77"/>
  <c r="G5" i="77"/>
  <c r="AP4" i="77"/>
  <c r="AD4" i="77"/>
  <c r="S4" i="77"/>
  <c r="K4" i="77"/>
  <c r="G4" i="77"/>
  <c r="AV3" i="77"/>
  <c r="AV4" i="77" s="1"/>
  <c r="AR3" i="77"/>
  <c r="AR4" i="77" s="1"/>
  <c r="AP3" i="77"/>
  <c r="AL3" i="77"/>
  <c r="AL4" i="77" s="1"/>
  <c r="AH3" i="77"/>
  <c r="AH4" i="77" s="1"/>
  <c r="AH5" i="77" s="1"/>
  <c r="AH6" i="77" s="1"/>
  <c r="AH7" i="77" s="1"/>
  <c r="AH8" i="77" s="1"/>
  <c r="AH9" i="77" s="1"/>
  <c r="AH10" i="77" s="1"/>
  <c r="AH11" i="77" s="1"/>
  <c r="AD3" i="77"/>
  <c r="AB3" i="77"/>
  <c r="AB4" i="77" s="1"/>
  <c r="AB5" i="77" s="1"/>
  <c r="AB6" i="77" s="1"/>
  <c r="AB7" i="77" s="1"/>
  <c r="AB8" i="77" s="1"/>
  <c r="AB9" i="77" s="1"/>
  <c r="AB10" i="77" s="1"/>
  <c r="AB11" i="77" s="1"/>
  <c r="AB12" i="77" s="1"/>
  <c r="AB13" i="77" s="1"/>
  <c r="Z3" i="77"/>
  <c r="Z4" i="77" s="1"/>
  <c r="Z5" i="77" s="1"/>
  <c r="Z6" i="77" s="1"/>
  <c r="Z7" i="77" s="1"/>
  <c r="Z8" i="77" s="1"/>
  <c r="Z9" i="77" s="1"/>
  <c r="Z10" i="77" s="1"/>
  <c r="Z11" i="77" s="1"/>
  <c r="Z12" i="77" s="1"/>
  <c r="Z13" i="77" s="1"/>
  <c r="X3" i="77"/>
  <c r="X4" i="77" s="1"/>
  <c r="X5" i="77" s="1"/>
  <c r="X6" i="77" s="1"/>
  <c r="X7" i="77" s="1"/>
  <c r="X8" i="77" s="1"/>
  <c r="X9" i="77" s="1"/>
  <c r="X10" i="77" s="1"/>
  <c r="X11" i="77" s="1"/>
  <c r="X12" i="77" s="1"/>
  <c r="X13" i="77" s="1"/>
  <c r="V3" i="77"/>
  <c r="V4" i="77" s="1"/>
  <c r="V5" i="77" s="1"/>
  <c r="V6" i="77" s="1"/>
  <c r="V7" i="77" s="1"/>
  <c r="V8" i="77" s="1"/>
  <c r="V9" i="77" s="1"/>
  <c r="V10" i="77" s="1"/>
  <c r="V11" i="77" s="1"/>
  <c r="U3" i="77"/>
  <c r="U4" i="77" s="1"/>
  <c r="U5" i="77" s="1"/>
  <c r="U6" i="77" s="1"/>
  <c r="U7" i="77" s="1"/>
  <c r="U8" i="77" s="1"/>
  <c r="U9" i="77" s="1"/>
  <c r="U10" i="77" s="1"/>
  <c r="U11" i="77" s="1"/>
  <c r="S3" i="77"/>
  <c r="O3" i="77"/>
  <c r="K3" i="77"/>
  <c r="I3" i="77"/>
  <c r="G3" i="77"/>
  <c r="F3" i="77"/>
  <c r="F4" i="77" s="1"/>
  <c r="AP2" i="77"/>
  <c r="AO2" i="77"/>
  <c r="AN2" i="77"/>
  <c r="AD2" i="77"/>
  <c r="S2" i="77"/>
  <c r="O2" i="77"/>
  <c r="N2" i="77"/>
  <c r="K2" i="77"/>
  <c r="I2" i="77"/>
  <c r="G2" i="77"/>
  <c r="D2" i="77"/>
  <c r="B2" i="77"/>
  <c r="Y34" i="76"/>
  <c r="Y35" i="76" s="1"/>
  <c r="Y36" i="76" s="1"/>
  <c r="Y37" i="76" s="1"/>
  <c r="Y38" i="76" s="1"/>
  <c r="Y39" i="76" s="1"/>
  <c r="Y40" i="76" s="1"/>
  <c r="Y41" i="76" s="1"/>
  <c r="Y42" i="76" s="1"/>
  <c r="Y43" i="76" s="1"/>
  <c r="Y44" i="76" s="1"/>
  <c r="Y45" i="76" s="1"/>
  <c r="Y46" i="76" s="1"/>
  <c r="Y47" i="76" s="1"/>
  <c r="Y48" i="76" s="1"/>
  <c r="Y49" i="76" s="1"/>
  <c r="A34" i="76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Y33" i="76"/>
  <c r="A33" i="76"/>
  <c r="A3" i="75"/>
  <c r="A4" i="75" s="1"/>
  <c r="A5" i="75" s="1"/>
  <c r="A6" i="75" s="1"/>
  <c r="A7" i="75" s="1"/>
  <c r="A8" i="75" s="1"/>
  <c r="A9" i="75" s="1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U505" i="74"/>
  <c r="E505" i="74"/>
  <c r="A505" i="74"/>
  <c r="U504" i="74"/>
  <c r="E504" i="74"/>
  <c r="A504" i="74"/>
  <c r="U503" i="74"/>
  <c r="E503" i="74"/>
  <c r="A503" i="74"/>
  <c r="U502" i="74"/>
  <c r="E502" i="74"/>
  <c r="A502" i="74"/>
  <c r="U501" i="74"/>
  <c r="E501" i="74"/>
  <c r="A501" i="74"/>
  <c r="U500" i="74"/>
  <c r="E500" i="74"/>
  <c r="A500" i="74"/>
  <c r="U499" i="74"/>
  <c r="E499" i="74"/>
  <c r="A499" i="74"/>
  <c r="U498" i="74"/>
  <c r="E498" i="74"/>
  <c r="A498" i="74"/>
  <c r="U497" i="74"/>
  <c r="E497" i="74"/>
  <c r="A497" i="74"/>
  <c r="U496" i="74"/>
  <c r="E496" i="74"/>
  <c r="A496" i="74"/>
  <c r="U495" i="74"/>
  <c r="E495" i="74"/>
  <c r="A495" i="74"/>
  <c r="U494" i="74"/>
  <c r="E494" i="74"/>
  <c r="A494" i="74"/>
  <c r="V493" i="74"/>
  <c r="U493" i="74"/>
  <c r="H493" i="74"/>
  <c r="H505" i="74" s="1"/>
  <c r="V492" i="74"/>
  <c r="U492" i="74"/>
  <c r="H492" i="74"/>
  <c r="H504" i="74" s="1"/>
  <c r="V491" i="74"/>
  <c r="U491" i="74"/>
  <c r="H491" i="74"/>
  <c r="H503" i="74" s="1"/>
  <c r="V490" i="74"/>
  <c r="U490" i="74"/>
  <c r="H490" i="74"/>
  <c r="H502" i="74" s="1"/>
  <c r="V489" i="74"/>
  <c r="U489" i="74"/>
  <c r="H489" i="74"/>
  <c r="H501" i="74" s="1"/>
  <c r="V488" i="74"/>
  <c r="U488" i="74"/>
  <c r="H488" i="74"/>
  <c r="H500" i="74" s="1"/>
  <c r="V487" i="74"/>
  <c r="U487" i="74"/>
  <c r="H487" i="74"/>
  <c r="H499" i="74" s="1"/>
  <c r="V486" i="74"/>
  <c r="U486" i="74"/>
  <c r="H486" i="74"/>
  <c r="H498" i="74" s="1"/>
  <c r="V485" i="74"/>
  <c r="U485" i="74"/>
  <c r="H485" i="74"/>
  <c r="H497" i="74" s="1"/>
  <c r="V484" i="74"/>
  <c r="U484" i="74"/>
  <c r="H484" i="74"/>
  <c r="H496" i="74" s="1"/>
  <c r="V483" i="74"/>
  <c r="U483" i="74"/>
  <c r="H483" i="74"/>
  <c r="H495" i="74" s="1"/>
  <c r="V482" i="74"/>
  <c r="U482" i="74"/>
  <c r="H482" i="74"/>
  <c r="H494" i="74" s="1"/>
  <c r="V481" i="74"/>
  <c r="N481" i="74"/>
  <c r="N493" i="74" s="1"/>
  <c r="N505" i="74" s="1"/>
  <c r="U481" i="74"/>
  <c r="V480" i="74"/>
  <c r="N480" i="74"/>
  <c r="N492" i="74" s="1"/>
  <c r="N504" i="74" s="1"/>
  <c r="U480" i="74"/>
  <c r="V479" i="74"/>
  <c r="N479" i="74"/>
  <c r="N491" i="74" s="1"/>
  <c r="N503" i="74" s="1"/>
  <c r="U479" i="74"/>
  <c r="V478" i="74"/>
  <c r="U478" i="74"/>
  <c r="N478" i="74"/>
  <c r="N490" i="74" s="1"/>
  <c r="N502" i="74" s="1"/>
  <c r="V477" i="74"/>
  <c r="N477" i="74"/>
  <c r="N489" i="74" s="1"/>
  <c r="N501" i="74" s="1"/>
  <c r="U477" i="74"/>
  <c r="V476" i="74"/>
  <c r="N476" i="74"/>
  <c r="N488" i="74" s="1"/>
  <c r="N500" i="74" s="1"/>
  <c r="U476" i="74"/>
  <c r="V475" i="74"/>
  <c r="N475" i="74"/>
  <c r="N487" i="74" s="1"/>
  <c r="N499" i="74" s="1"/>
  <c r="U475" i="74"/>
  <c r="V474" i="74"/>
  <c r="N474" i="74"/>
  <c r="N486" i="74" s="1"/>
  <c r="N498" i="74" s="1"/>
  <c r="U474" i="74"/>
  <c r="V473" i="74"/>
  <c r="N473" i="74"/>
  <c r="N485" i="74" s="1"/>
  <c r="N497" i="74" s="1"/>
  <c r="U473" i="74"/>
  <c r="V472" i="74"/>
  <c r="N472" i="74"/>
  <c r="N484" i="74" s="1"/>
  <c r="N496" i="74" s="1"/>
  <c r="U472" i="74"/>
  <c r="V471" i="74"/>
  <c r="N471" i="74"/>
  <c r="N483" i="74" s="1"/>
  <c r="N495" i="74" s="1"/>
  <c r="U471" i="74"/>
  <c r="V470" i="74"/>
  <c r="U470" i="74"/>
  <c r="N470" i="74"/>
  <c r="N482" i="74" s="1"/>
  <c r="N494" i="74" s="1"/>
  <c r="V469" i="74"/>
  <c r="U469" i="74"/>
  <c r="V468" i="74"/>
  <c r="U468" i="74"/>
  <c r="V467" i="74"/>
  <c r="U467" i="74"/>
  <c r="V466" i="74"/>
  <c r="U466" i="74"/>
  <c r="V465" i="74"/>
  <c r="U465" i="74"/>
  <c r="V464" i="74"/>
  <c r="U464" i="74"/>
  <c r="V463" i="74"/>
  <c r="U463" i="74"/>
  <c r="V462" i="74"/>
  <c r="U462" i="74"/>
  <c r="V461" i="74"/>
  <c r="U461" i="74"/>
  <c r="V460" i="74"/>
  <c r="U460" i="74"/>
  <c r="V459" i="74"/>
  <c r="U459" i="74"/>
  <c r="V458" i="74"/>
  <c r="U458" i="74"/>
  <c r="V457" i="74"/>
  <c r="U457" i="74"/>
  <c r="V456" i="74"/>
  <c r="U456" i="74"/>
  <c r="V455" i="74"/>
  <c r="U455" i="74"/>
  <c r="V454" i="74"/>
  <c r="U454" i="74"/>
  <c r="V453" i="74"/>
  <c r="U453" i="74"/>
  <c r="V452" i="74"/>
  <c r="U452" i="74"/>
  <c r="V451" i="74"/>
  <c r="U451" i="74"/>
  <c r="V450" i="74"/>
  <c r="U450" i="74"/>
  <c r="V449" i="74"/>
  <c r="U449" i="74"/>
  <c r="V448" i="74"/>
  <c r="U448" i="74"/>
  <c r="V447" i="74"/>
  <c r="U447" i="74"/>
  <c r="V446" i="74"/>
  <c r="U446" i="74"/>
  <c r="V445" i="74"/>
  <c r="U445" i="74"/>
  <c r="V444" i="74"/>
  <c r="U444" i="74"/>
  <c r="V443" i="74"/>
  <c r="U443" i="74"/>
  <c r="V442" i="74"/>
  <c r="U442" i="74"/>
  <c r="V441" i="74"/>
  <c r="U441" i="74"/>
  <c r="V440" i="74"/>
  <c r="U440" i="74"/>
  <c r="V439" i="74"/>
  <c r="U439" i="74"/>
  <c r="V438" i="74"/>
  <c r="U438" i="74"/>
  <c r="V437" i="74"/>
  <c r="U437" i="74"/>
  <c r="V436" i="74"/>
  <c r="U436" i="74"/>
  <c r="V435" i="74"/>
  <c r="U435" i="74"/>
  <c r="V434" i="74"/>
  <c r="U434" i="74"/>
  <c r="V433" i="74"/>
  <c r="U433" i="74"/>
  <c r="V432" i="74"/>
  <c r="U432" i="74"/>
  <c r="V431" i="74"/>
  <c r="U431" i="74"/>
  <c r="V430" i="74"/>
  <c r="U430" i="74"/>
  <c r="V429" i="74"/>
  <c r="U429" i="74"/>
  <c r="V428" i="74"/>
  <c r="U428" i="74"/>
  <c r="V427" i="74"/>
  <c r="U427" i="74"/>
  <c r="V426" i="74"/>
  <c r="U426" i="74"/>
  <c r="V425" i="74"/>
  <c r="U425" i="74"/>
  <c r="V424" i="74"/>
  <c r="U424" i="74"/>
  <c r="V423" i="74"/>
  <c r="U423" i="74"/>
  <c r="V422" i="74"/>
  <c r="U422" i="74"/>
  <c r="V421" i="74"/>
  <c r="U421" i="74"/>
  <c r="V420" i="74"/>
  <c r="U420" i="74"/>
  <c r="V419" i="74"/>
  <c r="U419" i="74"/>
  <c r="V418" i="74"/>
  <c r="U418" i="74"/>
  <c r="V417" i="74"/>
  <c r="U417" i="74"/>
  <c r="V416" i="74"/>
  <c r="U416" i="74"/>
  <c r="V415" i="74"/>
  <c r="U415" i="74"/>
  <c r="V414" i="74"/>
  <c r="U414" i="74"/>
  <c r="V413" i="74"/>
  <c r="U413" i="74"/>
  <c r="V412" i="74"/>
  <c r="U412" i="74"/>
  <c r="V411" i="74"/>
  <c r="U411" i="74"/>
  <c r="V410" i="74"/>
  <c r="U410" i="74"/>
  <c r="V409" i="74"/>
  <c r="U409" i="74"/>
  <c r="V408" i="74"/>
  <c r="U408" i="74"/>
  <c r="V407" i="74"/>
  <c r="U407" i="74"/>
  <c r="V406" i="74"/>
  <c r="U406" i="74"/>
  <c r="V405" i="74"/>
  <c r="U405" i="74"/>
  <c r="V404" i="74"/>
  <c r="U404" i="74"/>
  <c r="V403" i="74"/>
  <c r="U403" i="74"/>
  <c r="V402" i="74"/>
  <c r="U402" i="74"/>
  <c r="V401" i="74"/>
  <c r="U401" i="74"/>
  <c r="V400" i="74"/>
  <c r="U400" i="74"/>
  <c r="V399" i="74"/>
  <c r="U399" i="74"/>
  <c r="V398" i="74"/>
  <c r="U398" i="74"/>
  <c r="V397" i="74"/>
  <c r="U397" i="74"/>
  <c r="V396" i="74"/>
  <c r="U396" i="74"/>
  <c r="V395" i="74"/>
  <c r="U395" i="74"/>
  <c r="V394" i="74"/>
  <c r="U394" i="74"/>
  <c r="V393" i="74"/>
  <c r="U393" i="74"/>
  <c r="V392" i="74"/>
  <c r="U392" i="74"/>
  <c r="V391" i="74"/>
  <c r="U391" i="74"/>
  <c r="V390" i="74"/>
  <c r="U390" i="74"/>
  <c r="V389" i="74"/>
  <c r="U389" i="74"/>
  <c r="V388" i="74"/>
  <c r="U388" i="74"/>
  <c r="V387" i="74"/>
  <c r="U387" i="74"/>
  <c r="V386" i="74"/>
  <c r="U386" i="74"/>
  <c r="V385" i="74"/>
  <c r="U385" i="74"/>
  <c r="V384" i="74"/>
  <c r="U384" i="74"/>
  <c r="V383" i="74"/>
  <c r="U383" i="74"/>
  <c r="V382" i="74"/>
  <c r="U382" i="74"/>
  <c r="V381" i="74"/>
  <c r="U381" i="74"/>
  <c r="V380" i="74"/>
  <c r="U380" i="74"/>
  <c r="V379" i="74"/>
  <c r="U379" i="74"/>
  <c r="V378" i="74"/>
  <c r="U378" i="74"/>
  <c r="V377" i="74"/>
  <c r="U377" i="74"/>
  <c r="V376" i="74"/>
  <c r="U376" i="74"/>
  <c r="V375" i="74"/>
  <c r="U375" i="74"/>
  <c r="V374" i="74"/>
  <c r="U374" i="74"/>
  <c r="V373" i="74"/>
  <c r="U373" i="74"/>
  <c r="V372" i="74"/>
  <c r="U372" i="74"/>
  <c r="V371" i="74"/>
  <c r="U371" i="74"/>
  <c r="V370" i="74"/>
  <c r="U370" i="74"/>
  <c r="V369" i="74"/>
  <c r="U369" i="74"/>
  <c r="V368" i="74"/>
  <c r="U368" i="74"/>
  <c r="V367" i="74"/>
  <c r="U367" i="74"/>
  <c r="V366" i="74"/>
  <c r="U366" i="74"/>
  <c r="V365" i="74"/>
  <c r="U365" i="74"/>
  <c r="V364" i="74"/>
  <c r="U364" i="74"/>
  <c r="V363" i="74"/>
  <c r="U363" i="74"/>
  <c r="V362" i="74"/>
  <c r="U362" i="74"/>
  <c r="V361" i="74"/>
  <c r="U361" i="74"/>
  <c r="V360" i="74"/>
  <c r="U360" i="74"/>
  <c r="V359" i="74"/>
  <c r="U359" i="74"/>
  <c r="V358" i="74"/>
  <c r="U358" i="74"/>
  <c r="V357" i="74"/>
  <c r="U357" i="74"/>
  <c r="V356" i="74"/>
  <c r="U356" i="74"/>
  <c r="V355" i="74"/>
  <c r="U355" i="74"/>
  <c r="V354" i="74"/>
  <c r="U354" i="74"/>
  <c r="V353" i="74"/>
  <c r="U353" i="74"/>
  <c r="V352" i="74"/>
  <c r="U352" i="74"/>
  <c r="V351" i="74"/>
  <c r="U351" i="74"/>
  <c r="V350" i="74"/>
  <c r="U350" i="74"/>
  <c r="V349" i="74"/>
  <c r="U349" i="74"/>
  <c r="V348" i="74"/>
  <c r="U348" i="74"/>
  <c r="V347" i="74"/>
  <c r="U347" i="74"/>
  <c r="V346" i="74"/>
  <c r="U346" i="74"/>
  <c r="V345" i="74"/>
  <c r="U345" i="74"/>
  <c r="V344" i="74"/>
  <c r="U344" i="74"/>
  <c r="V343" i="74"/>
  <c r="U343" i="74"/>
  <c r="V342" i="74"/>
  <c r="U342" i="74"/>
  <c r="V341" i="74"/>
  <c r="U341" i="74"/>
  <c r="V340" i="74"/>
  <c r="U340" i="74"/>
  <c r="V339" i="74"/>
  <c r="U339" i="74"/>
  <c r="V338" i="74"/>
  <c r="U338" i="74"/>
  <c r="V337" i="74"/>
  <c r="U337" i="74"/>
  <c r="V336" i="74"/>
  <c r="U336" i="74"/>
  <c r="V335" i="74"/>
  <c r="U335" i="74"/>
  <c r="V334" i="74"/>
  <c r="U334" i="74"/>
  <c r="V333" i="74"/>
  <c r="U333" i="74"/>
  <c r="V332" i="74"/>
  <c r="U332" i="74"/>
  <c r="V331" i="74"/>
  <c r="U331" i="74"/>
  <c r="V330" i="74"/>
  <c r="U330" i="74"/>
  <c r="V329" i="74"/>
  <c r="U329" i="74"/>
  <c r="V328" i="74"/>
  <c r="U328" i="74"/>
  <c r="V327" i="74"/>
  <c r="U327" i="74"/>
  <c r="V326" i="74"/>
  <c r="U326" i="74"/>
  <c r="V325" i="74"/>
  <c r="U325" i="74"/>
  <c r="V324" i="74"/>
  <c r="U324" i="74"/>
  <c r="V323" i="74"/>
  <c r="U323" i="74"/>
  <c r="V322" i="74"/>
  <c r="U322" i="74"/>
  <c r="V321" i="74"/>
  <c r="U321" i="74"/>
  <c r="V320" i="74"/>
  <c r="U320" i="74"/>
  <c r="V319" i="74"/>
  <c r="U319" i="74"/>
  <c r="V318" i="74"/>
  <c r="U318" i="74"/>
  <c r="V317" i="74"/>
  <c r="U317" i="74"/>
  <c r="V316" i="74"/>
  <c r="U316" i="74"/>
  <c r="V315" i="74"/>
  <c r="U315" i="74"/>
  <c r="V314" i="74"/>
  <c r="U314" i="74"/>
  <c r="V313" i="74"/>
  <c r="U313" i="74"/>
  <c r="V312" i="74"/>
  <c r="U312" i="74"/>
  <c r="V311" i="74"/>
  <c r="U311" i="74"/>
  <c r="V310" i="74"/>
  <c r="U310" i="74"/>
  <c r="V309" i="74"/>
  <c r="U309" i="74"/>
  <c r="V308" i="74"/>
  <c r="U308" i="74"/>
  <c r="V307" i="74"/>
  <c r="U307" i="74"/>
  <c r="V306" i="74"/>
  <c r="U306" i="74"/>
  <c r="V305" i="74"/>
  <c r="U305" i="74"/>
  <c r="V304" i="74"/>
  <c r="U304" i="74"/>
  <c r="V303" i="74"/>
  <c r="U303" i="74"/>
  <c r="V302" i="74"/>
  <c r="U302" i="74"/>
  <c r="V301" i="74"/>
  <c r="U301" i="74"/>
  <c r="V300" i="74"/>
  <c r="U300" i="74"/>
  <c r="V299" i="74"/>
  <c r="U299" i="74"/>
  <c r="V298" i="74"/>
  <c r="U298" i="74"/>
  <c r="V297" i="74"/>
  <c r="U297" i="74"/>
  <c r="V296" i="74"/>
  <c r="U296" i="74"/>
  <c r="V295" i="74"/>
  <c r="U295" i="74"/>
  <c r="V294" i="74"/>
  <c r="U294" i="74"/>
  <c r="V293" i="74"/>
  <c r="U293" i="74"/>
  <c r="V292" i="74"/>
  <c r="U292" i="74"/>
  <c r="V291" i="74"/>
  <c r="U291" i="74"/>
  <c r="V290" i="74"/>
  <c r="U290" i="74"/>
  <c r="V289" i="74"/>
  <c r="U289" i="74"/>
  <c r="V288" i="74"/>
  <c r="U288" i="74"/>
  <c r="V287" i="74"/>
  <c r="U287" i="74"/>
  <c r="V286" i="74"/>
  <c r="U286" i="74"/>
  <c r="V285" i="74"/>
  <c r="U285" i="74"/>
  <c r="V284" i="74"/>
  <c r="U284" i="74"/>
  <c r="V283" i="74"/>
  <c r="U283" i="74"/>
  <c r="V282" i="74"/>
  <c r="U282" i="74"/>
  <c r="V281" i="74"/>
  <c r="U281" i="74"/>
  <c r="V280" i="74"/>
  <c r="U280" i="74"/>
  <c r="V279" i="74"/>
  <c r="U279" i="74"/>
  <c r="V278" i="74"/>
  <c r="U278" i="74"/>
  <c r="V277" i="74"/>
  <c r="U277" i="74"/>
  <c r="V276" i="74"/>
  <c r="U276" i="74"/>
  <c r="V275" i="74"/>
  <c r="U275" i="74"/>
  <c r="V274" i="74"/>
  <c r="U274" i="74"/>
  <c r="V273" i="74"/>
  <c r="U273" i="74"/>
  <c r="V272" i="74"/>
  <c r="U272" i="74"/>
  <c r="V271" i="74"/>
  <c r="U271" i="74"/>
  <c r="V270" i="74"/>
  <c r="U270" i="74"/>
  <c r="V269" i="74"/>
  <c r="U269" i="74"/>
  <c r="V268" i="74"/>
  <c r="U268" i="74"/>
  <c r="V267" i="74"/>
  <c r="U267" i="74"/>
  <c r="V266" i="74"/>
  <c r="U266" i="74"/>
  <c r="V265" i="74"/>
  <c r="U265" i="74"/>
  <c r="V264" i="74"/>
  <c r="U264" i="74"/>
  <c r="V263" i="74"/>
  <c r="U263" i="74"/>
  <c r="V262" i="74"/>
  <c r="U262" i="74"/>
  <c r="V261" i="74"/>
  <c r="U261" i="74"/>
  <c r="V260" i="74"/>
  <c r="U260" i="74"/>
  <c r="V259" i="74"/>
  <c r="U259" i="74"/>
  <c r="V258" i="74"/>
  <c r="U258" i="74"/>
  <c r="V257" i="74"/>
  <c r="U257" i="74"/>
  <c r="V256" i="74"/>
  <c r="U256" i="74"/>
  <c r="V255" i="74"/>
  <c r="U255" i="74"/>
  <c r="V254" i="74"/>
  <c r="U254" i="74"/>
  <c r="V253" i="74"/>
  <c r="U253" i="74"/>
  <c r="V252" i="74"/>
  <c r="U252" i="74"/>
  <c r="V251" i="74"/>
  <c r="U251" i="74"/>
  <c r="V250" i="74"/>
  <c r="U250" i="74"/>
  <c r="V249" i="74"/>
  <c r="U249" i="74"/>
  <c r="V248" i="74"/>
  <c r="U248" i="74"/>
  <c r="V247" i="74"/>
  <c r="U247" i="74"/>
  <c r="V246" i="74"/>
  <c r="U246" i="74"/>
  <c r="V245" i="74"/>
  <c r="U245" i="74"/>
  <c r="V244" i="74"/>
  <c r="U244" i="74"/>
  <c r="V243" i="74"/>
  <c r="U243" i="74"/>
  <c r="V242" i="74"/>
  <c r="U242" i="74"/>
  <c r="V241" i="74"/>
  <c r="U241" i="74"/>
  <c r="V240" i="74"/>
  <c r="U240" i="74"/>
  <c r="V239" i="74"/>
  <c r="U239" i="74"/>
  <c r="V238" i="74"/>
  <c r="U238" i="74"/>
  <c r="V237" i="74"/>
  <c r="U237" i="74"/>
  <c r="V236" i="74"/>
  <c r="U236" i="74"/>
  <c r="V235" i="74"/>
  <c r="U235" i="74"/>
  <c r="V234" i="74"/>
  <c r="U234" i="74"/>
  <c r="V233" i="74"/>
  <c r="U233" i="74"/>
  <c r="V232" i="74"/>
  <c r="U232" i="74"/>
  <c r="V231" i="74"/>
  <c r="U231" i="74"/>
  <c r="V230" i="74"/>
  <c r="U230" i="74"/>
  <c r="V229" i="74"/>
  <c r="U229" i="74"/>
  <c r="V228" i="74"/>
  <c r="U228" i="74"/>
  <c r="V227" i="74"/>
  <c r="U227" i="74"/>
  <c r="V226" i="74"/>
  <c r="U226" i="74"/>
  <c r="V225" i="74"/>
  <c r="U225" i="74"/>
  <c r="V224" i="74"/>
  <c r="U224" i="74"/>
  <c r="V223" i="74"/>
  <c r="U223" i="74"/>
  <c r="V222" i="74"/>
  <c r="U222" i="74"/>
  <c r="V221" i="74"/>
  <c r="U221" i="74"/>
  <c r="V220" i="74"/>
  <c r="U220" i="74"/>
  <c r="V219" i="74"/>
  <c r="U219" i="74"/>
  <c r="V218" i="74"/>
  <c r="U218" i="74"/>
  <c r="V217" i="74"/>
  <c r="U217" i="74"/>
  <c r="V216" i="74"/>
  <c r="U216" i="74"/>
  <c r="V215" i="74"/>
  <c r="U215" i="74"/>
  <c r="V214" i="74"/>
  <c r="U214" i="74"/>
  <c r="V213" i="74"/>
  <c r="U213" i="74"/>
  <c r="V212" i="74"/>
  <c r="U212" i="74"/>
  <c r="V211" i="74"/>
  <c r="U211" i="74"/>
  <c r="V210" i="74"/>
  <c r="U210" i="74"/>
  <c r="V209" i="74"/>
  <c r="U209" i="74"/>
  <c r="V208" i="74"/>
  <c r="U208" i="74"/>
  <c r="V207" i="74"/>
  <c r="U207" i="74"/>
  <c r="V206" i="74"/>
  <c r="U206" i="74"/>
  <c r="V205" i="74"/>
  <c r="U205" i="74"/>
  <c r="V204" i="74"/>
  <c r="U204" i="74"/>
  <c r="V203" i="74"/>
  <c r="U203" i="74"/>
  <c r="V202" i="74"/>
  <c r="U202" i="74"/>
  <c r="V201" i="74"/>
  <c r="U201" i="74"/>
  <c r="F201" i="74"/>
  <c r="F213" i="74" s="1"/>
  <c r="F225" i="74" s="1"/>
  <c r="F237" i="74" s="1"/>
  <c r="F249" i="74" s="1"/>
  <c r="F261" i="74" s="1"/>
  <c r="F273" i="74" s="1"/>
  <c r="F285" i="74" s="1"/>
  <c r="F297" i="74" s="1"/>
  <c r="F309" i="74" s="1"/>
  <c r="F321" i="74" s="1"/>
  <c r="F333" i="74" s="1"/>
  <c r="F345" i="74" s="1"/>
  <c r="F357" i="74" s="1"/>
  <c r="F369" i="74" s="1"/>
  <c r="F381" i="74" s="1"/>
  <c r="F393" i="74" s="1"/>
  <c r="F405" i="74" s="1"/>
  <c r="F417" i="74" s="1"/>
  <c r="F429" i="74" s="1"/>
  <c r="F441" i="74" s="1"/>
  <c r="F453" i="74" s="1"/>
  <c r="F465" i="74" s="1"/>
  <c r="F477" i="74" s="1"/>
  <c r="F489" i="74" s="1"/>
  <c r="F501" i="74" s="1"/>
  <c r="V200" i="74"/>
  <c r="U200" i="74"/>
  <c r="V199" i="74"/>
  <c r="U199" i="74"/>
  <c r="V198" i="74"/>
  <c r="U198" i="74"/>
  <c r="V197" i="74"/>
  <c r="U197" i="74"/>
  <c r="V196" i="74"/>
  <c r="U196" i="74"/>
  <c r="V195" i="74"/>
  <c r="U195" i="74"/>
  <c r="V194" i="74"/>
  <c r="U194" i="74"/>
  <c r="V193" i="74"/>
  <c r="U193" i="74"/>
  <c r="F205" i="74"/>
  <c r="F217" i="74" s="1"/>
  <c r="F229" i="74" s="1"/>
  <c r="F241" i="74" s="1"/>
  <c r="F253" i="74" s="1"/>
  <c r="F265" i="74" s="1"/>
  <c r="F277" i="74" s="1"/>
  <c r="F289" i="74" s="1"/>
  <c r="F301" i="74" s="1"/>
  <c r="F313" i="74" s="1"/>
  <c r="F325" i="74" s="1"/>
  <c r="F337" i="74" s="1"/>
  <c r="F349" i="74" s="1"/>
  <c r="F361" i="74" s="1"/>
  <c r="F373" i="74" s="1"/>
  <c r="F385" i="74" s="1"/>
  <c r="F397" i="74" s="1"/>
  <c r="F409" i="74" s="1"/>
  <c r="F421" i="74" s="1"/>
  <c r="F433" i="74" s="1"/>
  <c r="F445" i="74" s="1"/>
  <c r="F457" i="74" s="1"/>
  <c r="F469" i="74" s="1"/>
  <c r="F481" i="74" s="1"/>
  <c r="F493" i="74" s="1"/>
  <c r="F505" i="74" s="1"/>
  <c r="V192" i="74"/>
  <c r="U192" i="74"/>
  <c r="F204" i="74"/>
  <c r="F216" i="74" s="1"/>
  <c r="F228" i="74" s="1"/>
  <c r="F240" i="74" s="1"/>
  <c r="F252" i="74" s="1"/>
  <c r="F264" i="74" s="1"/>
  <c r="F276" i="74" s="1"/>
  <c r="F288" i="74" s="1"/>
  <c r="F300" i="74" s="1"/>
  <c r="F312" i="74" s="1"/>
  <c r="F324" i="74" s="1"/>
  <c r="F336" i="74" s="1"/>
  <c r="F348" i="74" s="1"/>
  <c r="F360" i="74" s="1"/>
  <c r="F372" i="74" s="1"/>
  <c r="F384" i="74" s="1"/>
  <c r="F396" i="74" s="1"/>
  <c r="F408" i="74" s="1"/>
  <c r="F420" i="74" s="1"/>
  <c r="F432" i="74" s="1"/>
  <c r="F444" i="74" s="1"/>
  <c r="F456" i="74" s="1"/>
  <c r="F468" i="74" s="1"/>
  <c r="F480" i="74" s="1"/>
  <c r="F492" i="74" s="1"/>
  <c r="F504" i="74" s="1"/>
  <c r="V191" i="74"/>
  <c r="U191" i="74"/>
  <c r="F203" i="74"/>
  <c r="F215" i="74" s="1"/>
  <c r="F227" i="74" s="1"/>
  <c r="F239" i="74" s="1"/>
  <c r="F251" i="74" s="1"/>
  <c r="F263" i="74" s="1"/>
  <c r="F275" i="74" s="1"/>
  <c r="F287" i="74" s="1"/>
  <c r="F299" i="74" s="1"/>
  <c r="F311" i="74" s="1"/>
  <c r="F323" i="74" s="1"/>
  <c r="F335" i="74" s="1"/>
  <c r="F347" i="74" s="1"/>
  <c r="F359" i="74" s="1"/>
  <c r="F371" i="74" s="1"/>
  <c r="F383" i="74" s="1"/>
  <c r="F395" i="74" s="1"/>
  <c r="F407" i="74" s="1"/>
  <c r="F419" i="74" s="1"/>
  <c r="F431" i="74" s="1"/>
  <c r="F443" i="74" s="1"/>
  <c r="F455" i="74" s="1"/>
  <c r="F467" i="74" s="1"/>
  <c r="F479" i="74" s="1"/>
  <c r="F491" i="74" s="1"/>
  <c r="F503" i="74" s="1"/>
  <c r="V190" i="74"/>
  <c r="U190" i="74"/>
  <c r="F202" i="74"/>
  <c r="F214" i="74" s="1"/>
  <c r="F226" i="74" s="1"/>
  <c r="F238" i="74" s="1"/>
  <c r="F250" i="74" s="1"/>
  <c r="F262" i="74" s="1"/>
  <c r="F274" i="74" s="1"/>
  <c r="F286" i="74" s="1"/>
  <c r="F298" i="74" s="1"/>
  <c r="F310" i="74" s="1"/>
  <c r="F322" i="74" s="1"/>
  <c r="F334" i="74" s="1"/>
  <c r="F346" i="74" s="1"/>
  <c r="F358" i="74" s="1"/>
  <c r="F370" i="74" s="1"/>
  <c r="F382" i="74" s="1"/>
  <c r="F394" i="74" s="1"/>
  <c r="F406" i="74" s="1"/>
  <c r="F418" i="74" s="1"/>
  <c r="F430" i="74" s="1"/>
  <c r="F442" i="74" s="1"/>
  <c r="F454" i="74" s="1"/>
  <c r="F466" i="74" s="1"/>
  <c r="F478" i="74" s="1"/>
  <c r="F490" i="74" s="1"/>
  <c r="F502" i="74" s="1"/>
  <c r="V189" i="74"/>
  <c r="U189" i="74"/>
  <c r="V188" i="74"/>
  <c r="U188" i="74"/>
  <c r="F200" i="74"/>
  <c r="F212" i="74" s="1"/>
  <c r="F224" i="74" s="1"/>
  <c r="F236" i="74" s="1"/>
  <c r="F248" i="74" s="1"/>
  <c r="F260" i="74" s="1"/>
  <c r="F272" i="74" s="1"/>
  <c r="F284" i="74" s="1"/>
  <c r="F296" i="74" s="1"/>
  <c r="F308" i="74" s="1"/>
  <c r="F320" i="74" s="1"/>
  <c r="F332" i="74" s="1"/>
  <c r="F344" i="74" s="1"/>
  <c r="F356" i="74" s="1"/>
  <c r="F368" i="74" s="1"/>
  <c r="F380" i="74" s="1"/>
  <c r="F392" i="74" s="1"/>
  <c r="F404" i="74" s="1"/>
  <c r="F416" i="74" s="1"/>
  <c r="F428" i="74" s="1"/>
  <c r="F440" i="74" s="1"/>
  <c r="F452" i="74" s="1"/>
  <c r="F464" i="74" s="1"/>
  <c r="F476" i="74" s="1"/>
  <c r="F488" i="74" s="1"/>
  <c r="F500" i="74" s="1"/>
  <c r="V187" i="74"/>
  <c r="U187" i="74"/>
  <c r="F199" i="74"/>
  <c r="F211" i="74" s="1"/>
  <c r="F223" i="74" s="1"/>
  <c r="F235" i="74" s="1"/>
  <c r="F247" i="74" s="1"/>
  <c r="F259" i="74" s="1"/>
  <c r="F271" i="74" s="1"/>
  <c r="F283" i="74" s="1"/>
  <c r="F295" i="74" s="1"/>
  <c r="F307" i="74" s="1"/>
  <c r="F319" i="74" s="1"/>
  <c r="F331" i="74" s="1"/>
  <c r="F343" i="74" s="1"/>
  <c r="F355" i="74" s="1"/>
  <c r="F367" i="74" s="1"/>
  <c r="F379" i="74" s="1"/>
  <c r="F391" i="74" s="1"/>
  <c r="F403" i="74" s="1"/>
  <c r="F415" i="74" s="1"/>
  <c r="F427" i="74" s="1"/>
  <c r="F439" i="74" s="1"/>
  <c r="F451" i="74" s="1"/>
  <c r="F463" i="74" s="1"/>
  <c r="F475" i="74" s="1"/>
  <c r="F487" i="74" s="1"/>
  <c r="F499" i="74" s="1"/>
  <c r="V186" i="74"/>
  <c r="U186" i="74"/>
  <c r="F198" i="74"/>
  <c r="F210" i="74" s="1"/>
  <c r="F222" i="74" s="1"/>
  <c r="F234" i="74" s="1"/>
  <c r="F246" i="74" s="1"/>
  <c r="F258" i="74" s="1"/>
  <c r="F270" i="74" s="1"/>
  <c r="F282" i="74" s="1"/>
  <c r="F294" i="74" s="1"/>
  <c r="F306" i="74" s="1"/>
  <c r="F318" i="74" s="1"/>
  <c r="F330" i="74" s="1"/>
  <c r="F342" i="74" s="1"/>
  <c r="F354" i="74" s="1"/>
  <c r="F366" i="74" s="1"/>
  <c r="F378" i="74" s="1"/>
  <c r="F390" i="74" s="1"/>
  <c r="F402" i="74" s="1"/>
  <c r="F414" i="74" s="1"/>
  <c r="F426" i="74" s="1"/>
  <c r="F438" i="74" s="1"/>
  <c r="F450" i="74" s="1"/>
  <c r="F462" i="74" s="1"/>
  <c r="F474" i="74" s="1"/>
  <c r="F486" i="74" s="1"/>
  <c r="F498" i="74" s="1"/>
  <c r="V185" i="74"/>
  <c r="U185" i="74"/>
  <c r="F197" i="74"/>
  <c r="F209" i="74" s="1"/>
  <c r="F221" i="74" s="1"/>
  <c r="F233" i="74" s="1"/>
  <c r="F245" i="74" s="1"/>
  <c r="F257" i="74" s="1"/>
  <c r="F269" i="74" s="1"/>
  <c r="F281" i="74" s="1"/>
  <c r="F293" i="74" s="1"/>
  <c r="F305" i="74" s="1"/>
  <c r="F317" i="74" s="1"/>
  <c r="F329" i="74" s="1"/>
  <c r="F341" i="74" s="1"/>
  <c r="F353" i="74" s="1"/>
  <c r="F365" i="74" s="1"/>
  <c r="F377" i="74" s="1"/>
  <c r="F389" i="74" s="1"/>
  <c r="F401" i="74" s="1"/>
  <c r="F413" i="74" s="1"/>
  <c r="F425" i="74" s="1"/>
  <c r="F437" i="74" s="1"/>
  <c r="F449" i="74" s="1"/>
  <c r="F461" i="74" s="1"/>
  <c r="F473" i="74" s="1"/>
  <c r="F485" i="74" s="1"/>
  <c r="F497" i="74" s="1"/>
  <c r="V184" i="74"/>
  <c r="U184" i="74"/>
  <c r="F196" i="74"/>
  <c r="F208" i="74" s="1"/>
  <c r="F220" i="74" s="1"/>
  <c r="F232" i="74" s="1"/>
  <c r="F244" i="74" s="1"/>
  <c r="F256" i="74" s="1"/>
  <c r="F268" i="74" s="1"/>
  <c r="F280" i="74" s="1"/>
  <c r="F292" i="74" s="1"/>
  <c r="F304" i="74" s="1"/>
  <c r="F316" i="74" s="1"/>
  <c r="F328" i="74" s="1"/>
  <c r="F340" i="74" s="1"/>
  <c r="F352" i="74" s="1"/>
  <c r="F364" i="74" s="1"/>
  <c r="F376" i="74" s="1"/>
  <c r="F388" i="74" s="1"/>
  <c r="F400" i="74" s="1"/>
  <c r="F412" i="74" s="1"/>
  <c r="F424" i="74" s="1"/>
  <c r="F436" i="74" s="1"/>
  <c r="F448" i="74" s="1"/>
  <c r="F460" i="74" s="1"/>
  <c r="F472" i="74" s="1"/>
  <c r="F484" i="74" s="1"/>
  <c r="F496" i="74" s="1"/>
  <c r="V183" i="74"/>
  <c r="U183" i="74"/>
  <c r="F195" i="74"/>
  <c r="F207" i="74" s="1"/>
  <c r="F219" i="74" s="1"/>
  <c r="F231" i="74" s="1"/>
  <c r="F243" i="74" s="1"/>
  <c r="F255" i="74" s="1"/>
  <c r="F267" i="74" s="1"/>
  <c r="F279" i="74" s="1"/>
  <c r="F291" i="74" s="1"/>
  <c r="F303" i="74" s="1"/>
  <c r="F315" i="74" s="1"/>
  <c r="F327" i="74" s="1"/>
  <c r="F339" i="74" s="1"/>
  <c r="F351" i="74" s="1"/>
  <c r="F363" i="74" s="1"/>
  <c r="F375" i="74" s="1"/>
  <c r="F387" i="74" s="1"/>
  <c r="F399" i="74" s="1"/>
  <c r="F411" i="74" s="1"/>
  <c r="F423" i="74" s="1"/>
  <c r="F435" i="74" s="1"/>
  <c r="F447" i="74" s="1"/>
  <c r="F459" i="74" s="1"/>
  <c r="F471" i="74" s="1"/>
  <c r="F483" i="74" s="1"/>
  <c r="F495" i="74" s="1"/>
  <c r="V182" i="74"/>
  <c r="U182" i="74"/>
  <c r="F194" i="74"/>
  <c r="F206" i="74" s="1"/>
  <c r="F218" i="74" s="1"/>
  <c r="F230" i="74" s="1"/>
  <c r="F242" i="74" s="1"/>
  <c r="F254" i="74" s="1"/>
  <c r="F266" i="74" s="1"/>
  <c r="F278" i="74" s="1"/>
  <c r="F290" i="74" s="1"/>
  <c r="F302" i="74" s="1"/>
  <c r="F314" i="74" s="1"/>
  <c r="F326" i="74" s="1"/>
  <c r="F338" i="74" s="1"/>
  <c r="F350" i="74" s="1"/>
  <c r="F362" i="74" s="1"/>
  <c r="F374" i="74" s="1"/>
  <c r="F386" i="74" s="1"/>
  <c r="F398" i="74" s="1"/>
  <c r="F410" i="74" s="1"/>
  <c r="F422" i="74" s="1"/>
  <c r="F434" i="74" s="1"/>
  <c r="F446" i="74" s="1"/>
  <c r="F458" i="74" s="1"/>
  <c r="F470" i="74" s="1"/>
  <c r="F482" i="74" s="1"/>
  <c r="F494" i="74" s="1"/>
  <c r="V181" i="74"/>
  <c r="U181" i="74"/>
  <c r="V180" i="74"/>
  <c r="U180" i="74"/>
  <c r="V179" i="74"/>
  <c r="U179" i="74"/>
  <c r="V178" i="74"/>
  <c r="U178" i="74"/>
  <c r="V177" i="74"/>
  <c r="U177" i="74"/>
  <c r="V176" i="74"/>
  <c r="Q176" i="74"/>
  <c r="Q188" i="74" s="1"/>
  <c r="Q200" i="74" s="1"/>
  <c r="Q212" i="74" s="1"/>
  <c r="Q224" i="74" s="1"/>
  <c r="Q236" i="74" s="1"/>
  <c r="Q248" i="74" s="1"/>
  <c r="Q260" i="74" s="1"/>
  <c r="Q272" i="74" s="1"/>
  <c r="Q284" i="74" s="1"/>
  <c r="Q296" i="74" s="1"/>
  <c r="Q308" i="74" s="1"/>
  <c r="Q320" i="74" s="1"/>
  <c r="Q332" i="74" s="1"/>
  <c r="Q344" i="74" s="1"/>
  <c r="Q356" i="74" s="1"/>
  <c r="Q368" i="74" s="1"/>
  <c r="Q380" i="74" s="1"/>
  <c r="Q392" i="74" s="1"/>
  <c r="Q404" i="74" s="1"/>
  <c r="Q416" i="74" s="1"/>
  <c r="Q428" i="74" s="1"/>
  <c r="Q440" i="74" s="1"/>
  <c r="Q452" i="74" s="1"/>
  <c r="Q464" i="74" s="1"/>
  <c r="Q476" i="74" s="1"/>
  <c r="Q488" i="74" s="1"/>
  <c r="Q500" i="74" s="1"/>
  <c r="U176" i="74"/>
  <c r="V175" i="74"/>
  <c r="U175" i="74"/>
  <c r="V174" i="74"/>
  <c r="U174" i="74"/>
  <c r="V173" i="74"/>
  <c r="U173" i="74"/>
  <c r="V172" i="74"/>
  <c r="U172" i="74"/>
  <c r="V171" i="74"/>
  <c r="U171" i="74"/>
  <c r="V170" i="74"/>
  <c r="U170" i="74"/>
  <c r="V169" i="74"/>
  <c r="R169" i="74"/>
  <c r="R181" i="74" s="1"/>
  <c r="R193" i="74" s="1"/>
  <c r="R205" i="74" s="1"/>
  <c r="R217" i="74" s="1"/>
  <c r="R229" i="74" s="1"/>
  <c r="R241" i="74" s="1"/>
  <c r="R253" i="74" s="1"/>
  <c r="R265" i="74" s="1"/>
  <c r="R277" i="74" s="1"/>
  <c r="R289" i="74" s="1"/>
  <c r="R301" i="74" s="1"/>
  <c r="R313" i="74" s="1"/>
  <c r="R325" i="74" s="1"/>
  <c r="R337" i="74" s="1"/>
  <c r="R349" i="74" s="1"/>
  <c r="R361" i="74" s="1"/>
  <c r="R373" i="74" s="1"/>
  <c r="R385" i="74" s="1"/>
  <c r="R397" i="74" s="1"/>
  <c r="R409" i="74" s="1"/>
  <c r="R421" i="74" s="1"/>
  <c r="R433" i="74" s="1"/>
  <c r="R445" i="74" s="1"/>
  <c r="R457" i="74" s="1"/>
  <c r="R469" i="74" s="1"/>
  <c r="R481" i="74" s="1"/>
  <c r="R493" i="74" s="1"/>
  <c r="R505" i="74" s="1"/>
  <c r="Q169" i="74"/>
  <c r="Q181" i="74" s="1"/>
  <c r="Q193" i="74" s="1"/>
  <c r="Q205" i="74" s="1"/>
  <c r="Q217" i="74" s="1"/>
  <c r="Q229" i="74" s="1"/>
  <c r="Q241" i="74" s="1"/>
  <c r="Q253" i="74" s="1"/>
  <c r="Q265" i="74" s="1"/>
  <c r="Q277" i="74" s="1"/>
  <c r="Q289" i="74" s="1"/>
  <c r="Q301" i="74" s="1"/>
  <c r="Q313" i="74" s="1"/>
  <c r="Q325" i="74" s="1"/>
  <c r="Q337" i="74" s="1"/>
  <c r="Q349" i="74" s="1"/>
  <c r="Q361" i="74" s="1"/>
  <c r="Q373" i="74" s="1"/>
  <c r="Q385" i="74" s="1"/>
  <c r="Q397" i="74" s="1"/>
  <c r="Q409" i="74" s="1"/>
  <c r="Q421" i="74" s="1"/>
  <c r="Q433" i="74" s="1"/>
  <c r="Q445" i="74" s="1"/>
  <c r="Q457" i="74" s="1"/>
  <c r="Q469" i="74" s="1"/>
  <c r="Q481" i="74" s="1"/>
  <c r="Q493" i="74" s="1"/>
  <c r="Q505" i="74" s="1"/>
  <c r="U169" i="74"/>
  <c r="V168" i="74"/>
  <c r="R168" i="74"/>
  <c r="R180" i="74" s="1"/>
  <c r="R192" i="74" s="1"/>
  <c r="R204" i="74" s="1"/>
  <c r="R216" i="74" s="1"/>
  <c r="R228" i="74" s="1"/>
  <c r="R240" i="74" s="1"/>
  <c r="R252" i="74" s="1"/>
  <c r="R264" i="74" s="1"/>
  <c r="R276" i="74" s="1"/>
  <c r="R288" i="74" s="1"/>
  <c r="R300" i="74" s="1"/>
  <c r="R312" i="74" s="1"/>
  <c r="R324" i="74" s="1"/>
  <c r="R336" i="74" s="1"/>
  <c r="R348" i="74" s="1"/>
  <c r="R360" i="74" s="1"/>
  <c r="R372" i="74" s="1"/>
  <c r="R384" i="74" s="1"/>
  <c r="R396" i="74" s="1"/>
  <c r="R408" i="74" s="1"/>
  <c r="R420" i="74" s="1"/>
  <c r="R432" i="74" s="1"/>
  <c r="R444" i="74" s="1"/>
  <c r="R456" i="74" s="1"/>
  <c r="R468" i="74" s="1"/>
  <c r="R480" i="74" s="1"/>
  <c r="R492" i="74" s="1"/>
  <c r="R504" i="74" s="1"/>
  <c r="Q168" i="74"/>
  <c r="Q180" i="74" s="1"/>
  <c r="Q192" i="74" s="1"/>
  <c r="Q204" i="74" s="1"/>
  <c r="Q216" i="74" s="1"/>
  <c r="Q228" i="74" s="1"/>
  <c r="Q240" i="74" s="1"/>
  <c r="Q252" i="74" s="1"/>
  <c r="Q264" i="74" s="1"/>
  <c r="Q276" i="74" s="1"/>
  <c r="Q288" i="74" s="1"/>
  <c r="Q300" i="74" s="1"/>
  <c r="Q312" i="74" s="1"/>
  <c r="Q324" i="74" s="1"/>
  <c r="Q336" i="74" s="1"/>
  <c r="Q348" i="74" s="1"/>
  <c r="Q360" i="74" s="1"/>
  <c r="Q372" i="74" s="1"/>
  <c r="Q384" i="74" s="1"/>
  <c r="Q396" i="74" s="1"/>
  <c r="Q408" i="74" s="1"/>
  <c r="Q420" i="74" s="1"/>
  <c r="Q432" i="74" s="1"/>
  <c r="Q444" i="74" s="1"/>
  <c r="Q456" i="74" s="1"/>
  <c r="Q468" i="74" s="1"/>
  <c r="Q480" i="74" s="1"/>
  <c r="Q492" i="74" s="1"/>
  <c r="Q504" i="74" s="1"/>
  <c r="U168" i="74"/>
  <c r="V167" i="74"/>
  <c r="R167" i="74"/>
  <c r="R179" i="74" s="1"/>
  <c r="R191" i="74" s="1"/>
  <c r="R203" i="74" s="1"/>
  <c r="R215" i="74" s="1"/>
  <c r="R227" i="74" s="1"/>
  <c r="R239" i="74" s="1"/>
  <c r="R251" i="74" s="1"/>
  <c r="R263" i="74" s="1"/>
  <c r="R275" i="74" s="1"/>
  <c r="R287" i="74" s="1"/>
  <c r="R299" i="74" s="1"/>
  <c r="R311" i="74" s="1"/>
  <c r="R323" i="74" s="1"/>
  <c r="R335" i="74" s="1"/>
  <c r="R347" i="74" s="1"/>
  <c r="R359" i="74" s="1"/>
  <c r="R371" i="74" s="1"/>
  <c r="R383" i="74" s="1"/>
  <c r="R395" i="74" s="1"/>
  <c r="R407" i="74" s="1"/>
  <c r="R419" i="74" s="1"/>
  <c r="R431" i="74" s="1"/>
  <c r="R443" i="74" s="1"/>
  <c r="R455" i="74" s="1"/>
  <c r="R467" i="74" s="1"/>
  <c r="R479" i="74" s="1"/>
  <c r="R491" i="74" s="1"/>
  <c r="R503" i="74" s="1"/>
  <c r="Q167" i="74"/>
  <c r="Q179" i="74" s="1"/>
  <c r="Q191" i="74" s="1"/>
  <c r="Q203" i="74" s="1"/>
  <c r="Q215" i="74" s="1"/>
  <c r="Q227" i="74" s="1"/>
  <c r="Q239" i="74" s="1"/>
  <c r="Q251" i="74" s="1"/>
  <c r="Q263" i="74" s="1"/>
  <c r="Q275" i="74" s="1"/>
  <c r="Q287" i="74" s="1"/>
  <c r="Q299" i="74" s="1"/>
  <c r="Q311" i="74" s="1"/>
  <c r="Q323" i="74" s="1"/>
  <c r="Q335" i="74" s="1"/>
  <c r="Q347" i="74" s="1"/>
  <c r="Q359" i="74" s="1"/>
  <c r="Q371" i="74" s="1"/>
  <c r="Q383" i="74" s="1"/>
  <c r="Q395" i="74" s="1"/>
  <c r="Q407" i="74" s="1"/>
  <c r="Q419" i="74" s="1"/>
  <c r="Q431" i="74" s="1"/>
  <c r="Q443" i="74" s="1"/>
  <c r="Q455" i="74" s="1"/>
  <c r="Q467" i="74" s="1"/>
  <c r="Q479" i="74" s="1"/>
  <c r="Q491" i="74" s="1"/>
  <c r="Q503" i="74" s="1"/>
  <c r="U167" i="74"/>
  <c r="V166" i="74"/>
  <c r="R166" i="74"/>
  <c r="R178" i="74" s="1"/>
  <c r="R190" i="74" s="1"/>
  <c r="R202" i="74" s="1"/>
  <c r="R214" i="74" s="1"/>
  <c r="R226" i="74" s="1"/>
  <c r="R238" i="74" s="1"/>
  <c r="R250" i="74" s="1"/>
  <c r="R262" i="74" s="1"/>
  <c r="R274" i="74" s="1"/>
  <c r="R286" i="74" s="1"/>
  <c r="R298" i="74" s="1"/>
  <c r="R310" i="74" s="1"/>
  <c r="R322" i="74" s="1"/>
  <c r="R334" i="74" s="1"/>
  <c r="R346" i="74" s="1"/>
  <c r="R358" i="74" s="1"/>
  <c r="R370" i="74" s="1"/>
  <c r="R382" i="74" s="1"/>
  <c r="R394" i="74" s="1"/>
  <c r="R406" i="74" s="1"/>
  <c r="R418" i="74" s="1"/>
  <c r="R430" i="74" s="1"/>
  <c r="R442" i="74" s="1"/>
  <c r="R454" i="74" s="1"/>
  <c r="R466" i="74" s="1"/>
  <c r="R478" i="74" s="1"/>
  <c r="R490" i="74" s="1"/>
  <c r="R502" i="74" s="1"/>
  <c r="Q166" i="74"/>
  <c r="Q178" i="74" s="1"/>
  <c r="Q190" i="74" s="1"/>
  <c r="Q202" i="74" s="1"/>
  <c r="Q214" i="74" s="1"/>
  <c r="Q226" i="74" s="1"/>
  <c r="Q238" i="74" s="1"/>
  <c r="Q250" i="74" s="1"/>
  <c r="Q262" i="74" s="1"/>
  <c r="Q274" i="74" s="1"/>
  <c r="Q286" i="74" s="1"/>
  <c r="Q298" i="74" s="1"/>
  <c r="Q310" i="74" s="1"/>
  <c r="Q322" i="74" s="1"/>
  <c r="Q334" i="74" s="1"/>
  <c r="Q346" i="74" s="1"/>
  <c r="Q358" i="74" s="1"/>
  <c r="Q370" i="74" s="1"/>
  <c r="Q382" i="74" s="1"/>
  <c r="Q394" i="74" s="1"/>
  <c r="Q406" i="74" s="1"/>
  <c r="Q418" i="74" s="1"/>
  <c r="Q430" i="74" s="1"/>
  <c r="Q442" i="74" s="1"/>
  <c r="Q454" i="74" s="1"/>
  <c r="Q466" i="74" s="1"/>
  <c r="Q478" i="74" s="1"/>
  <c r="Q490" i="74" s="1"/>
  <c r="Q502" i="74" s="1"/>
  <c r="U166" i="74"/>
  <c r="V165" i="74"/>
  <c r="R165" i="74"/>
  <c r="R177" i="74" s="1"/>
  <c r="R189" i="74" s="1"/>
  <c r="R201" i="74" s="1"/>
  <c r="R213" i="74" s="1"/>
  <c r="R225" i="74" s="1"/>
  <c r="R237" i="74" s="1"/>
  <c r="R249" i="74" s="1"/>
  <c r="R261" i="74" s="1"/>
  <c r="R273" i="74" s="1"/>
  <c r="R285" i="74" s="1"/>
  <c r="R297" i="74" s="1"/>
  <c r="R309" i="74" s="1"/>
  <c r="R321" i="74" s="1"/>
  <c r="R333" i="74" s="1"/>
  <c r="R345" i="74" s="1"/>
  <c r="R357" i="74" s="1"/>
  <c r="R369" i="74" s="1"/>
  <c r="R381" i="74" s="1"/>
  <c r="R393" i="74" s="1"/>
  <c r="R405" i="74" s="1"/>
  <c r="R417" i="74" s="1"/>
  <c r="R429" i="74" s="1"/>
  <c r="R441" i="74" s="1"/>
  <c r="R453" i="74" s="1"/>
  <c r="R465" i="74" s="1"/>
  <c r="R477" i="74" s="1"/>
  <c r="R489" i="74" s="1"/>
  <c r="R501" i="74" s="1"/>
  <c r="Q165" i="74"/>
  <c r="Q177" i="74" s="1"/>
  <c r="Q189" i="74" s="1"/>
  <c r="Q201" i="74" s="1"/>
  <c r="Q213" i="74" s="1"/>
  <c r="Q225" i="74" s="1"/>
  <c r="Q237" i="74" s="1"/>
  <c r="Q249" i="74" s="1"/>
  <c r="Q261" i="74" s="1"/>
  <c r="Q273" i="74" s="1"/>
  <c r="Q285" i="74" s="1"/>
  <c r="Q297" i="74" s="1"/>
  <c r="Q309" i="74" s="1"/>
  <c r="Q321" i="74" s="1"/>
  <c r="Q333" i="74" s="1"/>
  <c r="Q345" i="74" s="1"/>
  <c r="Q357" i="74" s="1"/>
  <c r="Q369" i="74" s="1"/>
  <c r="Q381" i="74" s="1"/>
  <c r="Q393" i="74" s="1"/>
  <c r="Q405" i="74" s="1"/>
  <c r="Q417" i="74" s="1"/>
  <c r="Q429" i="74" s="1"/>
  <c r="Q441" i="74" s="1"/>
  <c r="Q453" i="74" s="1"/>
  <c r="Q465" i="74" s="1"/>
  <c r="Q477" i="74" s="1"/>
  <c r="Q489" i="74" s="1"/>
  <c r="Q501" i="74" s="1"/>
  <c r="U165" i="74"/>
  <c r="V164" i="74"/>
  <c r="R164" i="74"/>
  <c r="R176" i="74" s="1"/>
  <c r="R188" i="74" s="1"/>
  <c r="R200" i="74" s="1"/>
  <c r="R212" i="74" s="1"/>
  <c r="R224" i="74" s="1"/>
  <c r="R236" i="74" s="1"/>
  <c r="R248" i="74" s="1"/>
  <c r="R260" i="74" s="1"/>
  <c r="R272" i="74" s="1"/>
  <c r="R284" i="74" s="1"/>
  <c r="R296" i="74" s="1"/>
  <c r="R308" i="74" s="1"/>
  <c r="R320" i="74" s="1"/>
  <c r="R332" i="74" s="1"/>
  <c r="R344" i="74" s="1"/>
  <c r="R356" i="74" s="1"/>
  <c r="R368" i="74" s="1"/>
  <c r="R380" i="74" s="1"/>
  <c r="R392" i="74" s="1"/>
  <c r="R404" i="74" s="1"/>
  <c r="R416" i="74" s="1"/>
  <c r="R428" i="74" s="1"/>
  <c r="R440" i="74" s="1"/>
  <c r="R452" i="74" s="1"/>
  <c r="R464" i="74" s="1"/>
  <c r="R476" i="74" s="1"/>
  <c r="R488" i="74" s="1"/>
  <c r="R500" i="74" s="1"/>
  <c r="Q164" i="74"/>
  <c r="U164" i="74"/>
  <c r="V163" i="74"/>
  <c r="U163" i="74"/>
  <c r="R163" i="74"/>
  <c r="R175" i="74" s="1"/>
  <c r="R187" i="74" s="1"/>
  <c r="R199" i="74" s="1"/>
  <c r="R211" i="74" s="1"/>
  <c r="R223" i="74" s="1"/>
  <c r="R235" i="74" s="1"/>
  <c r="R247" i="74" s="1"/>
  <c r="R259" i="74" s="1"/>
  <c r="R271" i="74" s="1"/>
  <c r="R283" i="74" s="1"/>
  <c r="R295" i="74" s="1"/>
  <c r="R307" i="74" s="1"/>
  <c r="R319" i="74" s="1"/>
  <c r="R331" i="74" s="1"/>
  <c r="R343" i="74" s="1"/>
  <c r="R355" i="74" s="1"/>
  <c r="R367" i="74" s="1"/>
  <c r="R379" i="74" s="1"/>
  <c r="R391" i="74" s="1"/>
  <c r="R403" i="74" s="1"/>
  <c r="R415" i="74" s="1"/>
  <c r="R427" i="74" s="1"/>
  <c r="R439" i="74" s="1"/>
  <c r="R451" i="74" s="1"/>
  <c r="R463" i="74" s="1"/>
  <c r="R475" i="74" s="1"/>
  <c r="R487" i="74" s="1"/>
  <c r="R499" i="74" s="1"/>
  <c r="Q163" i="74"/>
  <c r="Q175" i="74" s="1"/>
  <c r="Q187" i="74" s="1"/>
  <c r="Q199" i="74" s="1"/>
  <c r="Q211" i="74" s="1"/>
  <c r="Q223" i="74" s="1"/>
  <c r="Q235" i="74" s="1"/>
  <c r="Q247" i="74" s="1"/>
  <c r="Q259" i="74" s="1"/>
  <c r="Q271" i="74" s="1"/>
  <c r="Q283" i="74" s="1"/>
  <c r="Q295" i="74" s="1"/>
  <c r="Q307" i="74" s="1"/>
  <c r="Q319" i="74" s="1"/>
  <c r="Q331" i="74" s="1"/>
  <c r="Q343" i="74" s="1"/>
  <c r="Q355" i="74" s="1"/>
  <c r="Q367" i="74" s="1"/>
  <c r="Q379" i="74" s="1"/>
  <c r="Q391" i="74" s="1"/>
  <c r="Q403" i="74" s="1"/>
  <c r="Q415" i="74" s="1"/>
  <c r="Q427" i="74" s="1"/>
  <c r="Q439" i="74" s="1"/>
  <c r="Q451" i="74" s="1"/>
  <c r="Q463" i="74" s="1"/>
  <c r="Q475" i="74" s="1"/>
  <c r="Q487" i="74" s="1"/>
  <c r="Q499" i="74" s="1"/>
  <c r="V162" i="74"/>
  <c r="R162" i="74"/>
  <c r="R174" i="74" s="1"/>
  <c r="R186" i="74" s="1"/>
  <c r="R198" i="74" s="1"/>
  <c r="R210" i="74" s="1"/>
  <c r="R222" i="74" s="1"/>
  <c r="R234" i="74" s="1"/>
  <c r="R246" i="74" s="1"/>
  <c r="R258" i="74" s="1"/>
  <c r="R270" i="74" s="1"/>
  <c r="R282" i="74" s="1"/>
  <c r="R294" i="74" s="1"/>
  <c r="R306" i="74" s="1"/>
  <c r="R318" i="74" s="1"/>
  <c r="R330" i="74" s="1"/>
  <c r="R342" i="74" s="1"/>
  <c r="R354" i="74" s="1"/>
  <c r="R366" i="74" s="1"/>
  <c r="R378" i="74" s="1"/>
  <c r="R390" i="74" s="1"/>
  <c r="R402" i="74" s="1"/>
  <c r="R414" i="74" s="1"/>
  <c r="R426" i="74" s="1"/>
  <c r="R438" i="74" s="1"/>
  <c r="R450" i="74" s="1"/>
  <c r="R462" i="74" s="1"/>
  <c r="R474" i="74" s="1"/>
  <c r="R486" i="74" s="1"/>
  <c r="R498" i="74" s="1"/>
  <c r="Q162" i="74"/>
  <c r="Q174" i="74" s="1"/>
  <c r="Q186" i="74" s="1"/>
  <c r="Q198" i="74" s="1"/>
  <c r="Q210" i="74" s="1"/>
  <c r="Q222" i="74" s="1"/>
  <c r="Q234" i="74" s="1"/>
  <c r="Q246" i="74" s="1"/>
  <c r="Q258" i="74" s="1"/>
  <c r="Q270" i="74" s="1"/>
  <c r="Q282" i="74" s="1"/>
  <c r="Q294" i="74" s="1"/>
  <c r="Q306" i="74" s="1"/>
  <c r="Q318" i="74" s="1"/>
  <c r="Q330" i="74" s="1"/>
  <c r="Q342" i="74" s="1"/>
  <c r="Q354" i="74" s="1"/>
  <c r="Q366" i="74" s="1"/>
  <c r="Q378" i="74" s="1"/>
  <c r="Q390" i="74" s="1"/>
  <c r="Q402" i="74" s="1"/>
  <c r="Q414" i="74" s="1"/>
  <c r="Q426" i="74" s="1"/>
  <c r="Q438" i="74" s="1"/>
  <c r="Q450" i="74" s="1"/>
  <c r="Q462" i="74" s="1"/>
  <c r="Q474" i="74" s="1"/>
  <c r="Q486" i="74" s="1"/>
  <c r="Q498" i="74" s="1"/>
  <c r="U162" i="74"/>
  <c r="V161" i="74"/>
  <c r="R161" i="74"/>
  <c r="R173" i="74" s="1"/>
  <c r="R185" i="74" s="1"/>
  <c r="R197" i="74" s="1"/>
  <c r="R209" i="74" s="1"/>
  <c r="R221" i="74" s="1"/>
  <c r="R233" i="74" s="1"/>
  <c r="R245" i="74" s="1"/>
  <c r="R257" i="74" s="1"/>
  <c r="R269" i="74" s="1"/>
  <c r="R281" i="74" s="1"/>
  <c r="R293" i="74" s="1"/>
  <c r="R305" i="74" s="1"/>
  <c r="R317" i="74" s="1"/>
  <c r="R329" i="74" s="1"/>
  <c r="R341" i="74" s="1"/>
  <c r="R353" i="74" s="1"/>
  <c r="R365" i="74" s="1"/>
  <c r="R377" i="74" s="1"/>
  <c r="R389" i="74" s="1"/>
  <c r="R401" i="74" s="1"/>
  <c r="R413" i="74" s="1"/>
  <c r="R425" i="74" s="1"/>
  <c r="R437" i="74" s="1"/>
  <c r="R449" i="74" s="1"/>
  <c r="R461" i="74" s="1"/>
  <c r="R473" i="74" s="1"/>
  <c r="R485" i="74" s="1"/>
  <c r="R497" i="74" s="1"/>
  <c r="Q161" i="74"/>
  <c r="Q173" i="74" s="1"/>
  <c r="Q185" i="74" s="1"/>
  <c r="Q197" i="74" s="1"/>
  <c r="Q209" i="74" s="1"/>
  <c r="Q221" i="74" s="1"/>
  <c r="Q233" i="74" s="1"/>
  <c r="Q245" i="74" s="1"/>
  <c r="Q257" i="74" s="1"/>
  <c r="Q269" i="74" s="1"/>
  <c r="Q281" i="74" s="1"/>
  <c r="Q293" i="74" s="1"/>
  <c r="Q305" i="74" s="1"/>
  <c r="Q317" i="74" s="1"/>
  <c r="Q329" i="74" s="1"/>
  <c r="Q341" i="74" s="1"/>
  <c r="Q353" i="74" s="1"/>
  <c r="Q365" i="74" s="1"/>
  <c r="Q377" i="74" s="1"/>
  <c r="Q389" i="74" s="1"/>
  <c r="Q401" i="74" s="1"/>
  <c r="Q413" i="74" s="1"/>
  <c r="Q425" i="74" s="1"/>
  <c r="Q437" i="74" s="1"/>
  <c r="Q449" i="74" s="1"/>
  <c r="Q461" i="74" s="1"/>
  <c r="Q473" i="74" s="1"/>
  <c r="Q485" i="74" s="1"/>
  <c r="Q497" i="74" s="1"/>
  <c r="U161" i="74"/>
  <c r="V160" i="74"/>
  <c r="R160" i="74"/>
  <c r="R172" i="74" s="1"/>
  <c r="R184" i="74" s="1"/>
  <c r="R196" i="74" s="1"/>
  <c r="R208" i="74" s="1"/>
  <c r="R220" i="74" s="1"/>
  <c r="R232" i="74" s="1"/>
  <c r="R244" i="74" s="1"/>
  <c r="R256" i="74" s="1"/>
  <c r="R268" i="74" s="1"/>
  <c r="R280" i="74" s="1"/>
  <c r="R292" i="74" s="1"/>
  <c r="R304" i="74" s="1"/>
  <c r="R316" i="74" s="1"/>
  <c r="R328" i="74" s="1"/>
  <c r="R340" i="74" s="1"/>
  <c r="R352" i="74" s="1"/>
  <c r="R364" i="74" s="1"/>
  <c r="R376" i="74" s="1"/>
  <c r="R388" i="74" s="1"/>
  <c r="R400" i="74" s="1"/>
  <c r="R412" i="74" s="1"/>
  <c r="R424" i="74" s="1"/>
  <c r="R436" i="74" s="1"/>
  <c r="R448" i="74" s="1"/>
  <c r="R460" i="74" s="1"/>
  <c r="R472" i="74" s="1"/>
  <c r="R484" i="74" s="1"/>
  <c r="R496" i="74" s="1"/>
  <c r="Q160" i="74"/>
  <c r="Q172" i="74" s="1"/>
  <c r="Q184" i="74" s="1"/>
  <c r="Q196" i="74" s="1"/>
  <c r="Q208" i="74" s="1"/>
  <c r="Q220" i="74" s="1"/>
  <c r="Q232" i="74" s="1"/>
  <c r="Q244" i="74" s="1"/>
  <c r="Q256" i="74" s="1"/>
  <c r="Q268" i="74" s="1"/>
  <c r="Q280" i="74" s="1"/>
  <c r="Q292" i="74" s="1"/>
  <c r="Q304" i="74" s="1"/>
  <c r="Q316" i="74" s="1"/>
  <c r="Q328" i="74" s="1"/>
  <c r="Q340" i="74" s="1"/>
  <c r="Q352" i="74" s="1"/>
  <c r="Q364" i="74" s="1"/>
  <c r="Q376" i="74" s="1"/>
  <c r="Q388" i="74" s="1"/>
  <c r="Q400" i="74" s="1"/>
  <c r="Q412" i="74" s="1"/>
  <c r="Q424" i="74" s="1"/>
  <c r="Q436" i="74" s="1"/>
  <c r="Q448" i="74" s="1"/>
  <c r="Q460" i="74" s="1"/>
  <c r="Q472" i="74" s="1"/>
  <c r="Q484" i="74" s="1"/>
  <c r="Q496" i="74" s="1"/>
  <c r="U160" i="74"/>
  <c r="V159" i="74"/>
  <c r="R159" i="74"/>
  <c r="R171" i="74" s="1"/>
  <c r="R183" i="74" s="1"/>
  <c r="R195" i="74" s="1"/>
  <c r="R207" i="74" s="1"/>
  <c r="R219" i="74" s="1"/>
  <c r="R231" i="74" s="1"/>
  <c r="R243" i="74" s="1"/>
  <c r="R255" i="74" s="1"/>
  <c r="R267" i="74" s="1"/>
  <c r="R279" i="74" s="1"/>
  <c r="R291" i="74" s="1"/>
  <c r="R303" i="74" s="1"/>
  <c r="R315" i="74" s="1"/>
  <c r="R327" i="74" s="1"/>
  <c r="R339" i="74" s="1"/>
  <c r="R351" i="74" s="1"/>
  <c r="R363" i="74" s="1"/>
  <c r="R375" i="74" s="1"/>
  <c r="R387" i="74" s="1"/>
  <c r="R399" i="74" s="1"/>
  <c r="R411" i="74" s="1"/>
  <c r="R423" i="74" s="1"/>
  <c r="R435" i="74" s="1"/>
  <c r="R447" i="74" s="1"/>
  <c r="R459" i="74" s="1"/>
  <c r="R471" i="74" s="1"/>
  <c r="R483" i="74" s="1"/>
  <c r="R495" i="74" s="1"/>
  <c r="Q159" i="74"/>
  <c r="Q171" i="74" s="1"/>
  <c r="Q183" i="74" s="1"/>
  <c r="Q195" i="74" s="1"/>
  <c r="Q207" i="74" s="1"/>
  <c r="Q219" i="74" s="1"/>
  <c r="Q231" i="74" s="1"/>
  <c r="Q243" i="74" s="1"/>
  <c r="Q255" i="74" s="1"/>
  <c r="Q267" i="74" s="1"/>
  <c r="Q279" i="74" s="1"/>
  <c r="Q291" i="74" s="1"/>
  <c r="Q303" i="74" s="1"/>
  <c r="Q315" i="74" s="1"/>
  <c r="Q327" i="74" s="1"/>
  <c r="Q339" i="74" s="1"/>
  <c r="Q351" i="74" s="1"/>
  <c r="Q363" i="74" s="1"/>
  <c r="Q375" i="74" s="1"/>
  <c r="Q387" i="74" s="1"/>
  <c r="Q399" i="74" s="1"/>
  <c r="Q411" i="74" s="1"/>
  <c r="Q423" i="74" s="1"/>
  <c r="Q435" i="74" s="1"/>
  <c r="Q447" i="74" s="1"/>
  <c r="Q459" i="74" s="1"/>
  <c r="Q471" i="74" s="1"/>
  <c r="Q483" i="74" s="1"/>
  <c r="Q495" i="74" s="1"/>
  <c r="U159" i="74"/>
  <c r="V158" i="74"/>
  <c r="R158" i="74"/>
  <c r="R170" i="74" s="1"/>
  <c r="R182" i="74" s="1"/>
  <c r="R194" i="74" s="1"/>
  <c r="R206" i="74" s="1"/>
  <c r="R218" i="74" s="1"/>
  <c r="R230" i="74" s="1"/>
  <c r="R242" i="74" s="1"/>
  <c r="R254" i="74" s="1"/>
  <c r="R266" i="74" s="1"/>
  <c r="R278" i="74" s="1"/>
  <c r="R290" i="74" s="1"/>
  <c r="R302" i="74" s="1"/>
  <c r="R314" i="74" s="1"/>
  <c r="R326" i="74" s="1"/>
  <c r="R338" i="74" s="1"/>
  <c r="R350" i="74" s="1"/>
  <c r="R362" i="74" s="1"/>
  <c r="R374" i="74" s="1"/>
  <c r="R386" i="74" s="1"/>
  <c r="R398" i="74" s="1"/>
  <c r="R410" i="74" s="1"/>
  <c r="R422" i="74" s="1"/>
  <c r="R434" i="74" s="1"/>
  <c r="R446" i="74" s="1"/>
  <c r="R458" i="74" s="1"/>
  <c r="R470" i="74" s="1"/>
  <c r="R482" i="74" s="1"/>
  <c r="R494" i="74" s="1"/>
  <c r="Q158" i="74"/>
  <c r="Q170" i="74" s="1"/>
  <c r="Q182" i="74" s="1"/>
  <c r="Q194" i="74" s="1"/>
  <c r="Q206" i="74" s="1"/>
  <c r="Q218" i="74" s="1"/>
  <c r="Q230" i="74" s="1"/>
  <c r="Q242" i="74" s="1"/>
  <c r="Q254" i="74" s="1"/>
  <c r="Q266" i="74" s="1"/>
  <c r="Q278" i="74" s="1"/>
  <c r="Q290" i="74" s="1"/>
  <c r="Q302" i="74" s="1"/>
  <c r="Q314" i="74" s="1"/>
  <c r="Q326" i="74" s="1"/>
  <c r="Q338" i="74" s="1"/>
  <c r="Q350" i="74" s="1"/>
  <c r="Q362" i="74" s="1"/>
  <c r="Q374" i="74" s="1"/>
  <c r="Q386" i="74" s="1"/>
  <c r="Q398" i="74" s="1"/>
  <c r="Q410" i="74" s="1"/>
  <c r="Q422" i="74" s="1"/>
  <c r="Q434" i="74" s="1"/>
  <c r="Q446" i="74" s="1"/>
  <c r="Q458" i="74" s="1"/>
  <c r="Q470" i="74" s="1"/>
  <c r="Q482" i="74" s="1"/>
  <c r="Q494" i="74" s="1"/>
  <c r="U158" i="74"/>
  <c r="V157" i="74"/>
  <c r="U157" i="74"/>
  <c r="V156" i="74"/>
  <c r="U156" i="74"/>
  <c r="V155" i="74"/>
  <c r="U155" i="74"/>
  <c r="V154" i="74"/>
  <c r="U154" i="74"/>
  <c r="V153" i="74"/>
  <c r="U153" i="74"/>
  <c r="V152" i="74"/>
  <c r="U152" i="74"/>
  <c r="V151" i="74"/>
  <c r="U151" i="74"/>
  <c r="V150" i="74"/>
  <c r="U150" i="74"/>
  <c r="V149" i="74"/>
  <c r="U149" i="74"/>
  <c r="V148" i="74"/>
  <c r="U148" i="74"/>
  <c r="V147" i="74"/>
  <c r="U147" i="74"/>
  <c r="V146" i="74"/>
  <c r="U146" i="74"/>
  <c r="V145" i="74"/>
  <c r="U145" i="74"/>
  <c r="V144" i="74"/>
  <c r="U144" i="74"/>
  <c r="V143" i="74"/>
  <c r="U143" i="74"/>
  <c r="V142" i="74"/>
  <c r="U142" i="74"/>
  <c r="V141" i="74"/>
  <c r="U141" i="74"/>
  <c r="V140" i="74"/>
  <c r="U140" i="74"/>
  <c r="V139" i="74"/>
  <c r="U139" i="74"/>
  <c r="V138" i="74"/>
  <c r="U138" i="74"/>
  <c r="Y137" i="74"/>
  <c r="V137" i="74"/>
  <c r="U137" i="74"/>
  <c r="Y136" i="74"/>
  <c r="V136" i="74"/>
  <c r="U136" i="74"/>
  <c r="Y135" i="74"/>
  <c r="V135" i="74"/>
  <c r="U135" i="74"/>
  <c r="Y134" i="74"/>
  <c r="V134" i="74"/>
  <c r="U134" i="74"/>
  <c r="V133" i="74"/>
  <c r="U133" i="74"/>
  <c r="F133" i="74"/>
  <c r="V132" i="74"/>
  <c r="U132" i="74"/>
  <c r="F132" i="74"/>
  <c r="V131" i="74"/>
  <c r="U131" i="74"/>
  <c r="F131" i="74"/>
  <c r="V130" i="74"/>
  <c r="U130" i="74"/>
  <c r="F130" i="74"/>
  <c r="V129" i="74"/>
  <c r="U129" i="74"/>
  <c r="F129" i="74"/>
  <c r="V128" i="74"/>
  <c r="U128" i="74"/>
  <c r="F128" i="74"/>
  <c r="V127" i="74"/>
  <c r="U127" i="74"/>
  <c r="F127" i="74"/>
  <c r="V126" i="74"/>
  <c r="U126" i="74"/>
  <c r="F126" i="74"/>
  <c r="V125" i="74"/>
  <c r="U125" i="74"/>
  <c r="F125" i="74"/>
  <c r="V124" i="74"/>
  <c r="U124" i="74"/>
  <c r="F124" i="74"/>
  <c r="V123" i="74"/>
  <c r="U123" i="74"/>
  <c r="F123" i="74"/>
  <c r="V122" i="74"/>
  <c r="U122" i="74"/>
  <c r="F122" i="74"/>
  <c r="V121" i="74"/>
  <c r="U121" i="74"/>
  <c r="V120" i="74"/>
  <c r="U120" i="74"/>
  <c r="V119" i="74"/>
  <c r="U119" i="74"/>
  <c r="V118" i="74"/>
  <c r="U118" i="74"/>
  <c r="V117" i="74"/>
  <c r="U117" i="74"/>
  <c r="V116" i="74"/>
  <c r="U116" i="74"/>
  <c r="V115" i="74"/>
  <c r="U115" i="74"/>
  <c r="V114" i="74"/>
  <c r="U114" i="74"/>
  <c r="V113" i="74"/>
  <c r="U113" i="74"/>
  <c r="V112" i="74"/>
  <c r="U112" i="74"/>
  <c r="V111" i="74"/>
  <c r="U111" i="74"/>
  <c r="V110" i="74"/>
  <c r="U110" i="74"/>
  <c r="V109" i="74"/>
  <c r="U109" i="74"/>
  <c r="V108" i="74"/>
  <c r="U108" i="74"/>
  <c r="V107" i="74"/>
  <c r="U107" i="74"/>
  <c r="V106" i="74"/>
  <c r="U106" i="74"/>
  <c r="V105" i="74"/>
  <c r="U105" i="74"/>
  <c r="V104" i="74"/>
  <c r="U104" i="74"/>
  <c r="V103" i="74"/>
  <c r="U103" i="74"/>
  <c r="V102" i="74"/>
  <c r="U102" i="74"/>
  <c r="V101" i="74"/>
  <c r="U101" i="74"/>
  <c r="V100" i="74"/>
  <c r="U100" i="74"/>
  <c r="V99" i="74"/>
  <c r="U99" i="74"/>
  <c r="V98" i="74"/>
  <c r="U98" i="74"/>
  <c r="V97" i="74"/>
  <c r="U97" i="74"/>
  <c r="V96" i="74"/>
  <c r="U96" i="74"/>
  <c r="V95" i="74"/>
  <c r="U95" i="74"/>
  <c r="V94" i="74"/>
  <c r="U94" i="74"/>
  <c r="V93" i="74"/>
  <c r="U93" i="74"/>
  <c r="V92" i="74"/>
  <c r="U92" i="74"/>
  <c r="V91" i="74"/>
  <c r="U91" i="74"/>
  <c r="V90" i="74"/>
  <c r="U90" i="74"/>
  <c r="V89" i="74"/>
  <c r="U89" i="74"/>
  <c r="V88" i="74"/>
  <c r="U88" i="74"/>
  <c r="V87" i="74"/>
  <c r="U87" i="74"/>
  <c r="V86" i="74"/>
  <c r="U86" i="74"/>
  <c r="V85" i="74"/>
  <c r="U85" i="74"/>
  <c r="V84" i="74"/>
  <c r="U84" i="74"/>
  <c r="V83" i="74"/>
  <c r="U83" i="74"/>
  <c r="V82" i="74"/>
  <c r="U82" i="74"/>
  <c r="V81" i="74"/>
  <c r="U81" i="74"/>
  <c r="V80" i="74"/>
  <c r="U80" i="74"/>
  <c r="V79" i="74"/>
  <c r="U79" i="74"/>
  <c r="V78" i="74"/>
  <c r="U78" i="74"/>
  <c r="V77" i="74"/>
  <c r="U77" i="74"/>
  <c r="V76" i="74"/>
  <c r="U76" i="74"/>
  <c r="V75" i="74"/>
  <c r="U75" i="74"/>
  <c r="V74" i="74"/>
  <c r="U74" i="74"/>
  <c r="V73" i="74"/>
  <c r="U73" i="74"/>
  <c r="V72" i="74"/>
  <c r="U72" i="74"/>
  <c r="V71" i="74"/>
  <c r="U71" i="74"/>
  <c r="V70" i="74"/>
  <c r="U70" i="74"/>
  <c r="V69" i="74"/>
  <c r="U69" i="74"/>
  <c r="V68" i="74"/>
  <c r="U68" i="74"/>
  <c r="V67" i="74"/>
  <c r="U67" i="74"/>
  <c r="V66" i="74"/>
  <c r="U66" i="74"/>
  <c r="V65" i="74"/>
  <c r="U65" i="74"/>
  <c r="V64" i="74"/>
  <c r="U64" i="74"/>
  <c r="V63" i="74"/>
  <c r="U63" i="74"/>
  <c r="V62" i="74"/>
  <c r="U62" i="74"/>
  <c r="V61" i="74"/>
  <c r="U61" i="74"/>
  <c r="V60" i="74"/>
  <c r="U60" i="74"/>
  <c r="V59" i="74"/>
  <c r="U59" i="74"/>
  <c r="V58" i="74"/>
  <c r="U58" i="74"/>
  <c r="V57" i="74"/>
  <c r="U57" i="74"/>
  <c r="V56" i="74"/>
  <c r="U56" i="74"/>
  <c r="V55" i="74"/>
  <c r="U55" i="74"/>
  <c r="V54" i="74"/>
  <c r="U54" i="74"/>
  <c r="V53" i="74"/>
  <c r="U53" i="74"/>
  <c r="V52" i="74"/>
  <c r="U52" i="74"/>
  <c r="V51" i="74"/>
  <c r="U51" i="74"/>
  <c r="V50" i="74"/>
  <c r="U50" i="74"/>
  <c r="V49" i="74"/>
  <c r="U49" i="74"/>
  <c r="V48" i="74"/>
  <c r="U48" i="74"/>
  <c r="V47" i="74"/>
  <c r="U47" i="74"/>
  <c r="V46" i="74"/>
  <c r="U46" i="74"/>
  <c r="V45" i="74"/>
  <c r="U45" i="74"/>
  <c r="V44" i="74"/>
  <c r="U44" i="74"/>
  <c r="V43" i="74"/>
  <c r="U43" i="74"/>
  <c r="V42" i="74"/>
  <c r="U42" i="74"/>
  <c r="V41" i="74"/>
  <c r="U41" i="74"/>
  <c r="V40" i="74"/>
  <c r="U40" i="74"/>
  <c r="V39" i="74"/>
  <c r="U39" i="74"/>
  <c r="V38" i="74"/>
  <c r="U38" i="74"/>
  <c r="V37" i="74"/>
  <c r="U37" i="74"/>
  <c r="V36" i="74"/>
  <c r="U36" i="74"/>
  <c r="V35" i="74"/>
  <c r="U35" i="74"/>
  <c r="V34" i="74"/>
  <c r="U34" i="74"/>
  <c r="V33" i="74"/>
  <c r="U33" i="74"/>
  <c r="X32" i="74"/>
  <c r="V32" i="74"/>
  <c r="U32" i="74"/>
  <c r="V31" i="74"/>
  <c r="U31" i="74"/>
  <c r="V30" i="74"/>
  <c r="U30" i="74"/>
  <c r="V29" i="74"/>
  <c r="U29" i="74"/>
  <c r="V28" i="74"/>
  <c r="U28" i="74"/>
  <c r="V27" i="74"/>
  <c r="U27" i="74"/>
  <c r="V26" i="74"/>
  <c r="U26" i="74"/>
  <c r="V25" i="74"/>
  <c r="U25" i="74"/>
  <c r="V24" i="74"/>
  <c r="U24" i="74"/>
  <c r="V23" i="74"/>
  <c r="U23" i="74"/>
  <c r="V22" i="74"/>
  <c r="U22" i="74"/>
  <c r="V21" i="74"/>
  <c r="U21" i="74"/>
  <c r="V20" i="74"/>
  <c r="U20" i="74"/>
  <c r="V19" i="74"/>
  <c r="U19" i="74"/>
  <c r="V18" i="74"/>
  <c r="U18" i="74"/>
  <c r="V17" i="74"/>
  <c r="U17" i="74"/>
  <c r="V16" i="74"/>
  <c r="U16" i="74"/>
  <c r="V15" i="74"/>
  <c r="U15" i="74"/>
  <c r="V14" i="74"/>
  <c r="U14" i="74"/>
  <c r="V13" i="74"/>
  <c r="U13" i="74"/>
  <c r="I13" i="74"/>
  <c r="I12" i="74" s="1"/>
  <c r="V12" i="74"/>
  <c r="U12" i="74"/>
  <c r="V11" i="74"/>
  <c r="U11" i="74"/>
  <c r="I11" i="74"/>
  <c r="I10" i="74" s="1"/>
  <c r="I9" i="74" s="1"/>
  <c r="I8" i="74" s="1"/>
  <c r="I7" i="74" s="1"/>
  <c r="I6" i="74" s="1"/>
  <c r="I5" i="74" s="1"/>
  <c r="I4" i="74" s="1"/>
  <c r="I3" i="74" s="1"/>
  <c r="I2" i="74" s="1"/>
  <c r="V10" i="74"/>
  <c r="U10" i="74"/>
  <c r="V9" i="74"/>
  <c r="U9" i="74"/>
  <c r="V8" i="74"/>
  <c r="U8" i="74"/>
  <c r="V7" i="74"/>
  <c r="U7" i="74"/>
  <c r="V6" i="74"/>
  <c r="U6" i="74"/>
  <c r="V5" i="74"/>
  <c r="U5" i="74"/>
  <c r="V4" i="74"/>
  <c r="U4" i="74"/>
  <c r="V3" i="74"/>
  <c r="U3" i="74"/>
  <c r="W2" i="74"/>
  <c r="X2" i="74" s="1"/>
  <c r="V2" i="74"/>
  <c r="U2" i="74"/>
  <c r="E15" i="73"/>
  <c r="D15" i="73"/>
  <c r="E14" i="73"/>
  <c r="D14" i="73"/>
  <c r="E13" i="73"/>
  <c r="D13" i="73"/>
  <c r="E12" i="73"/>
  <c r="D12" i="73"/>
  <c r="E11" i="73"/>
  <c r="D11" i="73"/>
  <c r="E10" i="73"/>
  <c r="D10" i="73"/>
  <c r="E9" i="73"/>
  <c r="D9" i="73"/>
  <c r="E8" i="73"/>
  <c r="D8" i="73"/>
  <c r="C505" i="72"/>
  <c r="A505" i="72"/>
  <c r="A504" i="72"/>
  <c r="A503" i="72"/>
  <c r="A502" i="72"/>
  <c r="C501" i="72"/>
  <c r="A501" i="72"/>
  <c r="A500" i="72"/>
  <c r="A499" i="72"/>
  <c r="A498" i="72"/>
  <c r="C497" i="72"/>
  <c r="A497" i="72"/>
  <c r="A496" i="72"/>
  <c r="A495" i="72"/>
  <c r="A494" i="72"/>
  <c r="C493" i="72"/>
  <c r="C492" i="72"/>
  <c r="C491" i="72"/>
  <c r="C490" i="72"/>
  <c r="C489" i="72"/>
  <c r="C488" i="72"/>
  <c r="C487" i="72"/>
  <c r="C486" i="72"/>
  <c r="C485" i="72"/>
  <c r="C484" i="72"/>
  <c r="C483" i="72"/>
  <c r="C482" i="72"/>
  <c r="C481" i="72"/>
  <c r="C480" i="72"/>
  <c r="C479" i="72"/>
  <c r="C478" i="72"/>
  <c r="C477" i="72"/>
  <c r="C476" i="72"/>
  <c r="C475" i="72"/>
  <c r="C474" i="72"/>
  <c r="C473" i="72"/>
  <c r="C472" i="72"/>
  <c r="C471" i="72"/>
  <c r="C470" i="72"/>
  <c r="C469" i="72"/>
  <c r="C468" i="72"/>
  <c r="C467" i="72"/>
  <c r="C466" i="72"/>
  <c r="C465" i="72"/>
  <c r="C464" i="72"/>
  <c r="C463" i="72"/>
  <c r="C462" i="72"/>
  <c r="C461" i="72"/>
  <c r="C460" i="72"/>
  <c r="C459" i="72"/>
  <c r="C458" i="72"/>
  <c r="C457" i="72"/>
  <c r="C456" i="72"/>
  <c r="C455" i="72"/>
  <c r="C454" i="72"/>
  <c r="C453" i="72"/>
  <c r="C452" i="72"/>
  <c r="C451" i="72"/>
  <c r="C450" i="72"/>
  <c r="C449" i="72"/>
  <c r="C448" i="72"/>
  <c r="C447" i="72"/>
  <c r="C446" i="72"/>
  <c r="C445" i="72"/>
  <c r="C444" i="72"/>
  <c r="C443" i="72"/>
  <c r="C442" i="72"/>
  <c r="C441" i="72"/>
  <c r="C440" i="72"/>
  <c r="C439" i="72"/>
  <c r="C438" i="72"/>
  <c r="C437" i="72"/>
  <c r="C436" i="72"/>
  <c r="C435" i="72"/>
  <c r="C434" i="72"/>
  <c r="C433" i="72"/>
  <c r="C432" i="72"/>
  <c r="C431" i="72"/>
  <c r="C430" i="72"/>
  <c r="C429" i="72"/>
  <c r="C428" i="72"/>
  <c r="C427" i="72"/>
  <c r="C426" i="72"/>
  <c r="C425" i="72"/>
  <c r="C424" i="72"/>
  <c r="C423" i="72"/>
  <c r="C422" i="72"/>
  <c r="C421" i="72"/>
  <c r="C420" i="72"/>
  <c r="C419" i="72"/>
  <c r="C418" i="72"/>
  <c r="C417" i="72"/>
  <c r="C416" i="72"/>
  <c r="C415" i="72"/>
  <c r="C414" i="72"/>
  <c r="C413" i="72"/>
  <c r="C412" i="72"/>
  <c r="C411" i="72"/>
  <c r="C410" i="72"/>
  <c r="C409" i="72"/>
  <c r="C408" i="72"/>
  <c r="C407" i="72"/>
  <c r="C406" i="72"/>
  <c r="C405" i="72"/>
  <c r="C404" i="72"/>
  <c r="C403" i="72"/>
  <c r="C402" i="72"/>
  <c r="C401" i="72"/>
  <c r="C400" i="72"/>
  <c r="C399" i="72"/>
  <c r="C398" i="72"/>
  <c r="C397" i="72"/>
  <c r="C396" i="72"/>
  <c r="C395" i="72"/>
  <c r="C394" i="72"/>
  <c r="C393" i="72"/>
  <c r="C392" i="72"/>
  <c r="C391" i="72"/>
  <c r="C390" i="72"/>
  <c r="C389" i="72"/>
  <c r="C388" i="72"/>
  <c r="C387" i="72"/>
  <c r="C386" i="72"/>
  <c r="C385" i="72"/>
  <c r="C384" i="72"/>
  <c r="C383" i="72"/>
  <c r="C382" i="72"/>
  <c r="C381" i="72"/>
  <c r="C380" i="72"/>
  <c r="C379" i="72"/>
  <c r="C378" i="72"/>
  <c r="C377" i="72"/>
  <c r="C376" i="72"/>
  <c r="C375" i="72"/>
  <c r="C374" i="72"/>
  <c r="C373" i="72"/>
  <c r="C372" i="72"/>
  <c r="C371" i="72"/>
  <c r="C370" i="72"/>
  <c r="C369" i="72"/>
  <c r="C368" i="72"/>
  <c r="C367" i="72"/>
  <c r="C366" i="72"/>
  <c r="C365" i="72"/>
  <c r="C364" i="72"/>
  <c r="C363" i="72"/>
  <c r="C362" i="72"/>
  <c r="C361" i="72"/>
  <c r="C360" i="72"/>
  <c r="C359" i="72"/>
  <c r="C358" i="72"/>
  <c r="C357" i="72"/>
  <c r="C356" i="72"/>
  <c r="C355" i="72"/>
  <c r="C354" i="72"/>
  <c r="C353" i="72"/>
  <c r="C352" i="72"/>
  <c r="C351" i="72"/>
  <c r="C350" i="72"/>
  <c r="C349" i="72"/>
  <c r="C348" i="72"/>
  <c r="C347" i="72"/>
  <c r="C346" i="72"/>
  <c r="C345" i="72"/>
  <c r="C344" i="72"/>
  <c r="C343" i="72"/>
  <c r="C342" i="72"/>
  <c r="C341" i="72"/>
  <c r="C340" i="72"/>
  <c r="C339" i="72"/>
  <c r="C338" i="72"/>
  <c r="C337" i="72"/>
  <c r="C336" i="72"/>
  <c r="C335" i="72"/>
  <c r="C334" i="72"/>
  <c r="C333" i="72"/>
  <c r="C332" i="72"/>
  <c r="C331" i="72"/>
  <c r="C330" i="72"/>
  <c r="C329" i="72"/>
  <c r="C328" i="72"/>
  <c r="C327" i="72"/>
  <c r="C326" i="72"/>
  <c r="C325" i="72"/>
  <c r="C324" i="72"/>
  <c r="C323" i="72"/>
  <c r="C322" i="72"/>
  <c r="C321" i="72"/>
  <c r="C320" i="72"/>
  <c r="C319" i="72"/>
  <c r="C318" i="72"/>
  <c r="C317" i="72"/>
  <c r="C316" i="72"/>
  <c r="C315" i="72"/>
  <c r="C314" i="72"/>
  <c r="C313" i="72"/>
  <c r="C312" i="72"/>
  <c r="C311" i="72"/>
  <c r="C310" i="72"/>
  <c r="C309" i="72"/>
  <c r="C308" i="72"/>
  <c r="C307" i="72"/>
  <c r="C306" i="72"/>
  <c r="C305" i="72"/>
  <c r="C304" i="72"/>
  <c r="C303" i="72"/>
  <c r="C302" i="72"/>
  <c r="C301" i="72"/>
  <c r="C300" i="72"/>
  <c r="C299" i="72"/>
  <c r="C298" i="72"/>
  <c r="C297" i="72"/>
  <c r="C296" i="72"/>
  <c r="C295" i="72"/>
  <c r="C294" i="72"/>
  <c r="C293" i="72"/>
  <c r="C292" i="72"/>
  <c r="C291" i="72"/>
  <c r="C290" i="72"/>
  <c r="C289" i="72"/>
  <c r="C288" i="72"/>
  <c r="C287" i="72"/>
  <c r="C286" i="72"/>
  <c r="C285" i="72"/>
  <c r="C284" i="72"/>
  <c r="C283" i="72"/>
  <c r="C282" i="72"/>
  <c r="C281" i="72"/>
  <c r="C280" i="72"/>
  <c r="C279" i="72"/>
  <c r="C278" i="72"/>
  <c r="C277" i="72"/>
  <c r="C276" i="72"/>
  <c r="C275" i="72"/>
  <c r="C274" i="72"/>
  <c r="C273" i="72"/>
  <c r="C272" i="72"/>
  <c r="C271" i="72"/>
  <c r="C270" i="72"/>
  <c r="C269" i="72"/>
  <c r="C268" i="72"/>
  <c r="C267" i="72"/>
  <c r="C266" i="72"/>
  <c r="C265" i="72"/>
  <c r="C264" i="72"/>
  <c r="C263" i="72"/>
  <c r="C262" i="72"/>
  <c r="C261" i="72"/>
  <c r="C260" i="72"/>
  <c r="C259" i="72"/>
  <c r="C258" i="72"/>
  <c r="C257" i="72"/>
  <c r="C256" i="72"/>
  <c r="C255" i="72"/>
  <c r="C254" i="72"/>
  <c r="C253" i="72"/>
  <c r="C252" i="72"/>
  <c r="C251" i="72"/>
  <c r="C250" i="72"/>
  <c r="C249" i="72"/>
  <c r="C248" i="72"/>
  <c r="C247" i="72"/>
  <c r="C246" i="72"/>
  <c r="C245" i="72"/>
  <c r="C244" i="72"/>
  <c r="C243" i="72"/>
  <c r="C242" i="72"/>
  <c r="C241" i="72"/>
  <c r="C240" i="72"/>
  <c r="C239" i="72"/>
  <c r="C238" i="72"/>
  <c r="C237" i="72"/>
  <c r="C236" i="72"/>
  <c r="C235" i="72"/>
  <c r="C234" i="72"/>
  <c r="C233" i="72"/>
  <c r="C232" i="72"/>
  <c r="C231" i="72"/>
  <c r="C230" i="72"/>
  <c r="C229" i="72"/>
  <c r="C228" i="72"/>
  <c r="C227" i="72"/>
  <c r="C226" i="72"/>
  <c r="C225" i="72"/>
  <c r="C224" i="72"/>
  <c r="C223" i="72"/>
  <c r="C222" i="72"/>
  <c r="C221" i="72"/>
  <c r="C220" i="72"/>
  <c r="C219" i="72"/>
  <c r="C218" i="72"/>
  <c r="C217" i="72"/>
  <c r="C216" i="72"/>
  <c r="C215" i="72"/>
  <c r="C214" i="72"/>
  <c r="C213" i="72"/>
  <c r="C212" i="72"/>
  <c r="C211" i="72"/>
  <c r="C210" i="72"/>
  <c r="C209" i="72"/>
  <c r="C208" i="72"/>
  <c r="C207" i="72"/>
  <c r="C206" i="72"/>
  <c r="C205" i="72"/>
  <c r="C204" i="72"/>
  <c r="C203" i="72"/>
  <c r="C202" i="72"/>
  <c r="C201" i="72"/>
  <c r="C200" i="72"/>
  <c r="C199" i="72"/>
  <c r="C198" i="72"/>
  <c r="C197" i="72"/>
  <c r="C196" i="72"/>
  <c r="C195" i="72"/>
  <c r="C194" i="72"/>
  <c r="C193" i="72"/>
  <c r="C192" i="72"/>
  <c r="C191" i="72"/>
  <c r="C190" i="72"/>
  <c r="C189" i="72"/>
  <c r="C188" i="72"/>
  <c r="C187" i="72"/>
  <c r="C186" i="72"/>
  <c r="C185" i="72"/>
  <c r="C184" i="72"/>
  <c r="C183" i="72"/>
  <c r="C182" i="72"/>
  <c r="C181" i="72"/>
  <c r="C180" i="72"/>
  <c r="C179" i="72"/>
  <c r="C178" i="72"/>
  <c r="C177" i="72"/>
  <c r="C176" i="72"/>
  <c r="C175" i="72"/>
  <c r="C174" i="72"/>
  <c r="C173" i="72"/>
  <c r="C172" i="72"/>
  <c r="C171" i="72"/>
  <c r="C170" i="72"/>
  <c r="U169" i="72"/>
  <c r="S169" i="72"/>
  <c r="R169" i="72"/>
  <c r="P169" i="72"/>
  <c r="C169" i="72"/>
  <c r="U168" i="72"/>
  <c r="S168" i="72"/>
  <c r="R168" i="72"/>
  <c r="P168" i="72"/>
  <c r="C168" i="72"/>
  <c r="U167" i="72"/>
  <c r="S167" i="72"/>
  <c r="R167" i="72"/>
  <c r="P167" i="72"/>
  <c r="P173" i="72" s="1"/>
  <c r="P174" i="72" s="1"/>
  <c r="P166" i="72" s="1"/>
  <c r="C167" i="72"/>
  <c r="U166" i="72"/>
  <c r="S166" i="72"/>
  <c r="R166" i="72"/>
  <c r="C166" i="72"/>
  <c r="C165" i="72"/>
  <c r="C164" i="72"/>
  <c r="C163" i="72"/>
  <c r="C162" i="72"/>
  <c r="C161" i="72"/>
  <c r="C160" i="72"/>
  <c r="C159" i="72"/>
  <c r="C158" i="72"/>
  <c r="C157" i="72"/>
  <c r="C156" i="72"/>
  <c r="C155" i="72"/>
  <c r="C154" i="72"/>
  <c r="C153" i="72"/>
  <c r="C152" i="72"/>
  <c r="C151" i="72"/>
  <c r="C150" i="72"/>
  <c r="C149" i="72"/>
  <c r="C148" i="72"/>
  <c r="C147" i="72"/>
  <c r="C146" i="72"/>
  <c r="C145" i="72"/>
  <c r="C144" i="72"/>
  <c r="C143" i="72"/>
  <c r="C142" i="72"/>
  <c r="C141" i="72"/>
  <c r="C140" i="72"/>
  <c r="C139" i="72"/>
  <c r="C138" i="72"/>
  <c r="C137" i="72"/>
  <c r="C136" i="72"/>
  <c r="C135" i="72"/>
  <c r="C134" i="72"/>
  <c r="C133" i="72"/>
  <c r="C132" i="72"/>
  <c r="C131" i="72"/>
  <c r="C130" i="72"/>
  <c r="C129" i="72"/>
  <c r="C128" i="72"/>
  <c r="C127" i="72"/>
  <c r="C126" i="72"/>
  <c r="C125" i="72"/>
  <c r="C124" i="72"/>
  <c r="C123" i="72"/>
  <c r="C122" i="72"/>
  <c r="C121" i="72"/>
  <c r="C120" i="72"/>
  <c r="C119" i="72"/>
  <c r="C118" i="72"/>
  <c r="C117" i="72"/>
  <c r="C116" i="72"/>
  <c r="C115" i="72"/>
  <c r="C114" i="72"/>
  <c r="C113" i="72"/>
  <c r="C112" i="72"/>
  <c r="C111" i="72"/>
  <c r="C110" i="72"/>
  <c r="C109" i="72"/>
  <c r="C108" i="72"/>
  <c r="C107" i="72"/>
  <c r="C106" i="72"/>
  <c r="C105" i="72"/>
  <c r="C104" i="72"/>
  <c r="C103" i="72"/>
  <c r="C102" i="72"/>
  <c r="C101" i="72"/>
  <c r="C100" i="72"/>
  <c r="C99" i="72"/>
  <c r="C98" i="72"/>
  <c r="C97" i="72"/>
  <c r="C96" i="72"/>
  <c r="C95" i="72"/>
  <c r="C94" i="72"/>
  <c r="C93" i="72"/>
  <c r="C92" i="72"/>
  <c r="C91" i="72"/>
  <c r="C90" i="72"/>
  <c r="C89" i="72"/>
  <c r="C88" i="72"/>
  <c r="C87" i="72"/>
  <c r="C86" i="72"/>
  <c r="C85" i="72"/>
  <c r="C84" i="72"/>
  <c r="C83" i="72"/>
  <c r="C82" i="72"/>
  <c r="C81" i="72"/>
  <c r="C80" i="72"/>
  <c r="C79" i="72"/>
  <c r="C78" i="72"/>
  <c r="C77" i="72"/>
  <c r="C76" i="72"/>
  <c r="C75" i="72"/>
  <c r="C74" i="72"/>
  <c r="C73" i="72"/>
  <c r="C72" i="72"/>
  <c r="C71" i="72"/>
  <c r="C70" i="72"/>
  <c r="C69" i="72"/>
  <c r="C68" i="72"/>
  <c r="C67" i="72"/>
  <c r="C66" i="72"/>
  <c r="C65" i="72"/>
  <c r="C64" i="72"/>
  <c r="C63" i="72"/>
  <c r="C62" i="72"/>
  <c r="C61" i="72"/>
  <c r="C60" i="72"/>
  <c r="C59" i="72"/>
  <c r="C58" i="72"/>
  <c r="C57" i="72"/>
  <c r="C56" i="72"/>
  <c r="C55" i="72"/>
  <c r="C54" i="72"/>
  <c r="C53" i="72"/>
  <c r="C52" i="72"/>
  <c r="C51" i="72"/>
  <c r="C50" i="72"/>
  <c r="C49" i="72"/>
  <c r="C48" i="72"/>
  <c r="C47" i="72"/>
  <c r="C46" i="72"/>
  <c r="C45" i="72"/>
  <c r="C44" i="72"/>
  <c r="C43" i="72"/>
  <c r="C42" i="72"/>
  <c r="C41" i="72"/>
  <c r="C40" i="72"/>
  <c r="C39" i="72"/>
  <c r="C38" i="72"/>
  <c r="C37" i="72"/>
  <c r="C36" i="72"/>
  <c r="C35" i="72"/>
  <c r="C34" i="72"/>
  <c r="C33" i="72"/>
  <c r="C32" i="72"/>
  <c r="C31" i="72"/>
  <c r="C30" i="72"/>
  <c r="C29" i="72"/>
  <c r="C28" i="72"/>
  <c r="C27" i="72"/>
  <c r="C26" i="72"/>
  <c r="D25" i="72"/>
  <c r="D37" i="72" s="1"/>
  <c r="C25" i="72"/>
  <c r="D24" i="72"/>
  <c r="C24" i="72"/>
  <c r="D23" i="72"/>
  <c r="C23" i="72"/>
  <c r="D22" i="72"/>
  <c r="D34" i="72" s="1"/>
  <c r="C22" i="72"/>
  <c r="D21" i="72"/>
  <c r="D33" i="72" s="1"/>
  <c r="C21" i="72"/>
  <c r="D20" i="72"/>
  <c r="D32" i="72" s="1"/>
  <c r="C20" i="72"/>
  <c r="D19" i="72"/>
  <c r="D31" i="72" s="1"/>
  <c r="C19" i="72"/>
  <c r="D18" i="72"/>
  <c r="D30" i="72" s="1"/>
  <c r="C18" i="72"/>
  <c r="D17" i="72"/>
  <c r="D29" i="72" s="1"/>
  <c r="C17" i="72"/>
  <c r="D16" i="72"/>
  <c r="D28" i="72" s="1"/>
  <c r="C16" i="72"/>
  <c r="D15" i="72"/>
  <c r="D27" i="72" s="1"/>
  <c r="C15" i="72"/>
  <c r="D14" i="72"/>
  <c r="D26" i="72" s="1"/>
  <c r="C14" i="72"/>
  <c r="H13" i="72"/>
  <c r="C13" i="72"/>
  <c r="F12" i="72"/>
  <c r="C12" i="72"/>
  <c r="H11" i="72"/>
  <c r="C11" i="72"/>
  <c r="F10" i="72"/>
  <c r="C10" i="72"/>
  <c r="N9" i="72"/>
  <c r="N13" i="72" s="1"/>
  <c r="N17" i="72" s="1"/>
  <c r="N21" i="72" s="1"/>
  <c r="N25" i="72" s="1"/>
  <c r="N29" i="72" s="1"/>
  <c r="N33" i="72" s="1"/>
  <c r="N37" i="72" s="1"/>
  <c r="N41" i="72" s="1"/>
  <c r="N45" i="72" s="1"/>
  <c r="N49" i="72" s="1"/>
  <c r="N53" i="72" s="1"/>
  <c r="N57" i="72" s="1"/>
  <c r="N61" i="72" s="1"/>
  <c r="N65" i="72" s="1"/>
  <c r="N69" i="72" s="1"/>
  <c r="N73" i="72" s="1"/>
  <c r="N77" i="72" s="1"/>
  <c r="N81" i="72" s="1"/>
  <c r="N85" i="72" s="1"/>
  <c r="N89" i="72" s="1"/>
  <c r="N93" i="72" s="1"/>
  <c r="N97" i="72" s="1"/>
  <c r="N101" i="72" s="1"/>
  <c r="N105" i="72" s="1"/>
  <c r="N109" i="72" s="1"/>
  <c r="N113" i="72" s="1"/>
  <c r="N117" i="72" s="1"/>
  <c r="N121" i="72" s="1"/>
  <c r="N125" i="72" s="1"/>
  <c r="N129" i="72" s="1"/>
  <c r="N133" i="72" s="1"/>
  <c r="N137" i="72" s="1"/>
  <c r="N141" i="72" s="1"/>
  <c r="N145" i="72" s="1"/>
  <c r="N149" i="72" s="1"/>
  <c r="N153" i="72" s="1"/>
  <c r="N157" i="72" s="1"/>
  <c r="N161" i="72" s="1"/>
  <c r="N165" i="72" s="1"/>
  <c r="N169" i="72" s="1"/>
  <c r="M9" i="72"/>
  <c r="M13" i="72" s="1"/>
  <c r="H9" i="72"/>
  <c r="C9" i="72"/>
  <c r="N8" i="72"/>
  <c r="N12" i="72" s="1"/>
  <c r="N16" i="72" s="1"/>
  <c r="N20" i="72" s="1"/>
  <c r="N24" i="72" s="1"/>
  <c r="N28" i="72" s="1"/>
  <c r="N32" i="72" s="1"/>
  <c r="N36" i="72" s="1"/>
  <c r="N40" i="72" s="1"/>
  <c r="N44" i="72" s="1"/>
  <c r="N48" i="72" s="1"/>
  <c r="N52" i="72" s="1"/>
  <c r="N56" i="72" s="1"/>
  <c r="N60" i="72" s="1"/>
  <c r="N64" i="72" s="1"/>
  <c r="N68" i="72" s="1"/>
  <c r="N72" i="72" s="1"/>
  <c r="N76" i="72" s="1"/>
  <c r="N80" i="72" s="1"/>
  <c r="N84" i="72" s="1"/>
  <c r="N88" i="72" s="1"/>
  <c r="N92" i="72" s="1"/>
  <c r="N96" i="72" s="1"/>
  <c r="N100" i="72" s="1"/>
  <c r="N104" i="72" s="1"/>
  <c r="N108" i="72" s="1"/>
  <c r="N112" i="72" s="1"/>
  <c r="N116" i="72" s="1"/>
  <c r="N120" i="72" s="1"/>
  <c r="N124" i="72" s="1"/>
  <c r="N128" i="72" s="1"/>
  <c r="N132" i="72" s="1"/>
  <c r="N136" i="72" s="1"/>
  <c r="N140" i="72" s="1"/>
  <c r="N144" i="72" s="1"/>
  <c r="N148" i="72" s="1"/>
  <c r="N152" i="72" s="1"/>
  <c r="N156" i="72" s="1"/>
  <c r="N160" i="72" s="1"/>
  <c r="N164" i="72" s="1"/>
  <c r="N168" i="72" s="1"/>
  <c r="M8" i="72"/>
  <c r="O8" i="72" s="1"/>
  <c r="F8" i="72"/>
  <c r="C8" i="72"/>
  <c r="N7" i="72"/>
  <c r="O7" i="72" s="1"/>
  <c r="M7" i="72"/>
  <c r="M11" i="72" s="1"/>
  <c r="H7" i="72"/>
  <c r="C7" i="72"/>
  <c r="N6" i="72"/>
  <c r="N10" i="72" s="1"/>
  <c r="N14" i="72" s="1"/>
  <c r="N18" i="72" s="1"/>
  <c r="N22" i="72" s="1"/>
  <c r="N26" i="72" s="1"/>
  <c r="N30" i="72" s="1"/>
  <c r="N34" i="72" s="1"/>
  <c r="N38" i="72" s="1"/>
  <c r="N42" i="72" s="1"/>
  <c r="N46" i="72" s="1"/>
  <c r="N50" i="72" s="1"/>
  <c r="N54" i="72" s="1"/>
  <c r="N58" i="72" s="1"/>
  <c r="N62" i="72" s="1"/>
  <c r="N66" i="72" s="1"/>
  <c r="N70" i="72" s="1"/>
  <c r="N74" i="72" s="1"/>
  <c r="N78" i="72" s="1"/>
  <c r="N82" i="72" s="1"/>
  <c r="N86" i="72" s="1"/>
  <c r="N90" i="72" s="1"/>
  <c r="N94" i="72" s="1"/>
  <c r="N98" i="72" s="1"/>
  <c r="N102" i="72" s="1"/>
  <c r="N106" i="72" s="1"/>
  <c r="N110" i="72" s="1"/>
  <c r="N114" i="72" s="1"/>
  <c r="N118" i="72" s="1"/>
  <c r="N122" i="72" s="1"/>
  <c r="N126" i="72" s="1"/>
  <c r="N130" i="72" s="1"/>
  <c r="N134" i="72" s="1"/>
  <c r="N138" i="72" s="1"/>
  <c r="N142" i="72" s="1"/>
  <c r="N146" i="72" s="1"/>
  <c r="N150" i="72" s="1"/>
  <c r="N154" i="72" s="1"/>
  <c r="N158" i="72" s="1"/>
  <c r="N162" i="72" s="1"/>
  <c r="N166" i="72" s="1"/>
  <c r="M6" i="72"/>
  <c r="O6" i="72" s="1"/>
  <c r="F6" i="72"/>
  <c r="C6" i="72"/>
  <c r="O5" i="72"/>
  <c r="F5" i="72"/>
  <c r="C5" i="72"/>
  <c r="O4" i="72"/>
  <c r="F4" i="72"/>
  <c r="C4" i="72"/>
  <c r="O3" i="72"/>
  <c r="G3" i="72"/>
  <c r="F3" i="72"/>
  <c r="C3" i="72"/>
  <c r="O2" i="72"/>
  <c r="G13" i="72" s="1"/>
  <c r="I2" i="72"/>
  <c r="G2" i="72"/>
  <c r="F2" i="72"/>
  <c r="E2" i="72"/>
  <c r="C2" i="72"/>
  <c r="D38" i="72" l="1"/>
  <c r="H24" i="72"/>
  <c r="D40" i="72"/>
  <c r="D42" i="72"/>
  <c r="D44" i="72"/>
  <c r="D46" i="72"/>
  <c r="E25" i="72"/>
  <c r="I22" i="72"/>
  <c r="I20" i="72"/>
  <c r="I18" i="72"/>
  <c r="I16" i="72"/>
  <c r="I14" i="72"/>
  <c r="E21" i="72"/>
  <c r="E19" i="72"/>
  <c r="I17" i="72"/>
  <c r="I15" i="72"/>
  <c r="I25" i="72"/>
  <c r="I23" i="72"/>
  <c r="I21" i="72"/>
  <c r="I19" i="72"/>
  <c r="E17" i="72"/>
  <c r="E15" i="72"/>
  <c r="O15" i="74" s="1"/>
  <c r="E22" i="72"/>
  <c r="E20" i="72"/>
  <c r="E18" i="72"/>
  <c r="E16" i="72"/>
  <c r="E14" i="72"/>
  <c r="J14" i="72" s="1"/>
  <c r="M15" i="72"/>
  <c r="O11" i="72"/>
  <c r="M17" i="72"/>
  <c r="O13" i="72"/>
  <c r="D39" i="72"/>
  <c r="D41" i="72"/>
  <c r="D43" i="72"/>
  <c r="D45" i="72"/>
  <c r="D49" i="72"/>
  <c r="G4" i="72"/>
  <c r="E7" i="72"/>
  <c r="G8" i="72"/>
  <c r="I9" i="72"/>
  <c r="K9" i="72" s="1"/>
  <c r="O9" i="72"/>
  <c r="E11" i="72"/>
  <c r="G12" i="72"/>
  <c r="M12" i="72"/>
  <c r="I13" i="72"/>
  <c r="K13" i="72" s="1"/>
  <c r="F15" i="72"/>
  <c r="F17" i="72"/>
  <c r="F19" i="72"/>
  <c r="F21" i="72"/>
  <c r="F22" i="72"/>
  <c r="F23" i="72"/>
  <c r="F24" i="72"/>
  <c r="F25" i="72"/>
  <c r="D35" i="72"/>
  <c r="C502" i="72"/>
  <c r="N11" i="72"/>
  <c r="N15" i="72" s="1"/>
  <c r="N19" i="72" s="1"/>
  <c r="N23" i="72" s="1"/>
  <c r="N27" i="72" s="1"/>
  <c r="N31" i="72" s="1"/>
  <c r="N35" i="72" s="1"/>
  <c r="N39" i="72" s="1"/>
  <c r="N43" i="72" s="1"/>
  <c r="N47" i="72" s="1"/>
  <c r="N51" i="72" s="1"/>
  <c r="N55" i="72" s="1"/>
  <c r="N59" i="72" s="1"/>
  <c r="N63" i="72" s="1"/>
  <c r="N67" i="72" s="1"/>
  <c r="N71" i="72" s="1"/>
  <c r="N75" i="72" s="1"/>
  <c r="N79" i="72" s="1"/>
  <c r="N83" i="72" s="1"/>
  <c r="N87" i="72" s="1"/>
  <c r="N91" i="72" s="1"/>
  <c r="N95" i="72" s="1"/>
  <c r="N99" i="72" s="1"/>
  <c r="N103" i="72" s="1"/>
  <c r="N107" i="72" s="1"/>
  <c r="N111" i="72" s="1"/>
  <c r="N115" i="72" s="1"/>
  <c r="N119" i="72" s="1"/>
  <c r="N123" i="72" s="1"/>
  <c r="N127" i="72" s="1"/>
  <c r="N131" i="72" s="1"/>
  <c r="N135" i="72" s="1"/>
  <c r="N139" i="72" s="1"/>
  <c r="N143" i="72" s="1"/>
  <c r="N147" i="72" s="1"/>
  <c r="N151" i="72" s="1"/>
  <c r="N155" i="72" s="1"/>
  <c r="N159" i="72" s="1"/>
  <c r="N163" i="72" s="1"/>
  <c r="N167" i="72" s="1"/>
  <c r="G5" i="72"/>
  <c r="G6" i="72"/>
  <c r="I7" i="72"/>
  <c r="K7" i="72" s="1"/>
  <c r="E9" i="72"/>
  <c r="G10" i="72"/>
  <c r="M10" i="72"/>
  <c r="I11" i="72"/>
  <c r="K11" i="72" s="1"/>
  <c r="E13" i="72"/>
  <c r="F14" i="72"/>
  <c r="F16" i="72"/>
  <c r="F18" i="72"/>
  <c r="F20" i="72"/>
  <c r="P25" i="74"/>
  <c r="P21" i="74"/>
  <c r="O20" i="74"/>
  <c r="P17" i="74"/>
  <c r="O16" i="74"/>
  <c r="O25" i="74"/>
  <c r="J24" i="74"/>
  <c r="P22" i="74"/>
  <c r="O21" i="74"/>
  <c r="P18" i="74"/>
  <c r="O17" i="74"/>
  <c r="O13" i="74"/>
  <c r="O11" i="74"/>
  <c r="O9" i="74"/>
  <c r="O7" i="74"/>
  <c r="O2" i="74"/>
  <c r="P23" i="74"/>
  <c r="O22" i="74"/>
  <c r="P19" i="74"/>
  <c r="O18" i="74"/>
  <c r="O14" i="74"/>
  <c r="J13" i="74"/>
  <c r="J11" i="74"/>
  <c r="J9" i="74"/>
  <c r="J7" i="74"/>
  <c r="J6" i="74"/>
  <c r="P24" i="74"/>
  <c r="P20" i="74"/>
  <c r="O19" i="74"/>
  <c r="H2" i="72"/>
  <c r="K2" i="72" s="1"/>
  <c r="H3" i="72"/>
  <c r="H4" i="72"/>
  <c r="K4" i="72" s="1"/>
  <c r="H5" i="72"/>
  <c r="J5" i="74" s="1"/>
  <c r="H6" i="72"/>
  <c r="F7" i="72"/>
  <c r="H8" i="72"/>
  <c r="F9" i="72"/>
  <c r="H10" i="72"/>
  <c r="F11" i="72"/>
  <c r="H12" i="72"/>
  <c r="F13" i="72"/>
  <c r="G14" i="72"/>
  <c r="G15" i="72"/>
  <c r="G16" i="72"/>
  <c r="G17" i="72"/>
  <c r="G18" i="72"/>
  <c r="G19" i="72"/>
  <c r="G20" i="72"/>
  <c r="G21" i="72"/>
  <c r="G22" i="72"/>
  <c r="G23" i="72"/>
  <c r="G24" i="72"/>
  <c r="G25" i="72"/>
  <c r="D36" i="72"/>
  <c r="C498" i="72"/>
  <c r="E3" i="72"/>
  <c r="O3" i="74" s="1"/>
  <c r="I3" i="72"/>
  <c r="E4" i="72"/>
  <c r="O4" i="74" s="1"/>
  <c r="I4" i="72"/>
  <c r="E5" i="72"/>
  <c r="O5" i="74" s="1"/>
  <c r="I5" i="72"/>
  <c r="E6" i="72"/>
  <c r="O6" i="74" s="1"/>
  <c r="I6" i="72"/>
  <c r="G7" i="72"/>
  <c r="E8" i="72"/>
  <c r="O8" i="74" s="1"/>
  <c r="I8" i="72"/>
  <c r="G9" i="72"/>
  <c r="E10" i="72"/>
  <c r="O10" i="74" s="1"/>
  <c r="I10" i="72"/>
  <c r="G11" i="72"/>
  <c r="E12" i="72"/>
  <c r="O12" i="74" s="1"/>
  <c r="I12" i="72"/>
  <c r="H14" i="72"/>
  <c r="H15" i="72"/>
  <c r="K15" i="72" s="1"/>
  <c r="H16" i="72"/>
  <c r="K16" i="72" s="1"/>
  <c r="H17" i="72"/>
  <c r="H18" i="72"/>
  <c r="H19" i="72"/>
  <c r="K19" i="72" s="1"/>
  <c r="H20" i="72"/>
  <c r="K20" i="72" s="1"/>
  <c r="H21" i="72"/>
  <c r="H22" i="72"/>
  <c r="K22" i="72" s="1"/>
  <c r="H25" i="72"/>
  <c r="K25" i="72" s="1"/>
  <c r="C494" i="72"/>
  <c r="P16" i="74"/>
  <c r="C495" i="72"/>
  <c r="C499" i="72"/>
  <c r="C503" i="72"/>
  <c r="W3" i="74"/>
  <c r="C496" i="72"/>
  <c r="C500" i="72"/>
  <c r="C504" i="72"/>
  <c r="AL5" i="77"/>
  <c r="AO4" i="77"/>
  <c r="D4" i="77" s="1"/>
  <c r="AN4" i="77"/>
  <c r="B4" i="77" s="1"/>
  <c r="AV9" i="77"/>
  <c r="O9" i="77" s="1"/>
  <c r="O8" i="77"/>
  <c r="AV13" i="77"/>
  <c r="O13" i="77" s="1"/>
  <c r="O12" i="77"/>
  <c r="I14" i="77"/>
  <c r="AR15" i="77"/>
  <c r="AN16" i="77"/>
  <c r="B16" i="77" s="1"/>
  <c r="AO16" i="77"/>
  <c r="D16" i="77" s="1"/>
  <c r="G18" i="77"/>
  <c r="G19" i="77" s="1"/>
  <c r="AD23" i="77"/>
  <c r="AD24" i="77" s="1"/>
  <c r="AD25" i="77" s="1"/>
  <c r="AD26" i="77" s="1"/>
  <c r="N4" i="77"/>
  <c r="F5" i="77"/>
  <c r="I4" i="77"/>
  <c r="AR5" i="77"/>
  <c r="I5" i="77" s="1"/>
  <c r="AL13" i="77"/>
  <c r="AO12" i="77"/>
  <c r="D12" i="77" s="1"/>
  <c r="AN12" i="77"/>
  <c r="B12" i="77" s="1"/>
  <c r="I18" i="77"/>
  <c r="AV5" i="77"/>
  <c r="O5" i="77" s="1"/>
  <c r="O4" i="77"/>
  <c r="AR9" i="77"/>
  <c r="I8" i="77"/>
  <c r="N3" i="77"/>
  <c r="AN3" i="77"/>
  <c r="B3" i="77" s="1"/>
  <c r="AN11" i="77"/>
  <c r="B11" i="77" s="1"/>
  <c r="AO3" i="77"/>
  <c r="D3" i="77" s="1"/>
  <c r="AO11" i="77"/>
  <c r="D11" i="77" s="1"/>
  <c r="AD15" i="77"/>
  <c r="N12" i="80"/>
  <c r="N3" i="80" s="1"/>
  <c r="N4" i="80" s="1"/>
  <c r="N5" i="80" s="1"/>
  <c r="N6" i="80" s="1"/>
  <c r="N7" i="80" s="1"/>
  <c r="N8" i="80" s="1"/>
  <c r="N9" i="80" s="1"/>
  <c r="N10" i="80" s="1"/>
  <c r="N11" i="80" s="1"/>
  <c r="BK17" i="78"/>
  <c r="BL17" i="78" s="1"/>
  <c r="BK20" i="78"/>
  <c r="BL20" i="78" s="1"/>
  <c r="X12" i="80"/>
  <c r="BK24" i="78"/>
  <c r="BL24" i="78" s="1"/>
  <c r="U20" i="80"/>
  <c r="AC13" i="78"/>
  <c r="BL13" i="78"/>
  <c r="Y15" i="78"/>
  <c r="AG16" i="78"/>
  <c r="AP17" i="78"/>
  <c r="AT21" i="78"/>
  <c r="AE22" i="78"/>
  <c r="BB23" i="78"/>
  <c r="AX24" i="78"/>
  <c r="U33" i="80"/>
  <c r="AL26" i="78"/>
  <c r="AL25" i="78"/>
  <c r="AT26" i="78"/>
  <c r="AT25" i="78"/>
  <c r="Y28" i="78"/>
  <c r="Y27" i="78"/>
  <c r="AX27" i="78"/>
  <c r="AH38" i="78"/>
  <c r="AI37" i="78"/>
  <c r="Y37" i="78"/>
  <c r="X38" i="78"/>
  <c r="AC37" i="78"/>
  <c r="AB38" i="78" s="1"/>
  <c r="AW37" i="78"/>
  <c r="K12" i="80"/>
  <c r="K3" i="80" s="1"/>
  <c r="K4" i="80" s="1"/>
  <c r="K5" i="80" s="1"/>
  <c r="K6" i="80" s="1"/>
  <c r="K7" i="80" s="1"/>
  <c r="K8" i="80" s="1"/>
  <c r="K9" i="80" s="1"/>
  <c r="K10" i="80" s="1"/>
  <c r="K11" i="80" s="1"/>
  <c r="BK14" i="78"/>
  <c r="BL14" i="78" s="1"/>
  <c r="R12" i="80"/>
  <c r="R3" i="80" s="1"/>
  <c r="R4" i="80" s="1"/>
  <c r="R5" i="80" s="1"/>
  <c r="R6" i="80" s="1"/>
  <c r="R7" i="80" s="1"/>
  <c r="R8" i="80" s="1"/>
  <c r="R9" i="80" s="1"/>
  <c r="R10" i="80" s="1"/>
  <c r="R11" i="80" s="1"/>
  <c r="BK21" i="78"/>
  <c r="BL21" i="78" s="1"/>
  <c r="AX13" i="78"/>
  <c r="X19" i="77" s="1"/>
  <c r="X20" i="77" s="1"/>
  <c r="X21" i="77" s="1"/>
  <c r="X22" i="77" s="1"/>
  <c r="X23" i="77" s="1"/>
  <c r="X24" i="77" s="1"/>
  <c r="X25" i="77" s="1"/>
  <c r="X26" i="77" s="1"/>
  <c r="X27" i="77" s="1"/>
  <c r="X28" i="77" s="1"/>
  <c r="X29" i="77" s="1"/>
  <c r="X30" i="77" s="1"/>
  <c r="X31" i="77" s="1"/>
  <c r="X32" i="77" s="1"/>
  <c r="X33" i="77" s="1"/>
  <c r="X34" i="77" s="1"/>
  <c r="X35" i="77" s="1"/>
  <c r="X36" i="77" s="1"/>
  <c r="X37" i="77" s="1"/>
  <c r="X38" i="77" s="1"/>
  <c r="X39" i="77" s="1"/>
  <c r="X40" i="77" s="1"/>
  <c r="X41" i="77" s="1"/>
  <c r="X42" i="77" s="1"/>
  <c r="BK15" i="78"/>
  <c r="AG20" i="78"/>
  <c r="AL28" i="78"/>
  <c r="AL27" i="78"/>
  <c r="AT28" i="78"/>
  <c r="AT27" i="78"/>
  <c r="AY37" i="78"/>
  <c r="O12" i="80"/>
  <c r="O3" i="80" s="1"/>
  <c r="O4" i="80" s="1"/>
  <c r="O5" i="80" s="1"/>
  <c r="O6" i="80" s="1"/>
  <c r="O7" i="80" s="1"/>
  <c r="O8" i="80" s="1"/>
  <c r="O9" i="80" s="1"/>
  <c r="O10" i="80" s="1"/>
  <c r="O11" i="80" s="1"/>
  <c r="BK18" i="78"/>
  <c r="BL18" i="78" s="1"/>
  <c r="S12" i="80"/>
  <c r="S3" i="80" s="1"/>
  <c r="S4" i="80" s="1"/>
  <c r="S5" i="80" s="1"/>
  <c r="S6" i="80" s="1"/>
  <c r="S7" i="80" s="1"/>
  <c r="S8" i="80" s="1"/>
  <c r="S9" i="80" s="1"/>
  <c r="S10" i="80" s="1"/>
  <c r="S11" i="80" s="1"/>
  <c r="BK22" i="78"/>
  <c r="BL22" i="78" s="1"/>
  <c r="AG12" i="78"/>
  <c r="Y13" i="78"/>
  <c r="D19" i="77" s="1"/>
  <c r="D20" i="77" s="1"/>
  <c r="D21" i="77" s="1"/>
  <c r="D22" i="77" s="1"/>
  <c r="D23" i="77" s="1"/>
  <c r="D24" i="77" s="1"/>
  <c r="D25" i="77" s="1"/>
  <c r="D26" i="77" s="1"/>
  <c r="D27" i="77" s="1"/>
  <c r="AG13" i="78"/>
  <c r="AC14" i="78"/>
  <c r="AP15" i="78"/>
  <c r="Q21" i="77" s="1"/>
  <c r="Q22" i="77" s="1"/>
  <c r="Q23" i="77" s="1"/>
  <c r="Q24" i="77" s="1"/>
  <c r="Q25" i="77" s="1"/>
  <c r="Q26" i="77" s="1"/>
  <c r="Q27" i="77" s="1"/>
  <c r="Q28" i="77" s="1"/>
  <c r="Q29" i="77" s="1"/>
  <c r="Q30" i="77" s="1"/>
  <c r="AX16" i="78"/>
  <c r="AI18" i="78"/>
  <c r="AN19" i="78"/>
  <c r="Z25" i="77" s="1"/>
  <c r="Z26" i="77" s="1"/>
  <c r="Z27" i="77" s="1"/>
  <c r="Z28" i="77" s="1"/>
  <c r="Z29" i="77" s="1"/>
  <c r="Z30" i="77" s="1"/>
  <c r="Z31" i="77" s="1"/>
  <c r="Z32" i="77" s="1"/>
  <c r="Z33" i="77" s="1"/>
  <c r="Z34" i="77" s="1"/>
  <c r="Z35" i="77" s="1"/>
  <c r="Z36" i="77" s="1"/>
  <c r="Z37" i="77" s="1"/>
  <c r="Z38" i="77" s="1"/>
  <c r="Z39" i="77" s="1"/>
  <c r="Z40" i="77" s="1"/>
  <c r="Z41" i="77" s="1"/>
  <c r="Z42" i="77" s="1"/>
  <c r="BK19" i="78"/>
  <c r="BL19" i="78" s="1"/>
  <c r="AC20" i="78"/>
  <c r="Y21" i="78"/>
  <c r="AL21" i="78"/>
  <c r="AR23" i="78"/>
  <c r="S29" i="77" s="1"/>
  <c r="S30" i="77" s="1"/>
  <c r="S31" i="77" s="1"/>
  <c r="S32" i="77" s="1"/>
  <c r="S33" i="77" s="1"/>
  <c r="S34" i="77" s="1"/>
  <c r="S35" i="77" s="1"/>
  <c r="S36" i="77" s="1"/>
  <c r="S37" i="77" s="1"/>
  <c r="S38" i="77" s="1"/>
  <c r="S39" i="77" s="1"/>
  <c r="S40" i="77" s="1"/>
  <c r="S41" i="77" s="1"/>
  <c r="S42" i="77" s="1"/>
  <c r="AG24" i="78"/>
  <c r="AP26" i="78"/>
  <c r="AP25" i="78"/>
  <c r="AG27" i="78"/>
  <c r="AE37" i="78"/>
  <c r="AD38" i="78" s="1"/>
  <c r="V38" i="78"/>
  <c r="W37" i="78"/>
  <c r="AA37" i="78"/>
  <c r="Z38" i="78" s="1"/>
  <c r="AK37" i="78"/>
  <c r="L3" i="80"/>
  <c r="L4" i="80" s="1"/>
  <c r="L5" i="80" s="1"/>
  <c r="L6" i="80" s="1"/>
  <c r="L7" i="80" s="1"/>
  <c r="L8" i="80" s="1"/>
  <c r="L9" i="80" s="1"/>
  <c r="L10" i="80" s="1"/>
  <c r="L11" i="80" s="1"/>
  <c r="M12" i="80"/>
  <c r="M3" i="80" s="1"/>
  <c r="M4" i="80" s="1"/>
  <c r="M5" i="80" s="1"/>
  <c r="M6" i="80" s="1"/>
  <c r="M7" i="80" s="1"/>
  <c r="M8" i="80" s="1"/>
  <c r="M9" i="80" s="1"/>
  <c r="M10" i="80" s="1"/>
  <c r="M11" i="80" s="1"/>
  <c r="Y19" i="80"/>
  <c r="AC12" i="78"/>
  <c r="AX14" i="78"/>
  <c r="AL15" i="78"/>
  <c r="AB21" i="77" s="1"/>
  <c r="AB22" i="77" s="1"/>
  <c r="AB23" i="77" s="1"/>
  <c r="AB24" i="77" s="1"/>
  <c r="AB25" i="77" s="1"/>
  <c r="AB26" i="77" s="1"/>
  <c r="AB27" i="77" s="1"/>
  <c r="AB28" i="77" s="1"/>
  <c r="AB29" i="77" s="1"/>
  <c r="AB30" i="77" s="1"/>
  <c r="AB31" i="77" s="1"/>
  <c r="AB32" i="77" s="1"/>
  <c r="AB33" i="77" s="1"/>
  <c r="AB34" i="77" s="1"/>
  <c r="AB35" i="77" s="1"/>
  <c r="AB36" i="77" s="1"/>
  <c r="AB37" i="77" s="1"/>
  <c r="AB38" i="77" s="1"/>
  <c r="AB39" i="77" s="1"/>
  <c r="AB40" i="77" s="1"/>
  <c r="AB41" i="77" s="1"/>
  <c r="AB42" i="77" s="1"/>
  <c r="AT17" i="78"/>
  <c r="AE18" i="78"/>
  <c r="BB19" i="78"/>
  <c r="AX20" i="78"/>
  <c r="AI22" i="78"/>
  <c r="AN23" i="78"/>
  <c r="BK23" i="78"/>
  <c r="BL23" i="78" s="1"/>
  <c r="AC24" i="78"/>
  <c r="Y26" i="78"/>
  <c r="Y25" i="78"/>
  <c r="AC27" i="78"/>
  <c r="AP28" i="78"/>
  <c r="AP27" i="78"/>
  <c r="AG37" i="78"/>
  <c r="AF38" i="78"/>
  <c r="AM37" i="78"/>
  <c r="AE15" i="78"/>
  <c r="AI15" i="78"/>
  <c r="K21" i="77" s="1"/>
  <c r="K22" i="77" s="1"/>
  <c r="K23" i="77" s="1"/>
  <c r="K24" i="77" s="1"/>
  <c r="K25" i="77" s="1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K43" i="77" s="1"/>
  <c r="U25" i="80"/>
  <c r="Y26" i="80"/>
  <c r="U29" i="80"/>
  <c r="AC21" i="78"/>
  <c r="AG21" i="78"/>
  <c r="AX21" i="78"/>
  <c r="Y30" i="80"/>
  <c r="Y22" i="78"/>
  <c r="AL22" i="78"/>
  <c r="AP22" i="78"/>
  <c r="AT22" i="78"/>
  <c r="AE23" i="78"/>
  <c r="AI23" i="78"/>
  <c r="AE26" i="78"/>
  <c r="AI26" i="78"/>
  <c r="AE28" i="78"/>
  <c r="AI28" i="78"/>
  <c r="U37" i="80"/>
  <c r="Y39" i="80"/>
  <c r="U40" i="80"/>
  <c r="B36" i="78"/>
  <c r="F36" i="78"/>
  <c r="J36" i="78"/>
  <c r="AN36" i="78"/>
  <c r="AR36" i="78"/>
  <c r="AQ37" i="78" s="1"/>
  <c r="AV36" i="78"/>
  <c r="AU37" i="78" s="1"/>
  <c r="AZ36" i="78"/>
  <c r="BE62" i="78"/>
  <c r="BE72" i="78"/>
  <c r="AM129" i="78"/>
  <c r="M41" i="78" s="1"/>
  <c r="O49" i="80" s="1"/>
  <c r="M40" i="78"/>
  <c r="O48" i="80" s="1"/>
  <c r="R39" i="78"/>
  <c r="T47" i="80" s="1"/>
  <c r="BC128" i="78"/>
  <c r="AC29" i="78"/>
  <c r="AG29" i="78"/>
  <c r="AX29" i="78"/>
  <c r="AX35" i="78"/>
  <c r="C36" i="78"/>
  <c r="G36" i="78"/>
  <c r="K36" i="78"/>
  <c r="AJ37" i="78"/>
  <c r="BE60" i="78"/>
  <c r="BE70" i="78"/>
  <c r="BE124" i="78"/>
  <c r="BD125" i="78"/>
  <c r="U21" i="80"/>
  <c r="Y22" i="80"/>
  <c r="U23" i="80"/>
  <c r="Y24" i="80"/>
  <c r="U27" i="80"/>
  <c r="Y28" i="80"/>
  <c r="U31" i="80"/>
  <c r="Y32" i="80"/>
  <c r="Y33" i="80"/>
  <c r="U34" i="80"/>
  <c r="Y35" i="80"/>
  <c r="BD27" i="78"/>
  <c r="U36" i="80"/>
  <c r="T29" i="78"/>
  <c r="Y29" i="78"/>
  <c r="AL29" i="78"/>
  <c r="AP29" i="78"/>
  <c r="AT29" i="78"/>
  <c r="U38" i="80"/>
  <c r="AC30" i="78"/>
  <c r="AG30" i="78"/>
  <c r="AX30" i="78"/>
  <c r="W31" i="78"/>
  <c r="B37" i="77" s="1"/>
  <c r="B38" i="77" s="1"/>
  <c r="B39" i="77" s="1"/>
  <c r="B40" i="77" s="1"/>
  <c r="B41" i="77" s="1"/>
  <c r="B42" i="77" s="1"/>
  <c r="AN31" i="78"/>
  <c r="AR31" i="78"/>
  <c r="BB31" i="78"/>
  <c r="AE32" i="78"/>
  <c r="AI32" i="78"/>
  <c r="S33" i="78"/>
  <c r="X41" i="80" s="1"/>
  <c r="Y33" i="78"/>
  <c r="AL33" i="78"/>
  <c r="AP33" i="78"/>
  <c r="AT33" i="78"/>
  <c r="U42" i="80"/>
  <c r="AE35" i="78"/>
  <c r="AI35" i="78"/>
  <c r="H36" i="78"/>
  <c r="AL36" i="78"/>
  <c r="AP36" i="78"/>
  <c r="AO37" i="78" s="1"/>
  <c r="AT36" i="78"/>
  <c r="AS37" i="78" s="1"/>
  <c r="AX36" i="78"/>
  <c r="BB36" i="78"/>
  <c r="BA37" i="78" s="1"/>
  <c r="D38" i="78"/>
  <c r="E46" i="80" s="1"/>
  <c r="D39" i="78"/>
  <c r="E47" i="80" s="1"/>
  <c r="D40" i="78"/>
  <c r="E48" i="80" s="1"/>
  <c r="BE58" i="78"/>
  <c r="BE68" i="78"/>
  <c r="BE76" i="78"/>
  <c r="D41" i="78"/>
  <c r="E49" i="80" s="1"/>
  <c r="AQ128" i="78"/>
  <c r="L39" i="78"/>
  <c r="K47" i="80" s="1"/>
  <c r="AY128" i="78"/>
  <c r="P39" i="78"/>
  <c r="R47" i="80" s="1"/>
  <c r="Y21" i="80"/>
  <c r="Y23" i="80"/>
  <c r="U26" i="80"/>
  <c r="Y27" i="80"/>
  <c r="U30" i="80"/>
  <c r="Y31" i="80"/>
  <c r="Y34" i="80"/>
  <c r="Y36" i="80"/>
  <c r="Y38" i="80"/>
  <c r="BD35" i="78"/>
  <c r="E36" i="78"/>
  <c r="I36" i="78"/>
  <c r="D37" i="78"/>
  <c r="E45" i="80" s="1"/>
  <c r="BE56" i="78"/>
  <c r="BE64" i="78"/>
  <c r="BE74" i="78"/>
  <c r="AK128" i="78"/>
  <c r="N39" i="78"/>
  <c r="P47" i="80" s="1"/>
  <c r="AS129" i="78"/>
  <c r="O41" i="78" s="1"/>
  <c r="Q49" i="80" s="1"/>
  <c r="O40" i="78"/>
  <c r="Q48" i="80" s="1"/>
  <c r="BA129" i="78"/>
  <c r="Q41" i="78" s="1"/>
  <c r="S49" i="80" s="1"/>
  <c r="Q40" i="78"/>
  <c r="S48" i="80" s="1"/>
  <c r="BD78" i="78"/>
  <c r="K11" i="81"/>
  <c r="L12" i="81"/>
  <c r="O13" i="81"/>
  <c r="O14" i="81"/>
  <c r="P33" i="81"/>
  <c r="O33" i="81"/>
  <c r="J13" i="81"/>
  <c r="P34" i="81"/>
  <c r="O34" i="81"/>
  <c r="J15" i="81"/>
  <c r="J16" i="81"/>
  <c r="J17" i="81"/>
  <c r="J18" i="81"/>
  <c r="J19" i="81"/>
  <c r="J20" i="81"/>
  <c r="J21" i="81"/>
  <c r="J22" i="81"/>
  <c r="J23" i="81"/>
  <c r="J24" i="81"/>
  <c r="K26" i="81"/>
  <c r="L26" i="81" s="1"/>
  <c r="J26" i="81"/>
  <c r="K28" i="81"/>
  <c r="L28" i="81" s="1"/>
  <c r="J28" i="81"/>
  <c r="K30" i="81"/>
  <c r="L30" i="81" s="1"/>
  <c r="J30" i="81"/>
  <c r="K32" i="81"/>
  <c r="L32" i="81" s="1"/>
  <c r="J32" i="81"/>
  <c r="P35" i="81"/>
  <c r="P38" i="81"/>
  <c r="O38" i="81"/>
  <c r="H44" i="81"/>
  <c r="H45" i="81" s="1"/>
  <c r="H46" i="81" s="1"/>
  <c r="H47" i="81" s="1"/>
  <c r="H48" i="81" s="1"/>
  <c r="H49" i="81" s="1"/>
  <c r="I43" i="81"/>
  <c r="O15" i="81"/>
  <c r="O16" i="81"/>
  <c r="O17" i="81"/>
  <c r="O18" i="81"/>
  <c r="O19" i="81"/>
  <c r="O20" i="81"/>
  <c r="O21" i="81"/>
  <c r="O22" i="81"/>
  <c r="O23" i="81"/>
  <c r="O24" i="81"/>
  <c r="K36" i="81"/>
  <c r="L36" i="81" s="1"/>
  <c r="J36" i="81"/>
  <c r="P37" i="81"/>
  <c r="O37" i="81"/>
  <c r="P42" i="81"/>
  <c r="O42" i="81"/>
  <c r="K25" i="81"/>
  <c r="L25" i="81" s="1"/>
  <c r="J25" i="81"/>
  <c r="K27" i="81"/>
  <c r="L27" i="81" s="1"/>
  <c r="J27" i="81"/>
  <c r="K29" i="81"/>
  <c r="L29" i="81" s="1"/>
  <c r="J29" i="81"/>
  <c r="K31" i="81"/>
  <c r="L31" i="81" s="1"/>
  <c r="J31" i="81"/>
  <c r="K40" i="81"/>
  <c r="L40" i="81" s="1"/>
  <c r="J40" i="81"/>
  <c r="P41" i="81"/>
  <c r="O41" i="81"/>
  <c r="I44" i="81"/>
  <c r="F45" i="81"/>
  <c r="J33" i="81"/>
  <c r="J37" i="81"/>
  <c r="J41" i="81"/>
  <c r="K6" i="72" l="1"/>
  <c r="J19" i="74"/>
  <c r="J25" i="72"/>
  <c r="J20" i="74"/>
  <c r="J25" i="74"/>
  <c r="J16" i="74"/>
  <c r="J21" i="72"/>
  <c r="AQ38" i="78"/>
  <c r="AR37" i="78"/>
  <c r="AZ37" i="78"/>
  <c r="AY38" i="78" s="1"/>
  <c r="AF43" i="77"/>
  <c r="BD79" i="78"/>
  <c r="BE78" i="78"/>
  <c r="S34" i="78"/>
  <c r="X42" i="80" s="1"/>
  <c r="BD36" i="78"/>
  <c r="BD37" i="78" s="1"/>
  <c r="BD38" i="78" s="1"/>
  <c r="BD39" i="78" s="1"/>
  <c r="BD40" i="78" s="1"/>
  <c r="BD41" i="78" s="1"/>
  <c r="BD42" i="78" s="1"/>
  <c r="BD43" i="78" s="1"/>
  <c r="G44" i="80"/>
  <c r="E37" i="78"/>
  <c r="AY129" i="78"/>
  <c r="P41" i="78" s="1"/>
  <c r="R49" i="80" s="1"/>
  <c r="P40" i="78"/>
  <c r="R48" i="80" s="1"/>
  <c r="AT37" i="78"/>
  <c r="AS38" i="78"/>
  <c r="BD126" i="78"/>
  <c r="BE125" i="78"/>
  <c r="AJ38" i="78"/>
  <c r="BC129" i="78"/>
  <c r="R41" i="78" s="1"/>
  <c r="T49" i="80" s="1"/>
  <c r="R40" i="78"/>
  <c r="T48" i="80" s="1"/>
  <c r="C44" i="80"/>
  <c r="B37" i="78"/>
  <c r="AG38" i="78"/>
  <c r="AF39" i="78" s="1"/>
  <c r="W38" i="78"/>
  <c r="V39" i="78" s="1"/>
  <c r="AX37" i="78"/>
  <c r="AW38" i="78"/>
  <c r="I15" i="77"/>
  <c r="AR16" i="77"/>
  <c r="I16" i="77" s="1"/>
  <c r="AO5" i="77"/>
  <c r="D5" i="77" s="1"/>
  <c r="AN5" i="77"/>
  <c r="B5" i="77" s="1"/>
  <c r="K21" i="72"/>
  <c r="J21" i="74"/>
  <c r="K17" i="72"/>
  <c r="J17" i="74"/>
  <c r="D48" i="72"/>
  <c r="K10" i="72"/>
  <c r="X43" i="77"/>
  <c r="K18" i="72"/>
  <c r="J18" i="74"/>
  <c r="N44" i="80"/>
  <c r="K37" i="78"/>
  <c r="AL37" i="78"/>
  <c r="AB43" i="77" s="1"/>
  <c r="AE38" i="78"/>
  <c r="AD39" i="78" s="1"/>
  <c r="D28" i="77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D41" i="77" s="1"/>
  <c r="D42" i="77" s="1"/>
  <c r="D43" i="77" s="1"/>
  <c r="AC38" i="78"/>
  <c r="AB39" i="78" s="1"/>
  <c r="AI38" i="78"/>
  <c r="K44" i="77" s="1"/>
  <c r="AH39" i="78"/>
  <c r="W38" i="76"/>
  <c r="W40" i="76"/>
  <c r="W39" i="76"/>
  <c r="W36" i="76"/>
  <c r="W29" i="76"/>
  <c r="W25" i="76"/>
  <c r="W21" i="76"/>
  <c r="W17" i="76"/>
  <c r="W13" i="76"/>
  <c r="W9" i="76"/>
  <c r="W5" i="76"/>
  <c r="W35" i="76"/>
  <c r="W30" i="76"/>
  <c r="W26" i="76"/>
  <c r="W22" i="76"/>
  <c r="W18" i="76"/>
  <c r="W14" i="76"/>
  <c r="W10" i="76"/>
  <c r="W6" i="76"/>
  <c r="W2" i="76"/>
  <c r="W34" i="76"/>
  <c r="W31" i="76"/>
  <c r="W27" i="76"/>
  <c r="W23" i="76"/>
  <c r="W19" i="76"/>
  <c r="W15" i="76"/>
  <c r="W11" i="76"/>
  <c r="W7" i="76"/>
  <c r="W3" i="76"/>
  <c r="W37" i="76"/>
  <c r="W33" i="76"/>
  <c r="W32" i="76"/>
  <c r="W28" i="76"/>
  <c r="W24" i="76"/>
  <c r="W20" i="76"/>
  <c r="W16" i="76"/>
  <c r="W12" i="76"/>
  <c r="W8" i="76"/>
  <c r="W4" i="76"/>
  <c r="G20" i="77"/>
  <c r="G21" i="77" s="1"/>
  <c r="G22" i="77" s="1"/>
  <c r="G23" i="77" s="1"/>
  <c r="G24" i="77" s="1"/>
  <c r="G25" i="77" s="1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G41" i="77" s="1"/>
  <c r="G42" i="77" s="1"/>
  <c r="G43" i="77" s="1"/>
  <c r="G44" i="77" s="1"/>
  <c r="J22" i="74"/>
  <c r="J2" i="74"/>
  <c r="AU38" i="78"/>
  <c r="BE37" i="78"/>
  <c r="AV37" i="78"/>
  <c r="V43" i="77"/>
  <c r="AM38" i="78"/>
  <c r="AN37" i="78"/>
  <c r="Z43" i="77" s="1"/>
  <c r="AR10" i="77"/>
  <c r="I9" i="77"/>
  <c r="K14" i="72"/>
  <c r="J14" i="74"/>
  <c r="K3" i="72"/>
  <c r="J3" i="74"/>
  <c r="AP37" i="78"/>
  <c r="AO38" i="78" s="1"/>
  <c r="J44" i="81"/>
  <c r="K44" i="81"/>
  <c r="L44" i="81" s="1"/>
  <c r="P40" i="81"/>
  <c r="O40" i="81"/>
  <c r="Q40" i="81" s="1"/>
  <c r="P29" i="81"/>
  <c r="O29" i="81"/>
  <c r="P25" i="81"/>
  <c r="O25" i="81"/>
  <c r="Q25" i="81" s="1"/>
  <c r="P32" i="81"/>
  <c r="O32" i="81"/>
  <c r="P28" i="81"/>
  <c r="O28" i="81"/>
  <c r="BB37" i="78"/>
  <c r="BA38" i="78"/>
  <c r="AH43" i="77"/>
  <c r="AA38" i="78"/>
  <c r="Z39" i="78" s="1"/>
  <c r="F44" i="77"/>
  <c r="S43" i="77"/>
  <c r="Q31" i="77"/>
  <c r="Q32" i="77" s="1"/>
  <c r="Q33" i="77" s="1"/>
  <c r="Q34" i="77" s="1"/>
  <c r="Q35" i="77" s="1"/>
  <c r="Q36" i="77" s="1"/>
  <c r="Q37" i="77" s="1"/>
  <c r="Q38" i="77" s="1"/>
  <c r="Q39" i="77" s="1"/>
  <c r="Q40" i="77" s="1"/>
  <c r="Q41" i="77" s="1"/>
  <c r="Q42" i="77" s="1"/>
  <c r="Y38" i="78"/>
  <c r="X39" i="78" s="1"/>
  <c r="I19" i="77"/>
  <c r="I20" i="77" s="1"/>
  <c r="I21" i="77" s="1"/>
  <c r="I22" i="77" s="1"/>
  <c r="I23" i="77" s="1"/>
  <c r="I24" i="77" s="1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AD27" i="77"/>
  <c r="AD28" i="77" s="1"/>
  <c r="AD29" i="77" s="1"/>
  <c r="AD30" i="77" s="1"/>
  <c r="AD31" i="77" s="1"/>
  <c r="AD32" i="77" s="1"/>
  <c r="AD33" i="77" s="1"/>
  <c r="AD34" i="77" s="1"/>
  <c r="AD35" i="77" s="1"/>
  <c r="AD36" i="77" s="1"/>
  <c r="AD37" i="77" s="1"/>
  <c r="AD38" i="77" s="1"/>
  <c r="AD39" i="77" s="1"/>
  <c r="AD40" i="77" s="1"/>
  <c r="AD41" i="77" s="1"/>
  <c r="AD42" i="77" s="1"/>
  <c r="AD43" i="77" s="1"/>
  <c r="J10" i="74"/>
  <c r="M14" i="72"/>
  <c r="O10" i="72"/>
  <c r="D55" i="72"/>
  <c r="D51" i="72"/>
  <c r="J18" i="72"/>
  <c r="J15" i="72"/>
  <c r="J19" i="72"/>
  <c r="D47" i="72"/>
  <c r="D61" i="72"/>
  <c r="D57" i="72"/>
  <c r="D53" i="72"/>
  <c r="M19" i="72"/>
  <c r="O15" i="72"/>
  <c r="J20" i="72"/>
  <c r="J17" i="72"/>
  <c r="P31" i="81"/>
  <c r="O31" i="81"/>
  <c r="Q31" i="81" s="1"/>
  <c r="P27" i="81"/>
  <c r="R27" i="81" s="1"/>
  <c r="O27" i="81"/>
  <c r="Q22" i="81"/>
  <c r="Q18" i="81"/>
  <c r="K43" i="81"/>
  <c r="L43" i="81" s="1"/>
  <c r="J43" i="81"/>
  <c r="R14" i="81"/>
  <c r="O12" i="81"/>
  <c r="R13" i="81"/>
  <c r="AK129" i="78"/>
  <c r="N41" i="78" s="1"/>
  <c r="P49" i="80" s="1"/>
  <c r="N40" i="78"/>
  <c r="P48" i="80" s="1"/>
  <c r="AQ129" i="78"/>
  <c r="L41" i="78" s="1"/>
  <c r="K49" i="80" s="1"/>
  <c r="L40" i="78"/>
  <c r="K48" i="80" s="1"/>
  <c r="F44" i="80"/>
  <c r="G37" i="78"/>
  <c r="L44" i="80"/>
  <c r="M44" i="80" s="1"/>
  <c r="J37" i="78"/>
  <c r="F6" i="77"/>
  <c r="N5" i="77"/>
  <c r="K5" i="72"/>
  <c r="J15" i="74"/>
  <c r="I31" i="72"/>
  <c r="E31" i="72"/>
  <c r="G29" i="72"/>
  <c r="E27" i="72"/>
  <c r="I27" i="72"/>
  <c r="J22" i="72"/>
  <c r="E23" i="72"/>
  <c r="I30" i="72"/>
  <c r="D54" i="72"/>
  <c r="G28" i="72"/>
  <c r="D50" i="72"/>
  <c r="H26" i="72"/>
  <c r="I45" i="81"/>
  <c r="F46" i="81"/>
  <c r="P36" i="81"/>
  <c r="R36" i="81" s="1"/>
  <c r="O36" i="81"/>
  <c r="Q36" i="81" s="1"/>
  <c r="Q21" i="81"/>
  <c r="Q17" i="81"/>
  <c r="R35" i="81"/>
  <c r="P30" i="81"/>
  <c r="O30" i="81"/>
  <c r="Q30" i="81" s="1"/>
  <c r="P26" i="81"/>
  <c r="R26" i="81" s="1"/>
  <c r="O26" i="81"/>
  <c r="Q26" i="81" s="1"/>
  <c r="Q34" i="81"/>
  <c r="Q33" i="81"/>
  <c r="K10" i="81"/>
  <c r="L11" i="81"/>
  <c r="J44" i="80"/>
  <c r="I37" i="78"/>
  <c r="I44" i="80"/>
  <c r="H37" i="78"/>
  <c r="Y41" i="80"/>
  <c r="W41" i="76"/>
  <c r="D44" i="80"/>
  <c r="C37" i="78"/>
  <c r="H44" i="80"/>
  <c r="F37" i="78"/>
  <c r="BL15" i="78"/>
  <c r="BL26" i="78" s="1"/>
  <c r="BL28" i="78" s="1"/>
  <c r="BK16" i="78"/>
  <c r="BL16" i="78" s="1"/>
  <c r="AO13" i="77"/>
  <c r="D13" i="77" s="1"/>
  <c r="AN13" i="77"/>
  <c r="B13" i="77" s="1"/>
  <c r="X3" i="74"/>
  <c r="W4" i="74"/>
  <c r="K12" i="72"/>
  <c r="K8" i="72"/>
  <c r="J4" i="74"/>
  <c r="J8" i="74"/>
  <c r="J12" i="74"/>
  <c r="M16" i="72"/>
  <c r="O12" i="72"/>
  <c r="H23" i="72"/>
  <c r="F31" i="72"/>
  <c r="P31" i="74" s="1"/>
  <c r="H31" i="72"/>
  <c r="I29" i="72"/>
  <c r="F27" i="72"/>
  <c r="P27" i="74" s="1"/>
  <c r="H27" i="72"/>
  <c r="M21" i="72"/>
  <c r="O17" i="72"/>
  <c r="J16" i="72"/>
  <c r="I24" i="72"/>
  <c r="K24" i="72" s="1"/>
  <c r="E24" i="72"/>
  <c r="D58" i="72"/>
  <c r="D56" i="72"/>
  <c r="E30" i="72"/>
  <c r="H30" i="72"/>
  <c r="D52" i="72"/>
  <c r="AC39" i="78" l="1"/>
  <c r="AB40" i="78"/>
  <c r="X40" i="78"/>
  <c r="Y39" i="78"/>
  <c r="AA39" i="78"/>
  <c r="Z40" i="78"/>
  <c r="F45" i="77"/>
  <c r="AE39" i="78"/>
  <c r="AD40" i="78"/>
  <c r="AF40" i="78"/>
  <c r="AG39" i="78"/>
  <c r="BM9" i="78"/>
  <c r="F54" i="80" s="1"/>
  <c r="BM6" i="78"/>
  <c r="C54" i="80" s="1"/>
  <c r="BM5" i="78"/>
  <c r="BM7" i="78"/>
  <c r="D54" i="80" s="1"/>
  <c r="BM11" i="78"/>
  <c r="H54" i="80" s="1"/>
  <c r="BM8" i="78"/>
  <c r="E54" i="80" s="1"/>
  <c r="BM10" i="78"/>
  <c r="G54" i="80" s="1"/>
  <c r="BM12" i="78"/>
  <c r="I54" i="80" s="1"/>
  <c r="BM24" i="78"/>
  <c r="BM21" i="78"/>
  <c r="R54" i="80" s="1"/>
  <c r="BM23" i="78"/>
  <c r="T54" i="80" s="1"/>
  <c r="BM13" i="78"/>
  <c r="J54" i="80" s="1"/>
  <c r="BM20" i="78"/>
  <c r="Q54" i="80" s="1"/>
  <c r="BM22" i="78"/>
  <c r="S54" i="80" s="1"/>
  <c r="BM14" i="78"/>
  <c r="K54" i="80" s="1"/>
  <c r="BM19" i="78"/>
  <c r="P54" i="80" s="1"/>
  <c r="BM18" i="78"/>
  <c r="O54" i="80" s="1"/>
  <c r="BM17" i="78"/>
  <c r="N54" i="80" s="1"/>
  <c r="AO39" i="78"/>
  <c r="AP38" i="78"/>
  <c r="W39" i="78"/>
  <c r="V40" i="78" s="1"/>
  <c r="AZ38" i="78"/>
  <c r="AY39" i="78" s="1"/>
  <c r="AF44" i="77"/>
  <c r="D45" i="80"/>
  <c r="C38" i="78"/>
  <c r="I45" i="80"/>
  <c r="H38" i="78"/>
  <c r="D62" i="72"/>
  <c r="J27" i="72"/>
  <c r="O27" i="74"/>
  <c r="D73" i="72"/>
  <c r="J30" i="72"/>
  <c r="O30" i="74"/>
  <c r="K9" i="81"/>
  <c r="L10" i="81"/>
  <c r="F47" i="81"/>
  <c r="I46" i="81"/>
  <c r="L45" i="80"/>
  <c r="M45" i="80" s="1"/>
  <c r="J38" i="78"/>
  <c r="G41" i="72"/>
  <c r="D64" i="72"/>
  <c r="H45" i="80"/>
  <c r="F38" i="78"/>
  <c r="J45" i="80"/>
  <c r="I38" i="78"/>
  <c r="K45" i="81"/>
  <c r="L45" i="81" s="1"/>
  <c r="J45" i="81"/>
  <c r="G32" i="72"/>
  <c r="J31" i="72"/>
  <c r="O31" i="74"/>
  <c r="E37" i="72"/>
  <c r="Q35" i="81"/>
  <c r="Q39" i="81"/>
  <c r="R42" i="81"/>
  <c r="R31" i="81"/>
  <c r="D69" i="72"/>
  <c r="I35" i="72"/>
  <c r="D59" i="72"/>
  <c r="E47" i="72"/>
  <c r="D63" i="72"/>
  <c r="H43" i="72"/>
  <c r="I26" i="72"/>
  <c r="E26" i="72"/>
  <c r="H28" i="72"/>
  <c r="E28" i="72"/>
  <c r="G30" i="72"/>
  <c r="H32" i="72"/>
  <c r="F32" i="72"/>
  <c r="P32" i="74" s="1"/>
  <c r="G34" i="72"/>
  <c r="G27" i="72"/>
  <c r="E29" i="72"/>
  <c r="G31" i="72"/>
  <c r="I33" i="72"/>
  <c r="G37" i="72"/>
  <c r="G26" i="72"/>
  <c r="I28" i="72"/>
  <c r="F28" i="72"/>
  <c r="P28" i="74" s="1"/>
  <c r="F30" i="72"/>
  <c r="P30" i="74" s="1"/>
  <c r="E32" i="72"/>
  <c r="I32" i="72"/>
  <c r="E34" i="72"/>
  <c r="H29" i="72"/>
  <c r="F29" i="72"/>
  <c r="P29" i="74" s="1"/>
  <c r="H33" i="72"/>
  <c r="F33" i="72"/>
  <c r="P33" i="74" s="1"/>
  <c r="I37" i="72"/>
  <c r="I45" i="77"/>
  <c r="Q43" i="77"/>
  <c r="Q44" i="77" s="1"/>
  <c r="R32" i="81"/>
  <c r="Q23" i="81"/>
  <c r="Q29" i="81"/>
  <c r="P44" i="81"/>
  <c r="R44" i="81" s="1"/>
  <c r="O44" i="81"/>
  <c r="Q44" i="81" s="1"/>
  <c r="Q20" i="81"/>
  <c r="Q41" i="81"/>
  <c r="G45" i="77"/>
  <c r="G36" i="72"/>
  <c r="D60" i="72"/>
  <c r="H48" i="72"/>
  <c r="AX38" i="78"/>
  <c r="AW39" i="78" s="1"/>
  <c r="C45" i="80"/>
  <c r="B38" i="78"/>
  <c r="AJ39" i="78"/>
  <c r="AT38" i="78"/>
  <c r="AS39" i="78" s="1"/>
  <c r="G45" i="80"/>
  <c r="E38" i="78"/>
  <c r="F26" i="72"/>
  <c r="P26" i="74" s="1"/>
  <c r="X4" i="74"/>
  <c r="W5" i="74"/>
  <c r="F37" i="72"/>
  <c r="P37" i="74" s="1"/>
  <c r="R12" i="81"/>
  <c r="R23" i="81"/>
  <c r="R20" i="81"/>
  <c r="R21" i="81"/>
  <c r="R39" i="81"/>
  <c r="R18" i="81"/>
  <c r="R17" i="81"/>
  <c r="R15" i="81"/>
  <c r="R16" i="81"/>
  <c r="R22" i="81"/>
  <c r="R24" i="81"/>
  <c r="R19" i="81"/>
  <c r="R38" i="81"/>
  <c r="G35" i="72"/>
  <c r="H44" i="72"/>
  <c r="D68" i="72"/>
  <c r="F34" i="72"/>
  <c r="P34" i="74" s="1"/>
  <c r="K23" i="72"/>
  <c r="J23" i="74"/>
  <c r="I40" i="72"/>
  <c r="F40" i="72"/>
  <c r="P40" i="74" s="1"/>
  <c r="H46" i="72"/>
  <c r="J24" i="72"/>
  <c r="O24" i="74"/>
  <c r="M25" i="72"/>
  <c r="O21" i="72"/>
  <c r="K31" i="72"/>
  <c r="J31" i="74"/>
  <c r="H37" i="72"/>
  <c r="BM16" i="78"/>
  <c r="M54" i="80" s="1"/>
  <c r="R30" i="81"/>
  <c r="K26" i="72"/>
  <c r="J26" i="74"/>
  <c r="H38" i="72"/>
  <c r="E42" i="72"/>
  <c r="D66" i="72"/>
  <c r="H34" i="72"/>
  <c r="N6" i="77"/>
  <c r="F7" i="77"/>
  <c r="F45" i="80"/>
  <c r="G38" i="78"/>
  <c r="O43" i="81"/>
  <c r="Q43" i="81" s="1"/>
  <c r="P43" i="81"/>
  <c r="R43" i="81" s="1"/>
  <c r="Q27" i="81"/>
  <c r="R41" i="81"/>
  <c r="M23" i="72"/>
  <c r="O19" i="72"/>
  <c r="I41" i="72"/>
  <c r="G45" i="72"/>
  <c r="E35" i="72"/>
  <c r="F35" i="72"/>
  <c r="P35" i="74" s="1"/>
  <c r="G43" i="72"/>
  <c r="M18" i="72"/>
  <c r="O14" i="72"/>
  <c r="Q28" i="81"/>
  <c r="Q38" i="81"/>
  <c r="R37" i="81"/>
  <c r="R29" i="81"/>
  <c r="AK38" i="78"/>
  <c r="Q16" i="81"/>
  <c r="H36" i="72"/>
  <c r="F36" i="72"/>
  <c r="P36" i="74" s="1"/>
  <c r="BD80" i="78"/>
  <c r="BE79" i="78"/>
  <c r="S35" i="78"/>
  <c r="X43" i="80" s="1"/>
  <c r="K30" i="72"/>
  <c r="J30" i="74"/>
  <c r="K27" i="72"/>
  <c r="J27" i="74"/>
  <c r="BM15" i="78"/>
  <c r="L54" i="80" s="1"/>
  <c r="R11" i="81"/>
  <c r="O11" i="81"/>
  <c r="I42" i="72"/>
  <c r="I34" i="72"/>
  <c r="G33" i="72"/>
  <c r="D65" i="72"/>
  <c r="H35" i="72"/>
  <c r="I43" i="72"/>
  <c r="D67" i="72"/>
  <c r="BB38" i="78"/>
  <c r="BA39" i="78" s="1"/>
  <c r="AH44" i="77"/>
  <c r="R28" i="81"/>
  <c r="AN38" i="78"/>
  <c r="Z44" i="77" s="1"/>
  <c r="BE38" i="78"/>
  <c r="AV38" i="78"/>
  <c r="AU39" i="78" s="1"/>
  <c r="V44" i="77"/>
  <c r="AI39" i="78"/>
  <c r="K45" i="77" s="1"/>
  <c r="D44" i="77"/>
  <c r="D45" i="77" s="1"/>
  <c r="Q24" i="81"/>
  <c r="I36" i="72"/>
  <c r="R33" i="81"/>
  <c r="AQ39" i="78"/>
  <c r="AR38" i="78"/>
  <c r="S44" i="77" s="1"/>
  <c r="D70" i="72"/>
  <c r="E40" i="72"/>
  <c r="E44" i="72"/>
  <c r="F46" i="72"/>
  <c r="P46" i="74" s="1"/>
  <c r="E33" i="72"/>
  <c r="M20" i="72"/>
  <c r="O16" i="72"/>
  <c r="F38" i="72"/>
  <c r="P38" i="74" s="1"/>
  <c r="J23" i="72"/>
  <c r="O23" i="74"/>
  <c r="G39" i="72"/>
  <c r="E43" i="72"/>
  <c r="AD44" i="77"/>
  <c r="Q32" i="81"/>
  <c r="Q19" i="81"/>
  <c r="R25" i="81"/>
  <c r="R40" i="81"/>
  <c r="I10" i="77"/>
  <c r="AR11" i="77"/>
  <c r="I11" i="77" s="1"/>
  <c r="Q42" i="81"/>
  <c r="N45" i="80"/>
  <c r="K38" i="78"/>
  <c r="Q37" i="81"/>
  <c r="E36" i="72"/>
  <c r="BE126" i="78"/>
  <c r="BD127" i="78"/>
  <c r="Y42" i="80"/>
  <c r="W42" i="76"/>
  <c r="R34" i="81"/>
  <c r="AV39" i="78" l="1"/>
  <c r="AU40" i="78"/>
  <c r="BE39" i="78"/>
  <c r="V45" i="77"/>
  <c r="AZ39" i="78"/>
  <c r="AY40" i="78"/>
  <c r="AF45" i="77"/>
  <c r="T45" i="76" s="1"/>
  <c r="BB39" i="78"/>
  <c r="BA40" i="78" s="1"/>
  <c r="AH45" i="77"/>
  <c r="AS40" i="78"/>
  <c r="AT39" i="78"/>
  <c r="AX39" i="78"/>
  <c r="AW40" i="78" s="1"/>
  <c r="V41" i="78"/>
  <c r="W40" i="78"/>
  <c r="J33" i="72"/>
  <c r="O33" i="74"/>
  <c r="M22" i="72"/>
  <c r="O18" i="72"/>
  <c r="H59" i="72" s="1"/>
  <c r="J42" i="72"/>
  <c r="O42" i="74"/>
  <c r="J48" i="74"/>
  <c r="J34" i="72"/>
  <c r="O34" i="74"/>
  <c r="D71" i="72"/>
  <c r="D81" i="72"/>
  <c r="T41" i="76"/>
  <c r="T44" i="76"/>
  <c r="T40" i="76"/>
  <c r="T43" i="76"/>
  <c r="T39" i="76"/>
  <c r="T42" i="76"/>
  <c r="T35" i="76"/>
  <c r="T30" i="76"/>
  <c r="T26" i="76"/>
  <c r="T22" i="76"/>
  <c r="T18" i="76"/>
  <c r="T14" i="76"/>
  <c r="T10" i="76"/>
  <c r="T6" i="76"/>
  <c r="T2" i="76"/>
  <c r="T38" i="76"/>
  <c r="T34" i="76"/>
  <c r="T31" i="76"/>
  <c r="T27" i="76"/>
  <c r="T23" i="76"/>
  <c r="T19" i="76"/>
  <c r="T15" i="76"/>
  <c r="T11" i="76"/>
  <c r="T7" i="76"/>
  <c r="T3" i="76"/>
  <c r="T37" i="76"/>
  <c r="T33" i="76"/>
  <c r="T32" i="76"/>
  <c r="T28" i="76"/>
  <c r="T24" i="76"/>
  <c r="T20" i="76"/>
  <c r="T16" i="76"/>
  <c r="T12" i="76"/>
  <c r="T8" i="76"/>
  <c r="T4" i="76"/>
  <c r="T36" i="76"/>
  <c r="T29" i="76"/>
  <c r="T25" i="76"/>
  <c r="T21" i="76"/>
  <c r="T17" i="76"/>
  <c r="T13" i="76"/>
  <c r="T9" i="76"/>
  <c r="T5" i="76"/>
  <c r="E44" i="76"/>
  <c r="E40" i="76"/>
  <c r="E43" i="76"/>
  <c r="E39" i="76"/>
  <c r="E42" i="76"/>
  <c r="E41" i="76"/>
  <c r="E38" i="76"/>
  <c r="E34" i="76"/>
  <c r="E31" i="76"/>
  <c r="E27" i="76"/>
  <c r="E23" i="76"/>
  <c r="E19" i="76"/>
  <c r="E15" i="76"/>
  <c r="E11" i="76"/>
  <c r="E37" i="76"/>
  <c r="E33" i="76"/>
  <c r="E32" i="76"/>
  <c r="E28" i="76"/>
  <c r="E24" i="76"/>
  <c r="E20" i="76"/>
  <c r="E16" i="76"/>
  <c r="E12" i="76"/>
  <c r="E36" i="76"/>
  <c r="E29" i="76"/>
  <c r="E25" i="76"/>
  <c r="E21" i="76"/>
  <c r="E17" i="76"/>
  <c r="E13" i="76"/>
  <c r="E35" i="76"/>
  <c r="E30" i="76"/>
  <c r="E26" i="76"/>
  <c r="E22" i="76"/>
  <c r="E18" i="76"/>
  <c r="E14" i="76"/>
  <c r="Z41" i="78"/>
  <c r="AA40" i="78"/>
  <c r="F46" i="77"/>
  <c r="AM39" i="78"/>
  <c r="K35" i="72"/>
  <c r="J35" i="74"/>
  <c r="F46" i="80"/>
  <c r="G39" i="78"/>
  <c r="K34" i="72"/>
  <c r="J34" i="74"/>
  <c r="J38" i="74"/>
  <c r="O42" i="76"/>
  <c r="O45" i="76"/>
  <c r="O41" i="76"/>
  <c r="O44" i="76"/>
  <c r="O40" i="76"/>
  <c r="O43" i="76"/>
  <c r="O39" i="76"/>
  <c r="O36" i="76"/>
  <c r="O29" i="76"/>
  <c r="O25" i="76"/>
  <c r="O21" i="76"/>
  <c r="O17" i="76"/>
  <c r="O13" i="76"/>
  <c r="O9" i="76"/>
  <c r="O5" i="76"/>
  <c r="O35" i="76"/>
  <c r="O30" i="76"/>
  <c r="O26" i="76"/>
  <c r="O22" i="76"/>
  <c r="O18" i="76"/>
  <c r="O14" i="76"/>
  <c r="O10" i="76"/>
  <c r="O6" i="76"/>
  <c r="O2" i="76"/>
  <c r="O38" i="76"/>
  <c r="O34" i="76"/>
  <c r="O31" i="76"/>
  <c r="O27" i="76"/>
  <c r="O23" i="76"/>
  <c r="O19" i="76"/>
  <c r="O15" i="76"/>
  <c r="O11" i="76"/>
  <c r="O7" i="76"/>
  <c r="O3" i="76"/>
  <c r="O37" i="76"/>
  <c r="O33" i="76"/>
  <c r="O32" i="76"/>
  <c r="O28" i="76"/>
  <c r="O24" i="76"/>
  <c r="O20" i="76"/>
  <c r="O16" i="76"/>
  <c r="O12" i="76"/>
  <c r="O8" i="76"/>
  <c r="O4" i="76"/>
  <c r="J46" i="74"/>
  <c r="G46" i="72"/>
  <c r="C46" i="80"/>
  <c r="B39" i="78"/>
  <c r="I48" i="72"/>
  <c r="K48" i="72" s="1"/>
  <c r="D72" i="72"/>
  <c r="K33" i="72"/>
  <c r="J33" i="74"/>
  <c r="K28" i="72"/>
  <c r="J28" i="74"/>
  <c r="G51" i="72"/>
  <c r="D75" i="72"/>
  <c r="G47" i="72"/>
  <c r="F47" i="72"/>
  <c r="P47" i="74" s="1"/>
  <c r="J37" i="72"/>
  <c r="O37" i="74"/>
  <c r="H42" i="72"/>
  <c r="J46" i="80"/>
  <c r="I39" i="78"/>
  <c r="H46" i="80"/>
  <c r="F39" i="78"/>
  <c r="G52" i="72"/>
  <c r="H40" i="72"/>
  <c r="L46" i="80"/>
  <c r="M46" i="80" s="1"/>
  <c r="J39" i="78"/>
  <c r="F48" i="81"/>
  <c r="I47" i="81"/>
  <c r="I45" i="72"/>
  <c r="F42" i="72"/>
  <c r="P42" i="74" s="1"/>
  <c r="H50" i="72"/>
  <c r="Q44" i="76"/>
  <c r="Q40" i="76"/>
  <c r="Q43" i="76"/>
  <c r="Q39" i="76"/>
  <c r="Q42" i="76"/>
  <c r="Q41" i="76"/>
  <c r="Q38" i="76"/>
  <c r="Q34" i="76"/>
  <c r="Q31" i="76"/>
  <c r="Q27" i="76"/>
  <c r="Q23" i="76"/>
  <c r="Q19" i="76"/>
  <c r="Q37" i="76"/>
  <c r="Q33" i="76"/>
  <c r="Q32" i="76"/>
  <c r="Q28" i="76"/>
  <c r="Q24" i="76"/>
  <c r="Q20" i="76"/>
  <c r="Q16" i="76"/>
  <c r="Q36" i="76"/>
  <c r="Q29" i="76"/>
  <c r="Q25" i="76"/>
  <c r="Q21" i="76"/>
  <c r="Q17" i="76"/>
  <c r="Q35" i="76"/>
  <c r="Q30" i="76"/>
  <c r="Q26" i="76"/>
  <c r="Q22" i="76"/>
  <c r="Q18" i="76"/>
  <c r="S42" i="76"/>
  <c r="S41" i="76"/>
  <c r="S44" i="76"/>
  <c r="S40" i="76"/>
  <c r="S43" i="76"/>
  <c r="S39" i="76"/>
  <c r="S36" i="76"/>
  <c r="S29" i="76"/>
  <c r="S25" i="76"/>
  <c r="S21" i="76"/>
  <c r="S17" i="76"/>
  <c r="S13" i="76"/>
  <c r="S9" i="76"/>
  <c r="S5" i="76"/>
  <c r="S35" i="76"/>
  <c r="S30" i="76"/>
  <c r="S26" i="76"/>
  <c r="S22" i="76"/>
  <c r="S18" i="76"/>
  <c r="S14" i="76"/>
  <c r="S10" i="76"/>
  <c r="S6" i="76"/>
  <c r="S2" i="76"/>
  <c r="S38" i="76"/>
  <c r="S34" i="76"/>
  <c r="S31" i="76"/>
  <c r="S27" i="76"/>
  <c r="S23" i="76"/>
  <c r="S19" i="76"/>
  <c r="S15" i="76"/>
  <c r="S11" i="76"/>
  <c r="S7" i="76"/>
  <c r="S3" i="76"/>
  <c r="S37" i="76"/>
  <c r="S33" i="76"/>
  <c r="S32" i="76"/>
  <c r="S28" i="76"/>
  <c r="S24" i="76"/>
  <c r="S20" i="76"/>
  <c r="S16" i="76"/>
  <c r="S12" i="76"/>
  <c r="S8" i="76"/>
  <c r="S4" i="76"/>
  <c r="J43" i="76"/>
  <c r="J39" i="76"/>
  <c r="J42" i="76"/>
  <c r="J41" i="76"/>
  <c r="J44" i="76"/>
  <c r="J40" i="76"/>
  <c r="J37" i="76"/>
  <c r="J33" i="76"/>
  <c r="J32" i="76"/>
  <c r="J28" i="76"/>
  <c r="J24" i="76"/>
  <c r="J20" i="76"/>
  <c r="J16" i="76"/>
  <c r="J12" i="76"/>
  <c r="J36" i="76"/>
  <c r="J29" i="76"/>
  <c r="J25" i="76"/>
  <c r="J21" i="76"/>
  <c r="J17" i="76"/>
  <c r="J13" i="76"/>
  <c r="J35" i="76"/>
  <c r="J30" i="76"/>
  <c r="J26" i="76"/>
  <c r="J22" i="76"/>
  <c r="J18" i="76"/>
  <c r="J14" i="76"/>
  <c r="J38" i="76"/>
  <c r="J34" i="76"/>
  <c r="J31" i="76"/>
  <c r="J27" i="76"/>
  <c r="J23" i="76"/>
  <c r="J19" i="76"/>
  <c r="J15" i="76"/>
  <c r="H41" i="76"/>
  <c r="H44" i="76"/>
  <c r="H40" i="76"/>
  <c r="H43" i="76"/>
  <c r="H39" i="76"/>
  <c r="H42" i="76"/>
  <c r="H35" i="76"/>
  <c r="H30" i="76"/>
  <c r="H26" i="76"/>
  <c r="H22" i="76"/>
  <c r="H18" i="76"/>
  <c r="H14" i="76"/>
  <c r="H38" i="76"/>
  <c r="H34" i="76"/>
  <c r="H31" i="76"/>
  <c r="H27" i="76"/>
  <c r="H23" i="76"/>
  <c r="H19" i="76"/>
  <c r="H15" i="76"/>
  <c r="H11" i="76"/>
  <c r="H37" i="76"/>
  <c r="H33" i="76"/>
  <c r="H32" i="76"/>
  <c r="H28" i="76"/>
  <c r="H24" i="76"/>
  <c r="H20" i="76"/>
  <c r="H16" i="76"/>
  <c r="H12" i="76"/>
  <c r="H36" i="76"/>
  <c r="H29" i="76"/>
  <c r="H25" i="76"/>
  <c r="H21" i="76"/>
  <c r="H17" i="76"/>
  <c r="H13" i="76"/>
  <c r="AD45" i="77"/>
  <c r="S45" i="76" s="1"/>
  <c r="J40" i="72"/>
  <c r="O40" i="74"/>
  <c r="AR39" i="78"/>
  <c r="S45" i="77" s="1"/>
  <c r="AQ40" i="78"/>
  <c r="X5" i="74"/>
  <c r="W6" i="74"/>
  <c r="G46" i="80"/>
  <c r="E39" i="78"/>
  <c r="J28" i="72"/>
  <c r="O28" i="74"/>
  <c r="J47" i="72"/>
  <c r="O47" i="74"/>
  <c r="P41" i="76"/>
  <c r="P40" i="76"/>
  <c r="P43" i="76"/>
  <c r="P39" i="76"/>
  <c r="P42" i="76"/>
  <c r="P35" i="76"/>
  <c r="P30" i="76"/>
  <c r="P26" i="76"/>
  <c r="P22" i="76"/>
  <c r="P18" i="76"/>
  <c r="P38" i="76"/>
  <c r="P34" i="76"/>
  <c r="P31" i="76"/>
  <c r="P27" i="76"/>
  <c r="P23" i="76"/>
  <c r="P19" i="76"/>
  <c r="P37" i="76"/>
  <c r="P33" i="76"/>
  <c r="P32" i="76"/>
  <c r="P28" i="76"/>
  <c r="P24" i="76"/>
  <c r="P20" i="76"/>
  <c r="P16" i="76"/>
  <c r="P36" i="76"/>
  <c r="P29" i="76"/>
  <c r="P25" i="76"/>
  <c r="P21" i="76"/>
  <c r="P17" i="76"/>
  <c r="G42" i="76"/>
  <c r="G41" i="76"/>
  <c r="G44" i="76"/>
  <c r="G40" i="76"/>
  <c r="G43" i="76"/>
  <c r="G39" i="76"/>
  <c r="G36" i="76"/>
  <c r="G29" i="76"/>
  <c r="G25" i="76"/>
  <c r="G21" i="76"/>
  <c r="G17" i="76"/>
  <c r="G13" i="76"/>
  <c r="G35" i="76"/>
  <c r="G30" i="76"/>
  <c r="G26" i="76"/>
  <c r="G22" i="76"/>
  <c r="G18" i="76"/>
  <c r="G14" i="76"/>
  <c r="G38" i="76"/>
  <c r="G34" i="76"/>
  <c r="G31" i="76"/>
  <c r="G27" i="76"/>
  <c r="G23" i="76"/>
  <c r="G19" i="76"/>
  <c r="G15" i="76"/>
  <c r="G11" i="76"/>
  <c r="G37" i="76"/>
  <c r="G33" i="76"/>
  <c r="G32" i="76"/>
  <c r="G28" i="76"/>
  <c r="G24" i="76"/>
  <c r="G20" i="76"/>
  <c r="G16" i="76"/>
  <c r="G12" i="76"/>
  <c r="AC40" i="78"/>
  <c r="AB41" i="78" s="1"/>
  <c r="D82" i="72"/>
  <c r="BD81" i="78"/>
  <c r="BE80" i="78"/>
  <c r="S36" i="78"/>
  <c r="X44" i="80" s="1"/>
  <c r="AL38" i="78"/>
  <c r="AB44" i="77" s="1"/>
  <c r="J35" i="72"/>
  <c r="O35" i="74"/>
  <c r="E46" i="72"/>
  <c r="AH40" i="78"/>
  <c r="E55" i="72"/>
  <c r="D79" i="72"/>
  <c r="G49" i="72"/>
  <c r="H53" i="72"/>
  <c r="N39" i="76"/>
  <c r="N42" i="76"/>
  <c r="N41" i="76"/>
  <c r="N40" i="76"/>
  <c r="N37" i="76"/>
  <c r="N33" i="76"/>
  <c r="N32" i="76"/>
  <c r="N28" i="76"/>
  <c r="N24" i="76"/>
  <c r="N20" i="76"/>
  <c r="N16" i="76"/>
  <c r="N12" i="76"/>
  <c r="N8" i="76"/>
  <c r="N4" i="76"/>
  <c r="N36" i="76"/>
  <c r="N29" i="76"/>
  <c r="N25" i="76"/>
  <c r="N21" i="76"/>
  <c r="N17" i="76"/>
  <c r="N13" i="76"/>
  <c r="N9" i="76"/>
  <c r="N5" i="76"/>
  <c r="N35" i="76"/>
  <c r="N30" i="76"/>
  <c r="N26" i="76"/>
  <c r="N22" i="76"/>
  <c r="N18" i="76"/>
  <c r="N14" i="76"/>
  <c r="N10" i="76"/>
  <c r="N6" i="76"/>
  <c r="N2" i="76"/>
  <c r="N38" i="76"/>
  <c r="N34" i="76"/>
  <c r="N31" i="76"/>
  <c r="N27" i="76"/>
  <c r="N23" i="76"/>
  <c r="N19" i="76"/>
  <c r="N15" i="76"/>
  <c r="N11" i="76"/>
  <c r="N7" i="76"/>
  <c r="N3" i="76"/>
  <c r="F39" i="72"/>
  <c r="P39" i="74" s="1"/>
  <c r="H49" i="72"/>
  <c r="I54" i="72"/>
  <c r="D78" i="72"/>
  <c r="K37" i="72"/>
  <c r="J37" i="74"/>
  <c r="M29" i="72"/>
  <c r="O25" i="72"/>
  <c r="F44" i="72"/>
  <c r="P44" i="74" s="1"/>
  <c r="D80" i="72"/>
  <c r="E49" i="72"/>
  <c r="I38" i="72"/>
  <c r="K38" i="72" s="1"/>
  <c r="E48" i="72"/>
  <c r="F48" i="72"/>
  <c r="P48" i="74" s="1"/>
  <c r="J32" i="72"/>
  <c r="O32" i="74"/>
  <c r="J29" i="72"/>
  <c r="O29" i="74"/>
  <c r="K32" i="72"/>
  <c r="J32" i="74"/>
  <c r="J26" i="72"/>
  <c r="O26" i="74"/>
  <c r="E51" i="72"/>
  <c r="F51" i="72"/>
  <c r="P51" i="74" s="1"/>
  <c r="I47" i="72"/>
  <c r="E45" i="72"/>
  <c r="G38" i="72"/>
  <c r="H52" i="72"/>
  <c r="F49" i="72"/>
  <c r="P49" i="74" s="1"/>
  <c r="O10" i="81"/>
  <c r="E10" i="76" s="1"/>
  <c r="R10" i="81"/>
  <c r="H10" i="76" s="1"/>
  <c r="E39" i="72"/>
  <c r="E41" i="72"/>
  <c r="D74" i="72"/>
  <c r="D46" i="80"/>
  <c r="C39" i="78"/>
  <c r="R43" i="76"/>
  <c r="R39" i="76"/>
  <c r="R42" i="76"/>
  <c r="R41" i="76"/>
  <c r="R44" i="76"/>
  <c r="R40" i="76"/>
  <c r="R37" i="76"/>
  <c r="R33" i="76"/>
  <c r="R32" i="76"/>
  <c r="R28" i="76"/>
  <c r="R24" i="76"/>
  <c r="R20" i="76"/>
  <c r="R16" i="76"/>
  <c r="R12" i="76"/>
  <c r="R8" i="76"/>
  <c r="R4" i="76"/>
  <c r="R36" i="76"/>
  <c r="R29" i="76"/>
  <c r="R25" i="76"/>
  <c r="R21" i="76"/>
  <c r="R17" i="76"/>
  <c r="R13" i="76"/>
  <c r="R9" i="76"/>
  <c r="R5" i="76"/>
  <c r="R35" i="76"/>
  <c r="R30" i="76"/>
  <c r="R26" i="76"/>
  <c r="R22" i="76"/>
  <c r="R18" i="76"/>
  <c r="R14" i="76"/>
  <c r="R10" i="76"/>
  <c r="R6" i="76"/>
  <c r="R2" i="76"/>
  <c r="R38" i="76"/>
  <c r="R34" i="76"/>
  <c r="R31" i="76"/>
  <c r="R27" i="76"/>
  <c r="R23" i="76"/>
  <c r="R19" i="76"/>
  <c r="R15" i="76"/>
  <c r="R11" i="76"/>
  <c r="R7" i="76"/>
  <c r="R3" i="76"/>
  <c r="L41" i="76"/>
  <c r="L44" i="76"/>
  <c r="L40" i="76"/>
  <c r="L43" i="76"/>
  <c r="L39" i="76"/>
  <c r="L42" i="76"/>
  <c r="L35" i="76"/>
  <c r="L30" i="76"/>
  <c r="L26" i="76"/>
  <c r="L22" i="76"/>
  <c r="L18" i="76"/>
  <c r="L14" i="76"/>
  <c r="L10" i="76"/>
  <c r="L6" i="76"/>
  <c r="L2" i="76"/>
  <c r="L38" i="76"/>
  <c r="L34" i="76"/>
  <c r="L31" i="76"/>
  <c r="L27" i="76"/>
  <c r="L23" i="76"/>
  <c r="L19" i="76"/>
  <c r="L15" i="76"/>
  <c r="L11" i="76"/>
  <c r="L7" i="76"/>
  <c r="L3" i="76"/>
  <c r="L37" i="76"/>
  <c r="L33" i="76"/>
  <c r="L32" i="76"/>
  <c r="L28" i="76"/>
  <c r="L24" i="76"/>
  <c r="L20" i="76"/>
  <c r="L16" i="76"/>
  <c r="L12" i="76"/>
  <c r="L8" i="76"/>
  <c r="L4" i="76"/>
  <c r="L36" i="76"/>
  <c r="L29" i="76"/>
  <c r="L25" i="76"/>
  <c r="L21" i="76"/>
  <c r="L17" i="76"/>
  <c r="L13" i="76"/>
  <c r="L9" i="76"/>
  <c r="L5" i="76"/>
  <c r="K42" i="76"/>
  <c r="K41" i="76"/>
  <c r="K44" i="76"/>
  <c r="K40" i="76"/>
  <c r="K43" i="76"/>
  <c r="K39" i="76"/>
  <c r="K36" i="76"/>
  <c r="K29" i="76"/>
  <c r="K25" i="76"/>
  <c r="K21" i="76"/>
  <c r="K17" i="76"/>
  <c r="K13" i="76"/>
  <c r="K35" i="76"/>
  <c r="K30" i="76"/>
  <c r="K26" i="76"/>
  <c r="K22" i="76"/>
  <c r="K18" i="76"/>
  <c r="K14" i="76"/>
  <c r="K10" i="76"/>
  <c r="K38" i="76"/>
  <c r="K34" i="76"/>
  <c r="K31" i="76"/>
  <c r="K27" i="76"/>
  <c r="K23" i="76"/>
  <c r="K19" i="76"/>
  <c r="K15" i="76"/>
  <c r="K11" i="76"/>
  <c r="K37" i="76"/>
  <c r="K33" i="76"/>
  <c r="K32" i="76"/>
  <c r="K28" i="76"/>
  <c r="K24" i="76"/>
  <c r="K20" i="76"/>
  <c r="K16" i="76"/>
  <c r="K12" i="76"/>
  <c r="F39" i="76"/>
  <c r="F42" i="76"/>
  <c r="F41" i="76"/>
  <c r="F40" i="76"/>
  <c r="F37" i="76"/>
  <c r="F33" i="76"/>
  <c r="F32" i="76"/>
  <c r="F28" i="76"/>
  <c r="F24" i="76"/>
  <c r="F20" i="76"/>
  <c r="F16" i="76"/>
  <c r="F12" i="76"/>
  <c r="F36" i="76"/>
  <c r="F29" i="76"/>
  <c r="F25" i="76"/>
  <c r="F21" i="76"/>
  <c r="F17" i="76"/>
  <c r="F13" i="76"/>
  <c r="F35" i="76"/>
  <c r="F30" i="76"/>
  <c r="F26" i="76"/>
  <c r="F22" i="76"/>
  <c r="F18" i="76"/>
  <c r="F14" i="76"/>
  <c r="F38" i="76"/>
  <c r="F34" i="76"/>
  <c r="F31" i="76"/>
  <c r="F27" i="76"/>
  <c r="F23" i="76"/>
  <c r="F19" i="76"/>
  <c r="F15" i="76"/>
  <c r="J44" i="74"/>
  <c r="K43" i="72"/>
  <c r="J43" i="74"/>
  <c r="P45" i="81"/>
  <c r="R45" i="81" s="1"/>
  <c r="H45" i="76" s="1"/>
  <c r="O45" i="81"/>
  <c r="Q45" i="81" s="1"/>
  <c r="E45" i="76" s="1"/>
  <c r="K46" i="81"/>
  <c r="L46" i="81" s="1"/>
  <c r="J46" i="81"/>
  <c r="I46" i="80"/>
  <c r="H39" i="78"/>
  <c r="U44" i="76"/>
  <c r="U40" i="76"/>
  <c r="U43" i="76"/>
  <c r="U39" i="76"/>
  <c r="U42" i="76"/>
  <c r="U45" i="76"/>
  <c r="U41" i="76"/>
  <c r="U38" i="76"/>
  <c r="U34" i="76"/>
  <c r="U31" i="76"/>
  <c r="U27" i="76"/>
  <c r="U23" i="76"/>
  <c r="U19" i="76"/>
  <c r="U15" i="76"/>
  <c r="U11" i="76"/>
  <c r="U7" i="76"/>
  <c r="U3" i="76"/>
  <c r="U37" i="76"/>
  <c r="U33" i="76"/>
  <c r="U32" i="76"/>
  <c r="U28" i="76"/>
  <c r="U24" i="76"/>
  <c r="U20" i="76"/>
  <c r="U16" i="76"/>
  <c r="U12" i="76"/>
  <c r="U8" i="76"/>
  <c r="U4" i="76"/>
  <c r="U36" i="76"/>
  <c r="U29" i="76"/>
  <c r="U25" i="76"/>
  <c r="U21" i="76"/>
  <c r="U17" i="76"/>
  <c r="U13" i="76"/>
  <c r="U9" i="76"/>
  <c r="U5" i="76"/>
  <c r="U35" i="76"/>
  <c r="U30" i="76"/>
  <c r="U26" i="76"/>
  <c r="U22" i="76"/>
  <c r="U18" i="76"/>
  <c r="U14" i="76"/>
  <c r="U10" i="76"/>
  <c r="U6" i="76"/>
  <c r="U2" i="76"/>
  <c r="AE40" i="78"/>
  <c r="AD41" i="78" s="1"/>
  <c r="J36" i="72"/>
  <c r="O36" i="74"/>
  <c r="J43" i="72"/>
  <c r="O43" i="74"/>
  <c r="BE127" i="78"/>
  <c r="BD128" i="78"/>
  <c r="N46" i="80"/>
  <c r="K39" i="78"/>
  <c r="M24" i="72"/>
  <c r="O20" i="72"/>
  <c r="G59" i="72" s="1"/>
  <c r="J44" i="72"/>
  <c r="O44" i="74"/>
  <c r="X44" i="77"/>
  <c r="X45" i="77" s="1"/>
  <c r="D77" i="72"/>
  <c r="Y43" i="80"/>
  <c r="W43" i="76"/>
  <c r="K36" i="72"/>
  <c r="J36" i="74"/>
  <c r="I46" i="72"/>
  <c r="K46" i="72" s="1"/>
  <c r="I44" i="72"/>
  <c r="K44" i="72" s="1"/>
  <c r="G40" i="72"/>
  <c r="H39" i="72"/>
  <c r="F45" i="72"/>
  <c r="P45" i="74" s="1"/>
  <c r="M27" i="72"/>
  <c r="O23" i="72"/>
  <c r="F8" i="77"/>
  <c r="N7" i="77"/>
  <c r="E54" i="72"/>
  <c r="F54" i="72"/>
  <c r="P54" i="74" s="1"/>
  <c r="G44" i="72"/>
  <c r="E56" i="72"/>
  <c r="F56" i="72"/>
  <c r="P56" i="74" s="1"/>
  <c r="F41" i="72"/>
  <c r="P41" i="74" s="1"/>
  <c r="E38" i="72"/>
  <c r="G48" i="72"/>
  <c r="K29" i="72"/>
  <c r="J29" i="74"/>
  <c r="I51" i="72"/>
  <c r="I39" i="72"/>
  <c r="H47" i="72"/>
  <c r="I49" i="72"/>
  <c r="H57" i="72"/>
  <c r="H41" i="72"/>
  <c r="I52" i="72"/>
  <c r="D76" i="72"/>
  <c r="H45" i="72"/>
  <c r="G42" i="72"/>
  <c r="K8" i="81"/>
  <c r="L9" i="81"/>
  <c r="E61" i="72"/>
  <c r="D85" i="72"/>
  <c r="E50" i="72"/>
  <c r="F50" i="72"/>
  <c r="P50" i="74" s="1"/>
  <c r="AO40" i="78"/>
  <c r="AP39" i="78"/>
  <c r="Q45" i="77" s="1"/>
  <c r="M44" i="76"/>
  <c r="M40" i="76"/>
  <c r="M43" i="76"/>
  <c r="M39" i="76"/>
  <c r="M42" i="76"/>
  <c r="M41" i="76"/>
  <c r="M38" i="76"/>
  <c r="M34" i="76"/>
  <c r="M31" i="76"/>
  <c r="M27" i="76"/>
  <c r="M23" i="76"/>
  <c r="M19" i="76"/>
  <c r="M15" i="76"/>
  <c r="M11" i="76"/>
  <c r="M7" i="76"/>
  <c r="M3" i="76"/>
  <c r="M37" i="76"/>
  <c r="M33" i="76"/>
  <c r="M32" i="76"/>
  <c r="M28" i="76"/>
  <c r="M24" i="76"/>
  <c r="M20" i="76"/>
  <c r="M16" i="76"/>
  <c r="M12" i="76"/>
  <c r="H12" i="75" s="1"/>
  <c r="M8" i="76"/>
  <c r="M4" i="76"/>
  <c r="M36" i="76"/>
  <c r="M29" i="76"/>
  <c r="M25" i="76"/>
  <c r="M21" i="76"/>
  <c r="M17" i="76"/>
  <c r="M13" i="76"/>
  <c r="H13" i="75" s="1"/>
  <c r="I13" i="75" s="1"/>
  <c r="M9" i="76"/>
  <c r="M5" i="76"/>
  <c r="M35" i="76"/>
  <c r="M30" i="76"/>
  <c r="M26" i="76"/>
  <c r="M22" i="76"/>
  <c r="M18" i="76"/>
  <c r="M14" i="76"/>
  <c r="H14" i="75" s="1"/>
  <c r="I14" i="75" s="1"/>
  <c r="M10" i="76"/>
  <c r="M6" i="76"/>
  <c r="M2" i="76"/>
  <c r="V47" i="76"/>
  <c r="V43" i="76"/>
  <c r="V39" i="76"/>
  <c r="V46" i="76"/>
  <c r="V42" i="76"/>
  <c r="V38" i="76"/>
  <c r="V49" i="76"/>
  <c r="V45" i="76"/>
  <c r="V41" i="76"/>
  <c r="V48" i="76"/>
  <c r="V44" i="76"/>
  <c r="V40" i="76"/>
  <c r="V37" i="76"/>
  <c r="V33" i="76"/>
  <c r="V32" i="76"/>
  <c r="V28" i="76"/>
  <c r="V24" i="76"/>
  <c r="V20" i="76"/>
  <c r="V16" i="76"/>
  <c r="V12" i="76"/>
  <c r="V8" i="76"/>
  <c r="V4" i="76"/>
  <c r="V36" i="76"/>
  <c r="V29" i="76"/>
  <c r="V25" i="76"/>
  <c r="V21" i="76"/>
  <c r="V17" i="76"/>
  <c r="V13" i="76"/>
  <c r="V9" i="76"/>
  <c r="V5" i="76"/>
  <c r="V35" i="76"/>
  <c r="V30" i="76"/>
  <c r="V26" i="76"/>
  <c r="V22" i="76"/>
  <c r="V18" i="76"/>
  <c r="V14" i="76"/>
  <c r="V10" i="76"/>
  <c r="V6" i="76"/>
  <c r="V2" i="76"/>
  <c r="V34" i="76"/>
  <c r="V31" i="76"/>
  <c r="V27" i="76"/>
  <c r="V23" i="76"/>
  <c r="V19" i="76"/>
  <c r="V15" i="76"/>
  <c r="V11" i="76"/>
  <c r="V7" i="76"/>
  <c r="V3" i="76"/>
  <c r="I44" i="76"/>
  <c r="I40" i="76"/>
  <c r="I43" i="76"/>
  <c r="I39" i="76"/>
  <c r="I42" i="76"/>
  <c r="I41" i="76"/>
  <c r="I38" i="76"/>
  <c r="I34" i="76"/>
  <c r="I31" i="76"/>
  <c r="I27" i="76"/>
  <c r="I23" i="76"/>
  <c r="I19" i="76"/>
  <c r="I15" i="76"/>
  <c r="I11" i="76"/>
  <c r="I37" i="76"/>
  <c r="I33" i="76"/>
  <c r="I32" i="76"/>
  <c r="I28" i="76"/>
  <c r="I24" i="76"/>
  <c r="I20" i="76"/>
  <c r="I16" i="76"/>
  <c r="I12" i="76"/>
  <c r="I36" i="76"/>
  <c r="I29" i="76"/>
  <c r="I25" i="76"/>
  <c r="I21" i="76"/>
  <c r="I17" i="76"/>
  <c r="I13" i="76"/>
  <c r="I35" i="76"/>
  <c r="I30" i="76"/>
  <c r="I26" i="76"/>
  <c r="I22" i="76"/>
  <c r="I18" i="76"/>
  <c r="I14" i="76"/>
  <c r="I10" i="76"/>
  <c r="B54" i="80"/>
  <c r="BM26" i="78"/>
  <c r="AG40" i="78"/>
  <c r="I46" i="77" s="1"/>
  <c r="AF41" i="78"/>
  <c r="Y40" i="78"/>
  <c r="D46" i="77" s="1"/>
  <c r="X41" i="78"/>
  <c r="F43" i="72"/>
  <c r="P43" i="74" s="1"/>
  <c r="I45" i="76" l="1"/>
  <c r="M45" i="76"/>
  <c r="AX40" i="78"/>
  <c r="AW41" i="78" s="1"/>
  <c r="BB40" i="78"/>
  <c r="BA41" i="78"/>
  <c r="AH46" i="77"/>
  <c r="U46" i="76" s="1"/>
  <c r="L45" i="76"/>
  <c r="AE41" i="78"/>
  <c r="AD42" i="78" s="1"/>
  <c r="AC41" i="78"/>
  <c r="AB42" i="78" s="1"/>
  <c r="J59" i="74"/>
  <c r="H10" i="75"/>
  <c r="H26" i="75"/>
  <c r="H9" i="75"/>
  <c r="H25" i="75"/>
  <c r="H8" i="75"/>
  <c r="H24" i="75"/>
  <c r="H37" i="75"/>
  <c r="H15" i="75"/>
  <c r="I15" i="75" s="1"/>
  <c r="H31" i="75"/>
  <c r="H39" i="75"/>
  <c r="J61" i="72"/>
  <c r="O61" i="74"/>
  <c r="K45" i="72"/>
  <c r="J45" i="74"/>
  <c r="K41" i="72"/>
  <c r="J41" i="74"/>
  <c r="J56" i="72"/>
  <c r="O56" i="74"/>
  <c r="N47" i="80"/>
  <c r="K40" i="78"/>
  <c r="F43" i="76"/>
  <c r="F13" i="75"/>
  <c r="X13" i="76"/>
  <c r="F29" i="75"/>
  <c r="X29" i="76"/>
  <c r="F12" i="75"/>
  <c r="X12" i="76"/>
  <c r="F28" i="75"/>
  <c r="X28" i="76"/>
  <c r="F3" i="75"/>
  <c r="X3" i="76"/>
  <c r="F19" i="75"/>
  <c r="X19" i="76"/>
  <c r="AN36" i="76" s="1"/>
  <c r="F34" i="75"/>
  <c r="X34" i="76"/>
  <c r="F10" i="75"/>
  <c r="X10" i="76"/>
  <c r="F26" i="75"/>
  <c r="X26" i="76"/>
  <c r="F40" i="75"/>
  <c r="X40" i="76"/>
  <c r="D86" i="72"/>
  <c r="J39" i="72"/>
  <c r="O39" i="74"/>
  <c r="K52" i="72"/>
  <c r="J52" i="74"/>
  <c r="D92" i="72"/>
  <c r="D90" i="72"/>
  <c r="N43" i="76"/>
  <c r="H43" i="75" s="1"/>
  <c r="D91" i="72"/>
  <c r="I58" i="72"/>
  <c r="BD82" i="78"/>
  <c r="BE81" i="78"/>
  <c r="S37" i="78"/>
  <c r="X45" i="80" s="1"/>
  <c r="AC23" i="76"/>
  <c r="AL39" i="76"/>
  <c r="P44" i="76"/>
  <c r="X6" i="74"/>
  <c r="W7" i="74"/>
  <c r="C17" i="76"/>
  <c r="D17" i="75"/>
  <c r="C36" i="76"/>
  <c r="D36" i="75"/>
  <c r="C16" i="76"/>
  <c r="D16" i="75"/>
  <c r="C32" i="76"/>
  <c r="D32" i="75"/>
  <c r="AD23" i="76"/>
  <c r="C23" i="76"/>
  <c r="D23" i="75"/>
  <c r="C38" i="76"/>
  <c r="D38" i="75"/>
  <c r="C14" i="76"/>
  <c r="D14" i="75"/>
  <c r="C30" i="76"/>
  <c r="D30" i="75"/>
  <c r="AD39" i="76"/>
  <c r="C39" i="76"/>
  <c r="D39" i="75"/>
  <c r="C44" i="76"/>
  <c r="AD44" i="76"/>
  <c r="D44" i="75"/>
  <c r="AF21" i="76"/>
  <c r="AF33" i="76"/>
  <c r="AO32" i="76"/>
  <c r="AO29" i="76"/>
  <c r="AM30" i="76"/>
  <c r="AM28" i="76"/>
  <c r="I61" i="72"/>
  <c r="I60" i="72"/>
  <c r="F60" i="72"/>
  <c r="P60" i="74" s="1"/>
  <c r="H56" i="72"/>
  <c r="AK20" i="76"/>
  <c r="AK27" i="76"/>
  <c r="AK36" i="76"/>
  <c r="F47" i="80"/>
  <c r="G40" i="78"/>
  <c r="AN39" i="78"/>
  <c r="Z45" i="77" s="1"/>
  <c r="Z42" i="78"/>
  <c r="AA41" i="78"/>
  <c r="F47" i="77"/>
  <c r="AA29" i="76"/>
  <c r="AA19" i="76"/>
  <c r="AA43" i="76"/>
  <c r="AP32" i="76"/>
  <c r="AP38" i="76"/>
  <c r="AP39" i="76"/>
  <c r="E59" i="72"/>
  <c r="F59" i="72"/>
  <c r="P59" i="74" s="1"/>
  <c r="M26" i="72"/>
  <c r="O22" i="72"/>
  <c r="AE26" i="76"/>
  <c r="AE39" i="76"/>
  <c r="AE29" i="76"/>
  <c r="AR31" i="76"/>
  <c r="AR25" i="76"/>
  <c r="AR41" i="76"/>
  <c r="AR47" i="76"/>
  <c r="H30" i="75"/>
  <c r="H29" i="75"/>
  <c r="H28" i="75"/>
  <c r="H3" i="75"/>
  <c r="AI19" i="76"/>
  <c r="H19" i="75"/>
  <c r="AI34" i="76"/>
  <c r="H34" i="75"/>
  <c r="AI43" i="76"/>
  <c r="J50" i="72"/>
  <c r="O50" i="74"/>
  <c r="R9" i="81"/>
  <c r="O9" i="81"/>
  <c r="D88" i="72"/>
  <c r="J57" i="74"/>
  <c r="J38" i="72"/>
  <c r="O38" i="74"/>
  <c r="F9" i="77"/>
  <c r="N8" i="77"/>
  <c r="K39" i="72"/>
  <c r="J39" i="74"/>
  <c r="D89" i="72"/>
  <c r="AQ25" i="76"/>
  <c r="AQ37" i="76"/>
  <c r="AQ45" i="76"/>
  <c r="AQ44" i="76"/>
  <c r="AB34" i="76"/>
  <c r="AB25" i="76"/>
  <c r="AB37" i="76"/>
  <c r="AG32" i="76"/>
  <c r="AG38" i="76"/>
  <c r="AG29" i="76"/>
  <c r="F17" i="75"/>
  <c r="X17" i="76"/>
  <c r="AH36" i="76"/>
  <c r="F36" i="75"/>
  <c r="X36" i="76"/>
  <c r="F16" i="75"/>
  <c r="X16" i="76"/>
  <c r="F32" i="75"/>
  <c r="X32" i="76"/>
  <c r="F7" i="75"/>
  <c r="X7" i="76"/>
  <c r="AH23" i="76"/>
  <c r="F23" i="75"/>
  <c r="X23" i="76"/>
  <c r="F38" i="75"/>
  <c r="X38" i="76"/>
  <c r="F14" i="75"/>
  <c r="X14" i="76"/>
  <c r="AH30" i="76"/>
  <c r="F30" i="75"/>
  <c r="X30" i="76"/>
  <c r="F39" i="75"/>
  <c r="X39" i="76"/>
  <c r="AH44" i="76"/>
  <c r="F44" i="75"/>
  <c r="AN31" i="76"/>
  <c r="AN21" i="76"/>
  <c r="AN33" i="76"/>
  <c r="I62" i="72"/>
  <c r="F62" i="72"/>
  <c r="P62" i="74" s="1"/>
  <c r="J48" i="72"/>
  <c r="O48" i="74"/>
  <c r="M33" i="72"/>
  <c r="O29" i="72"/>
  <c r="E66" i="72"/>
  <c r="F66" i="72"/>
  <c r="P66" i="74" s="1"/>
  <c r="AJ19" i="76"/>
  <c r="AJ26" i="76"/>
  <c r="AJ24" i="76"/>
  <c r="AJ39" i="76"/>
  <c r="I67" i="72"/>
  <c r="F67" i="72"/>
  <c r="P67" i="74" s="1"/>
  <c r="J46" i="72"/>
  <c r="O46" i="74"/>
  <c r="AK39" i="78"/>
  <c r="D94" i="72"/>
  <c r="AC33" i="76"/>
  <c r="AC35" i="76"/>
  <c r="AC40" i="76"/>
  <c r="G45" i="76"/>
  <c r="AL21" i="76"/>
  <c r="AL33" i="76"/>
  <c r="AL35" i="76"/>
  <c r="C21" i="76"/>
  <c r="D21" i="75"/>
  <c r="C20" i="76"/>
  <c r="D20" i="75"/>
  <c r="AD33" i="76"/>
  <c r="C33" i="76"/>
  <c r="D33" i="75"/>
  <c r="E33" i="75" s="1"/>
  <c r="C27" i="76"/>
  <c r="D27" i="75"/>
  <c r="C18" i="76"/>
  <c r="D18" i="75"/>
  <c r="E18" i="75" s="1"/>
  <c r="C35" i="76"/>
  <c r="D35" i="75"/>
  <c r="C43" i="76"/>
  <c r="D43" i="75"/>
  <c r="AF19" i="76"/>
  <c r="AF26" i="76"/>
  <c r="AF24" i="76"/>
  <c r="AF41" i="76"/>
  <c r="AO33" i="76"/>
  <c r="AO35" i="76"/>
  <c r="AO40" i="76"/>
  <c r="AM36" i="76"/>
  <c r="AM23" i="76"/>
  <c r="AM42" i="76"/>
  <c r="J50" i="74"/>
  <c r="K47" i="81"/>
  <c r="L47" i="81" s="1"/>
  <c r="J47" i="81"/>
  <c r="K40" i="72"/>
  <c r="J40" i="74"/>
  <c r="J47" i="80"/>
  <c r="I40" i="78"/>
  <c r="H63" i="72"/>
  <c r="G60" i="72"/>
  <c r="AK24" i="76"/>
  <c r="AK31" i="76"/>
  <c r="AK21" i="76"/>
  <c r="AK44" i="76"/>
  <c r="AA36" i="76"/>
  <c r="AA23" i="76"/>
  <c r="AA42" i="76"/>
  <c r="AP20" i="76"/>
  <c r="AP27" i="76"/>
  <c r="AP43" i="76"/>
  <c r="D93" i="72"/>
  <c r="I59" i="72"/>
  <c r="K59" i="72" s="1"/>
  <c r="AZ40" i="78"/>
  <c r="AY41" i="78" s="1"/>
  <c r="AF46" i="77"/>
  <c r="T46" i="76" s="1"/>
  <c r="AP46" i="76" s="1"/>
  <c r="BE40" i="78"/>
  <c r="AV40" i="78"/>
  <c r="AU41" i="78" s="1"/>
  <c r="V46" i="77"/>
  <c r="O46" i="76" s="1"/>
  <c r="AE31" i="76"/>
  <c r="D41" i="76"/>
  <c r="D40" i="76"/>
  <c r="D39" i="76"/>
  <c r="D42" i="76"/>
  <c r="D35" i="76"/>
  <c r="D30" i="76"/>
  <c r="D26" i="76"/>
  <c r="D22" i="76"/>
  <c r="D18" i="76"/>
  <c r="D14" i="76"/>
  <c r="D10" i="76"/>
  <c r="D38" i="76"/>
  <c r="D34" i="76"/>
  <c r="D31" i="76"/>
  <c r="D27" i="76"/>
  <c r="D23" i="76"/>
  <c r="D19" i="76"/>
  <c r="D15" i="76"/>
  <c r="D11" i="76"/>
  <c r="D37" i="76"/>
  <c r="D33" i="76"/>
  <c r="D32" i="76"/>
  <c r="D28" i="76"/>
  <c r="D24" i="76"/>
  <c r="D20" i="76"/>
  <c r="D16" i="76"/>
  <c r="D12" i="76"/>
  <c r="D36" i="76"/>
  <c r="D29" i="76"/>
  <c r="D25" i="76"/>
  <c r="D21" i="76"/>
  <c r="D17" i="76"/>
  <c r="D13" i="76"/>
  <c r="D9" i="76"/>
  <c r="AR24" i="76"/>
  <c r="AF42" i="78"/>
  <c r="AG41" i="78"/>
  <c r="I47" i="77" s="1"/>
  <c r="AE36" i="76"/>
  <c r="AE23" i="76"/>
  <c r="AE42" i="76"/>
  <c r="AR34" i="76"/>
  <c r="AR29" i="76"/>
  <c r="AR40" i="76"/>
  <c r="AR46" i="76"/>
  <c r="H2" i="75"/>
  <c r="H18" i="75"/>
  <c r="H35" i="75"/>
  <c r="I35" i="75" s="1"/>
  <c r="H17" i="75"/>
  <c r="AI36" i="76"/>
  <c r="H36" i="75"/>
  <c r="H16" i="75"/>
  <c r="H32" i="75"/>
  <c r="I32" i="75" s="1"/>
  <c r="H7" i="75"/>
  <c r="AI23" i="76"/>
  <c r="H23" i="75"/>
  <c r="AI38" i="76"/>
  <c r="H38" i="75"/>
  <c r="AI42" i="76"/>
  <c r="H42" i="75"/>
  <c r="D97" i="72"/>
  <c r="K7" i="81"/>
  <c r="L8" i="81"/>
  <c r="AQ29" i="76"/>
  <c r="AQ19" i="76"/>
  <c r="AQ43" i="76"/>
  <c r="P46" i="81"/>
  <c r="R46" i="81" s="1"/>
  <c r="O46" i="81"/>
  <c r="Q46" i="81" s="1"/>
  <c r="AB38" i="76"/>
  <c r="AB29" i="76"/>
  <c r="AB40" i="76"/>
  <c r="AG33" i="76"/>
  <c r="AG35" i="76"/>
  <c r="AG40" i="76"/>
  <c r="K45" i="76"/>
  <c r="F5" i="75"/>
  <c r="X5" i="76"/>
  <c r="AH21" i="76"/>
  <c r="F21" i="75"/>
  <c r="X21" i="76"/>
  <c r="F4" i="75"/>
  <c r="X4" i="76"/>
  <c r="F20" i="75"/>
  <c r="X20" i="76"/>
  <c r="AH33" i="76"/>
  <c r="F33" i="75"/>
  <c r="X33" i="76"/>
  <c r="F11" i="75"/>
  <c r="X11" i="76"/>
  <c r="F27" i="75"/>
  <c r="X27" i="76"/>
  <c r="F2" i="75"/>
  <c r="X2" i="76"/>
  <c r="F18" i="75"/>
  <c r="X18" i="76"/>
  <c r="AH35" i="76"/>
  <c r="F35" i="75"/>
  <c r="X35" i="76"/>
  <c r="F43" i="75"/>
  <c r="AN34" i="76"/>
  <c r="AN25" i="76"/>
  <c r="AN37" i="76"/>
  <c r="D47" i="80"/>
  <c r="C40" i="78"/>
  <c r="G62" i="72"/>
  <c r="J41" i="72"/>
  <c r="O41" i="74"/>
  <c r="J45" i="72"/>
  <c r="O45" i="74"/>
  <c r="J51" i="72"/>
  <c r="O51" i="74"/>
  <c r="I56" i="72"/>
  <c r="G66" i="72"/>
  <c r="AJ38" i="76"/>
  <c r="AJ29" i="76"/>
  <c r="AJ40" i="76"/>
  <c r="J53" i="74"/>
  <c r="E67" i="72"/>
  <c r="J55" i="72"/>
  <c r="O55" i="74"/>
  <c r="Y44" i="80"/>
  <c r="W44" i="76"/>
  <c r="AC37" i="76"/>
  <c r="AC22" i="76"/>
  <c r="AC39" i="76"/>
  <c r="AL25" i="76"/>
  <c r="AL37" i="76"/>
  <c r="AL22" i="76"/>
  <c r="AL41" i="76"/>
  <c r="G47" i="80"/>
  <c r="E40" i="78"/>
  <c r="AR40" i="78"/>
  <c r="S46" i="77" s="1"/>
  <c r="AQ41" i="78"/>
  <c r="C25" i="76"/>
  <c r="AD25" i="76"/>
  <c r="D25" i="75"/>
  <c r="AD24" i="76"/>
  <c r="C24" i="76"/>
  <c r="D24" i="75"/>
  <c r="C37" i="76"/>
  <c r="D37" i="75"/>
  <c r="E37" i="75" s="1"/>
  <c r="C15" i="76"/>
  <c r="D15" i="75"/>
  <c r="AD31" i="76"/>
  <c r="C31" i="76"/>
  <c r="D31" i="75"/>
  <c r="C22" i="76"/>
  <c r="AD22" i="76"/>
  <c r="D22" i="75"/>
  <c r="C42" i="76"/>
  <c r="D42" i="75"/>
  <c r="C41" i="76"/>
  <c r="AD41" i="76"/>
  <c r="D41" i="75"/>
  <c r="AF23" i="76"/>
  <c r="AF30" i="76"/>
  <c r="AF28" i="76"/>
  <c r="J45" i="76"/>
  <c r="AF45" i="76" s="1"/>
  <c r="AO24" i="76"/>
  <c r="AO31" i="76"/>
  <c r="AO21" i="76"/>
  <c r="AO44" i="76"/>
  <c r="AM21" i="76"/>
  <c r="AM33" i="76"/>
  <c r="AM41" i="76"/>
  <c r="I48" i="81"/>
  <c r="F49" i="81"/>
  <c r="I49" i="81" s="1"/>
  <c r="F57" i="72"/>
  <c r="P57" i="74" s="1"/>
  <c r="E63" i="72"/>
  <c r="D87" i="72"/>
  <c r="G46" i="77"/>
  <c r="G47" i="77" s="1"/>
  <c r="H60" i="72"/>
  <c r="C47" i="80"/>
  <c r="B40" i="78"/>
  <c r="AK19" i="76"/>
  <c r="AK26" i="76"/>
  <c r="AK43" i="76"/>
  <c r="AA22" i="76"/>
  <c r="AA20" i="76"/>
  <c r="AA27" i="76"/>
  <c r="AA40" i="76"/>
  <c r="AP24" i="76"/>
  <c r="AP31" i="76"/>
  <c r="AP42" i="76"/>
  <c r="I69" i="72"/>
  <c r="X42" i="78"/>
  <c r="Y41" i="78"/>
  <c r="D47" i="77" s="1"/>
  <c r="AE44" i="76"/>
  <c r="AE28" i="76"/>
  <c r="AE22" i="76"/>
  <c r="AE20" i="76"/>
  <c r="AE27" i="76"/>
  <c r="AE40" i="76"/>
  <c r="AR35" i="76"/>
  <c r="AR32" i="76"/>
  <c r="AR49" i="76"/>
  <c r="H6" i="75"/>
  <c r="H22" i="75"/>
  <c r="H5" i="75"/>
  <c r="AI21" i="76"/>
  <c r="H21" i="75"/>
  <c r="H4" i="75"/>
  <c r="H20" i="75"/>
  <c r="AI33" i="76"/>
  <c r="H33" i="75"/>
  <c r="H11" i="75"/>
  <c r="I11" i="75" s="1"/>
  <c r="AI27" i="76"/>
  <c r="H27" i="75"/>
  <c r="I27" i="75" s="1"/>
  <c r="AI41" i="76"/>
  <c r="H41" i="75"/>
  <c r="AI40" i="76"/>
  <c r="H40" i="75"/>
  <c r="I40" i="75" s="1"/>
  <c r="AP40" i="78"/>
  <c r="Q46" i="77" s="1"/>
  <c r="K47" i="72"/>
  <c r="J47" i="74"/>
  <c r="J54" i="72"/>
  <c r="O54" i="74"/>
  <c r="M31" i="72"/>
  <c r="O27" i="72"/>
  <c r="AS43" i="76"/>
  <c r="X43" i="76"/>
  <c r="X46" i="77"/>
  <c r="M28" i="72"/>
  <c r="O24" i="72"/>
  <c r="BE128" i="78"/>
  <c r="BD129" i="78"/>
  <c r="AQ35" i="76"/>
  <c r="AQ36" i="76"/>
  <c r="AQ32" i="76"/>
  <c r="AQ23" i="76"/>
  <c r="AQ38" i="76"/>
  <c r="AQ42" i="76"/>
  <c r="I47" i="80"/>
  <c r="H40" i="78"/>
  <c r="AB27" i="76"/>
  <c r="AB35" i="76"/>
  <c r="AB36" i="76"/>
  <c r="AB32" i="76"/>
  <c r="AB41" i="76"/>
  <c r="AG24" i="76"/>
  <c r="AG37" i="76"/>
  <c r="AG31" i="76"/>
  <c r="AG22" i="76"/>
  <c r="AG21" i="76"/>
  <c r="AG39" i="76"/>
  <c r="AG44" i="76"/>
  <c r="F9" i="75"/>
  <c r="X9" i="76"/>
  <c r="AH25" i="76"/>
  <c r="F25" i="75"/>
  <c r="X25" i="76"/>
  <c r="F8" i="75"/>
  <c r="X8" i="76"/>
  <c r="AH24" i="76"/>
  <c r="F24" i="75"/>
  <c r="X24" i="76"/>
  <c r="AH37" i="76"/>
  <c r="F37" i="75"/>
  <c r="X37" i="76"/>
  <c r="F15" i="75"/>
  <c r="X15" i="76"/>
  <c r="AH31" i="76"/>
  <c r="F31" i="75"/>
  <c r="X31" i="76"/>
  <c r="F6" i="75"/>
  <c r="X6" i="76"/>
  <c r="AH22" i="76"/>
  <c r="F22" i="75"/>
  <c r="X22" i="76"/>
  <c r="AH42" i="76"/>
  <c r="F42" i="75"/>
  <c r="AH41" i="76"/>
  <c r="F41" i="75"/>
  <c r="X41" i="76"/>
  <c r="AN23" i="76"/>
  <c r="AN38" i="76"/>
  <c r="AN30" i="76"/>
  <c r="AN29" i="76"/>
  <c r="AN28" i="76"/>
  <c r="AN40" i="76"/>
  <c r="AN39" i="76"/>
  <c r="H62" i="72"/>
  <c r="H61" i="72"/>
  <c r="I57" i="72"/>
  <c r="K57" i="72" s="1"/>
  <c r="J49" i="72"/>
  <c r="O49" i="74"/>
  <c r="H68" i="72"/>
  <c r="H66" i="72"/>
  <c r="K49" i="72"/>
  <c r="J49" i="74"/>
  <c r="AJ27" i="76"/>
  <c r="AJ35" i="76"/>
  <c r="AJ36" i="76"/>
  <c r="AJ32" i="76"/>
  <c r="AJ41" i="76"/>
  <c r="H67" i="72"/>
  <c r="AI40" i="78"/>
  <c r="K46" i="77" s="1"/>
  <c r="G70" i="72"/>
  <c r="AC28" i="76"/>
  <c r="AC19" i="76"/>
  <c r="AC34" i="76"/>
  <c r="G10" i="76"/>
  <c r="AC26" i="76"/>
  <c r="AC25" i="76"/>
  <c r="AC43" i="76"/>
  <c r="AC42" i="76"/>
  <c r="AL29" i="76"/>
  <c r="AL28" i="76"/>
  <c r="AL19" i="76"/>
  <c r="AL34" i="76"/>
  <c r="AL26" i="76"/>
  <c r="AL40" i="76"/>
  <c r="P45" i="76"/>
  <c r="AL45" i="76" s="1"/>
  <c r="X42" i="76"/>
  <c r="C13" i="76"/>
  <c r="D13" i="75"/>
  <c r="C29" i="76"/>
  <c r="AD29" i="76"/>
  <c r="D29" i="75"/>
  <c r="C12" i="76"/>
  <c r="D12" i="75"/>
  <c r="AD28" i="76"/>
  <c r="C28" i="76"/>
  <c r="D28" i="75"/>
  <c r="E28" i="75" s="1"/>
  <c r="AD19" i="76"/>
  <c r="C19" i="76"/>
  <c r="D19" i="75"/>
  <c r="C34" i="76"/>
  <c r="AD34" i="76"/>
  <c r="D34" i="75"/>
  <c r="C26" i="76"/>
  <c r="AD26" i="76"/>
  <c r="D26" i="75"/>
  <c r="C40" i="76"/>
  <c r="AD40" i="76"/>
  <c r="D40" i="75"/>
  <c r="E40" i="75" s="1"/>
  <c r="AF27" i="76"/>
  <c r="AF35" i="76"/>
  <c r="AF36" i="76"/>
  <c r="AF32" i="76"/>
  <c r="AF44" i="76"/>
  <c r="AF43" i="76"/>
  <c r="AO28" i="76"/>
  <c r="AO19" i="76"/>
  <c r="AO34" i="76"/>
  <c r="AO26" i="76"/>
  <c r="AO25" i="76"/>
  <c r="AO43" i="76"/>
  <c r="AO42" i="76"/>
  <c r="AM26" i="76"/>
  <c r="AM25" i="76"/>
  <c r="AM24" i="76"/>
  <c r="AM37" i="76"/>
  <c r="AM31" i="76"/>
  <c r="AM39" i="76"/>
  <c r="AM44" i="76"/>
  <c r="L47" i="80"/>
  <c r="M47" i="80" s="1"/>
  <c r="J40" i="78"/>
  <c r="H47" i="80"/>
  <c r="F40" i="78"/>
  <c r="K42" i="72"/>
  <c r="J42" i="74"/>
  <c r="E57" i="72"/>
  <c r="G63" i="72"/>
  <c r="F63" i="72"/>
  <c r="P63" i="74" s="1"/>
  <c r="E60" i="72"/>
  <c r="F72" i="72"/>
  <c r="P72" i="74" s="1"/>
  <c r="D84" i="72"/>
  <c r="H72" i="72"/>
  <c r="G72" i="72"/>
  <c r="E72" i="72"/>
  <c r="I72" i="72"/>
  <c r="AK32" i="76"/>
  <c r="AK23" i="76"/>
  <c r="AK38" i="76"/>
  <c r="AK30" i="76"/>
  <c r="AK29" i="76"/>
  <c r="AK41" i="76"/>
  <c r="AA26" i="76"/>
  <c r="AA25" i="76"/>
  <c r="AA24" i="76"/>
  <c r="AA37" i="76"/>
  <c r="AA31" i="76"/>
  <c r="AA39" i="76"/>
  <c r="AA44" i="76"/>
  <c r="AP29" i="76"/>
  <c r="AP28" i="76"/>
  <c r="AP19" i="76"/>
  <c r="AP34" i="76"/>
  <c r="AP26" i="76"/>
  <c r="AP40" i="76"/>
  <c r="E69" i="72"/>
  <c r="F71" i="72"/>
  <c r="P71" i="74" s="1"/>
  <c r="D83" i="72"/>
  <c r="H71" i="72"/>
  <c r="I71" i="72"/>
  <c r="G71" i="72"/>
  <c r="E71" i="72"/>
  <c r="E53" i="72"/>
  <c r="F55" i="72"/>
  <c r="P55" i="74" s="1"/>
  <c r="G55" i="72"/>
  <c r="G58" i="72"/>
  <c r="F61" i="72"/>
  <c r="P61" i="74" s="1"/>
  <c r="F52" i="72"/>
  <c r="P52" i="74" s="1"/>
  <c r="G57" i="72"/>
  <c r="H58" i="72"/>
  <c r="H54" i="72"/>
  <c r="I53" i="72"/>
  <c r="K53" i="72" s="1"/>
  <c r="H55" i="72"/>
  <c r="E58" i="72"/>
  <c r="G50" i="72"/>
  <c r="F53" i="72"/>
  <c r="P53" i="74" s="1"/>
  <c r="I55" i="72"/>
  <c r="G61" i="72"/>
  <c r="E52" i="72"/>
  <c r="H51" i="72"/>
  <c r="G56" i="72"/>
  <c r="G54" i="72"/>
  <c r="G53" i="72"/>
  <c r="I50" i="72"/>
  <c r="K50" i="72" s="1"/>
  <c r="V42" i="78"/>
  <c r="W41" i="78"/>
  <c r="AT40" i="78"/>
  <c r="AD46" i="77" s="1"/>
  <c r="F58" i="72"/>
  <c r="P58" i="74" s="1"/>
  <c r="AC41" i="76" l="1"/>
  <c r="E24" i="75"/>
  <c r="E15" i="75"/>
  <c r="I4" i="75"/>
  <c r="AK45" i="76"/>
  <c r="AM34" i="76"/>
  <c r="AO38" i="76"/>
  <c r="AF31" i="76"/>
  <c r="AL23" i="76"/>
  <c r="AD45" i="76"/>
  <c r="AN44" i="76"/>
  <c r="AJ22" i="76"/>
  <c r="AC30" i="76"/>
  <c r="AL38" i="76"/>
  <c r="AD38" i="76"/>
  <c r="AF20" i="76"/>
  <c r="AO23" i="76"/>
  <c r="AO41" i="76"/>
  <c r="AM19" i="76"/>
  <c r="AK33" i="76"/>
  <c r="AK40" i="76"/>
  <c r="AA30" i="76"/>
  <c r="AA34" i="76"/>
  <c r="AP23" i="76"/>
  <c r="AP44" i="76"/>
  <c r="AR22" i="76"/>
  <c r="AR26" i="76"/>
  <c r="AR42" i="76"/>
  <c r="AI29" i="76"/>
  <c r="AQ26" i="76"/>
  <c r="AQ31" i="76"/>
  <c r="AB19" i="76"/>
  <c r="AB24" i="76"/>
  <c r="AG23" i="76"/>
  <c r="AG41" i="76"/>
  <c r="AH32" i="76"/>
  <c r="AH38" i="76"/>
  <c r="AH39" i="76"/>
  <c r="AN20" i="76"/>
  <c r="AJ34" i="76"/>
  <c r="AJ37" i="76"/>
  <c r="AC20" i="76"/>
  <c r="AC36" i="76"/>
  <c r="AL20" i="76"/>
  <c r="AL43" i="76"/>
  <c r="AD20" i="76"/>
  <c r="AD35" i="76"/>
  <c r="AF25" i="76"/>
  <c r="AO20" i="76"/>
  <c r="AO36" i="76"/>
  <c r="AM32" i="76"/>
  <c r="AK22" i="76"/>
  <c r="AA35" i="76"/>
  <c r="AA38" i="76"/>
  <c r="AP33" i="76"/>
  <c r="AE32" i="76"/>
  <c r="AR19" i="76"/>
  <c r="AR28" i="76"/>
  <c r="AI32" i="76"/>
  <c r="AQ30" i="76"/>
  <c r="AQ34" i="76"/>
  <c r="AB23" i="76"/>
  <c r="AB28" i="76"/>
  <c r="AG27" i="76"/>
  <c r="AH20" i="76"/>
  <c r="AH27" i="76"/>
  <c r="AN19" i="76"/>
  <c r="AN24" i="76"/>
  <c r="AJ30" i="76"/>
  <c r="AC31" i="76"/>
  <c r="AC44" i="76"/>
  <c r="AL31" i="76"/>
  <c r="AF38" i="76"/>
  <c r="AF40" i="76"/>
  <c r="AO37" i="76"/>
  <c r="AO39" i="76"/>
  <c r="AM20" i="76"/>
  <c r="AM40" i="76"/>
  <c r="AK34" i="76"/>
  <c r="AK42" i="76"/>
  <c r="AA33" i="76"/>
  <c r="AP25" i="76"/>
  <c r="AP22" i="76"/>
  <c r="AE30" i="76"/>
  <c r="AE21" i="76"/>
  <c r="AE41" i="76"/>
  <c r="AR36" i="76"/>
  <c r="AR39" i="76"/>
  <c r="AI20" i="76"/>
  <c r="AN27" i="76"/>
  <c r="AL32" i="76"/>
  <c r="AF22" i="76"/>
  <c r="AF42" i="76"/>
  <c r="AO30" i="76"/>
  <c r="AM29" i="76"/>
  <c r="AM43" i="76"/>
  <c r="AK35" i="76"/>
  <c r="AA28" i="76"/>
  <c r="AP36" i="76"/>
  <c r="AP30" i="76"/>
  <c r="AE37" i="76"/>
  <c r="AE43" i="76"/>
  <c r="AR37" i="76"/>
  <c r="AI30" i="76"/>
  <c r="AI28" i="76"/>
  <c r="AQ24" i="76"/>
  <c r="AQ39" i="76"/>
  <c r="AB26" i="76"/>
  <c r="AB39" i="76"/>
  <c r="AG30" i="76"/>
  <c r="AN22" i="76"/>
  <c r="AN42" i="76"/>
  <c r="AJ25" i="76"/>
  <c r="AC27" i="76"/>
  <c r="AL27" i="76"/>
  <c r="AD21" i="76"/>
  <c r="AD27" i="76"/>
  <c r="AD43" i="76"/>
  <c r="AF34" i="76"/>
  <c r="AF37" i="76"/>
  <c r="AO27" i="76"/>
  <c r="AM35" i="76"/>
  <c r="AM38" i="76"/>
  <c r="AK37" i="76"/>
  <c r="AK39" i="76"/>
  <c r="AA32" i="76"/>
  <c r="AP21" i="76"/>
  <c r="AP35" i="76"/>
  <c r="AE19" i="76"/>
  <c r="AE35" i="76"/>
  <c r="AE38" i="76"/>
  <c r="AR30" i="76"/>
  <c r="AR45" i="76"/>
  <c r="AI35" i="76"/>
  <c r="AQ28" i="76"/>
  <c r="AB30" i="76"/>
  <c r="AG20" i="76"/>
  <c r="AG36" i="76"/>
  <c r="AH43" i="76"/>
  <c r="AN26" i="76"/>
  <c r="AN41" i="76"/>
  <c r="AJ23" i="76"/>
  <c r="AJ28" i="76"/>
  <c r="AC24" i="76"/>
  <c r="AC21" i="76"/>
  <c r="AL24" i="76"/>
  <c r="AL42" i="76"/>
  <c r="AD37" i="76"/>
  <c r="AD42" i="76"/>
  <c r="AF29" i="76"/>
  <c r="AF39" i="76"/>
  <c r="AO22" i="76"/>
  <c r="AM22" i="76"/>
  <c r="AM27" i="76"/>
  <c r="AK28" i="76"/>
  <c r="AK25" i="76"/>
  <c r="AA21" i="76"/>
  <c r="AA41" i="76"/>
  <c r="AP37" i="76"/>
  <c r="AP41" i="76"/>
  <c r="AE25" i="76"/>
  <c r="AE34" i="76"/>
  <c r="AE33" i="76"/>
  <c r="AR23" i="76"/>
  <c r="AR44" i="76"/>
  <c r="AI22" i="76"/>
  <c r="I21" i="75"/>
  <c r="E25" i="75"/>
  <c r="I38" i="75"/>
  <c r="I36" i="75"/>
  <c r="AK46" i="76"/>
  <c r="AC45" i="76"/>
  <c r="AL44" i="76"/>
  <c r="E22" i="75"/>
  <c r="AG45" i="76"/>
  <c r="AJ20" i="76"/>
  <c r="AH26" i="76"/>
  <c r="E39" i="75"/>
  <c r="E34" i="75"/>
  <c r="E19" i="75"/>
  <c r="I20" i="75"/>
  <c r="E31" i="75"/>
  <c r="E26" i="75"/>
  <c r="I33" i="75"/>
  <c r="I16" i="75"/>
  <c r="AC29" i="76"/>
  <c r="AC32" i="76"/>
  <c r="AJ33" i="76"/>
  <c r="AJ31" i="76"/>
  <c r="AN43" i="76"/>
  <c r="AN35" i="76"/>
  <c r="AH40" i="76"/>
  <c r="AH34" i="76"/>
  <c r="E41" i="75"/>
  <c r="AG34" i="76"/>
  <c r="E29" i="75"/>
  <c r="AD30" i="76"/>
  <c r="AD32" i="76"/>
  <c r="AD36" i="76"/>
  <c r="AL30" i="76"/>
  <c r="AL36" i="76"/>
  <c r="AC38" i="76"/>
  <c r="AJ42" i="76"/>
  <c r="AJ21" i="76"/>
  <c r="AN32" i="76"/>
  <c r="I10" i="75"/>
  <c r="AB22" i="76"/>
  <c r="AQ22" i="76"/>
  <c r="AG28" i="76"/>
  <c r="AQ40" i="76"/>
  <c r="AI39" i="76"/>
  <c r="AI25" i="76"/>
  <c r="AR33" i="76"/>
  <c r="AG42" i="76"/>
  <c r="AQ27" i="76"/>
  <c r="AE45" i="76"/>
  <c r="I41" i="75"/>
  <c r="I5" i="75"/>
  <c r="I17" i="75"/>
  <c r="AH28" i="76"/>
  <c r="AG25" i="76"/>
  <c r="AB20" i="76"/>
  <c r="AQ20" i="76"/>
  <c r="AI44" i="76"/>
  <c r="AI31" i="76"/>
  <c r="I26" i="75"/>
  <c r="L46" i="76"/>
  <c r="AC42" i="78"/>
  <c r="AB43" i="78" s="1"/>
  <c r="AC43" i="78" s="1"/>
  <c r="M46" i="76"/>
  <c r="AZ41" i="78"/>
  <c r="AY42" i="78" s="1"/>
  <c r="AF47" i="77"/>
  <c r="T47" i="76" s="1"/>
  <c r="AP47" i="76" s="1"/>
  <c r="AE42" i="78"/>
  <c r="AD43" i="78" s="1"/>
  <c r="AE43" i="78" s="1"/>
  <c r="S46" i="76"/>
  <c r="AO46" i="76" s="1"/>
  <c r="AV41" i="78"/>
  <c r="AU42" i="78" s="1"/>
  <c r="BE41" i="78"/>
  <c r="V47" i="77"/>
  <c r="O47" i="76" s="1"/>
  <c r="AK47" i="76" s="1"/>
  <c r="AX41" i="78"/>
  <c r="AW42" i="78" s="1"/>
  <c r="K72" i="72"/>
  <c r="J72" i="74"/>
  <c r="AS41" i="78"/>
  <c r="K51" i="72"/>
  <c r="J51" i="74"/>
  <c r="J69" i="72"/>
  <c r="O69" i="74"/>
  <c r="D96" i="72"/>
  <c r="H48" i="80"/>
  <c r="F41" i="78"/>
  <c r="H49" i="80" s="1"/>
  <c r="E13" i="75"/>
  <c r="AH41" i="78"/>
  <c r="G41" i="75"/>
  <c r="G6" i="75"/>
  <c r="BE129" i="78"/>
  <c r="P46" i="76"/>
  <c r="AL46" i="76" s="1"/>
  <c r="M35" i="72"/>
  <c r="O31" i="72"/>
  <c r="I6" i="75"/>
  <c r="G48" i="77"/>
  <c r="E42" i="75"/>
  <c r="E70" i="72"/>
  <c r="G68" i="72"/>
  <c r="D48" i="80"/>
  <c r="C41" i="78"/>
  <c r="D49" i="80" s="1"/>
  <c r="G35" i="75"/>
  <c r="G33" i="75"/>
  <c r="G21" i="75"/>
  <c r="I18" i="75"/>
  <c r="B21" i="76"/>
  <c r="Z21" i="76"/>
  <c r="B21" i="75"/>
  <c r="B20" i="76"/>
  <c r="Z20" i="76"/>
  <c r="B20" i="75"/>
  <c r="Z33" i="76"/>
  <c r="B33" i="76"/>
  <c r="B33" i="75"/>
  <c r="Z27" i="76"/>
  <c r="B27" i="76"/>
  <c r="B27" i="75"/>
  <c r="B18" i="76"/>
  <c r="B18" i="75"/>
  <c r="Z35" i="76"/>
  <c r="B35" i="76"/>
  <c r="B35" i="75"/>
  <c r="J63" i="74"/>
  <c r="E35" i="75"/>
  <c r="E21" i="75"/>
  <c r="D106" i="72"/>
  <c r="J66" i="72"/>
  <c r="O66" i="74"/>
  <c r="E68" i="72"/>
  <c r="G14" i="75"/>
  <c r="G7" i="75"/>
  <c r="D101" i="72"/>
  <c r="E9" i="76"/>
  <c r="G9" i="76"/>
  <c r="F9" i="76"/>
  <c r="I43" i="75"/>
  <c r="I19" i="75"/>
  <c r="I30" i="75"/>
  <c r="M30" i="72"/>
  <c r="O26" i="72"/>
  <c r="G84" i="72" s="1"/>
  <c r="AM40" i="78"/>
  <c r="E30" i="75"/>
  <c r="E23" i="75"/>
  <c r="E36" i="75"/>
  <c r="H70" i="72"/>
  <c r="G67" i="72"/>
  <c r="I78" i="72"/>
  <c r="D102" i="72"/>
  <c r="E62" i="72"/>
  <c r="G40" i="75"/>
  <c r="G34" i="75"/>
  <c r="AH19" i="76"/>
  <c r="G28" i="75"/>
  <c r="G13" i="75"/>
  <c r="AG26" i="76"/>
  <c r="AB42" i="76"/>
  <c r="AB21" i="76"/>
  <c r="AQ41" i="76"/>
  <c r="AQ21" i="76"/>
  <c r="I31" i="75"/>
  <c r="AI37" i="76"/>
  <c r="I25" i="75"/>
  <c r="AI26" i="76"/>
  <c r="AR48" i="76"/>
  <c r="AR27" i="76"/>
  <c r="AP45" i="76"/>
  <c r="AQ46" i="76"/>
  <c r="K54" i="72"/>
  <c r="J54" i="74"/>
  <c r="J53" i="72"/>
  <c r="O53" i="74"/>
  <c r="K67" i="72"/>
  <c r="J67" i="74"/>
  <c r="J66" i="74"/>
  <c r="G22" i="75"/>
  <c r="G15" i="75"/>
  <c r="G8" i="75"/>
  <c r="X43" i="78"/>
  <c r="Y43" i="78" s="1"/>
  <c r="Y42" i="78"/>
  <c r="D48" i="77" s="1"/>
  <c r="D49" i="77" s="1"/>
  <c r="C48" i="80"/>
  <c r="B41" i="78"/>
  <c r="C49" i="80" s="1"/>
  <c r="D99" i="72"/>
  <c r="K49" i="81"/>
  <c r="L49" i="81" s="1"/>
  <c r="J49" i="81"/>
  <c r="AR41" i="78"/>
  <c r="AQ42" i="78" s="1"/>
  <c r="AS44" i="76"/>
  <c r="J67" i="72"/>
  <c r="O67" i="74"/>
  <c r="G43" i="75"/>
  <c r="E46" i="76"/>
  <c r="AA46" i="76" s="1"/>
  <c r="G46" i="76"/>
  <c r="AC46" i="76" s="1"/>
  <c r="O8" i="81"/>
  <c r="R8" i="81"/>
  <c r="I85" i="72"/>
  <c r="I42" i="75"/>
  <c r="I23" i="75"/>
  <c r="AG42" i="78"/>
  <c r="AF43" i="78" s="1"/>
  <c r="AG43" i="78" s="1"/>
  <c r="B25" i="76"/>
  <c r="Z25" i="76"/>
  <c r="B25" i="75"/>
  <c r="B24" i="76"/>
  <c r="Z24" i="76"/>
  <c r="B24" i="75"/>
  <c r="Z37" i="76"/>
  <c r="B37" i="76"/>
  <c r="B37" i="75"/>
  <c r="B15" i="76"/>
  <c r="B15" i="75"/>
  <c r="Z31" i="76"/>
  <c r="B31" i="76"/>
  <c r="B31" i="75"/>
  <c r="B22" i="76"/>
  <c r="Z22" i="76"/>
  <c r="B22" i="75"/>
  <c r="Z42" i="76"/>
  <c r="B42" i="76"/>
  <c r="B42" i="75"/>
  <c r="Z41" i="76"/>
  <c r="B41" i="76"/>
  <c r="B41" i="75"/>
  <c r="D105" i="72"/>
  <c r="J48" i="80"/>
  <c r="I41" i="78"/>
  <c r="J49" i="80" s="1"/>
  <c r="E43" i="75"/>
  <c r="E27" i="75"/>
  <c r="E20" i="75"/>
  <c r="G30" i="75"/>
  <c r="G23" i="75"/>
  <c r="G16" i="75"/>
  <c r="F77" i="72"/>
  <c r="P77" i="74" s="1"/>
  <c r="N9" i="77"/>
  <c r="J9" i="76" s="1"/>
  <c r="F10" i="77"/>
  <c r="H9" i="76"/>
  <c r="I9" i="76"/>
  <c r="K9" i="76"/>
  <c r="I12" i="75"/>
  <c r="Q45" i="76"/>
  <c r="AM45" i="76" s="1"/>
  <c r="E38" i="75"/>
  <c r="X7" i="74"/>
  <c r="W8" i="74"/>
  <c r="Y45" i="80"/>
  <c r="W45" i="76"/>
  <c r="H79" i="72"/>
  <c r="E78" i="72"/>
  <c r="F78" i="72"/>
  <c r="P78" i="74" s="1"/>
  <c r="I68" i="72"/>
  <c r="H74" i="72"/>
  <c r="G29" i="75"/>
  <c r="AB43" i="76"/>
  <c r="F44" i="76"/>
  <c r="I24" i="75"/>
  <c r="AH45" i="76"/>
  <c r="F45" i="75"/>
  <c r="BB41" i="78"/>
  <c r="BA42" i="78" s="1"/>
  <c r="AH47" i="77"/>
  <c r="U47" i="76" s="1"/>
  <c r="AQ47" i="76" s="1"/>
  <c r="AI45" i="76"/>
  <c r="C45" i="76"/>
  <c r="K71" i="72"/>
  <c r="J71" i="74"/>
  <c r="J72" i="72"/>
  <c r="O72" i="74"/>
  <c r="J57" i="72"/>
  <c r="O57" i="74"/>
  <c r="J58" i="72"/>
  <c r="O58" i="74"/>
  <c r="K58" i="72"/>
  <c r="J58" i="74"/>
  <c r="J71" i="72"/>
  <c r="O71" i="74"/>
  <c r="D95" i="72"/>
  <c r="H83" i="72"/>
  <c r="J60" i="72"/>
  <c r="O60" i="74"/>
  <c r="L48" i="80"/>
  <c r="M48" i="80" s="1"/>
  <c r="J41" i="78"/>
  <c r="L49" i="80" s="1"/>
  <c r="M49" i="80" s="1"/>
  <c r="K68" i="72"/>
  <c r="J68" i="74"/>
  <c r="K61" i="72"/>
  <c r="J61" i="74"/>
  <c r="G42" i="75"/>
  <c r="G31" i="75"/>
  <c r="G24" i="75"/>
  <c r="G9" i="75"/>
  <c r="AO41" i="78"/>
  <c r="I22" i="75"/>
  <c r="F69" i="72"/>
  <c r="P69" i="74" s="1"/>
  <c r="I75" i="72"/>
  <c r="F75" i="72"/>
  <c r="P75" i="74" s="1"/>
  <c r="J48" i="81"/>
  <c r="K48" i="81"/>
  <c r="L48" i="81" s="1"/>
  <c r="G11" i="75"/>
  <c r="G4" i="75"/>
  <c r="H46" i="76"/>
  <c r="I46" i="76"/>
  <c r="AE46" i="76" s="1"/>
  <c r="J46" i="76"/>
  <c r="AF46" i="76" s="1"/>
  <c r="K46" i="76"/>
  <c r="AG46" i="76" s="1"/>
  <c r="K6" i="81"/>
  <c r="L7" i="81"/>
  <c r="B13" i="76"/>
  <c r="B13" i="75"/>
  <c r="B29" i="76"/>
  <c r="Z29" i="76"/>
  <c r="B29" i="75"/>
  <c r="B12" i="76"/>
  <c r="B12" i="75"/>
  <c r="B28" i="76"/>
  <c r="Z28" i="76"/>
  <c r="B28" i="75"/>
  <c r="Z19" i="76"/>
  <c r="B19" i="76"/>
  <c r="B19" i="75"/>
  <c r="C19" i="75" s="1"/>
  <c r="Z34" i="76"/>
  <c r="B34" i="76"/>
  <c r="B34" i="75"/>
  <c r="C34" i="75" s="1"/>
  <c r="B26" i="76"/>
  <c r="Z26" i="76"/>
  <c r="B26" i="75"/>
  <c r="Z40" i="76"/>
  <c r="B40" i="76"/>
  <c r="B40" i="75"/>
  <c r="F81" i="72"/>
  <c r="P81" i="74" s="1"/>
  <c r="O47" i="81"/>
  <c r="Q47" i="81" s="1"/>
  <c r="P47" i="81"/>
  <c r="R47" i="81" s="1"/>
  <c r="I70" i="72"/>
  <c r="M37" i="72"/>
  <c r="O33" i="72"/>
  <c r="G39" i="75"/>
  <c r="G38" i="75"/>
  <c r="G32" i="75"/>
  <c r="G17" i="75"/>
  <c r="E77" i="72"/>
  <c r="I76" i="72"/>
  <c r="D100" i="72"/>
  <c r="I34" i="75"/>
  <c r="I3" i="75"/>
  <c r="I29" i="75"/>
  <c r="J59" i="72"/>
  <c r="O59" i="74"/>
  <c r="F48" i="80"/>
  <c r="G41" i="78"/>
  <c r="F49" i="80" s="1"/>
  <c r="I63" i="72"/>
  <c r="K63" i="72" s="1"/>
  <c r="E44" i="75"/>
  <c r="E16" i="75"/>
  <c r="E79" i="72"/>
  <c r="D103" i="72"/>
  <c r="AJ43" i="76"/>
  <c r="N44" i="76"/>
  <c r="X44" i="76" s="1"/>
  <c r="G78" i="72"/>
  <c r="I66" i="72"/>
  <c r="K66" i="72" s="1"/>
  <c r="H80" i="72"/>
  <c r="D98" i="72"/>
  <c r="G10" i="75"/>
  <c r="AS41" i="76"/>
  <c r="AS32" i="76"/>
  <c r="AS35" i="76"/>
  <c r="AS27" i="76"/>
  <c r="AS39" i="76"/>
  <c r="AS25" i="76"/>
  <c r="AS28" i="76"/>
  <c r="AS30" i="76"/>
  <c r="AS33" i="76"/>
  <c r="AS24" i="76"/>
  <c r="AS26" i="76"/>
  <c r="AS34" i="76"/>
  <c r="AS38" i="76"/>
  <c r="AS40" i="76"/>
  <c r="AS22" i="76"/>
  <c r="AS37" i="76"/>
  <c r="AS36" i="76"/>
  <c r="AS21" i="76"/>
  <c r="AS31" i="76"/>
  <c r="AS23" i="76"/>
  <c r="AS20" i="76"/>
  <c r="AS19" i="76"/>
  <c r="AS29" i="76"/>
  <c r="AS42" i="76"/>
  <c r="G3" i="75"/>
  <c r="AH29" i="76"/>
  <c r="AG43" i="76"/>
  <c r="AG19" i="76"/>
  <c r="AB33" i="76"/>
  <c r="AB31" i="76"/>
  <c r="AQ33" i="76"/>
  <c r="N48" i="80"/>
  <c r="K41" i="78"/>
  <c r="N49" i="80" s="1"/>
  <c r="I39" i="75"/>
  <c r="AI24" i="76"/>
  <c r="I9" i="75"/>
  <c r="AR43" i="76"/>
  <c r="AR20" i="76"/>
  <c r="AE24" i="76"/>
  <c r="AO45" i="76"/>
  <c r="J52" i="72"/>
  <c r="O52" i="74"/>
  <c r="V43" i="78"/>
  <c r="W43" i="78" s="1"/>
  <c r="W42" i="78"/>
  <c r="B43" i="77" s="1"/>
  <c r="K55" i="72"/>
  <c r="J55" i="74"/>
  <c r="K62" i="72"/>
  <c r="J62" i="74"/>
  <c r="G37" i="75"/>
  <c r="G25" i="75"/>
  <c r="I48" i="80"/>
  <c r="H41" i="78"/>
  <c r="I49" i="80" s="1"/>
  <c r="M32" i="72"/>
  <c r="O28" i="72"/>
  <c r="K60" i="72"/>
  <c r="J60" i="74"/>
  <c r="J63" i="72"/>
  <c r="O63" i="74"/>
  <c r="G48" i="80"/>
  <c r="E41" i="78"/>
  <c r="G49" i="80" s="1"/>
  <c r="F70" i="72"/>
  <c r="P70" i="74" s="1"/>
  <c r="G18" i="75"/>
  <c r="G27" i="75"/>
  <c r="G20" i="75"/>
  <c r="G5" i="75"/>
  <c r="E85" i="72"/>
  <c r="D109" i="72"/>
  <c r="I7" i="75"/>
  <c r="B17" i="76"/>
  <c r="B17" i="75"/>
  <c r="Z36" i="76"/>
  <c r="B36" i="76"/>
  <c r="B36" i="75"/>
  <c r="B16" i="76"/>
  <c r="B16" i="75"/>
  <c r="B32" i="76"/>
  <c r="Z32" i="76"/>
  <c r="B32" i="75"/>
  <c r="Z23" i="76"/>
  <c r="B23" i="76"/>
  <c r="B23" i="75"/>
  <c r="Z38" i="76"/>
  <c r="B38" i="76"/>
  <c r="B38" i="75"/>
  <c r="B14" i="76"/>
  <c r="B14" i="75"/>
  <c r="B30" i="76"/>
  <c r="Z30" i="76"/>
  <c r="B30" i="75"/>
  <c r="Z39" i="76"/>
  <c r="B39" i="76"/>
  <c r="B39" i="75"/>
  <c r="C39" i="75" s="1"/>
  <c r="I81" i="72"/>
  <c r="G69" i="72"/>
  <c r="H82" i="72"/>
  <c r="AL39" i="78"/>
  <c r="AB45" i="77" s="1"/>
  <c r="AJ40" i="78"/>
  <c r="F68" i="72"/>
  <c r="P68" i="74" s="1"/>
  <c r="G44" i="75"/>
  <c r="G36" i="75"/>
  <c r="H77" i="72"/>
  <c r="E76" i="72"/>
  <c r="I28" i="75"/>
  <c r="I65" i="72"/>
  <c r="G64" i="72"/>
  <c r="F73" i="72"/>
  <c r="P73" i="74" s="1"/>
  <c r="G73" i="72"/>
  <c r="F65" i="72"/>
  <c r="P65" i="74" s="1"/>
  <c r="G65" i="72"/>
  <c r="F64" i="72"/>
  <c r="P64" i="74" s="1"/>
  <c r="I64" i="72"/>
  <c r="E73" i="72"/>
  <c r="E65" i="72"/>
  <c r="E64" i="72"/>
  <c r="H73" i="72"/>
  <c r="H65" i="72"/>
  <c r="H64" i="72"/>
  <c r="I73" i="72"/>
  <c r="H69" i="72"/>
  <c r="Z43" i="78"/>
  <c r="AA42" i="78"/>
  <c r="F48" i="77"/>
  <c r="K56" i="72"/>
  <c r="J56" i="74"/>
  <c r="E14" i="75"/>
  <c r="E32" i="75"/>
  <c r="E17" i="75"/>
  <c r="BD83" i="78"/>
  <c r="BE82" i="78"/>
  <c r="S38" i="78"/>
  <c r="X46" i="80" s="1"/>
  <c r="G79" i="72"/>
  <c r="F79" i="72"/>
  <c r="P79" i="74" s="1"/>
  <c r="H78" i="72"/>
  <c r="E80" i="72"/>
  <c r="D104" i="72"/>
  <c r="E74" i="72"/>
  <c r="F74" i="72"/>
  <c r="P74" i="74" s="1"/>
  <c r="G26" i="75"/>
  <c r="G19" i="75"/>
  <c r="G12" i="75"/>
  <c r="I37" i="75"/>
  <c r="I8" i="75"/>
  <c r="AR38" i="76"/>
  <c r="AR21" i="76"/>
  <c r="D45" i="75"/>
  <c r="E45" i="75" s="1"/>
  <c r="AA45" i="76"/>
  <c r="C23" i="75" l="1"/>
  <c r="C36" i="75"/>
  <c r="C32" i="75"/>
  <c r="C30" i="75"/>
  <c r="C38" i="75"/>
  <c r="C16" i="75"/>
  <c r="C28" i="75"/>
  <c r="C14" i="75"/>
  <c r="C17" i="75"/>
  <c r="C22" i="75"/>
  <c r="B9" i="76"/>
  <c r="C41" i="75"/>
  <c r="C31" i="75"/>
  <c r="C24" i="75"/>
  <c r="AX42" i="78"/>
  <c r="AW43" i="78"/>
  <c r="AX43" i="78" s="1"/>
  <c r="AQ43" i="78"/>
  <c r="AR43" i="78" s="1"/>
  <c r="AR42" i="78"/>
  <c r="BE42" i="78"/>
  <c r="AV42" i="78"/>
  <c r="AU43" i="78" s="1"/>
  <c r="V48" i="77"/>
  <c r="O48" i="76" s="1"/>
  <c r="AK48" i="76" s="1"/>
  <c r="BB42" i="78"/>
  <c r="BA43" i="78"/>
  <c r="AH48" i="77"/>
  <c r="U48" i="76" s="1"/>
  <c r="AQ48" i="76" s="1"/>
  <c r="AY43" i="78"/>
  <c r="AZ42" i="78"/>
  <c r="AF48" i="77"/>
  <c r="T48" i="76" s="1"/>
  <c r="AP48" i="76" s="1"/>
  <c r="K69" i="72"/>
  <c r="J69" i="74"/>
  <c r="J80" i="74"/>
  <c r="J83" i="74"/>
  <c r="AB44" i="76"/>
  <c r="F45" i="76"/>
  <c r="J78" i="72"/>
  <c r="O78" i="74"/>
  <c r="X8" i="74"/>
  <c r="W9" i="74"/>
  <c r="D117" i="72"/>
  <c r="I80" i="72"/>
  <c r="K80" i="72" s="1"/>
  <c r="H90" i="72"/>
  <c r="M34" i="72"/>
  <c r="O30" i="72"/>
  <c r="G90" i="72" s="1"/>
  <c r="E89" i="72"/>
  <c r="D113" i="72"/>
  <c r="E82" i="72"/>
  <c r="C33" i="75"/>
  <c r="G49" i="77"/>
  <c r="AI41" i="78"/>
  <c r="K47" i="77" s="1"/>
  <c r="E84" i="72"/>
  <c r="D108" i="72"/>
  <c r="H96" i="72"/>
  <c r="I48" i="77"/>
  <c r="I49" i="77" s="1"/>
  <c r="K73" i="72"/>
  <c r="J73" i="74"/>
  <c r="AP41" i="78"/>
  <c r="Q47" i="77" s="1"/>
  <c r="AO42" i="78"/>
  <c r="J74" i="74"/>
  <c r="J64" i="72"/>
  <c r="O64" i="74"/>
  <c r="H86" i="72"/>
  <c r="J77" i="72"/>
  <c r="O77" i="74"/>
  <c r="G82" i="72"/>
  <c r="E81" i="72"/>
  <c r="C13" i="75"/>
  <c r="K5" i="81"/>
  <c r="L6" i="81"/>
  <c r="C46" i="76"/>
  <c r="AD46" i="76"/>
  <c r="D46" i="75"/>
  <c r="E46" i="75" s="1"/>
  <c r="G83" i="72"/>
  <c r="D107" i="72"/>
  <c r="H95" i="72"/>
  <c r="G45" i="75"/>
  <c r="J79" i="74"/>
  <c r="C9" i="76"/>
  <c r="D9" i="75"/>
  <c r="F82" i="72"/>
  <c r="P82" i="74" s="1"/>
  <c r="F93" i="72"/>
  <c r="P93" i="74" s="1"/>
  <c r="C37" i="75"/>
  <c r="K8" i="76"/>
  <c r="H8" i="76"/>
  <c r="I8" i="76"/>
  <c r="J8" i="76"/>
  <c r="I87" i="72"/>
  <c r="J62" i="72"/>
  <c r="O62" i="74"/>
  <c r="I90" i="72"/>
  <c r="D114" i="72"/>
  <c r="I79" i="72"/>
  <c r="K79" i="72" s="1"/>
  <c r="G89" i="72"/>
  <c r="F89" i="72"/>
  <c r="P89" i="74" s="1"/>
  <c r="H81" i="72"/>
  <c r="C18" i="75"/>
  <c r="J70" i="72"/>
  <c r="O70" i="74"/>
  <c r="X47" i="77"/>
  <c r="I84" i="72"/>
  <c r="F84" i="72"/>
  <c r="P84" i="74" s="1"/>
  <c r="I74" i="72"/>
  <c r="K74" i="72" s="1"/>
  <c r="AI46" i="76"/>
  <c r="R7" i="81"/>
  <c r="O7" i="81"/>
  <c r="J80" i="72"/>
  <c r="O80" i="74"/>
  <c r="Y46" i="80"/>
  <c r="W46" i="76"/>
  <c r="J76" i="72"/>
  <c r="O76" i="74"/>
  <c r="R45" i="76"/>
  <c r="AN45" i="76" s="1"/>
  <c r="J85" i="72"/>
  <c r="O85" i="74"/>
  <c r="G91" i="72"/>
  <c r="D115" i="72"/>
  <c r="H88" i="72"/>
  <c r="J74" i="72"/>
  <c r="O74" i="74"/>
  <c r="K78" i="72"/>
  <c r="J78" i="74"/>
  <c r="K64" i="72"/>
  <c r="J64" i="74"/>
  <c r="J65" i="72"/>
  <c r="O65" i="74"/>
  <c r="J77" i="74"/>
  <c r="AK40" i="78"/>
  <c r="H97" i="72"/>
  <c r="O32" i="72"/>
  <c r="M36" i="72"/>
  <c r="E86" i="72"/>
  <c r="D110" i="72"/>
  <c r="I91" i="72"/>
  <c r="F91" i="72"/>
  <c r="P91" i="74" s="1"/>
  <c r="E88" i="72"/>
  <c r="D112" i="72"/>
  <c r="H47" i="76"/>
  <c r="K47" i="76"/>
  <c r="AG47" i="76" s="1"/>
  <c r="J47" i="76"/>
  <c r="AF47" i="76" s="1"/>
  <c r="C40" i="75"/>
  <c r="C26" i="75"/>
  <c r="C29" i="75"/>
  <c r="P48" i="81"/>
  <c r="R48" i="81" s="1"/>
  <c r="O48" i="81"/>
  <c r="Q48" i="81" s="1"/>
  <c r="E83" i="72"/>
  <c r="F83" i="72"/>
  <c r="P83" i="74" s="1"/>
  <c r="G80" i="72"/>
  <c r="AS45" i="76"/>
  <c r="H76" i="72"/>
  <c r="I77" i="72"/>
  <c r="K77" i="72" s="1"/>
  <c r="I82" i="72"/>
  <c r="E93" i="72"/>
  <c r="G81" i="72"/>
  <c r="C42" i="75"/>
  <c r="B9" i="75"/>
  <c r="E8" i="76"/>
  <c r="G8" i="76"/>
  <c r="F8" i="76"/>
  <c r="D8" i="76"/>
  <c r="P49" i="81"/>
  <c r="R49" i="81" s="1"/>
  <c r="O49" i="81"/>
  <c r="Q49" i="81" s="1"/>
  <c r="H87" i="72"/>
  <c r="G74" i="72"/>
  <c r="E90" i="72"/>
  <c r="F90" i="72"/>
  <c r="P90" i="74" s="1"/>
  <c r="K70" i="72"/>
  <c r="J70" i="74"/>
  <c r="AN40" i="78"/>
  <c r="Z46" i="77" s="1"/>
  <c r="I89" i="72"/>
  <c r="G77" i="72"/>
  <c r="I94" i="72"/>
  <c r="D118" i="72"/>
  <c r="C35" i="75"/>
  <c r="C21" i="75"/>
  <c r="F85" i="72"/>
  <c r="P85" i="74" s="1"/>
  <c r="AT41" i="78"/>
  <c r="AD47" i="77" s="1"/>
  <c r="S47" i="77"/>
  <c r="AH46" i="76"/>
  <c r="F46" i="75"/>
  <c r="D116" i="72"/>
  <c r="BD84" i="78"/>
  <c r="BE83" i="78"/>
  <c r="S39" i="78"/>
  <c r="X47" i="80" s="1"/>
  <c r="AA43" i="78"/>
  <c r="F49" i="77"/>
  <c r="K65" i="72"/>
  <c r="J65" i="74"/>
  <c r="J73" i="72"/>
  <c r="O73" i="74"/>
  <c r="K82" i="72"/>
  <c r="J82" i="74"/>
  <c r="D121" i="72"/>
  <c r="B44" i="77"/>
  <c r="D43" i="76"/>
  <c r="AJ44" i="76"/>
  <c r="N45" i="76"/>
  <c r="H44" i="75"/>
  <c r="J79" i="72"/>
  <c r="O79" i="74"/>
  <c r="I88" i="72"/>
  <c r="F88" i="72"/>
  <c r="P88" i="74" s="1"/>
  <c r="O37" i="72"/>
  <c r="M41" i="72"/>
  <c r="E47" i="76"/>
  <c r="AA47" i="76" s="1"/>
  <c r="G47" i="76"/>
  <c r="AC47" i="76" s="1"/>
  <c r="H85" i="72"/>
  <c r="I83" i="72"/>
  <c r="K83" i="72" s="1"/>
  <c r="F11" i="77"/>
  <c r="N10" i="77"/>
  <c r="J10" i="76" s="1"/>
  <c r="F10" i="76"/>
  <c r="H93" i="72"/>
  <c r="C15" i="75"/>
  <c r="C25" i="75"/>
  <c r="E87" i="72"/>
  <c r="D111" i="72"/>
  <c r="F80" i="72"/>
  <c r="P80" i="74" s="1"/>
  <c r="E75" i="72"/>
  <c r="G75" i="72"/>
  <c r="G76" i="72"/>
  <c r="H89" i="72"/>
  <c r="J68" i="72"/>
  <c r="O68" i="74"/>
  <c r="E94" i="72"/>
  <c r="F94" i="72"/>
  <c r="P94" i="74" s="1"/>
  <c r="C27" i="75"/>
  <c r="C20" i="75"/>
  <c r="G85" i="72"/>
  <c r="H75" i="72"/>
  <c r="O35" i="72"/>
  <c r="M39" i="72"/>
  <c r="H84" i="72"/>
  <c r="F76" i="72"/>
  <c r="P76" i="74" s="1"/>
  <c r="AV43" i="78" l="1"/>
  <c r="BE43" i="78"/>
  <c r="V49" i="77"/>
  <c r="O49" i="76" s="1"/>
  <c r="AK49" i="76" s="1"/>
  <c r="G105" i="72"/>
  <c r="B10" i="76"/>
  <c r="B10" i="75"/>
  <c r="C10" i="75" s="1"/>
  <c r="Q46" i="76"/>
  <c r="AM46" i="76" s="1"/>
  <c r="AS46" i="76"/>
  <c r="AP42" i="78"/>
  <c r="AO43" i="78"/>
  <c r="AP43" i="78" s="1"/>
  <c r="J94" i="72"/>
  <c r="O94" i="74"/>
  <c r="C10" i="76"/>
  <c r="D10" i="75"/>
  <c r="E10" i="75" s="1"/>
  <c r="D133" i="72"/>
  <c r="BD85" i="78"/>
  <c r="BE84" i="78"/>
  <c r="S40" i="78"/>
  <c r="X48" i="80" s="1"/>
  <c r="D130" i="72"/>
  <c r="G49" i="76"/>
  <c r="AC49" i="76" s="1"/>
  <c r="E49" i="76"/>
  <c r="AA49" i="76" s="1"/>
  <c r="K76" i="72"/>
  <c r="J76" i="74"/>
  <c r="J86" i="72"/>
  <c r="O86" i="74"/>
  <c r="J97" i="74"/>
  <c r="J7" i="76"/>
  <c r="I7" i="76"/>
  <c r="K7" i="76"/>
  <c r="H7" i="76"/>
  <c r="C8" i="76"/>
  <c r="D8" i="75"/>
  <c r="I93" i="72"/>
  <c r="E95" i="72"/>
  <c r="D119" i="72"/>
  <c r="G107" i="72"/>
  <c r="K4" i="81"/>
  <c r="L5" i="81"/>
  <c r="Q48" i="77"/>
  <c r="L47" i="76"/>
  <c r="I96" i="72"/>
  <c r="D120" i="72"/>
  <c r="H108" i="72"/>
  <c r="AH42" i="78"/>
  <c r="J82" i="72"/>
  <c r="O82" i="74"/>
  <c r="J89" i="72"/>
  <c r="O89" i="74"/>
  <c r="X9" i="74"/>
  <c r="W10" i="74"/>
  <c r="AB45" i="76"/>
  <c r="F46" i="76"/>
  <c r="BB43" i="78"/>
  <c r="AH49" i="77"/>
  <c r="U49" i="76" s="1"/>
  <c r="AQ49" i="76" s="1"/>
  <c r="K85" i="72"/>
  <c r="J85" i="74"/>
  <c r="O41" i="72"/>
  <c r="M45" i="72"/>
  <c r="G46" i="75"/>
  <c r="K87" i="72"/>
  <c r="J87" i="74"/>
  <c r="H48" i="76"/>
  <c r="J48" i="76"/>
  <c r="AF48" i="76" s="1"/>
  <c r="K48" i="76"/>
  <c r="AG48" i="76" s="1"/>
  <c r="J88" i="72"/>
  <c r="O88" i="74"/>
  <c r="F7" i="76"/>
  <c r="E7" i="76"/>
  <c r="G7" i="76"/>
  <c r="D7" i="76"/>
  <c r="O39" i="72"/>
  <c r="M43" i="72"/>
  <c r="D123" i="72"/>
  <c r="N11" i="77"/>
  <c r="J11" i="76" s="1"/>
  <c r="F11" i="76"/>
  <c r="Z43" i="76"/>
  <c r="B43" i="76"/>
  <c r="B43" i="75"/>
  <c r="C43" i="75" s="1"/>
  <c r="D128" i="72"/>
  <c r="S48" i="77"/>
  <c r="M47" i="76"/>
  <c r="J49" i="76"/>
  <c r="AF49" i="76" s="1"/>
  <c r="K49" i="76"/>
  <c r="AG49" i="76" s="1"/>
  <c r="H49" i="76"/>
  <c r="J93" i="72"/>
  <c r="O93" i="74"/>
  <c r="J83" i="72"/>
  <c r="O83" i="74"/>
  <c r="D124" i="72"/>
  <c r="O36" i="72"/>
  <c r="M40" i="72"/>
  <c r="AL40" i="78"/>
  <c r="AB46" i="77" s="1"/>
  <c r="K88" i="72"/>
  <c r="J88" i="74"/>
  <c r="X48" i="77"/>
  <c r="P47" i="76"/>
  <c r="AL47" i="76" s="1"/>
  <c r="K81" i="72"/>
  <c r="J81" i="74"/>
  <c r="H102" i="72"/>
  <c r="G95" i="72"/>
  <c r="F95" i="72"/>
  <c r="P95" i="74" s="1"/>
  <c r="E96" i="72"/>
  <c r="F96" i="72"/>
  <c r="P96" i="74" s="1"/>
  <c r="G94" i="72"/>
  <c r="E91" i="72"/>
  <c r="F86" i="72"/>
  <c r="P86" i="74" s="1"/>
  <c r="I86" i="72"/>
  <c r="E97" i="72"/>
  <c r="I92" i="72"/>
  <c r="H91" i="72"/>
  <c r="F97" i="72"/>
  <c r="P97" i="74" s="1"/>
  <c r="I97" i="72"/>
  <c r="K97" i="72" s="1"/>
  <c r="G92" i="72"/>
  <c r="G88" i="72"/>
  <c r="G86" i="72"/>
  <c r="G97" i="72"/>
  <c r="F92" i="72"/>
  <c r="P92" i="74" s="1"/>
  <c r="F87" i="72"/>
  <c r="P87" i="74" s="1"/>
  <c r="G87" i="72"/>
  <c r="G93" i="72"/>
  <c r="E92" i="72"/>
  <c r="H105" i="72"/>
  <c r="K84" i="72"/>
  <c r="J84" i="74"/>
  <c r="K75" i="72"/>
  <c r="J75" i="74"/>
  <c r="K89" i="72"/>
  <c r="J89" i="74"/>
  <c r="J87" i="72"/>
  <c r="O87" i="74"/>
  <c r="AJ45" i="76"/>
  <c r="N46" i="76"/>
  <c r="H45" i="75"/>
  <c r="S47" i="76"/>
  <c r="AO47" i="76" s="1"/>
  <c r="J90" i="72"/>
  <c r="O90" i="74"/>
  <c r="AD47" i="76"/>
  <c r="J95" i="74"/>
  <c r="O6" i="81"/>
  <c r="R6" i="81"/>
  <c r="K96" i="72"/>
  <c r="J96" i="74"/>
  <c r="K90" i="72"/>
  <c r="J90" i="74"/>
  <c r="J75" i="72"/>
  <c r="O75" i="74"/>
  <c r="K93" i="72"/>
  <c r="J93" i="74"/>
  <c r="I44" i="75"/>
  <c r="B45" i="77"/>
  <c r="D44" i="76"/>
  <c r="Y47" i="80"/>
  <c r="W47" i="76"/>
  <c r="AS42" i="78"/>
  <c r="AM41" i="78"/>
  <c r="B8" i="76"/>
  <c r="B8" i="75"/>
  <c r="C9" i="75" s="1"/>
  <c r="X45" i="76"/>
  <c r="G48" i="76"/>
  <c r="AC48" i="76" s="1"/>
  <c r="E48" i="76"/>
  <c r="AA48" i="76" s="1"/>
  <c r="I47" i="76"/>
  <c r="AE47" i="76" s="1"/>
  <c r="D122" i="72"/>
  <c r="H92" i="72"/>
  <c r="D127" i="72"/>
  <c r="AJ41" i="78"/>
  <c r="H94" i="72"/>
  <c r="E102" i="72"/>
  <c r="D126" i="72"/>
  <c r="I95" i="72"/>
  <c r="K95" i="72" s="1"/>
  <c r="J81" i="72"/>
  <c r="O81" i="74"/>
  <c r="K86" i="72"/>
  <c r="J86" i="74"/>
  <c r="G96" i="72"/>
  <c r="J84" i="72"/>
  <c r="O84" i="74"/>
  <c r="G101" i="72"/>
  <c r="D125" i="72"/>
  <c r="O34" i="72"/>
  <c r="M38" i="72"/>
  <c r="D129" i="72"/>
  <c r="AZ43" i="78"/>
  <c r="AF49" i="77"/>
  <c r="T49" i="76" s="1"/>
  <c r="AP49" i="76" s="1"/>
  <c r="C7" i="76" l="1"/>
  <c r="J102" i="72"/>
  <c r="O102" i="74"/>
  <c r="J105" i="74"/>
  <c r="K91" i="72"/>
  <c r="J91" i="74"/>
  <c r="J102" i="74"/>
  <c r="X49" i="77"/>
  <c r="P49" i="76" s="1"/>
  <c r="AL49" i="76" s="1"/>
  <c r="P48" i="76"/>
  <c r="AL48" i="76" s="1"/>
  <c r="R46" i="76"/>
  <c r="AN46" i="76" s="1"/>
  <c r="J108" i="74"/>
  <c r="I98" i="72"/>
  <c r="F100" i="72"/>
  <c r="P100" i="74" s="1"/>
  <c r="I100" i="72"/>
  <c r="G106" i="72"/>
  <c r="F104" i="72"/>
  <c r="P104" i="74" s="1"/>
  <c r="E104" i="72"/>
  <c r="I109" i="72"/>
  <c r="F99" i="72"/>
  <c r="P99" i="74" s="1"/>
  <c r="E99" i="72"/>
  <c r="F102" i="72"/>
  <c r="P102" i="74" s="1"/>
  <c r="H103" i="72"/>
  <c r="H98" i="72"/>
  <c r="E100" i="72"/>
  <c r="F106" i="72"/>
  <c r="P106" i="74" s="1"/>
  <c r="E106" i="72"/>
  <c r="I104" i="72"/>
  <c r="F109" i="72"/>
  <c r="P109" i="74" s="1"/>
  <c r="G109" i="72"/>
  <c r="G99" i="72"/>
  <c r="F105" i="72"/>
  <c r="P105" i="74" s="1"/>
  <c r="F101" i="72"/>
  <c r="P101" i="74" s="1"/>
  <c r="I102" i="72"/>
  <c r="K102" i="72" s="1"/>
  <c r="E103" i="72"/>
  <c r="F98" i="72"/>
  <c r="P98" i="74" s="1"/>
  <c r="G104" i="72"/>
  <c r="G98" i="72"/>
  <c r="H100" i="72"/>
  <c r="I106" i="72"/>
  <c r="H104" i="72"/>
  <c r="E109" i="72"/>
  <c r="H99" i="72"/>
  <c r="I105" i="72"/>
  <c r="K105" i="72" s="1"/>
  <c r="E101" i="72"/>
  <c r="F103" i="72"/>
  <c r="P103" i="74" s="1"/>
  <c r="E98" i="72"/>
  <c r="G100" i="72"/>
  <c r="H106" i="72"/>
  <c r="H109" i="72"/>
  <c r="I99" i="72"/>
  <c r="G103" i="72"/>
  <c r="AN41" i="78"/>
  <c r="Z47" i="77" s="1"/>
  <c r="Z44" i="76"/>
  <c r="B44" i="76"/>
  <c r="B44" i="75"/>
  <c r="C44" i="75" s="1"/>
  <c r="I45" i="75"/>
  <c r="J92" i="72"/>
  <c r="O92" i="74"/>
  <c r="J91" i="72"/>
  <c r="O91" i="74"/>
  <c r="J96" i="72"/>
  <c r="O96" i="74"/>
  <c r="O40" i="72"/>
  <c r="M44" i="72"/>
  <c r="AD49" i="76"/>
  <c r="AI47" i="76"/>
  <c r="C11" i="76"/>
  <c r="D11" i="75"/>
  <c r="H111" i="72"/>
  <c r="I101" i="72"/>
  <c r="I108" i="72"/>
  <c r="K108" i="72" s="1"/>
  <c r="D132" i="72"/>
  <c r="G120" i="72"/>
  <c r="I120" i="72"/>
  <c r="Q49" i="77"/>
  <c r="L49" i="76" s="1"/>
  <c r="L48" i="76"/>
  <c r="I107" i="72"/>
  <c r="F107" i="72"/>
  <c r="P107" i="74" s="1"/>
  <c r="D142" i="72"/>
  <c r="BE85" i="78"/>
  <c r="S41" i="78"/>
  <c r="X49" i="80" s="1"/>
  <c r="H121" i="72"/>
  <c r="O38" i="72"/>
  <c r="M42" i="72"/>
  <c r="B11" i="76"/>
  <c r="B11" i="75"/>
  <c r="O43" i="72"/>
  <c r="M47" i="72"/>
  <c r="D131" i="72"/>
  <c r="H119" i="72"/>
  <c r="I119" i="72"/>
  <c r="E119" i="72"/>
  <c r="E9" i="75"/>
  <c r="E117" i="72"/>
  <c r="D141" i="72"/>
  <c r="D137" i="72"/>
  <c r="I114" i="72"/>
  <c r="D138" i="72"/>
  <c r="H115" i="72"/>
  <c r="K92" i="72"/>
  <c r="J92" i="74"/>
  <c r="H110" i="72"/>
  <c r="AT42" i="78"/>
  <c r="AD48" i="77" s="1"/>
  <c r="B46" i="77"/>
  <c r="D45" i="76"/>
  <c r="K6" i="76"/>
  <c r="I6" i="76"/>
  <c r="H6" i="76"/>
  <c r="J6" i="76"/>
  <c r="D47" i="75"/>
  <c r="E47" i="75" s="1"/>
  <c r="N47" i="76"/>
  <c r="AJ46" i="76"/>
  <c r="J97" i="72"/>
  <c r="O97" i="74"/>
  <c r="H101" i="72"/>
  <c r="H112" i="72"/>
  <c r="S49" i="77"/>
  <c r="M49" i="76" s="1"/>
  <c r="M48" i="76"/>
  <c r="H116" i="72"/>
  <c r="E111" i="72"/>
  <c r="D135" i="72"/>
  <c r="B7" i="76"/>
  <c r="B7" i="75"/>
  <c r="AD48" i="76"/>
  <c r="F47" i="76"/>
  <c r="AB46" i="76"/>
  <c r="E105" i="72"/>
  <c r="E108" i="72"/>
  <c r="F108" i="72"/>
  <c r="P108" i="74" s="1"/>
  <c r="R5" i="81"/>
  <c r="O5" i="81"/>
  <c r="E107" i="72"/>
  <c r="J95" i="72"/>
  <c r="O95" i="74"/>
  <c r="G102" i="72"/>
  <c r="E118" i="72"/>
  <c r="F118" i="72"/>
  <c r="P118" i="74" s="1"/>
  <c r="E121" i="72"/>
  <c r="D145" i="72"/>
  <c r="O45" i="72"/>
  <c r="M49" i="72"/>
  <c r="X10" i="74"/>
  <c r="W11" i="74"/>
  <c r="AH43" i="78"/>
  <c r="AI43" i="78" s="1"/>
  <c r="AI42" i="78"/>
  <c r="K48" i="77" s="1"/>
  <c r="AH47" i="76"/>
  <c r="F47" i="75"/>
  <c r="K94" i="72"/>
  <c r="J94" i="74"/>
  <c r="G110" i="72"/>
  <c r="G117" i="72"/>
  <c r="F117" i="72"/>
  <c r="P117" i="74" s="1"/>
  <c r="G113" i="72"/>
  <c r="F113" i="72"/>
  <c r="P113" i="74" s="1"/>
  <c r="E114" i="72"/>
  <c r="F114" i="72"/>
  <c r="P114" i="74" s="1"/>
  <c r="G115" i="72"/>
  <c r="D139" i="72"/>
  <c r="I110" i="72"/>
  <c r="D134" i="72"/>
  <c r="C8" i="75"/>
  <c r="AS47" i="76"/>
  <c r="E6" i="76"/>
  <c r="G6" i="76"/>
  <c r="C6" i="76" s="1"/>
  <c r="F6" i="76"/>
  <c r="D6" i="76"/>
  <c r="C47" i="76"/>
  <c r="AK41" i="78"/>
  <c r="E112" i="72"/>
  <c r="D136" i="72"/>
  <c r="I116" i="72"/>
  <c r="D140" i="72"/>
  <c r="G111" i="72"/>
  <c r="F111" i="72"/>
  <c r="P111" i="74" s="1"/>
  <c r="G108" i="72"/>
  <c r="K3" i="81"/>
  <c r="L4" i="81"/>
  <c r="H107" i="72"/>
  <c r="D7" i="75"/>
  <c r="I103" i="72"/>
  <c r="G118" i="72"/>
  <c r="Y48" i="80"/>
  <c r="W48" i="76"/>
  <c r="G121" i="72"/>
  <c r="F121" i="72"/>
  <c r="P121" i="74" s="1"/>
  <c r="AS48" i="76" l="1"/>
  <c r="K5" i="76"/>
  <c r="I5" i="76"/>
  <c r="H5" i="76"/>
  <c r="J5" i="76"/>
  <c r="AI49" i="76"/>
  <c r="J115" i="74"/>
  <c r="O47" i="72"/>
  <c r="M51" i="72"/>
  <c r="O42" i="72"/>
  <c r="M46" i="72"/>
  <c r="AL41" i="78"/>
  <c r="AB47" i="77" s="1"/>
  <c r="D151" i="72"/>
  <c r="J114" i="72"/>
  <c r="O114" i="74"/>
  <c r="G47" i="75"/>
  <c r="X11" i="74"/>
  <c r="W12" i="74"/>
  <c r="X46" i="76"/>
  <c r="AB47" i="76"/>
  <c r="F48" i="76"/>
  <c r="J111" i="72"/>
  <c r="O111" i="74"/>
  <c r="J112" i="74"/>
  <c r="H46" i="75"/>
  <c r="Z45" i="76"/>
  <c r="B45" i="76"/>
  <c r="B45" i="75"/>
  <c r="C45" i="75" s="1"/>
  <c r="K110" i="72"/>
  <c r="J110" i="74"/>
  <c r="AJ42" i="78"/>
  <c r="D149" i="72"/>
  <c r="E8" i="75"/>
  <c r="K119" i="72"/>
  <c r="J119" i="74"/>
  <c r="H113" i="72"/>
  <c r="I112" i="72"/>
  <c r="K112" i="72" s="1"/>
  <c r="F110" i="72"/>
  <c r="P110" i="74" s="1"/>
  <c r="I115" i="72"/>
  <c r="K115" i="72" s="1"/>
  <c r="I113" i="72"/>
  <c r="H118" i="72"/>
  <c r="F116" i="72"/>
  <c r="P116" i="74" s="1"/>
  <c r="F112" i="72"/>
  <c r="P112" i="74" s="1"/>
  <c r="F115" i="72"/>
  <c r="P115" i="74" s="1"/>
  <c r="G114" i="72"/>
  <c r="I117" i="72"/>
  <c r="H117" i="72"/>
  <c r="I121" i="72"/>
  <c r="I111" i="72"/>
  <c r="E116" i="72"/>
  <c r="E110" i="72"/>
  <c r="D154" i="72"/>
  <c r="E120" i="72"/>
  <c r="F120" i="72"/>
  <c r="P120" i="74" s="1"/>
  <c r="E11" i="75"/>
  <c r="E12" i="75"/>
  <c r="G112" i="72"/>
  <c r="K106" i="72"/>
  <c r="J106" i="74"/>
  <c r="J101" i="72"/>
  <c r="O101" i="74"/>
  <c r="K104" i="72"/>
  <c r="J104" i="74"/>
  <c r="J100" i="72"/>
  <c r="O100" i="74"/>
  <c r="J99" i="72"/>
  <c r="O99" i="74"/>
  <c r="J112" i="72"/>
  <c r="O112" i="74"/>
  <c r="S48" i="76"/>
  <c r="AO48" i="76" s="1"/>
  <c r="F132" i="72"/>
  <c r="P132" i="74" s="1"/>
  <c r="D144" i="72"/>
  <c r="I132" i="72"/>
  <c r="K109" i="72"/>
  <c r="J109" i="74"/>
  <c r="J104" i="72"/>
  <c r="O104" i="74"/>
  <c r="K107" i="72"/>
  <c r="J107" i="74"/>
  <c r="O4" i="81"/>
  <c r="R4" i="81"/>
  <c r="D148" i="72"/>
  <c r="J118" i="72"/>
  <c r="O118" i="74"/>
  <c r="J107" i="72"/>
  <c r="O107" i="74"/>
  <c r="J108" i="72"/>
  <c r="O108" i="74"/>
  <c r="K116" i="72"/>
  <c r="J116" i="74"/>
  <c r="K101" i="72"/>
  <c r="J101" i="74"/>
  <c r="D6" i="75"/>
  <c r="E7" i="75" s="1"/>
  <c r="B47" i="77"/>
  <c r="D46" i="76"/>
  <c r="D150" i="72"/>
  <c r="J117" i="72"/>
  <c r="O117" i="74"/>
  <c r="J119" i="72"/>
  <c r="O119" i="74"/>
  <c r="D143" i="72"/>
  <c r="E131" i="72"/>
  <c r="C11" i="75"/>
  <c r="C12" i="75"/>
  <c r="K121" i="72"/>
  <c r="J121" i="74"/>
  <c r="AH48" i="76"/>
  <c r="F48" i="75"/>
  <c r="O44" i="72"/>
  <c r="M48" i="72"/>
  <c r="H114" i="72"/>
  <c r="K98" i="72"/>
  <c r="J98" i="74"/>
  <c r="J121" i="72"/>
  <c r="O121" i="74"/>
  <c r="D153" i="72"/>
  <c r="K111" i="72"/>
  <c r="J111" i="74"/>
  <c r="Q47" i="76"/>
  <c r="J109" i="72"/>
  <c r="O109" i="74"/>
  <c r="D146" i="72"/>
  <c r="D157" i="72"/>
  <c r="K2" i="81"/>
  <c r="L2" i="81" s="1"/>
  <c r="L3" i="81"/>
  <c r="D152" i="72"/>
  <c r="B6" i="76"/>
  <c r="B6" i="75"/>
  <c r="K49" i="77"/>
  <c r="I49" i="76" s="1"/>
  <c r="I48" i="76"/>
  <c r="O49" i="72"/>
  <c r="M53" i="72"/>
  <c r="E5" i="76"/>
  <c r="G5" i="76"/>
  <c r="F5" i="76"/>
  <c r="D5" i="76"/>
  <c r="J105" i="72"/>
  <c r="O105" i="74"/>
  <c r="D147" i="72"/>
  <c r="AI48" i="76"/>
  <c r="AJ47" i="76"/>
  <c r="N48" i="76"/>
  <c r="AS43" i="78"/>
  <c r="AT43" i="78" s="1"/>
  <c r="AD49" i="77" s="1"/>
  <c r="S49" i="76" s="1"/>
  <c r="AO49" i="76" s="1"/>
  <c r="E126" i="72"/>
  <c r="F126" i="72"/>
  <c r="P126" i="74" s="1"/>
  <c r="I125" i="72"/>
  <c r="E113" i="72"/>
  <c r="H129" i="72"/>
  <c r="E115" i="72"/>
  <c r="G119" i="72"/>
  <c r="F119" i="72"/>
  <c r="P119" i="74" s="1"/>
  <c r="Y49" i="80"/>
  <c r="W49" i="76"/>
  <c r="G130" i="72"/>
  <c r="I118" i="72"/>
  <c r="AH49" i="76"/>
  <c r="F49" i="75"/>
  <c r="H120" i="72"/>
  <c r="G116" i="72"/>
  <c r="AM42" i="78"/>
  <c r="J98" i="72"/>
  <c r="O98" i="74"/>
  <c r="K99" i="72"/>
  <c r="J99" i="74"/>
  <c r="K100" i="72"/>
  <c r="J100" i="74"/>
  <c r="J103" i="72"/>
  <c r="O103" i="74"/>
  <c r="J106" i="72"/>
  <c r="O106" i="74"/>
  <c r="K103" i="72"/>
  <c r="J103" i="74"/>
  <c r="C5" i="76" l="1"/>
  <c r="E4" i="76"/>
  <c r="G4" i="76"/>
  <c r="F4" i="76"/>
  <c r="D4" i="76"/>
  <c r="D166" i="72"/>
  <c r="AJ48" i="76"/>
  <c r="N49" i="76"/>
  <c r="B5" i="76"/>
  <c r="B5" i="75"/>
  <c r="O53" i="72"/>
  <c r="M57" i="72"/>
  <c r="C6" i="75"/>
  <c r="G131" i="72"/>
  <c r="F131" i="72"/>
  <c r="P131" i="74" s="1"/>
  <c r="B48" i="77"/>
  <c r="D47" i="76"/>
  <c r="D160" i="72"/>
  <c r="G132" i="72"/>
  <c r="K118" i="72"/>
  <c r="J118" i="74"/>
  <c r="D163" i="72"/>
  <c r="O46" i="72"/>
  <c r="M50" i="72"/>
  <c r="AE49" i="76"/>
  <c r="C49" i="76"/>
  <c r="D49" i="75"/>
  <c r="O48" i="72"/>
  <c r="M52" i="72"/>
  <c r="J131" i="72"/>
  <c r="O131" i="74"/>
  <c r="D155" i="72"/>
  <c r="H143" i="72"/>
  <c r="I143" i="72"/>
  <c r="E143" i="72"/>
  <c r="J116" i="72"/>
  <c r="O116" i="74"/>
  <c r="AB48" i="76"/>
  <c r="F49" i="76"/>
  <c r="AB49" i="76" s="1"/>
  <c r="R47" i="76"/>
  <c r="AN47" i="76" s="1"/>
  <c r="K120" i="72"/>
  <c r="J120" i="74"/>
  <c r="D159" i="72"/>
  <c r="R3" i="81"/>
  <c r="O3" i="81"/>
  <c r="D158" i="72"/>
  <c r="AM47" i="76"/>
  <c r="X47" i="76"/>
  <c r="H47" i="75"/>
  <c r="D165" i="72"/>
  <c r="AS49" i="76"/>
  <c r="J115" i="72"/>
  <c r="O115" i="74"/>
  <c r="G135" i="72"/>
  <c r="F135" i="72"/>
  <c r="P135" i="74" s="1"/>
  <c r="H140" i="72"/>
  <c r="O2" i="81"/>
  <c r="R2" i="81"/>
  <c r="H2" i="76" s="1"/>
  <c r="H145" i="72"/>
  <c r="E134" i="72"/>
  <c r="F134" i="72"/>
  <c r="P134" i="74" s="1"/>
  <c r="G141" i="72"/>
  <c r="F141" i="72"/>
  <c r="P141" i="74" s="1"/>
  <c r="G48" i="75"/>
  <c r="I131" i="72"/>
  <c r="I138" i="72"/>
  <c r="D162" i="72"/>
  <c r="E136" i="72"/>
  <c r="F136" i="72"/>
  <c r="P136" i="74" s="1"/>
  <c r="H132" i="72"/>
  <c r="G142" i="72"/>
  <c r="I130" i="72"/>
  <c r="K113" i="72"/>
  <c r="J113" i="74"/>
  <c r="E137" i="72"/>
  <c r="D161" i="72"/>
  <c r="I46" i="75"/>
  <c r="E139" i="72"/>
  <c r="F139" i="72"/>
  <c r="P139" i="74" s="1"/>
  <c r="E123" i="72"/>
  <c r="F133" i="72"/>
  <c r="P133" i="74" s="1"/>
  <c r="G133" i="72"/>
  <c r="I127" i="72"/>
  <c r="F122" i="72"/>
  <c r="P122" i="74" s="1"/>
  <c r="E122" i="72"/>
  <c r="F124" i="72"/>
  <c r="P124" i="74" s="1"/>
  <c r="E124" i="72"/>
  <c r="I128" i="72"/>
  <c r="E133" i="72"/>
  <c r="I122" i="72"/>
  <c r="I124" i="72"/>
  <c r="H130" i="72"/>
  <c r="E129" i="72"/>
  <c r="G126" i="72"/>
  <c r="F123" i="72"/>
  <c r="P123" i="74" s="1"/>
  <c r="G124" i="72"/>
  <c r="F130" i="72"/>
  <c r="P130" i="74" s="1"/>
  <c r="E130" i="72"/>
  <c r="I129" i="72"/>
  <c r="F125" i="72"/>
  <c r="P125" i="74" s="1"/>
  <c r="G125" i="72"/>
  <c r="I126" i="72"/>
  <c r="H123" i="72"/>
  <c r="F127" i="72"/>
  <c r="P127" i="74" s="1"/>
  <c r="G127" i="72"/>
  <c r="H128" i="72"/>
  <c r="G123" i="72"/>
  <c r="I133" i="72"/>
  <c r="E128" i="72"/>
  <c r="F129" i="72"/>
  <c r="P129" i="74" s="1"/>
  <c r="G129" i="72"/>
  <c r="E125" i="72"/>
  <c r="H126" i="72"/>
  <c r="I123" i="72"/>
  <c r="H133" i="72"/>
  <c r="E127" i="72"/>
  <c r="H122" i="72"/>
  <c r="H124" i="72"/>
  <c r="G128" i="72"/>
  <c r="H125" i="72"/>
  <c r="H127" i="72"/>
  <c r="G122" i="72"/>
  <c r="F128" i="72"/>
  <c r="P128" i="74" s="1"/>
  <c r="D5" i="75"/>
  <c r="E6" i="75" s="1"/>
  <c r="J113" i="72"/>
  <c r="O113" i="74"/>
  <c r="Z46" i="76"/>
  <c r="B46" i="76"/>
  <c r="B46" i="75"/>
  <c r="C46" i="75" s="1"/>
  <c r="AM43" i="78"/>
  <c r="AN43" i="78" s="1"/>
  <c r="AN42" i="78"/>
  <c r="Z48" i="77" s="1"/>
  <c r="K129" i="72"/>
  <c r="J129" i="74"/>
  <c r="J126" i="72"/>
  <c r="O126" i="74"/>
  <c r="AE48" i="76"/>
  <c r="D48" i="75"/>
  <c r="E48" i="75" s="1"/>
  <c r="C48" i="76"/>
  <c r="D164" i="72"/>
  <c r="D169" i="72"/>
  <c r="I141" i="72"/>
  <c r="K114" i="72"/>
  <c r="J114" i="74"/>
  <c r="H131" i="72"/>
  <c r="E138" i="72"/>
  <c r="F138" i="72"/>
  <c r="P138" i="74" s="1"/>
  <c r="G136" i="72"/>
  <c r="I4" i="76"/>
  <c r="K4" i="76"/>
  <c r="H4" i="76"/>
  <c r="J4" i="76"/>
  <c r="E132" i="72"/>
  <c r="F144" i="72"/>
  <c r="P144" i="74" s="1"/>
  <c r="D156" i="72"/>
  <c r="H144" i="72"/>
  <c r="G144" i="72"/>
  <c r="E144" i="72"/>
  <c r="I144" i="72"/>
  <c r="J120" i="72"/>
  <c r="O120" i="74"/>
  <c r="H142" i="72"/>
  <c r="J110" i="72"/>
  <c r="O110" i="74"/>
  <c r="K117" i="72"/>
  <c r="J117" i="74"/>
  <c r="G137" i="72"/>
  <c r="F137" i="72"/>
  <c r="P137" i="74" s="1"/>
  <c r="C7" i="75"/>
  <c r="X12" i="74"/>
  <c r="W13" i="74"/>
  <c r="AK42" i="78"/>
  <c r="O51" i="72"/>
  <c r="M55" i="72"/>
  <c r="O55" i="72" l="1"/>
  <c r="M59" i="72"/>
  <c r="J142" i="74"/>
  <c r="K144" i="72"/>
  <c r="J144" i="74"/>
  <c r="X13" i="74"/>
  <c r="W14" i="74"/>
  <c r="D168" i="72"/>
  <c r="G156" i="72"/>
  <c r="D4" i="75"/>
  <c r="D176" i="72"/>
  <c r="K127" i="72"/>
  <c r="J127" i="74"/>
  <c r="K122" i="72"/>
  <c r="J122" i="74"/>
  <c r="K126" i="72"/>
  <c r="J126" i="74"/>
  <c r="J128" i="72"/>
  <c r="O128" i="74"/>
  <c r="J129" i="72"/>
  <c r="O129" i="74"/>
  <c r="J133" i="72"/>
  <c r="O133" i="74"/>
  <c r="J122" i="72"/>
  <c r="O122" i="74"/>
  <c r="J137" i="72"/>
  <c r="O137" i="74"/>
  <c r="J2" i="76"/>
  <c r="K2" i="76"/>
  <c r="I2" i="76"/>
  <c r="I47" i="75"/>
  <c r="G134" i="72"/>
  <c r="E145" i="72"/>
  <c r="I140" i="72"/>
  <c r="I135" i="72"/>
  <c r="G138" i="72"/>
  <c r="F145" i="72"/>
  <c r="P145" i="74" s="1"/>
  <c r="E140" i="72"/>
  <c r="I134" i="72"/>
  <c r="G140" i="72"/>
  <c r="E135" i="72"/>
  <c r="H139" i="72"/>
  <c r="I137" i="72"/>
  <c r="H141" i="72"/>
  <c r="G145" i="72"/>
  <c r="H135" i="72"/>
  <c r="E141" i="72"/>
  <c r="I145" i="72"/>
  <c r="K145" i="72" s="1"/>
  <c r="I142" i="72"/>
  <c r="K142" i="72" s="1"/>
  <c r="H136" i="72"/>
  <c r="H134" i="72"/>
  <c r="F140" i="72"/>
  <c r="P140" i="74" s="1"/>
  <c r="H137" i="72"/>
  <c r="E142" i="72"/>
  <c r="G148" i="72"/>
  <c r="I136" i="72"/>
  <c r="J138" i="72"/>
  <c r="O138" i="74"/>
  <c r="Z49" i="77"/>
  <c r="Q49" i="76" s="1"/>
  <c r="Q48" i="76"/>
  <c r="E5" i="75"/>
  <c r="K125" i="72"/>
  <c r="J125" i="74"/>
  <c r="J127" i="72"/>
  <c r="O127" i="74"/>
  <c r="J125" i="72"/>
  <c r="O125" i="74"/>
  <c r="K130" i="72"/>
  <c r="J130" i="74"/>
  <c r="J123" i="72"/>
  <c r="O123" i="74"/>
  <c r="K132" i="72"/>
  <c r="J132" i="74"/>
  <c r="D174" i="72"/>
  <c r="F2" i="76"/>
  <c r="E2" i="76"/>
  <c r="G2" i="76"/>
  <c r="C2" i="76" s="1"/>
  <c r="D2" i="76"/>
  <c r="G3" i="76"/>
  <c r="F3" i="76"/>
  <c r="E3" i="76"/>
  <c r="D3" i="76"/>
  <c r="K143" i="72"/>
  <c r="J143" i="74"/>
  <c r="D175" i="72"/>
  <c r="Z47" i="76"/>
  <c r="B47" i="76"/>
  <c r="B47" i="75"/>
  <c r="C47" i="75" s="1"/>
  <c r="D178" i="72"/>
  <c r="C4" i="76"/>
  <c r="J132" i="72"/>
  <c r="O132" i="74"/>
  <c r="K131" i="72"/>
  <c r="J131" i="74"/>
  <c r="D181" i="72"/>
  <c r="K133" i="72"/>
  <c r="J133" i="74"/>
  <c r="K123" i="72"/>
  <c r="J123" i="74"/>
  <c r="J124" i="72"/>
  <c r="O124" i="74"/>
  <c r="D173" i="72"/>
  <c r="J134" i="72"/>
  <c r="O134" i="74"/>
  <c r="K140" i="72"/>
  <c r="J140" i="74"/>
  <c r="D177" i="72"/>
  <c r="H3" i="76"/>
  <c r="J3" i="76"/>
  <c r="I3" i="76"/>
  <c r="K3" i="76"/>
  <c r="J143" i="72"/>
  <c r="O143" i="74"/>
  <c r="F155" i="72"/>
  <c r="P155" i="74" s="1"/>
  <c r="D167" i="72"/>
  <c r="I155" i="72"/>
  <c r="G155" i="72"/>
  <c r="O52" i="72"/>
  <c r="M56" i="72"/>
  <c r="D172" i="72"/>
  <c r="B49" i="77"/>
  <c r="D49" i="76" s="1"/>
  <c r="D48" i="76"/>
  <c r="E154" i="72"/>
  <c r="J144" i="72"/>
  <c r="O144" i="74"/>
  <c r="AL42" i="78"/>
  <c r="AB48" i="77" s="1"/>
  <c r="K124" i="72"/>
  <c r="J124" i="74"/>
  <c r="K128" i="72"/>
  <c r="J128" i="74"/>
  <c r="J130" i="72"/>
  <c r="O130" i="74"/>
  <c r="J139" i="72"/>
  <c r="O139" i="74"/>
  <c r="J136" i="72"/>
  <c r="O136" i="74"/>
  <c r="J145" i="74"/>
  <c r="D170" i="72"/>
  <c r="D171" i="72"/>
  <c r="AJ43" i="78"/>
  <c r="G143" i="72"/>
  <c r="F143" i="72"/>
  <c r="P143" i="74" s="1"/>
  <c r="O50" i="72"/>
  <c r="H156" i="72" s="1"/>
  <c r="M54" i="72"/>
  <c r="I151" i="72"/>
  <c r="G139" i="72"/>
  <c r="F142" i="72"/>
  <c r="P142" i="74" s="1"/>
  <c r="E148" i="72"/>
  <c r="F148" i="72"/>
  <c r="P148" i="74" s="1"/>
  <c r="H138" i="72"/>
  <c r="O57" i="72"/>
  <c r="M61" i="72"/>
  <c r="AJ49" i="76"/>
  <c r="G154" i="72"/>
  <c r="B4" i="76"/>
  <c r="B4" i="75"/>
  <c r="I139" i="72"/>
  <c r="J156" i="74" l="1"/>
  <c r="Z48" i="76"/>
  <c r="B48" i="76"/>
  <c r="B48" i="75"/>
  <c r="C48" i="75" s="1"/>
  <c r="O56" i="72"/>
  <c r="M60" i="72"/>
  <c r="X14" i="74"/>
  <c r="W15" i="74"/>
  <c r="J148" i="72"/>
  <c r="O148" i="74"/>
  <c r="O54" i="72"/>
  <c r="G169" i="72" s="1"/>
  <c r="M58" i="72"/>
  <c r="Z49" i="76"/>
  <c r="B49" i="76"/>
  <c r="B49" i="75"/>
  <c r="H155" i="72"/>
  <c r="D3" i="75"/>
  <c r="H165" i="72"/>
  <c r="G161" i="72"/>
  <c r="F161" i="72"/>
  <c r="P161" i="74" s="1"/>
  <c r="D193" i="72"/>
  <c r="G166" i="72"/>
  <c r="I154" i="72"/>
  <c r="I163" i="72"/>
  <c r="G162" i="72"/>
  <c r="J142" i="72"/>
  <c r="O142" i="74"/>
  <c r="K134" i="72"/>
  <c r="J134" i="74"/>
  <c r="J141" i="72"/>
  <c r="O141" i="74"/>
  <c r="G164" i="72"/>
  <c r="E4" i="75"/>
  <c r="D182" i="72"/>
  <c r="D185" i="72"/>
  <c r="D190" i="72"/>
  <c r="D187" i="72"/>
  <c r="K141" i="72"/>
  <c r="J141" i="74"/>
  <c r="D188" i="72"/>
  <c r="O61" i="72"/>
  <c r="M65" i="72"/>
  <c r="E147" i="72"/>
  <c r="I146" i="72"/>
  <c r="F153" i="72"/>
  <c r="P153" i="74" s="1"/>
  <c r="G153" i="72"/>
  <c r="G150" i="72"/>
  <c r="F149" i="72"/>
  <c r="P149" i="74" s="1"/>
  <c r="G149" i="72"/>
  <c r="H152" i="72"/>
  <c r="F157" i="72"/>
  <c r="P157" i="74" s="1"/>
  <c r="G157" i="72"/>
  <c r="I148" i="72"/>
  <c r="F151" i="72"/>
  <c r="P151" i="74" s="1"/>
  <c r="G151" i="72"/>
  <c r="H147" i="72"/>
  <c r="H146" i="72"/>
  <c r="E153" i="72"/>
  <c r="F150" i="72"/>
  <c r="P150" i="74" s="1"/>
  <c r="E150" i="72"/>
  <c r="E149" i="72"/>
  <c r="G152" i="72"/>
  <c r="E157" i="72"/>
  <c r="E151" i="72"/>
  <c r="I147" i="72"/>
  <c r="G146" i="72"/>
  <c r="H153" i="72"/>
  <c r="I150" i="72"/>
  <c r="H149" i="72"/>
  <c r="F152" i="72"/>
  <c r="P152" i="74" s="1"/>
  <c r="E152" i="72"/>
  <c r="H157" i="72"/>
  <c r="F147" i="72"/>
  <c r="P147" i="74" s="1"/>
  <c r="G147" i="72"/>
  <c r="F146" i="72"/>
  <c r="P146" i="74" s="1"/>
  <c r="E146" i="72"/>
  <c r="I153" i="72"/>
  <c r="H150" i="72"/>
  <c r="I149" i="72"/>
  <c r="I152" i="72"/>
  <c r="I157" i="72"/>
  <c r="E159" i="72"/>
  <c r="D183" i="72"/>
  <c r="G158" i="72"/>
  <c r="AK43" i="78"/>
  <c r="AL43" i="78" s="1"/>
  <c r="F154" i="72"/>
  <c r="P154" i="74" s="1"/>
  <c r="I160" i="72"/>
  <c r="D184" i="72"/>
  <c r="E155" i="72"/>
  <c r="D179" i="72"/>
  <c r="F167" i="72"/>
  <c r="P167" i="74" s="1"/>
  <c r="H167" i="72"/>
  <c r="I167" i="72"/>
  <c r="G167" i="72"/>
  <c r="E167" i="72"/>
  <c r="E165" i="72"/>
  <c r="F165" i="72"/>
  <c r="P165" i="74" s="1"/>
  <c r="I161" i="72"/>
  <c r="I169" i="72"/>
  <c r="H166" i="72"/>
  <c r="C5" i="75"/>
  <c r="H148" i="72"/>
  <c r="H163" i="72"/>
  <c r="C3" i="76"/>
  <c r="D186" i="72"/>
  <c r="AM48" i="76"/>
  <c r="H154" i="72"/>
  <c r="K137" i="72"/>
  <c r="J137" i="74"/>
  <c r="K136" i="72"/>
  <c r="J136" i="74"/>
  <c r="K135" i="72"/>
  <c r="J135" i="74"/>
  <c r="K139" i="72"/>
  <c r="J139" i="74"/>
  <c r="J140" i="72"/>
  <c r="O140" i="74"/>
  <c r="H164" i="72"/>
  <c r="I156" i="72"/>
  <c r="K156" i="72" s="1"/>
  <c r="D180" i="72"/>
  <c r="F168" i="72"/>
  <c r="P168" i="74" s="1"/>
  <c r="H168" i="72"/>
  <c r="G168" i="72"/>
  <c r="E168" i="72"/>
  <c r="I168" i="72"/>
  <c r="O59" i="72"/>
  <c r="M63" i="72"/>
  <c r="K138" i="72"/>
  <c r="J138" i="74"/>
  <c r="AB49" i="77"/>
  <c r="R49" i="76" s="1"/>
  <c r="R48" i="76"/>
  <c r="AN48" i="76" s="1"/>
  <c r="J154" i="72"/>
  <c r="O154" i="74"/>
  <c r="D189" i="72"/>
  <c r="E163" i="72"/>
  <c r="B3" i="76"/>
  <c r="B3" i="75"/>
  <c r="C4" i="75" s="1"/>
  <c r="B2" i="76"/>
  <c r="B2" i="75"/>
  <c r="I162" i="72"/>
  <c r="H162" i="72"/>
  <c r="AM49" i="76"/>
  <c r="X49" i="76"/>
  <c r="H151" i="72"/>
  <c r="J135" i="72"/>
  <c r="O135" i="74"/>
  <c r="J145" i="72"/>
  <c r="O145" i="74"/>
  <c r="D2" i="75"/>
  <c r="I164" i="72"/>
  <c r="F164" i="72"/>
  <c r="P164" i="74" s="1"/>
  <c r="E156" i="72"/>
  <c r="F156" i="72"/>
  <c r="P156" i="74" s="1"/>
  <c r="J156" i="72" l="1"/>
  <c r="O156" i="74"/>
  <c r="K151" i="72"/>
  <c r="J151" i="74"/>
  <c r="H48" i="75"/>
  <c r="J166" i="74"/>
  <c r="J165" i="72"/>
  <c r="O165" i="74"/>
  <c r="K167" i="72"/>
  <c r="J167" i="74"/>
  <c r="J159" i="72"/>
  <c r="O159" i="74"/>
  <c r="K150" i="72"/>
  <c r="J150" i="74"/>
  <c r="J153" i="72"/>
  <c r="O153" i="74"/>
  <c r="K152" i="72"/>
  <c r="J152" i="74"/>
  <c r="O65" i="72"/>
  <c r="M69" i="72"/>
  <c r="E3" i="75"/>
  <c r="J163" i="72"/>
  <c r="O163" i="74"/>
  <c r="J168" i="72"/>
  <c r="O168" i="74"/>
  <c r="D192" i="72"/>
  <c r="K163" i="72"/>
  <c r="J163" i="74"/>
  <c r="J167" i="72"/>
  <c r="O167" i="74"/>
  <c r="D196" i="72"/>
  <c r="K149" i="72"/>
  <c r="J149" i="74"/>
  <c r="J149" i="72"/>
  <c r="O149" i="74"/>
  <c r="K146" i="72"/>
  <c r="J146" i="74"/>
  <c r="D202" i="72"/>
  <c r="D194" i="72"/>
  <c r="K155" i="72"/>
  <c r="J155" i="74"/>
  <c r="O58" i="72"/>
  <c r="F180" i="72" s="1"/>
  <c r="P180" i="74" s="1"/>
  <c r="M62" i="72"/>
  <c r="W16" i="74"/>
  <c r="X15" i="74"/>
  <c r="O63" i="72"/>
  <c r="M67" i="72"/>
  <c r="K154" i="72"/>
  <c r="J154" i="74"/>
  <c r="K148" i="72"/>
  <c r="J148" i="74"/>
  <c r="D191" i="72"/>
  <c r="J146" i="72"/>
  <c r="O146" i="74"/>
  <c r="K157" i="72"/>
  <c r="J157" i="74"/>
  <c r="J151" i="72"/>
  <c r="O151" i="74"/>
  <c r="J150" i="72"/>
  <c r="O150" i="74"/>
  <c r="K147" i="72"/>
  <c r="J147" i="74"/>
  <c r="F166" i="72"/>
  <c r="P166" i="74" s="1"/>
  <c r="I166" i="72"/>
  <c r="K166" i="72" s="1"/>
  <c r="H169" i="72"/>
  <c r="H161" i="72"/>
  <c r="G165" i="72"/>
  <c r="F160" i="72"/>
  <c r="P160" i="74" s="1"/>
  <c r="E160" i="72"/>
  <c r="H158" i="72"/>
  <c r="F159" i="72"/>
  <c r="P159" i="74" s="1"/>
  <c r="G159" i="72"/>
  <c r="G160" i="72"/>
  <c r="E164" i="72"/>
  <c r="E166" i="72"/>
  <c r="E169" i="72"/>
  <c r="E161" i="72"/>
  <c r="I165" i="72"/>
  <c r="K165" i="72" s="1"/>
  <c r="I158" i="72"/>
  <c r="H160" i="72"/>
  <c r="F158" i="72"/>
  <c r="P158" i="74" s="1"/>
  <c r="E158" i="72"/>
  <c r="H159" i="72"/>
  <c r="F162" i="72"/>
  <c r="P162" i="74" s="1"/>
  <c r="E162" i="72"/>
  <c r="G163" i="72"/>
  <c r="F169" i="72"/>
  <c r="P169" i="74" s="1"/>
  <c r="I159" i="72"/>
  <c r="K162" i="72"/>
  <c r="J162" i="74"/>
  <c r="C3" i="75"/>
  <c r="D201" i="72"/>
  <c r="AN49" i="76"/>
  <c r="H49" i="75"/>
  <c r="K168" i="72"/>
  <c r="J168" i="74"/>
  <c r="K164" i="72"/>
  <c r="J164" i="74"/>
  <c r="X48" i="76"/>
  <c r="D198" i="72"/>
  <c r="J155" i="72"/>
  <c r="O155" i="74"/>
  <c r="D195" i="72"/>
  <c r="J152" i="72"/>
  <c r="O152" i="74"/>
  <c r="K153" i="72"/>
  <c r="J153" i="74"/>
  <c r="J157" i="72"/>
  <c r="O157" i="74"/>
  <c r="J147" i="72"/>
  <c r="O147" i="74"/>
  <c r="D200" i="72"/>
  <c r="D199" i="72"/>
  <c r="D197" i="72"/>
  <c r="D205" i="72"/>
  <c r="J165" i="74"/>
  <c r="O60" i="72"/>
  <c r="G179" i="72" s="1"/>
  <c r="M64" i="72"/>
  <c r="F163" i="72"/>
  <c r="P163" i="74" s="1"/>
  <c r="D217" i="72" l="1"/>
  <c r="D207" i="72"/>
  <c r="J160" i="72"/>
  <c r="O160" i="74"/>
  <c r="O64" i="72"/>
  <c r="M68" i="72"/>
  <c r="F188" i="72"/>
  <c r="P188" i="74" s="1"/>
  <c r="I186" i="72"/>
  <c r="H186" i="72"/>
  <c r="J186" i="74" s="1"/>
  <c r="J158" i="72"/>
  <c r="O158" i="74"/>
  <c r="J164" i="72"/>
  <c r="O164" i="74"/>
  <c r="K158" i="72"/>
  <c r="J158" i="74"/>
  <c r="K161" i="72"/>
  <c r="J161" i="74"/>
  <c r="F179" i="72"/>
  <c r="P179" i="74" s="1"/>
  <c r="O67" i="72"/>
  <c r="M71" i="72"/>
  <c r="O62" i="72"/>
  <c r="I193" i="72" s="1"/>
  <c r="M66" i="72"/>
  <c r="I182" i="72"/>
  <c r="H182" i="72"/>
  <c r="J182" i="74" s="1"/>
  <c r="F190" i="72"/>
  <c r="P190" i="74" s="1"/>
  <c r="F184" i="72"/>
  <c r="P184" i="74" s="1"/>
  <c r="E180" i="72"/>
  <c r="H180" i="72"/>
  <c r="J180" i="74" s="1"/>
  <c r="I187" i="72"/>
  <c r="D211" i="72"/>
  <c r="H189" i="72"/>
  <c r="J189" i="74" s="1"/>
  <c r="J161" i="72"/>
  <c r="O161" i="74"/>
  <c r="K169" i="72"/>
  <c r="J169" i="74"/>
  <c r="G190" i="72"/>
  <c r="F193" i="72"/>
  <c r="P193" i="74" s="1"/>
  <c r="E185" i="72"/>
  <c r="H185" i="72"/>
  <c r="J185" i="74" s="1"/>
  <c r="F187" i="72"/>
  <c r="P187" i="74" s="1"/>
  <c r="E188" i="72"/>
  <c r="H188" i="72"/>
  <c r="J188" i="74" s="1"/>
  <c r="F183" i="72"/>
  <c r="P183" i="74" s="1"/>
  <c r="F186" i="72"/>
  <c r="P186" i="74" s="1"/>
  <c r="I189" i="72"/>
  <c r="D213" i="72"/>
  <c r="K160" i="72"/>
  <c r="J160" i="74"/>
  <c r="J169" i="72"/>
  <c r="O169" i="74"/>
  <c r="E179" i="72"/>
  <c r="H179" i="72"/>
  <c r="J179" i="74" s="1"/>
  <c r="F182" i="72"/>
  <c r="P182" i="74" s="1"/>
  <c r="I190" i="72"/>
  <c r="H190" i="72"/>
  <c r="J190" i="74" s="1"/>
  <c r="E184" i="72"/>
  <c r="H184" i="72"/>
  <c r="J184" i="74" s="1"/>
  <c r="G185" i="72"/>
  <c r="I183" i="72"/>
  <c r="E186" i="72"/>
  <c r="D210" i="72"/>
  <c r="E189" i="72"/>
  <c r="J162" i="72"/>
  <c r="O162" i="74"/>
  <c r="I181" i="72"/>
  <c r="H170" i="72"/>
  <c r="J170" i="74" s="1"/>
  <c r="E173" i="72"/>
  <c r="G178" i="72"/>
  <c r="G175" i="72"/>
  <c r="G176" i="72"/>
  <c r="E171" i="72"/>
  <c r="H172" i="72"/>
  <c r="J172" i="74" s="1"/>
  <c r="H174" i="72"/>
  <c r="J174" i="74" s="1"/>
  <c r="I177" i="72"/>
  <c r="H181" i="72"/>
  <c r="J181" i="74" s="1"/>
  <c r="E181" i="72"/>
  <c r="G170" i="72"/>
  <c r="F173" i="72"/>
  <c r="P173" i="74" s="1"/>
  <c r="I173" i="72"/>
  <c r="F178" i="72"/>
  <c r="P178" i="74" s="1"/>
  <c r="H175" i="72"/>
  <c r="J175" i="74" s="1"/>
  <c r="E175" i="72"/>
  <c r="H176" i="72"/>
  <c r="J176" i="74" s="1"/>
  <c r="E176" i="72"/>
  <c r="F171" i="72"/>
  <c r="P171" i="74" s="1"/>
  <c r="I171" i="72"/>
  <c r="G172" i="72"/>
  <c r="I174" i="72"/>
  <c r="F174" i="72"/>
  <c r="P174" i="74" s="1"/>
  <c r="H177" i="72"/>
  <c r="J177" i="74" s="1"/>
  <c r="E177" i="72"/>
  <c r="G181" i="72"/>
  <c r="E170" i="72"/>
  <c r="H173" i="72"/>
  <c r="J173" i="74" s="1"/>
  <c r="E178" i="72"/>
  <c r="F175" i="72"/>
  <c r="P175" i="74" s="1"/>
  <c r="F176" i="72"/>
  <c r="P176" i="74" s="1"/>
  <c r="H171" i="72"/>
  <c r="J171" i="74" s="1"/>
  <c r="E172" i="72"/>
  <c r="E174" i="72"/>
  <c r="G177" i="72"/>
  <c r="F181" i="72"/>
  <c r="P181" i="74" s="1"/>
  <c r="F170" i="72"/>
  <c r="P170" i="74" s="1"/>
  <c r="I170" i="72"/>
  <c r="G173" i="72"/>
  <c r="H178" i="72"/>
  <c r="J178" i="74" s="1"/>
  <c r="I178" i="72"/>
  <c r="I175" i="72"/>
  <c r="I176" i="72"/>
  <c r="G171" i="72"/>
  <c r="F172" i="72"/>
  <c r="P172" i="74" s="1"/>
  <c r="I172" i="72"/>
  <c r="G174" i="72"/>
  <c r="F177" i="72"/>
  <c r="P177" i="74" s="1"/>
  <c r="D206" i="72"/>
  <c r="I180" i="72"/>
  <c r="D204" i="72"/>
  <c r="H192" i="72"/>
  <c r="J192" i="74" s="1"/>
  <c r="G192" i="72"/>
  <c r="F192" i="72"/>
  <c r="P192" i="74" s="1"/>
  <c r="I192" i="72"/>
  <c r="E192" i="72"/>
  <c r="G193" i="72"/>
  <c r="I185" i="72"/>
  <c r="D209" i="72"/>
  <c r="G187" i="72"/>
  <c r="I188" i="72"/>
  <c r="D212" i="72"/>
  <c r="G183" i="72"/>
  <c r="G186" i="72"/>
  <c r="F189" i="72"/>
  <c r="P189" i="74" s="1"/>
  <c r="K159" i="72"/>
  <c r="J159" i="74"/>
  <c r="J166" i="72"/>
  <c r="O166" i="74"/>
  <c r="I179" i="72"/>
  <c r="D203" i="72"/>
  <c r="H191" i="72"/>
  <c r="J191" i="74" s="1"/>
  <c r="G191" i="72"/>
  <c r="F191" i="72"/>
  <c r="P191" i="74" s="1"/>
  <c r="I191" i="72"/>
  <c r="E191" i="72"/>
  <c r="W17" i="74"/>
  <c r="X16" i="74"/>
  <c r="G182" i="72"/>
  <c r="E190" i="72"/>
  <c r="D214" i="72"/>
  <c r="I184" i="72"/>
  <c r="D208" i="72"/>
  <c r="G180" i="72"/>
  <c r="O69" i="72"/>
  <c r="M73" i="72"/>
  <c r="I48" i="75"/>
  <c r="J174" i="72" l="1"/>
  <c r="O174" i="74"/>
  <c r="J176" i="72"/>
  <c r="O176" i="74"/>
  <c r="J181" i="72"/>
  <c r="O181" i="74"/>
  <c r="D222" i="72"/>
  <c r="D225" i="72"/>
  <c r="J185" i="72"/>
  <c r="O185" i="74"/>
  <c r="J180" i="72"/>
  <c r="O180" i="74"/>
  <c r="H187" i="72"/>
  <c r="J187" i="74" s="1"/>
  <c r="E193" i="72"/>
  <c r="E182" i="72"/>
  <c r="D219" i="72"/>
  <c r="D226" i="72"/>
  <c r="X17" i="74"/>
  <c r="W18" i="74"/>
  <c r="J192" i="72"/>
  <c r="O192" i="74"/>
  <c r="D218" i="72"/>
  <c r="J172" i="72"/>
  <c r="O172" i="74"/>
  <c r="J178" i="72"/>
  <c r="O178" i="74"/>
  <c r="J177" i="72"/>
  <c r="O177" i="74"/>
  <c r="J171" i="72"/>
  <c r="O171" i="74"/>
  <c r="J173" i="72"/>
  <c r="O173" i="74"/>
  <c r="J186" i="72"/>
  <c r="O186" i="74"/>
  <c r="J184" i="72"/>
  <c r="O184" i="74"/>
  <c r="J188" i="72"/>
  <c r="O188" i="74"/>
  <c r="D223" i="72"/>
  <c r="O66" i="72"/>
  <c r="M70" i="72"/>
  <c r="H183" i="72"/>
  <c r="J183" i="74" s="1"/>
  <c r="E187" i="72"/>
  <c r="O68" i="72"/>
  <c r="M72" i="72"/>
  <c r="F195" i="72"/>
  <c r="P195" i="74" s="1"/>
  <c r="G188" i="72"/>
  <c r="G205" i="72"/>
  <c r="O73" i="72"/>
  <c r="M77" i="72"/>
  <c r="D220" i="72"/>
  <c r="J190" i="72"/>
  <c r="O190" i="74"/>
  <c r="J191" i="72"/>
  <c r="O191" i="74"/>
  <c r="D224" i="72"/>
  <c r="D221" i="72"/>
  <c r="D216" i="72"/>
  <c r="H204" i="72"/>
  <c r="J204" i="74" s="1"/>
  <c r="G204" i="72"/>
  <c r="F204" i="72"/>
  <c r="P204" i="74" s="1"/>
  <c r="I204" i="72"/>
  <c r="E204" i="72"/>
  <c r="J175" i="72"/>
  <c r="O175" i="74"/>
  <c r="J189" i="72"/>
  <c r="O189" i="74"/>
  <c r="J179" i="72"/>
  <c r="O179" i="74"/>
  <c r="G189" i="72"/>
  <c r="E183" i="72"/>
  <c r="F185" i="72"/>
  <c r="P185" i="74" s="1"/>
  <c r="G195" i="72"/>
  <c r="E205" i="72"/>
  <c r="H205" i="72"/>
  <c r="J205" i="74" s="1"/>
  <c r="D215" i="72"/>
  <c r="H203" i="72"/>
  <c r="J203" i="74" s="1"/>
  <c r="G203" i="72"/>
  <c r="F203" i="72"/>
  <c r="P203" i="74" s="1"/>
  <c r="I203" i="72"/>
  <c r="E203" i="72"/>
  <c r="J170" i="72"/>
  <c r="O170" i="74"/>
  <c r="O71" i="72"/>
  <c r="M75" i="72"/>
  <c r="H193" i="72"/>
  <c r="J193" i="74" s="1"/>
  <c r="G184" i="72"/>
  <c r="E195" i="72"/>
  <c r="H195" i="72"/>
  <c r="J195" i="74" s="1"/>
  <c r="I205" i="72"/>
  <c r="D229" i="72"/>
  <c r="D241" i="72" l="1"/>
  <c r="J195" i="72"/>
  <c r="O195" i="74"/>
  <c r="D227" i="72"/>
  <c r="F215" i="72"/>
  <c r="P215" i="74" s="1"/>
  <c r="D233" i="72"/>
  <c r="G199" i="72"/>
  <c r="H201" i="72"/>
  <c r="J201" i="74" s="1"/>
  <c r="E201" i="72"/>
  <c r="H198" i="72"/>
  <c r="J198" i="74" s="1"/>
  <c r="I198" i="72"/>
  <c r="G194" i="72"/>
  <c r="F200" i="72"/>
  <c r="P200" i="74" s="1"/>
  <c r="F199" i="72"/>
  <c r="P199" i="74" s="1"/>
  <c r="G201" i="72"/>
  <c r="G198" i="72"/>
  <c r="F194" i="72"/>
  <c r="P194" i="74" s="1"/>
  <c r="I197" i="72"/>
  <c r="I200" i="72"/>
  <c r="F202" i="72"/>
  <c r="P202" i="74" s="1"/>
  <c r="I196" i="72"/>
  <c r="G202" i="72"/>
  <c r="I199" i="72"/>
  <c r="F201" i="72"/>
  <c r="P201" i="74" s="1"/>
  <c r="F198" i="72"/>
  <c r="P198" i="74" s="1"/>
  <c r="E194" i="72"/>
  <c r="H197" i="72"/>
  <c r="J197" i="74" s="1"/>
  <c r="E197" i="72"/>
  <c r="H200" i="72"/>
  <c r="J200" i="74" s="1"/>
  <c r="E200" i="72"/>
  <c r="E202" i="72"/>
  <c r="H196" i="72"/>
  <c r="J196" i="74" s="1"/>
  <c r="E196" i="72"/>
  <c r="F196" i="72"/>
  <c r="P196" i="74" s="1"/>
  <c r="H199" i="72"/>
  <c r="J199" i="74" s="1"/>
  <c r="E199" i="72"/>
  <c r="I201" i="72"/>
  <c r="E198" i="72"/>
  <c r="H194" i="72"/>
  <c r="J194" i="74" s="1"/>
  <c r="I194" i="72"/>
  <c r="G197" i="72"/>
  <c r="G200" i="72"/>
  <c r="H202" i="72"/>
  <c r="J202" i="74" s="1"/>
  <c r="I202" i="72"/>
  <c r="G196" i="72"/>
  <c r="F197" i="72"/>
  <c r="P197" i="74" s="1"/>
  <c r="D230" i="72"/>
  <c r="J193" i="72"/>
  <c r="O193" i="74"/>
  <c r="H210" i="72"/>
  <c r="J210" i="74" s="1"/>
  <c r="J204" i="72"/>
  <c r="O204" i="74"/>
  <c r="D232" i="72"/>
  <c r="J187" i="72"/>
  <c r="O187" i="74"/>
  <c r="I214" i="72"/>
  <c r="D231" i="72"/>
  <c r="D234" i="72"/>
  <c r="J183" i="72"/>
  <c r="O183" i="74"/>
  <c r="J205" i="72"/>
  <c r="O205" i="74"/>
  <c r="D228" i="72"/>
  <c r="F216" i="72"/>
  <c r="P216" i="74" s="1"/>
  <c r="D236" i="72"/>
  <c r="O77" i="72"/>
  <c r="M81" i="72"/>
  <c r="D235" i="72"/>
  <c r="G206" i="72"/>
  <c r="D238" i="72"/>
  <c r="F207" i="72"/>
  <c r="P207" i="74" s="1"/>
  <c r="I195" i="72"/>
  <c r="E213" i="72"/>
  <c r="F210" i="72"/>
  <c r="P210" i="74" s="1"/>
  <c r="O75" i="72"/>
  <c r="M79" i="72"/>
  <c r="J203" i="72"/>
  <c r="O203" i="74"/>
  <c r="O72" i="72"/>
  <c r="M76" i="72"/>
  <c r="O70" i="72"/>
  <c r="M74" i="72"/>
  <c r="H206" i="72"/>
  <c r="J206" i="74" s="1"/>
  <c r="X18" i="74"/>
  <c r="W19" i="74"/>
  <c r="F205" i="72"/>
  <c r="P205" i="74" s="1"/>
  <c r="G207" i="72"/>
  <c r="J182" i="72"/>
  <c r="O182" i="74"/>
  <c r="I213" i="72"/>
  <c r="D237" i="72"/>
  <c r="G210" i="72"/>
  <c r="O76" i="72" l="1"/>
  <c r="M80" i="72"/>
  <c r="O79" i="72"/>
  <c r="M83" i="72"/>
  <c r="D250" i="72"/>
  <c r="J198" i="72"/>
  <c r="O198" i="74"/>
  <c r="F214" i="72"/>
  <c r="P214" i="74" s="1"/>
  <c r="I206" i="72"/>
  <c r="E214" i="72"/>
  <c r="I211" i="72"/>
  <c r="D248" i="72"/>
  <c r="G216" i="72"/>
  <c r="D246" i="72"/>
  <c r="D243" i="72"/>
  <c r="F206" i="72"/>
  <c r="P206" i="74" s="1"/>
  <c r="D244" i="72"/>
  <c r="I210" i="72"/>
  <c r="H207" i="72"/>
  <c r="J207" i="74" s="1"/>
  <c r="D242" i="72"/>
  <c r="J196" i="72"/>
  <c r="O196" i="74"/>
  <c r="J201" i="72"/>
  <c r="O201" i="74"/>
  <c r="D245" i="72"/>
  <c r="G215" i="72"/>
  <c r="J213" i="72"/>
  <c r="O213" i="74"/>
  <c r="D247" i="72"/>
  <c r="W20" i="74"/>
  <c r="X19" i="74"/>
  <c r="O74" i="72"/>
  <c r="M78" i="72"/>
  <c r="O81" i="72"/>
  <c r="M85" i="72"/>
  <c r="E216" i="72"/>
  <c r="H216" i="72"/>
  <c r="J216" i="74" s="1"/>
  <c r="F222" i="72"/>
  <c r="P222" i="74" s="1"/>
  <c r="E210" i="72"/>
  <c r="I207" i="72"/>
  <c r="F220" i="72"/>
  <c r="P220" i="74" s="1"/>
  <c r="F213" i="72"/>
  <c r="P213" i="74" s="1"/>
  <c r="E207" i="72"/>
  <c r="F218" i="72"/>
  <c r="P218" i="74" s="1"/>
  <c r="E206" i="72"/>
  <c r="J199" i="72"/>
  <c r="O199" i="74"/>
  <c r="J197" i="72"/>
  <c r="O197" i="74"/>
  <c r="F221" i="72"/>
  <c r="P221" i="74" s="1"/>
  <c r="E215" i="72"/>
  <c r="H215" i="72"/>
  <c r="J215" i="74" s="1"/>
  <c r="E229" i="72"/>
  <c r="J200" i="72"/>
  <c r="O200" i="74"/>
  <c r="J194" i="72"/>
  <c r="O194" i="74"/>
  <c r="D249" i="72"/>
  <c r="F211" i="72"/>
  <c r="P211" i="74" s="1"/>
  <c r="G208" i="72"/>
  <c r="F212" i="72"/>
  <c r="P212" i="74" s="1"/>
  <c r="H209" i="72"/>
  <c r="J209" i="74" s="1"/>
  <c r="E209" i="72"/>
  <c r="F208" i="72"/>
  <c r="P208" i="74" s="1"/>
  <c r="I212" i="72"/>
  <c r="G209" i="72"/>
  <c r="F217" i="72"/>
  <c r="P217" i="74" s="1"/>
  <c r="H211" i="72"/>
  <c r="J211" i="74" s="1"/>
  <c r="E211" i="72"/>
  <c r="I208" i="72"/>
  <c r="H212" i="72"/>
  <c r="J212" i="74" s="1"/>
  <c r="E212" i="72"/>
  <c r="F209" i="72"/>
  <c r="P209" i="74" s="1"/>
  <c r="H208" i="72"/>
  <c r="J208" i="74" s="1"/>
  <c r="E208" i="72"/>
  <c r="G212" i="72"/>
  <c r="I209" i="72"/>
  <c r="H217" i="72"/>
  <c r="J217" i="74" s="1"/>
  <c r="E217" i="72"/>
  <c r="G217" i="72"/>
  <c r="I217" i="72"/>
  <c r="H213" i="72"/>
  <c r="J213" i="74" s="1"/>
  <c r="I226" i="72"/>
  <c r="H226" i="72"/>
  <c r="J226" i="74" s="1"/>
  <c r="E223" i="72"/>
  <c r="H223" i="72"/>
  <c r="J223" i="74" s="1"/>
  <c r="G224" i="72"/>
  <c r="I216" i="72"/>
  <c r="D240" i="72"/>
  <c r="H228" i="72"/>
  <c r="J228" i="74" s="1"/>
  <c r="G228" i="72"/>
  <c r="F228" i="72"/>
  <c r="P228" i="74" s="1"/>
  <c r="I228" i="72"/>
  <c r="E228" i="72"/>
  <c r="G222" i="72"/>
  <c r="G213" i="72"/>
  <c r="G219" i="72"/>
  <c r="H214" i="72"/>
  <c r="J214" i="74" s="1"/>
  <c r="G220" i="72"/>
  <c r="G214" i="72"/>
  <c r="G218" i="72"/>
  <c r="G211" i="72"/>
  <c r="J202" i="72"/>
  <c r="O202" i="74"/>
  <c r="G221" i="72"/>
  <c r="I215" i="72"/>
  <c r="D239" i="72"/>
  <c r="H227" i="72"/>
  <c r="J227" i="74" s="1"/>
  <c r="G227" i="72"/>
  <c r="F227" i="72"/>
  <c r="P227" i="74" s="1"/>
  <c r="I227" i="72"/>
  <c r="E227" i="72"/>
  <c r="I229" i="72"/>
  <c r="D253" i="72"/>
  <c r="J227" i="72" l="1"/>
  <c r="O227" i="74"/>
  <c r="J215" i="72"/>
  <c r="O215" i="74"/>
  <c r="J207" i="72"/>
  <c r="O207" i="74"/>
  <c r="F219" i="72"/>
  <c r="P219" i="74" s="1"/>
  <c r="J216" i="72"/>
  <c r="O216" i="74"/>
  <c r="G223" i="72"/>
  <c r="W21" i="74"/>
  <c r="X20" i="74"/>
  <c r="D257" i="72"/>
  <c r="E218" i="72"/>
  <c r="D256" i="72"/>
  <c r="D255" i="72"/>
  <c r="E222" i="72"/>
  <c r="I224" i="72"/>
  <c r="F226" i="72"/>
  <c r="P226" i="74" s="1"/>
  <c r="D265" i="72"/>
  <c r="J228" i="72"/>
  <c r="O228" i="74"/>
  <c r="D252" i="72"/>
  <c r="J223" i="72"/>
  <c r="O223" i="74"/>
  <c r="J211" i="72"/>
  <c r="O211" i="74"/>
  <c r="D261" i="72"/>
  <c r="J210" i="72"/>
  <c r="O210" i="74"/>
  <c r="F224" i="72"/>
  <c r="P224" i="74" s="1"/>
  <c r="O78" i="72"/>
  <c r="M82" i="72"/>
  <c r="G229" i="72"/>
  <c r="F233" i="72"/>
  <c r="P233" i="74" s="1"/>
  <c r="I221" i="72"/>
  <c r="F232" i="72"/>
  <c r="P232" i="74" s="1"/>
  <c r="I220" i="72"/>
  <c r="F231" i="72"/>
  <c r="P231" i="74" s="1"/>
  <c r="I219" i="72"/>
  <c r="G234" i="72"/>
  <c r="G236" i="72"/>
  <c r="I238" i="72"/>
  <c r="O80" i="72"/>
  <c r="M84" i="72"/>
  <c r="J212" i="72"/>
  <c r="O212" i="74"/>
  <c r="J229" i="72"/>
  <c r="O229" i="74"/>
  <c r="J206" i="72"/>
  <c r="O206" i="74"/>
  <c r="O85" i="72"/>
  <c r="M89" i="72"/>
  <c r="I225" i="72"/>
  <c r="H221" i="72"/>
  <c r="J221" i="74" s="1"/>
  <c r="H218" i="72"/>
  <c r="J218" i="74" s="1"/>
  <c r="I218" i="72"/>
  <c r="H220" i="72"/>
  <c r="J220" i="74" s="1"/>
  <c r="E219" i="72"/>
  <c r="I222" i="72"/>
  <c r="H224" i="72"/>
  <c r="J224" i="74" s="1"/>
  <c r="E224" i="72"/>
  <c r="E226" i="72"/>
  <c r="G226" i="72"/>
  <c r="H225" i="72"/>
  <c r="J225" i="74" s="1"/>
  <c r="E225" i="72"/>
  <c r="I223" i="72"/>
  <c r="F225" i="72"/>
  <c r="P225" i="74" s="1"/>
  <c r="G225" i="72"/>
  <c r="F229" i="72"/>
  <c r="P229" i="74" s="1"/>
  <c r="E221" i="72"/>
  <c r="E220" i="72"/>
  <c r="H219" i="72"/>
  <c r="J219" i="74" s="1"/>
  <c r="H222" i="72"/>
  <c r="J222" i="74" s="1"/>
  <c r="I235" i="72"/>
  <c r="D259" i="72"/>
  <c r="G233" i="72"/>
  <c r="I230" i="72"/>
  <c r="H230" i="72"/>
  <c r="J230" i="74" s="1"/>
  <c r="G232" i="72"/>
  <c r="G231" i="72"/>
  <c r="I234" i="72"/>
  <c r="H234" i="72"/>
  <c r="J234" i="74" s="1"/>
  <c r="E236" i="72"/>
  <c r="H236" i="72"/>
  <c r="J236" i="74" s="1"/>
  <c r="F223" i="72"/>
  <c r="P223" i="74" s="1"/>
  <c r="E238" i="72"/>
  <c r="D262" i="72"/>
  <c r="D251" i="72"/>
  <c r="H239" i="72"/>
  <c r="J239" i="74" s="1"/>
  <c r="G239" i="72"/>
  <c r="F239" i="72"/>
  <c r="P239" i="74" s="1"/>
  <c r="I239" i="72"/>
  <c r="E239" i="72"/>
  <c r="J217" i="72"/>
  <c r="O217" i="74"/>
  <c r="J208" i="72"/>
  <c r="O208" i="74"/>
  <c r="J209" i="72"/>
  <c r="O209" i="74"/>
  <c r="F235" i="72"/>
  <c r="P235" i="74" s="1"/>
  <c r="E233" i="72"/>
  <c r="H233" i="72"/>
  <c r="J233" i="74" s="1"/>
  <c r="E230" i="72"/>
  <c r="D254" i="72"/>
  <c r="E232" i="72"/>
  <c r="H232" i="72"/>
  <c r="J232" i="74" s="1"/>
  <c r="E231" i="72"/>
  <c r="H231" i="72"/>
  <c r="J231" i="74" s="1"/>
  <c r="E234" i="72"/>
  <c r="D258" i="72"/>
  <c r="I236" i="72"/>
  <c r="D260" i="72"/>
  <c r="J214" i="72"/>
  <c r="O214" i="74"/>
  <c r="F238" i="72"/>
  <c r="P238" i="74" s="1"/>
  <c r="O83" i="72"/>
  <c r="M87" i="72"/>
  <c r="H229" i="72"/>
  <c r="J229" i="74" s="1"/>
  <c r="J230" i="72" l="1"/>
  <c r="O230" i="74"/>
  <c r="D271" i="72"/>
  <c r="J225" i="72"/>
  <c r="O225" i="74"/>
  <c r="J224" i="72"/>
  <c r="O224" i="74"/>
  <c r="O82" i="72"/>
  <c r="M86" i="72"/>
  <c r="D273" i="72"/>
  <c r="I240" i="72"/>
  <c r="D264" i="72"/>
  <c r="F236" i="72"/>
  <c r="P236" i="74" s="1"/>
  <c r="I243" i="72"/>
  <c r="H243" i="72"/>
  <c r="J243" i="74" s="1"/>
  <c r="F244" i="72"/>
  <c r="P244" i="74" s="1"/>
  <c r="I232" i="72"/>
  <c r="I245" i="72"/>
  <c r="X21" i="74"/>
  <c r="W22" i="74"/>
  <c r="J234" i="72"/>
  <c r="O234" i="74"/>
  <c r="J232" i="72"/>
  <c r="O232" i="74"/>
  <c r="D266" i="72"/>
  <c r="J236" i="72"/>
  <c r="O236" i="74"/>
  <c r="O89" i="72"/>
  <c r="M93" i="72"/>
  <c r="O84" i="72"/>
  <c r="M88" i="72"/>
  <c r="G237" i="72"/>
  <c r="G241" i="72"/>
  <c r="E241" i="72"/>
  <c r="F237" i="72"/>
  <c r="P237" i="74" s="1"/>
  <c r="I237" i="72"/>
  <c r="F241" i="72"/>
  <c r="P241" i="74" s="1"/>
  <c r="H241" i="72"/>
  <c r="J241" i="74" s="1"/>
  <c r="I241" i="72"/>
  <c r="H237" i="72"/>
  <c r="J237" i="74" s="1"/>
  <c r="E237" i="72"/>
  <c r="E249" i="72"/>
  <c r="G249" i="72"/>
  <c r="F240" i="72"/>
  <c r="P240" i="74" s="1"/>
  <c r="D277" i="72"/>
  <c r="G238" i="72"/>
  <c r="J222" i="72"/>
  <c r="O222" i="74"/>
  <c r="F243" i="72"/>
  <c r="P243" i="74" s="1"/>
  <c r="I231" i="72"/>
  <c r="D268" i="72"/>
  <c r="J218" i="72"/>
  <c r="O218" i="74"/>
  <c r="F245" i="72"/>
  <c r="P245" i="74" s="1"/>
  <c r="I233" i="72"/>
  <c r="D270" i="72"/>
  <c r="J233" i="72"/>
  <c r="O233" i="74"/>
  <c r="J239" i="72"/>
  <c r="O239" i="74"/>
  <c r="J238" i="72"/>
  <c r="O238" i="74"/>
  <c r="J220" i="72"/>
  <c r="O220" i="74"/>
  <c r="G230" i="72"/>
  <c r="H235" i="72"/>
  <c r="J235" i="74" s="1"/>
  <c r="I249" i="72"/>
  <c r="H249" i="72"/>
  <c r="J249" i="74" s="1"/>
  <c r="G240" i="72"/>
  <c r="E253" i="72"/>
  <c r="F234" i="72"/>
  <c r="P234" i="74" s="1"/>
  <c r="D267" i="72"/>
  <c r="E244" i="72"/>
  <c r="G244" i="72"/>
  <c r="F230" i="72"/>
  <c r="P230" i="74" s="1"/>
  <c r="D269" i="72"/>
  <c r="G235" i="72"/>
  <c r="O87" i="72"/>
  <c r="M91" i="72"/>
  <c r="D272" i="72"/>
  <c r="J231" i="72"/>
  <c r="O231" i="74"/>
  <c r="H251" i="72"/>
  <c r="J251" i="74" s="1"/>
  <c r="G251" i="72"/>
  <c r="D263" i="72"/>
  <c r="F251" i="72"/>
  <c r="P251" i="74" s="1"/>
  <c r="I251" i="72"/>
  <c r="E251" i="72"/>
  <c r="D274" i="72"/>
  <c r="J221" i="72"/>
  <c r="O221" i="74"/>
  <c r="J226" i="72"/>
  <c r="O226" i="74"/>
  <c r="J219" i="72"/>
  <c r="O219" i="74"/>
  <c r="E235" i="72"/>
  <c r="F249" i="72"/>
  <c r="P249" i="74" s="1"/>
  <c r="E240" i="72"/>
  <c r="H240" i="72"/>
  <c r="J240" i="74" s="1"/>
  <c r="G253" i="72"/>
  <c r="I253" i="72"/>
  <c r="E243" i="72"/>
  <c r="G243" i="72"/>
  <c r="I244" i="72"/>
  <c r="H244" i="72"/>
  <c r="J244" i="74" s="1"/>
  <c r="E245" i="72"/>
  <c r="G245" i="72"/>
  <c r="H238" i="72"/>
  <c r="J238" i="74" s="1"/>
  <c r="J245" i="72" l="1"/>
  <c r="O245" i="74"/>
  <c r="J243" i="72"/>
  <c r="O243" i="74"/>
  <c r="J240" i="72"/>
  <c r="O240" i="74"/>
  <c r="J244" i="72"/>
  <c r="O244" i="74"/>
  <c r="J253" i="72"/>
  <c r="O253" i="74"/>
  <c r="D282" i="72"/>
  <c r="J237" i="72"/>
  <c r="O237" i="74"/>
  <c r="O93" i="72"/>
  <c r="M97" i="72"/>
  <c r="E252" i="72"/>
  <c r="D276" i="72"/>
  <c r="H259" i="72"/>
  <c r="J259" i="74" s="1"/>
  <c r="D284" i="72"/>
  <c r="O91" i="72"/>
  <c r="M95" i="72"/>
  <c r="D289" i="72"/>
  <c r="F254" i="72"/>
  <c r="P254" i="74" s="1"/>
  <c r="F252" i="72"/>
  <c r="P252" i="74" s="1"/>
  <c r="I252" i="72"/>
  <c r="D285" i="72"/>
  <c r="O86" i="72"/>
  <c r="I259" i="72" s="1"/>
  <c r="M90" i="72"/>
  <c r="D283" i="72"/>
  <c r="J235" i="72"/>
  <c r="O235" i="74"/>
  <c r="I263" i="72"/>
  <c r="D275" i="72"/>
  <c r="G263" i="72"/>
  <c r="D281" i="72"/>
  <c r="D280" i="72"/>
  <c r="O88" i="72"/>
  <c r="M92" i="72"/>
  <c r="D278" i="72"/>
  <c r="X22" i="74"/>
  <c r="W23" i="74"/>
  <c r="F253" i="72"/>
  <c r="P253" i="74" s="1"/>
  <c r="G252" i="72"/>
  <c r="E261" i="72"/>
  <c r="F247" i="72"/>
  <c r="P247" i="74" s="1"/>
  <c r="H242" i="72"/>
  <c r="J242" i="74" s="1"/>
  <c r="E242" i="72"/>
  <c r="G246" i="72"/>
  <c r="I246" i="72"/>
  <c r="F248" i="72"/>
  <c r="P248" i="74" s="1"/>
  <c r="E248" i="72"/>
  <c r="H247" i="72"/>
  <c r="J247" i="74" s="1"/>
  <c r="I247" i="72"/>
  <c r="F250" i="72"/>
  <c r="P250" i="74" s="1"/>
  <c r="G242" i="72"/>
  <c r="I242" i="72"/>
  <c r="H246" i="72"/>
  <c r="J246" i="74" s="1"/>
  <c r="G248" i="72"/>
  <c r="G247" i="72"/>
  <c r="E247" i="72"/>
  <c r="H250" i="72"/>
  <c r="J250" i="74" s="1"/>
  <c r="E250" i="72"/>
  <c r="F246" i="72"/>
  <c r="P246" i="74" s="1"/>
  <c r="H248" i="72"/>
  <c r="J248" i="74" s="1"/>
  <c r="I248" i="72"/>
  <c r="G250" i="72"/>
  <c r="I250" i="72"/>
  <c r="F242" i="72"/>
  <c r="P242" i="74" s="1"/>
  <c r="E246" i="72"/>
  <c r="E259" i="72"/>
  <c r="D286" i="72"/>
  <c r="J251" i="72"/>
  <c r="O251" i="74"/>
  <c r="D279" i="72"/>
  <c r="J249" i="72"/>
  <c r="O249" i="74"/>
  <c r="J241" i="72"/>
  <c r="O241" i="74"/>
  <c r="E254" i="72"/>
  <c r="H253" i="72"/>
  <c r="J253" i="74" s="1"/>
  <c r="H252" i="72"/>
  <c r="J252" i="74" s="1"/>
  <c r="G261" i="72"/>
  <c r="I261" i="72"/>
  <c r="G259" i="72"/>
  <c r="H245" i="72"/>
  <c r="J245" i="74" s="1"/>
  <c r="J248" i="72" l="1"/>
  <c r="O248" i="74"/>
  <c r="J242" i="72"/>
  <c r="O242" i="74"/>
  <c r="D293" i="72"/>
  <c r="D301" i="72"/>
  <c r="O95" i="72"/>
  <c r="M99" i="72"/>
  <c r="D296" i="72"/>
  <c r="H264" i="72"/>
  <c r="J264" i="74" s="1"/>
  <c r="F264" i="72"/>
  <c r="P264" i="74" s="1"/>
  <c r="O97" i="72"/>
  <c r="M101" i="72"/>
  <c r="F265" i="72"/>
  <c r="P265" i="74" s="1"/>
  <c r="D294" i="72"/>
  <c r="D291" i="72"/>
  <c r="D298" i="72"/>
  <c r="J259" i="72"/>
  <c r="O259" i="74"/>
  <c r="J250" i="72"/>
  <c r="O250" i="74"/>
  <c r="F268" i="72"/>
  <c r="P268" i="74" s="1"/>
  <c r="H263" i="72"/>
  <c r="J263" i="74" s="1"/>
  <c r="F263" i="72"/>
  <c r="P263" i="74" s="1"/>
  <c r="H271" i="72"/>
  <c r="J271" i="74" s="1"/>
  <c r="H254" i="72"/>
  <c r="J254" i="74" s="1"/>
  <c r="F261" i="72"/>
  <c r="P261" i="74" s="1"/>
  <c r="F276" i="72"/>
  <c r="P276" i="74" s="1"/>
  <c r="D288" i="72"/>
  <c r="H276" i="72"/>
  <c r="J276" i="74" s="1"/>
  <c r="J252" i="72"/>
  <c r="O252" i="74"/>
  <c r="H265" i="72"/>
  <c r="J265" i="74" s="1"/>
  <c r="J254" i="72"/>
  <c r="O254" i="74"/>
  <c r="J246" i="72"/>
  <c r="O246" i="74"/>
  <c r="W24" i="74"/>
  <c r="X23" i="74"/>
  <c r="D290" i="72"/>
  <c r="O92" i="72"/>
  <c r="M96" i="72"/>
  <c r="D292" i="72"/>
  <c r="I275" i="72"/>
  <c r="E275" i="72"/>
  <c r="D287" i="72"/>
  <c r="G275" i="72"/>
  <c r="D295" i="72"/>
  <c r="O90" i="72"/>
  <c r="M94" i="72"/>
  <c r="D297" i="72"/>
  <c r="G277" i="72"/>
  <c r="I277" i="72"/>
  <c r="G272" i="72"/>
  <c r="I272" i="72"/>
  <c r="H261" i="72"/>
  <c r="J261" i="74" s="1"/>
  <c r="E264" i="72"/>
  <c r="I254" i="72"/>
  <c r="G270" i="72"/>
  <c r="I270" i="72"/>
  <c r="J247" i="72"/>
  <c r="O247" i="74"/>
  <c r="J261" i="72"/>
  <c r="O261" i="74"/>
  <c r="E268" i="72"/>
  <c r="H269" i="72"/>
  <c r="J269" i="74" s="1"/>
  <c r="F269" i="72"/>
  <c r="P269" i="74" s="1"/>
  <c r="E263" i="72"/>
  <c r="I265" i="72"/>
  <c r="G265" i="72"/>
  <c r="E256" i="72"/>
  <c r="F258" i="72"/>
  <c r="P258" i="74" s="1"/>
  <c r="H258" i="72"/>
  <c r="J258" i="74" s="1"/>
  <c r="E257" i="72"/>
  <c r="I260" i="72"/>
  <c r="G260" i="72"/>
  <c r="E265" i="72"/>
  <c r="I258" i="72"/>
  <c r="G258" i="72"/>
  <c r="F255" i="72"/>
  <c r="P255" i="74" s="1"/>
  <c r="H255" i="72"/>
  <c r="J255" i="74" s="1"/>
  <c r="E260" i="72"/>
  <c r="F262" i="72"/>
  <c r="P262" i="74" s="1"/>
  <c r="H262" i="72"/>
  <c r="J262" i="74" s="1"/>
  <c r="F256" i="72"/>
  <c r="P256" i="74" s="1"/>
  <c r="H256" i="72"/>
  <c r="J256" i="74" s="1"/>
  <c r="E258" i="72"/>
  <c r="I255" i="72"/>
  <c r="G255" i="72"/>
  <c r="F257" i="72"/>
  <c r="P257" i="74" s="1"/>
  <c r="H257" i="72"/>
  <c r="J257" i="74" s="1"/>
  <c r="I262" i="72"/>
  <c r="G262" i="72"/>
  <c r="I256" i="72"/>
  <c r="G256" i="72"/>
  <c r="E255" i="72"/>
  <c r="I257" i="72"/>
  <c r="G257" i="72"/>
  <c r="F260" i="72"/>
  <c r="P260" i="74" s="1"/>
  <c r="H260" i="72"/>
  <c r="J260" i="74" s="1"/>
  <c r="E262" i="72"/>
  <c r="E273" i="72"/>
  <c r="H277" i="72"/>
  <c r="J277" i="74" s="1"/>
  <c r="F277" i="72"/>
  <c r="P277" i="74" s="1"/>
  <c r="H272" i="72"/>
  <c r="J272" i="74" s="1"/>
  <c r="F272" i="72"/>
  <c r="P272" i="74" s="1"/>
  <c r="G264" i="72"/>
  <c r="I264" i="72"/>
  <c r="G254" i="72"/>
  <c r="H270" i="72"/>
  <c r="J270" i="74" s="1"/>
  <c r="F270" i="72"/>
  <c r="P270" i="74" s="1"/>
  <c r="F259" i="72"/>
  <c r="P259" i="74" s="1"/>
  <c r="I281" i="72" l="1"/>
  <c r="J260" i="72"/>
  <c r="O260" i="74"/>
  <c r="J257" i="72"/>
  <c r="O257" i="74"/>
  <c r="D303" i="72"/>
  <c r="J262" i="72"/>
  <c r="O262" i="74"/>
  <c r="J265" i="72"/>
  <c r="O265" i="74"/>
  <c r="J268" i="72"/>
  <c r="O268" i="74"/>
  <c r="J264" i="72"/>
  <c r="O264" i="74"/>
  <c r="D309" i="72"/>
  <c r="O94" i="72"/>
  <c r="M98" i="72"/>
  <c r="D307" i="72"/>
  <c r="D304" i="72"/>
  <c r="O96" i="72"/>
  <c r="M100" i="72"/>
  <c r="D302" i="72"/>
  <c r="F288" i="72"/>
  <c r="P288" i="74" s="1"/>
  <c r="I288" i="72"/>
  <c r="D300" i="72"/>
  <c r="H288" i="72"/>
  <c r="J288" i="74" s="1"/>
  <c r="G288" i="72"/>
  <c r="F273" i="72"/>
  <c r="P273" i="74" s="1"/>
  <c r="H268" i="72"/>
  <c r="J268" i="74" s="1"/>
  <c r="H286" i="72"/>
  <c r="J286" i="74" s="1"/>
  <c r="F286" i="72"/>
  <c r="P286" i="74" s="1"/>
  <c r="E279" i="72"/>
  <c r="H282" i="72"/>
  <c r="J282" i="74" s="1"/>
  <c r="F282" i="72"/>
  <c r="P282" i="74" s="1"/>
  <c r="D308" i="72"/>
  <c r="O99" i="72"/>
  <c r="M103" i="72"/>
  <c r="D313" i="72"/>
  <c r="G281" i="72"/>
  <c r="J273" i="72"/>
  <c r="O273" i="74"/>
  <c r="J275" i="72"/>
  <c r="O275" i="74"/>
  <c r="J255" i="72"/>
  <c r="O255" i="74"/>
  <c r="J263" i="72"/>
  <c r="O263" i="74"/>
  <c r="E266" i="72"/>
  <c r="I274" i="72"/>
  <c r="G274" i="72"/>
  <c r="I267" i="72"/>
  <c r="G267" i="72"/>
  <c r="I269" i="72"/>
  <c r="G269" i="72"/>
  <c r="E274" i="72"/>
  <c r="E267" i="72"/>
  <c r="H274" i="72"/>
  <c r="J274" i="74" s="1"/>
  <c r="H267" i="72"/>
  <c r="J267" i="74" s="1"/>
  <c r="I273" i="72"/>
  <c r="G273" i="72"/>
  <c r="I271" i="72"/>
  <c r="G271" i="72"/>
  <c r="I268" i="72"/>
  <c r="G268" i="72"/>
  <c r="I266" i="72"/>
  <c r="G266" i="72"/>
  <c r="F274" i="72"/>
  <c r="P274" i="74" s="1"/>
  <c r="F267" i="72"/>
  <c r="P267" i="74" s="1"/>
  <c r="E283" i="72"/>
  <c r="H275" i="72"/>
  <c r="J275" i="74" s="1"/>
  <c r="F275" i="72"/>
  <c r="P275" i="74" s="1"/>
  <c r="E280" i="72"/>
  <c r="E278" i="72"/>
  <c r="W25" i="74"/>
  <c r="X24" i="74"/>
  <c r="E276" i="72"/>
  <c r="E272" i="72"/>
  <c r="H273" i="72"/>
  <c r="J273" i="74" s="1"/>
  <c r="F266" i="72"/>
  <c r="P266" i="74" s="1"/>
  <c r="D310" i="72"/>
  <c r="G279" i="72"/>
  <c r="I279" i="72"/>
  <c r="D306" i="72"/>
  <c r="E284" i="72"/>
  <c r="E289" i="72"/>
  <c r="H281" i="72"/>
  <c r="J281" i="74" s="1"/>
  <c r="F281" i="72"/>
  <c r="P281" i="74" s="1"/>
  <c r="J258" i="72"/>
  <c r="O258" i="74"/>
  <c r="J256" i="72"/>
  <c r="O256" i="74"/>
  <c r="F287" i="72"/>
  <c r="P287" i="74" s="1"/>
  <c r="I287" i="72"/>
  <c r="E287" i="72"/>
  <c r="D299" i="72"/>
  <c r="H287" i="72"/>
  <c r="J287" i="74" s="1"/>
  <c r="G287" i="72"/>
  <c r="E270" i="72"/>
  <c r="G276" i="72"/>
  <c r="I276" i="72"/>
  <c r="E277" i="72"/>
  <c r="F271" i="72"/>
  <c r="P271" i="74" s="1"/>
  <c r="E269" i="72"/>
  <c r="H266" i="72"/>
  <c r="J266" i="74" s="1"/>
  <c r="E286" i="72"/>
  <c r="H279" i="72"/>
  <c r="J279" i="74" s="1"/>
  <c r="F279" i="72"/>
  <c r="P279" i="74" s="1"/>
  <c r="E282" i="72"/>
  <c r="O101" i="72"/>
  <c r="M105" i="72"/>
  <c r="G284" i="72"/>
  <c r="I284" i="72"/>
  <c r="G289" i="72"/>
  <c r="I289" i="72"/>
  <c r="D305" i="72"/>
  <c r="E271" i="72"/>
  <c r="O105" i="72" l="1"/>
  <c r="M109" i="72"/>
  <c r="J270" i="72"/>
  <c r="O270" i="74"/>
  <c r="J287" i="72"/>
  <c r="O287" i="74"/>
  <c r="J276" i="72"/>
  <c r="O276" i="74"/>
  <c r="J280" i="72"/>
  <c r="O280" i="74"/>
  <c r="J267" i="72"/>
  <c r="O267" i="74"/>
  <c r="J266" i="72"/>
  <c r="O266" i="74"/>
  <c r="D325" i="72"/>
  <c r="O103" i="72"/>
  <c r="M107" i="72"/>
  <c r="D320" i="72"/>
  <c r="H295" i="72"/>
  <c r="J295" i="74" s="1"/>
  <c r="E291" i="72"/>
  <c r="J269" i="72"/>
  <c r="O269" i="74"/>
  <c r="D311" i="72"/>
  <c r="D317" i="72"/>
  <c r="J286" i="72"/>
  <c r="O286" i="74"/>
  <c r="J277" i="72"/>
  <c r="O277" i="74"/>
  <c r="J289" i="72"/>
  <c r="O289" i="74"/>
  <c r="D318" i="72"/>
  <c r="D322" i="72"/>
  <c r="J274" i="72"/>
  <c r="O274" i="74"/>
  <c r="D312" i="72"/>
  <c r="I292" i="72"/>
  <c r="D319" i="72"/>
  <c r="O98" i="72"/>
  <c r="M102" i="72"/>
  <c r="D321" i="72"/>
  <c r="G291" i="72"/>
  <c r="I291" i="72"/>
  <c r="J271" i="72"/>
  <c r="O271" i="74"/>
  <c r="J282" i="72"/>
  <c r="O282" i="74"/>
  <c r="J284" i="72"/>
  <c r="O284" i="74"/>
  <c r="X25" i="74"/>
  <c r="W26" i="74"/>
  <c r="J279" i="72"/>
  <c r="O279" i="74"/>
  <c r="E288" i="72"/>
  <c r="H290" i="72"/>
  <c r="J290" i="74" s="1"/>
  <c r="F290" i="72"/>
  <c r="P290" i="74" s="1"/>
  <c r="H292" i="72"/>
  <c r="J292" i="74" s="1"/>
  <c r="F292" i="72"/>
  <c r="P292" i="74" s="1"/>
  <c r="I278" i="72"/>
  <c r="G278" i="72"/>
  <c r="I280" i="72"/>
  <c r="G280" i="72"/>
  <c r="I283" i="72"/>
  <c r="G283" i="72"/>
  <c r="I285" i="72"/>
  <c r="G285" i="72"/>
  <c r="F278" i="72"/>
  <c r="P278" i="74" s="1"/>
  <c r="H280" i="72"/>
  <c r="J280" i="74" s="1"/>
  <c r="F283" i="72"/>
  <c r="P283" i="74" s="1"/>
  <c r="E285" i="72"/>
  <c r="H278" i="72"/>
  <c r="J278" i="74" s="1"/>
  <c r="H285" i="72"/>
  <c r="J285" i="74" s="1"/>
  <c r="G286" i="72"/>
  <c r="F285" i="72"/>
  <c r="P285" i="74" s="1"/>
  <c r="E281" i="72"/>
  <c r="F289" i="72"/>
  <c r="P289" i="74" s="1"/>
  <c r="H289" i="72"/>
  <c r="J289" i="74" s="1"/>
  <c r="F284" i="72"/>
  <c r="P284" i="74" s="1"/>
  <c r="H284" i="72"/>
  <c r="J284" i="74" s="1"/>
  <c r="I282" i="72"/>
  <c r="G282" i="72"/>
  <c r="I286" i="72"/>
  <c r="F280" i="72"/>
  <c r="P280" i="74" s="1"/>
  <c r="H283" i="72"/>
  <c r="J283" i="74" s="1"/>
  <c r="E297" i="72"/>
  <c r="H291" i="72"/>
  <c r="J291" i="74" s="1"/>
  <c r="F291" i="72"/>
  <c r="P291" i="74" s="1"/>
  <c r="J272" i="72"/>
  <c r="O272" i="74"/>
  <c r="J278" i="72"/>
  <c r="O278" i="74"/>
  <c r="J283" i="72"/>
  <c r="O283" i="74"/>
  <c r="D314" i="72"/>
  <c r="O100" i="72"/>
  <c r="M104" i="72"/>
  <c r="D316" i="72"/>
  <c r="D315" i="72"/>
  <c r="D328" i="72" l="1"/>
  <c r="D326" i="72"/>
  <c r="J285" i="72"/>
  <c r="O285" i="74"/>
  <c r="J288" i="72"/>
  <c r="O288" i="74"/>
  <c r="I297" i="72"/>
  <c r="G297" i="72"/>
  <c r="I295" i="72"/>
  <c r="G295" i="72"/>
  <c r="F296" i="72"/>
  <c r="P296" i="74" s="1"/>
  <c r="H296" i="72"/>
  <c r="J296" i="74" s="1"/>
  <c r="F301" i="72"/>
  <c r="P301" i="74" s="1"/>
  <c r="H301" i="72"/>
  <c r="J301" i="74" s="1"/>
  <c r="I298" i="72"/>
  <c r="G298" i="72"/>
  <c r="I294" i="72"/>
  <c r="G294" i="72"/>
  <c r="I296" i="72"/>
  <c r="G296" i="72"/>
  <c r="I301" i="72"/>
  <c r="G301" i="72"/>
  <c r="E298" i="72"/>
  <c r="E294" i="72"/>
  <c r="I293" i="72"/>
  <c r="G293" i="72"/>
  <c r="H293" i="72"/>
  <c r="J293" i="74" s="1"/>
  <c r="I290" i="72"/>
  <c r="G290" i="72"/>
  <c r="E296" i="72"/>
  <c r="E301" i="72"/>
  <c r="E293" i="72"/>
  <c r="F293" i="72"/>
  <c r="P293" i="74" s="1"/>
  <c r="E290" i="72"/>
  <c r="F298" i="72"/>
  <c r="P298" i="74" s="1"/>
  <c r="H298" i="72"/>
  <c r="J298" i="74" s="1"/>
  <c r="F294" i="72"/>
  <c r="P294" i="74" s="1"/>
  <c r="H294" i="72"/>
  <c r="J294" i="74" s="1"/>
  <c r="G292" i="72"/>
  <c r="E300" i="72"/>
  <c r="E299" i="72"/>
  <c r="F295" i="72"/>
  <c r="P295" i="74" s="1"/>
  <c r="J297" i="72"/>
  <c r="O297" i="74"/>
  <c r="G300" i="72"/>
  <c r="I300" i="72"/>
  <c r="D330" i="72"/>
  <c r="D329" i="72"/>
  <c r="G299" i="72"/>
  <c r="I299" i="72"/>
  <c r="J291" i="72"/>
  <c r="O291" i="74"/>
  <c r="D332" i="72"/>
  <c r="O107" i="72"/>
  <c r="M111" i="72"/>
  <c r="D337" i="72"/>
  <c r="O109" i="72"/>
  <c r="M113" i="72"/>
  <c r="H300" i="72"/>
  <c r="J300" i="74" s="1"/>
  <c r="F300" i="72"/>
  <c r="P300" i="74" s="1"/>
  <c r="E306" i="72"/>
  <c r="H299" i="72"/>
  <c r="J299" i="74" s="1"/>
  <c r="F299" i="72"/>
  <c r="P299" i="74" s="1"/>
  <c r="F297" i="72"/>
  <c r="P297" i="74" s="1"/>
  <c r="E292" i="72"/>
  <c r="O104" i="72"/>
  <c r="M108" i="72"/>
  <c r="D327" i="72"/>
  <c r="J281" i="72"/>
  <c r="O281" i="74"/>
  <c r="X26" i="74"/>
  <c r="W27" i="74"/>
  <c r="D333" i="72"/>
  <c r="O102" i="72"/>
  <c r="M106" i="72"/>
  <c r="D331" i="72"/>
  <c r="I312" i="72"/>
  <c r="E312" i="72"/>
  <c r="D324" i="72"/>
  <c r="G312" i="72"/>
  <c r="D334" i="72"/>
  <c r="G306" i="72"/>
  <c r="I306" i="72"/>
  <c r="G305" i="72"/>
  <c r="F311" i="72"/>
  <c r="P311" i="74" s="1"/>
  <c r="I311" i="72"/>
  <c r="E311" i="72"/>
  <c r="D323" i="72"/>
  <c r="H311" i="72"/>
  <c r="J311" i="74" s="1"/>
  <c r="G311" i="72"/>
  <c r="H297" i="72"/>
  <c r="J297" i="74" s="1"/>
  <c r="G308" i="72"/>
  <c r="I308" i="72"/>
  <c r="G313" i="72"/>
  <c r="I313" i="72"/>
  <c r="E295" i="72"/>
  <c r="J295" i="72" l="1"/>
  <c r="O295" i="74"/>
  <c r="J312" i="72"/>
  <c r="O312" i="74"/>
  <c r="J311" i="72"/>
  <c r="O311" i="74"/>
  <c r="D346" i="72"/>
  <c r="D343" i="72"/>
  <c r="O106" i="72"/>
  <c r="I321" i="72" s="1"/>
  <c r="M110" i="72"/>
  <c r="D345" i="72"/>
  <c r="W28" i="74"/>
  <c r="X27" i="74"/>
  <c r="G315" i="72"/>
  <c r="I315" i="72"/>
  <c r="E313" i="72"/>
  <c r="F310" i="72"/>
  <c r="P310" i="74" s="1"/>
  <c r="F307" i="72"/>
  <c r="P307" i="74" s="1"/>
  <c r="E302" i="72"/>
  <c r="E317" i="72"/>
  <c r="H318" i="72"/>
  <c r="J318" i="74" s="1"/>
  <c r="F318" i="72"/>
  <c r="P318" i="74" s="1"/>
  <c r="G309" i="72"/>
  <c r="H313" i="72"/>
  <c r="J313" i="74" s="1"/>
  <c r="J299" i="72"/>
  <c r="O299" i="74"/>
  <c r="H306" i="72"/>
  <c r="J306" i="74" s="1"/>
  <c r="E307" i="72"/>
  <c r="J301" i="72"/>
  <c r="O301" i="74"/>
  <c r="J298" i="72"/>
  <c r="O298" i="74"/>
  <c r="F304" i="72"/>
  <c r="P304" i="74" s="1"/>
  <c r="H314" i="72"/>
  <c r="J314" i="74" s="1"/>
  <c r="F314" i="72"/>
  <c r="P314" i="74" s="1"/>
  <c r="D335" i="72"/>
  <c r="H312" i="72"/>
  <c r="J312" i="74" s="1"/>
  <c r="F312" i="72"/>
  <c r="P312" i="74" s="1"/>
  <c r="E319" i="72"/>
  <c r="I302" i="72"/>
  <c r="G302" i="72"/>
  <c r="I304" i="72"/>
  <c r="G303" i="72"/>
  <c r="E304" i="72"/>
  <c r="F303" i="72"/>
  <c r="P303" i="74" s="1"/>
  <c r="H303" i="72"/>
  <c r="J303" i="74" s="1"/>
  <c r="G304" i="72"/>
  <c r="I303" i="72"/>
  <c r="H315" i="72"/>
  <c r="J315" i="74" s="1"/>
  <c r="F315" i="72"/>
  <c r="P315" i="74" s="1"/>
  <c r="E308" i="72"/>
  <c r="H310" i="72"/>
  <c r="J310" i="74" s="1"/>
  <c r="H307" i="72"/>
  <c r="J307" i="74" s="1"/>
  <c r="O113" i="72"/>
  <c r="M117" i="72"/>
  <c r="D349" i="72"/>
  <c r="O111" i="72"/>
  <c r="M115" i="72"/>
  <c r="D344" i="72"/>
  <c r="G317" i="72"/>
  <c r="I317" i="72"/>
  <c r="D342" i="72"/>
  <c r="I310" i="72"/>
  <c r="I307" i="72"/>
  <c r="F308" i="72"/>
  <c r="P308" i="74" s="1"/>
  <c r="F305" i="72"/>
  <c r="P305" i="74" s="1"/>
  <c r="E310" i="72"/>
  <c r="J290" i="72"/>
  <c r="O290" i="74"/>
  <c r="J296" i="72"/>
  <c r="O296" i="74"/>
  <c r="E309" i="72"/>
  <c r="H304" i="72"/>
  <c r="J304" i="74" s="1"/>
  <c r="D338" i="72"/>
  <c r="G316" i="72"/>
  <c r="I316" i="72"/>
  <c r="E324" i="72"/>
  <c r="D336" i="72"/>
  <c r="G319" i="72"/>
  <c r="I319" i="72"/>
  <c r="D339" i="72"/>
  <c r="O108" i="72"/>
  <c r="M112" i="72"/>
  <c r="J292" i="72"/>
  <c r="O292" i="74"/>
  <c r="E305" i="72"/>
  <c r="F309" i="72"/>
  <c r="P309" i="74" s="1"/>
  <c r="E320" i="72"/>
  <c r="H317" i="72"/>
  <c r="J317" i="74" s="1"/>
  <c r="F317" i="72"/>
  <c r="P317" i="74" s="1"/>
  <c r="E318" i="72"/>
  <c r="G310" i="72"/>
  <c r="G307" i="72"/>
  <c r="H308" i="72"/>
  <c r="J308" i="74" s="1"/>
  <c r="H305" i="72"/>
  <c r="J305" i="74" s="1"/>
  <c r="J300" i="72"/>
  <c r="O300" i="74"/>
  <c r="F302" i="72"/>
  <c r="P302" i="74" s="1"/>
  <c r="E303" i="72"/>
  <c r="E314" i="72"/>
  <c r="H316" i="72"/>
  <c r="J316" i="74" s="1"/>
  <c r="F316" i="72"/>
  <c r="P316" i="74" s="1"/>
  <c r="J306" i="72"/>
  <c r="O306" i="74"/>
  <c r="H309" i="72"/>
  <c r="J309" i="74" s="1"/>
  <c r="G325" i="72"/>
  <c r="I325" i="72"/>
  <c r="G320" i="72"/>
  <c r="I320" i="72"/>
  <c r="D341" i="72"/>
  <c r="G318" i="72"/>
  <c r="I318" i="72"/>
  <c r="I309" i="72"/>
  <c r="F313" i="72"/>
  <c r="P313" i="74" s="1"/>
  <c r="F306" i="72"/>
  <c r="P306" i="74" s="1"/>
  <c r="J293" i="72"/>
  <c r="O293" i="74"/>
  <c r="J294" i="72"/>
  <c r="O294" i="74"/>
  <c r="H302" i="72"/>
  <c r="J302" i="74" s="1"/>
  <c r="G314" i="72"/>
  <c r="I314" i="72"/>
  <c r="D340" i="72"/>
  <c r="I305" i="72"/>
  <c r="J314" i="72" l="1"/>
  <c r="O314" i="74"/>
  <c r="J320" i="72"/>
  <c r="O320" i="74"/>
  <c r="J324" i="72"/>
  <c r="O324" i="74"/>
  <c r="D350" i="72"/>
  <c r="E321" i="72"/>
  <c r="D347" i="72"/>
  <c r="F320" i="72"/>
  <c r="P320" i="74" s="1"/>
  <c r="J302" i="72"/>
  <c r="O302" i="74"/>
  <c r="D358" i="72"/>
  <c r="D352" i="72"/>
  <c r="J303" i="72"/>
  <c r="O303" i="74"/>
  <c r="J318" i="72"/>
  <c r="O318" i="74"/>
  <c r="E325" i="72"/>
  <c r="G324" i="72"/>
  <c r="I324" i="72"/>
  <c r="J309" i="72"/>
  <c r="O309" i="74"/>
  <c r="D354" i="72"/>
  <c r="D356" i="72"/>
  <c r="O115" i="72"/>
  <c r="M119" i="72"/>
  <c r="D361" i="72"/>
  <c r="O117" i="72"/>
  <c r="M121" i="72"/>
  <c r="J308" i="72"/>
  <c r="O308" i="74"/>
  <c r="J304" i="72"/>
  <c r="O304" i="74"/>
  <c r="E322" i="72"/>
  <c r="E323" i="72"/>
  <c r="H320" i="72"/>
  <c r="J320" i="74" s="1"/>
  <c r="O112" i="72"/>
  <c r="M116" i="72"/>
  <c r="D351" i="72"/>
  <c r="G321" i="72"/>
  <c r="H324" i="72"/>
  <c r="J324" i="74" s="1"/>
  <c r="F324" i="72"/>
  <c r="P324" i="74" s="1"/>
  <c r="J310" i="72"/>
  <c r="O310" i="74"/>
  <c r="J319" i="72"/>
  <c r="O319" i="74"/>
  <c r="G323" i="72"/>
  <c r="I323" i="72"/>
  <c r="F325" i="72"/>
  <c r="P325" i="74" s="1"/>
  <c r="D357" i="72"/>
  <c r="O110" i="72"/>
  <c r="M114" i="72"/>
  <c r="D355" i="72"/>
  <c r="G334" i="72"/>
  <c r="D353" i="72"/>
  <c r="J305" i="72"/>
  <c r="O305" i="74"/>
  <c r="E327" i="72"/>
  <c r="F336" i="72"/>
  <c r="P336" i="74" s="1"/>
  <c r="I336" i="72"/>
  <c r="E336" i="72"/>
  <c r="D348" i="72"/>
  <c r="H336" i="72"/>
  <c r="J336" i="74" s="1"/>
  <c r="G336" i="72"/>
  <c r="I322" i="72"/>
  <c r="H326" i="72"/>
  <c r="J326" i="74" s="1"/>
  <c r="F326" i="72"/>
  <c r="P326" i="74" s="1"/>
  <c r="G330" i="72"/>
  <c r="I330" i="72"/>
  <c r="G332" i="72"/>
  <c r="I332" i="72"/>
  <c r="G337" i="72"/>
  <c r="I337" i="72"/>
  <c r="H323" i="72"/>
  <c r="J323" i="74" s="1"/>
  <c r="F323" i="72"/>
  <c r="P323" i="74" s="1"/>
  <c r="J307" i="72"/>
  <c r="O307" i="74"/>
  <c r="J317" i="72"/>
  <c r="O317" i="74"/>
  <c r="H325" i="72"/>
  <c r="J325" i="74" s="1"/>
  <c r="J313" i="72"/>
  <c r="O313" i="74"/>
  <c r="W29" i="74"/>
  <c r="X28" i="74"/>
  <c r="E315" i="72"/>
  <c r="F321" i="72"/>
  <c r="P321" i="74" s="1"/>
  <c r="H321" i="72"/>
  <c r="J321" i="74" s="1"/>
  <c r="F319" i="72"/>
  <c r="P319" i="74" s="1"/>
  <c r="H319" i="72"/>
  <c r="J319" i="74" s="1"/>
  <c r="F322" i="72"/>
  <c r="P322" i="74" s="1"/>
  <c r="G322" i="72"/>
  <c r="H322" i="72"/>
  <c r="J322" i="74" s="1"/>
  <c r="E331" i="72"/>
  <c r="H334" i="72"/>
  <c r="J334" i="74" s="1"/>
  <c r="F334" i="72"/>
  <c r="P334" i="74" s="1"/>
  <c r="E316" i="72"/>
  <c r="X29" i="74" l="1"/>
  <c r="W30" i="74"/>
  <c r="E332" i="72"/>
  <c r="I326" i="72"/>
  <c r="F333" i="72"/>
  <c r="P333" i="74" s="1"/>
  <c r="J322" i="72"/>
  <c r="O322" i="74"/>
  <c r="F327" i="72"/>
  <c r="P327" i="74" s="1"/>
  <c r="G331" i="72"/>
  <c r="D359" i="72"/>
  <c r="J321" i="72"/>
  <c r="O321" i="74"/>
  <c r="H332" i="72"/>
  <c r="J332" i="74" s="1"/>
  <c r="D360" i="72"/>
  <c r="J327" i="72"/>
  <c r="O327" i="74"/>
  <c r="E330" i="72"/>
  <c r="G326" i="72"/>
  <c r="E334" i="72"/>
  <c r="H333" i="72"/>
  <c r="J333" i="74" s="1"/>
  <c r="O121" i="72"/>
  <c r="M125" i="72"/>
  <c r="D373" i="72"/>
  <c r="O119" i="72"/>
  <c r="M123" i="72"/>
  <c r="D368" i="72"/>
  <c r="E326" i="72"/>
  <c r="H327" i="72"/>
  <c r="J327" i="74" s="1"/>
  <c r="D364" i="72"/>
  <c r="I333" i="72"/>
  <c r="E335" i="72"/>
  <c r="F337" i="72"/>
  <c r="P337" i="74" s="1"/>
  <c r="F330" i="72"/>
  <c r="P330" i="74" s="1"/>
  <c r="D362" i="72"/>
  <c r="J331" i="72"/>
  <c r="O331" i="74"/>
  <c r="J315" i="72"/>
  <c r="O315" i="74"/>
  <c r="J336" i="72"/>
  <c r="O336" i="74"/>
  <c r="D365" i="72"/>
  <c r="I334" i="72"/>
  <c r="D367" i="72"/>
  <c r="O114" i="72"/>
  <c r="G345" i="72" s="1"/>
  <c r="M118" i="72"/>
  <c r="D369" i="72"/>
  <c r="H339" i="72"/>
  <c r="J339" i="74" s="1"/>
  <c r="F331" i="72"/>
  <c r="P331" i="74" s="1"/>
  <c r="E344" i="72"/>
  <c r="J325" i="72"/>
  <c r="O325" i="74"/>
  <c r="G333" i="72"/>
  <c r="G335" i="72"/>
  <c r="I335" i="72"/>
  <c r="H337" i="72"/>
  <c r="J337" i="74" s="1"/>
  <c r="H330" i="72"/>
  <c r="J330" i="74" s="1"/>
  <c r="J316" i="72"/>
  <c r="O316" i="74"/>
  <c r="F329" i="72"/>
  <c r="P329" i="74" s="1"/>
  <c r="H329" i="72"/>
  <c r="J329" i="74" s="1"/>
  <c r="I329" i="72"/>
  <c r="G329" i="72"/>
  <c r="E329" i="72"/>
  <c r="H328" i="72"/>
  <c r="J328" i="74" s="1"/>
  <c r="G328" i="72"/>
  <c r="E328" i="72"/>
  <c r="I327" i="72"/>
  <c r="G327" i="72"/>
  <c r="F328" i="72"/>
  <c r="P328" i="74" s="1"/>
  <c r="I328" i="72"/>
  <c r="E337" i="72"/>
  <c r="D363" i="72"/>
  <c r="O116" i="72"/>
  <c r="M120" i="72"/>
  <c r="H331" i="72"/>
  <c r="J331" i="74" s="1"/>
  <c r="J323" i="72"/>
  <c r="O323" i="74"/>
  <c r="G349" i="72"/>
  <c r="I349" i="72"/>
  <c r="G344" i="72"/>
  <c r="D366" i="72"/>
  <c r="G340" i="72"/>
  <c r="D370" i="72"/>
  <c r="I331" i="72"/>
  <c r="H335" i="72"/>
  <c r="J335" i="74" s="1"/>
  <c r="F335" i="72"/>
  <c r="P335" i="74" s="1"/>
  <c r="F332" i="72"/>
  <c r="P332" i="74" s="1"/>
  <c r="G338" i="72"/>
  <c r="E333" i="72"/>
  <c r="O120" i="72" l="1"/>
  <c r="M124" i="72"/>
  <c r="D375" i="72"/>
  <c r="J335" i="72"/>
  <c r="O335" i="74"/>
  <c r="I342" i="72"/>
  <c r="D380" i="72"/>
  <c r="O123" i="72"/>
  <c r="M127" i="72"/>
  <c r="D385" i="72"/>
  <c r="O125" i="72"/>
  <c r="M129" i="72"/>
  <c r="I339" i="72"/>
  <c r="D372" i="72"/>
  <c r="F338" i="72"/>
  <c r="P338" i="74" s="1"/>
  <c r="E347" i="72"/>
  <c r="E346" i="72"/>
  <c r="E342" i="72"/>
  <c r="H349" i="72"/>
  <c r="J349" i="74" s="1"/>
  <c r="E339" i="72"/>
  <c r="J337" i="72"/>
  <c r="O337" i="74"/>
  <c r="J344" i="72"/>
  <c r="O344" i="74"/>
  <c r="E343" i="72"/>
  <c r="E341" i="72"/>
  <c r="F345" i="72"/>
  <c r="P345" i="74" s="1"/>
  <c r="H345" i="72"/>
  <c r="J345" i="74" s="1"/>
  <c r="F343" i="72"/>
  <c r="P343" i="74" s="1"/>
  <c r="H343" i="72"/>
  <c r="J343" i="74" s="1"/>
  <c r="F341" i="72"/>
  <c r="P341" i="74" s="1"/>
  <c r="H341" i="72"/>
  <c r="J341" i="74" s="1"/>
  <c r="I343" i="72"/>
  <c r="G343" i="72"/>
  <c r="I341" i="72"/>
  <c r="G341" i="72"/>
  <c r="I338" i="72"/>
  <c r="D382" i="72"/>
  <c r="I340" i="72"/>
  <c r="D378" i="72"/>
  <c r="I344" i="72"/>
  <c r="E345" i="72"/>
  <c r="J329" i="72"/>
  <c r="O329" i="74"/>
  <c r="F346" i="72"/>
  <c r="P346" i="74" s="1"/>
  <c r="E349" i="72"/>
  <c r="G357" i="72"/>
  <c r="H353" i="72"/>
  <c r="J353" i="74" s="1"/>
  <c r="H352" i="72"/>
  <c r="J352" i="74" s="1"/>
  <c r="G342" i="72"/>
  <c r="E361" i="72"/>
  <c r="G339" i="72"/>
  <c r="E348" i="72"/>
  <c r="H338" i="72"/>
  <c r="J338" i="74" s="1"/>
  <c r="G347" i="72"/>
  <c r="I347" i="72"/>
  <c r="F340" i="72"/>
  <c r="P340" i="74" s="1"/>
  <c r="F344" i="72"/>
  <c r="P344" i="74" s="1"/>
  <c r="X30" i="74"/>
  <c r="W31" i="74"/>
  <c r="J328" i="72"/>
  <c r="O328" i="74"/>
  <c r="H346" i="72"/>
  <c r="J346" i="74" s="1"/>
  <c r="F342" i="72"/>
  <c r="P342" i="74" s="1"/>
  <c r="H355" i="72"/>
  <c r="J355" i="74" s="1"/>
  <c r="D377" i="72"/>
  <c r="D374" i="72"/>
  <c r="I346" i="72"/>
  <c r="D376" i="72"/>
  <c r="I361" i="72"/>
  <c r="G348" i="72"/>
  <c r="I348" i="72"/>
  <c r="H347" i="72"/>
  <c r="J347" i="74" s="1"/>
  <c r="F347" i="72"/>
  <c r="P347" i="74" s="1"/>
  <c r="H340" i="72"/>
  <c r="J340" i="74" s="1"/>
  <c r="H344" i="72"/>
  <c r="J344" i="74" s="1"/>
  <c r="J332" i="72"/>
  <c r="O332" i="74"/>
  <c r="J333" i="72"/>
  <c r="O333" i="74"/>
  <c r="H351" i="72"/>
  <c r="J351" i="74" s="1"/>
  <c r="F351" i="72"/>
  <c r="P351" i="74" s="1"/>
  <c r="E340" i="72"/>
  <c r="H342" i="72"/>
  <c r="J342" i="74" s="1"/>
  <c r="F339" i="72"/>
  <c r="P339" i="74" s="1"/>
  <c r="D381" i="72"/>
  <c r="O118" i="72"/>
  <c r="M122" i="72"/>
  <c r="D379" i="72"/>
  <c r="E353" i="72"/>
  <c r="E350" i="72"/>
  <c r="G346" i="72"/>
  <c r="E352" i="72"/>
  <c r="J326" i="72"/>
  <c r="O326" i="74"/>
  <c r="H356" i="72"/>
  <c r="J356" i="74" s="1"/>
  <c r="F356" i="72"/>
  <c r="P356" i="74" s="1"/>
  <c r="H361" i="72"/>
  <c r="J361" i="74" s="1"/>
  <c r="F361" i="72"/>
  <c r="P361" i="74" s="1"/>
  <c r="J334" i="72"/>
  <c r="O334" i="74"/>
  <c r="J330" i="72"/>
  <c r="O330" i="74"/>
  <c r="H348" i="72"/>
  <c r="J348" i="74" s="1"/>
  <c r="F348" i="72"/>
  <c r="P348" i="74" s="1"/>
  <c r="F359" i="72"/>
  <c r="P359" i="74" s="1"/>
  <c r="I359" i="72"/>
  <c r="E359" i="72"/>
  <c r="D371" i="72"/>
  <c r="H359" i="72"/>
  <c r="J359" i="74" s="1"/>
  <c r="G359" i="72"/>
  <c r="F349" i="72"/>
  <c r="P349" i="74" s="1"/>
  <c r="I345" i="72"/>
  <c r="E338" i="72"/>
  <c r="J359" i="72" l="1"/>
  <c r="O359" i="74"/>
  <c r="J350" i="72"/>
  <c r="O350" i="74"/>
  <c r="D391" i="72"/>
  <c r="O122" i="72"/>
  <c r="M126" i="72"/>
  <c r="D393" i="72"/>
  <c r="G361" i="72"/>
  <c r="D386" i="72"/>
  <c r="F357" i="72"/>
  <c r="P357" i="74" s="1"/>
  <c r="E356" i="72"/>
  <c r="F350" i="72"/>
  <c r="P350" i="74" s="1"/>
  <c r="I355" i="72"/>
  <c r="J349" i="72"/>
  <c r="O349" i="74"/>
  <c r="J345" i="72"/>
  <c r="O345" i="74"/>
  <c r="F366" i="72"/>
  <c r="P366" i="74" s="1"/>
  <c r="D394" i="72"/>
  <c r="E360" i="72"/>
  <c r="O129" i="72"/>
  <c r="M133" i="72"/>
  <c r="D397" i="72"/>
  <c r="O127" i="72"/>
  <c r="M131" i="72"/>
  <c r="D392" i="72"/>
  <c r="H363" i="72"/>
  <c r="J363" i="74" s="1"/>
  <c r="J361" i="72"/>
  <c r="O361" i="74"/>
  <c r="J347" i="72"/>
  <c r="O347" i="74"/>
  <c r="D384" i="72"/>
  <c r="J338" i="72"/>
  <c r="O338" i="74"/>
  <c r="J353" i="72"/>
  <c r="O353" i="74"/>
  <c r="I354" i="72"/>
  <c r="G354" i="72"/>
  <c r="I358" i="72"/>
  <c r="G358" i="72"/>
  <c r="H354" i="72"/>
  <c r="J354" i="74" s="1"/>
  <c r="I351" i="72"/>
  <c r="G351" i="72"/>
  <c r="E354" i="72"/>
  <c r="E358" i="72"/>
  <c r="E357" i="72"/>
  <c r="F354" i="72"/>
  <c r="P354" i="74" s="1"/>
  <c r="H358" i="72"/>
  <c r="J358" i="74" s="1"/>
  <c r="E355" i="72"/>
  <c r="F358" i="72"/>
  <c r="P358" i="74" s="1"/>
  <c r="I356" i="72"/>
  <c r="D388" i="72"/>
  <c r="H357" i="72"/>
  <c r="J357" i="74" s="1"/>
  <c r="J348" i="72"/>
  <c r="O348" i="74"/>
  <c r="H350" i="72"/>
  <c r="J350" i="74" s="1"/>
  <c r="G355" i="72"/>
  <c r="E351" i="72"/>
  <c r="D390" i="72"/>
  <c r="E370" i="72"/>
  <c r="I353" i="72"/>
  <c r="J341" i="72"/>
  <c r="O341" i="74"/>
  <c r="J342" i="72"/>
  <c r="O342" i="74"/>
  <c r="G360" i="72"/>
  <c r="I360" i="72"/>
  <c r="E373" i="72"/>
  <c r="I352" i="72"/>
  <c r="I350" i="72"/>
  <c r="D387" i="72"/>
  <c r="O124" i="72"/>
  <c r="M128" i="72"/>
  <c r="J339" i="72"/>
  <c r="O339" i="74"/>
  <c r="I371" i="72"/>
  <c r="E371" i="72"/>
  <c r="D383" i="72"/>
  <c r="G371" i="72"/>
  <c r="J352" i="72"/>
  <c r="O352" i="74"/>
  <c r="G369" i="72"/>
  <c r="I369" i="72"/>
  <c r="J340" i="72"/>
  <c r="O340" i="74"/>
  <c r="G356" i="72"/>
  <c r="E364" i="72"/>
  <c r="G362" i="72"/>
  <c r="I362" i="72"/>
  <c r="D389" i="72"/>
  <c r="F355" i="72"/>
  <c r="P355" i="74" s="1"/>
  <c r="W32" i="74"/>
  <c r="X31" i="74"/>
  <c r="F352" i="72"/>
  <c r="P352" i="74" s="1"/>
  <c r="F353" i="72"/>
  <c r="P353" i="74" s="1"/>
  <c r="I357" i="72"/>
  <c r="E366" i="72"/>
  <c r="G370" i="72"/>
  <c r="I370" i="72"/>
  <c r="G353" i="72"/>
  <c r="J343" i="72"/>
  <c r="O343" i="74"/>
  <c r="J346" i="72"/>
  <c r="O346" i="74"/>
  <c r="H360" i="72"/>
  <c r="J360" i="74" s="1"/>
  <c r="F360" i="72"/>
  <c r="P360" i="74" s="1"/>
  <c r="G373" i="72"/>
  <c r="I373" i="72"/>
  <c r="G368" i="72"/>
  <c r="I368" i="72"/>
  <c r="G352" i="72"/>
  <c r="G350" i="72"/>
  <c r="E363" i="72"/>
  <c r="J370" i="72" l="1"/>
  <c r="O370" i="74"/>
  <c r="D396" i="72"/>
  <c r="D406" i="72"/>
  <c r="J356" i="72"/>
  <c r="O356" i="74"/>
  <c r="G367" i="72"/>
  <c r="G363" i="72"/>
  <c r="H368" i="72"/>
  <c r="J368" i="74" s="1"/>
  <c r="H373" i="72"/>
  <c r="J373" i="74" s="1"/>
  <c r="G366" i="72"/>
  <c r="E365" i="72"/>
  <c r="H362" i="72"/>
  <c r="J362" i="74" s="1"/>
  <c r="G364" i="72"/>
  <c r="F367" i="72"/>
  <c r="P367" i="74" s="1"/>
  <c r="E367" i="72"/>
  <c r="I363" i="72"/>
  <c r="F368" i="72"/>
  <c r="P368" i="74" s="1"/>
  <c r="F373" i="72"/>
  <c r="P373" i="74" s="1"/>
  <c r="H370" i="72"/>
  <c r="J370" i="74" s="1"/>
  <c r="F362" i="72"/>
  <c r="P362" i="74" s="1"/>
  <c r="I364" i="72"/>
  <c r="H369" i="72"/>
  <c r="J369" i="74" s="1"/>
  <c r="F370" i="72"/>
  <c r="P370" i="74" s="1"/>
  <c r="I366" i="72"/>
  <c r="F369" i="72"/>
  <c r="P369" i="74" s="1"/>
  <c r="H367" i="72"/>
  <c r="J367" i="74" s="1"/>
  <c r="J364" i="72"/>
  <c r="O364" i="74"/>
  <c r="J366" i="72"/>
  <c r="O366" i="74"/>
  <c r="O128" i="72"/>
  <c r="M132" i="72"/>
  <c r="D399" i="72"/>
  <c r="I378" i="72"/>
  <c r="F365" i="72"/>
  <c r="P365" i="74" s="1"/>
  <c r="J355" i="72"/>
  <c r="O355" i="74"/>
  <c r="J358" i="72"/>
  <c r="O358" i="74"/>
  <c r="E372" i="72"/>
  <c r="I385" i="72"/>
  <c r="J360" i="72"/>
  <c r="O360" i="74"/>
  <c r="H366" i="72"/>
  <c r="J366" i="74" s="1"/>
  <c r="I381" i="72"/>
  <c r="J371" i="72"/>
  <c r="O371" i="74"/>
  <c r="J363" i="72"/>
  <c r="O363" i="74"/>
  <c r="D401" i="72"/>
  <c r="I367" i="72"/>
  <c r="H371" i="72"/>
  <c r="J371" i="74" s="1"/>
  <c r="F371" i="72"/>
  <c r="P371" i="74" s="1"/>
  <c r="E375" i="72"/>
  <c r="H365" i="72"/>
  <c r="J365" i="74" s="1"/>
  <c r="D400" i="72"/>
  <c r="J354" i="72"/>
  <c r="O354" i="74"/>
  <c r="G372" i="72"/>
  <c r="I372" i="72"/>
  <c r="H385" i="72"/>
  <c r="J385" i="74" s="1"/>
  <c r="I365" i="72"/>
  <c r="D398" i="72"/>
  <c r="F364" i="72"/>
  <c r="P364" i="74" s="1"/>
  <c r="H381" i="72"/>
  <c r="J381" i="74" s="1"/>
  <c r="J373" i="72"/>
  <c r="O373" i="74"/>
  <c r="J357" i="72"/>
  <c r="O357" i="74"/>
  <c r="F383" i="72"/>
  <c r="P383" i="74" s="1"/>
  <c r="D395" i="72"/>
  <c r="H383" i="72"/>
  <c r="J383" i="74" s="1"/>
  <c r="E368" i="72"/>
  <c r="D402" i="72"/>
  <c r="J351" i="72"/>
  <c r="O351" i="74"/>
  <c r="E362" i="72"/>
  <c r="E369" i="72"/>
  <c r="H372" i="72"/>
  <c r="J372" i="74" s="1"/>
  <c r="F372" i="72"/>
  <c r="P372" i="74" s="1"/>
  <c r="D404" i="72"/>
  <c r="O131" i="72"/>
  <c r="M135" i="72"/>
  <c r="D409" i="72"/>
  <c r="O133" i="72"/>
  <c r="M137" i="72"/>
  <c r="G365" i="72"/>
  <c r="H364" i="72"/>
  <c r="J364" i="74" s="1"/>
  <c r="D405" i="72"/>
  <c r="O126" i="72"/>
  <c r="M130" i="72"/>
  <c r="D403" i="72"/>
  <c r="F363" i="72"/>
  <c r="P363" i="74" s="1"/>
  <c r="J368" i="72" l="1"/>
  <c r="O368" i="74"/>
  <c r="D411" i="72"/>
  <c r="O132" i="72"/>
  <c r="M136" i="72"/>
  <c r="D418" i="72"/>
  <c r="G384" i="72"/>
  <c r="I384" i="72"/>
  <c r="F382" i="72"/>
  <c r="P382" i="74" s="1"/>
  <c r="J369" i="72"/>
  <c r="O369" i="74"/>
  <c r="I375" i="72"/>
  <c r="D407" i="72"/>
  <c r="F379" i="72"/>
  <c r="P379" i="74" s="1"/>
  <c r="I382" i="72"/>
  <c r="F380" i="72"/>
  <c r="P380" i="74" s="1"/>
  <c r="D412" i="72"/>
  <c r="G381" i="72"/>
  <c r="E382" i="72"/>
  <c r="G385" i="72"/>
  <c r="F376" i="72"/>
  <c r="P376" i="74" s="1"/>
  <c r="G378" i="72"/>
  <c r="H384" i="72"/>
  <c r="J384" i="74" s="1"/>
  <c r="F384" i="72"/>
  <c r="P384" i="74" s="1"/>
  <c r="D414" i="72"/>
  <c r="D410" i="72"/>
  <c r="J375" i="72"/>
  <c r="O375" i="74"/>
  <c r="J372" i="72"/>
  <c r="O372" i="74"/>
  <c r="D415" i="72"/>
  <c r="O130" i="72"/>
  <c r="I397" i="72" s="1"/>
  <c r="M134" i="72"/>
  <c r="D417" i="72"/>
  <c r="H382" i="72"/>
  <c r="J382" i="74" s="1"/>
  <c r="H397" i="72"/>
  <c r="J397" i="74" s="1"/>
  <c r="F397" i="72"/>
  <c r="P397" i="74" s="1"/>
  <c r="H392" i="72"/>
  <c r="J392" i="74" s="1"/>
  <c r="F392" i="72"/>
  <c r="P392" i="74" s="1"/>
  <c r="E376" i="72"/>
  <c r="G390" i="72"/>
  <c r="I390" i="72"/>
  <c r="G375" i="72"/>
  <c r="E383" i="72"/>
  <c r="H379" i="72"/>
  <c r="J379" i="74" s="1"/>
  <c r="G386" i="72"/>
  <c r="I386" i="72"/>
  <c r="G382" i="72"/>
  <c r="H380" i="72"/>
  <c r="J380" i="74" s="1"/>
  <c r="E388" i="72"/>
  <c r="F378" i="72"/>
  <c r="P378" i="74" s="1"/>
  <c r="D413" i="72"/>
  <c r="I379" i="72"/>
  <c r="F374" i="72"/>
  <c r="P374" i="74" s="1"/>
  <c r="I380" i="72"/>
  <c r="H376" i="72"/>
  <c r="J376" i="74" s="1"/>
  <c r="G387" i="72"/>
  <c r="I387" i="72"/>
  <c r="E379" i="72"/>
  <c r="J367" i="72"/>
  <c r="O367" i="74"/>
  <c r="J365" i="72"/>
  <c r="O365" i="74"/>
  <c r="G394" i="72"/>
  <c r="F396" i="72"/>
  <c r="P396" i="74" s="1"/>
  <c r="I396" i="72"/>
  <c r="E396" i="72"/>
  <c r="D408" i="72"/>
  <c r="H396" i="72"/>
  <c r="J396" i="74" s="1"/>
  <c r="G396" i="72"/>
  <c r="E377" i="72"/>
  <c r="G376" i="72"/>
  <c r="E378" i="72"/>
  <c r="H375" i="72"/>
  <c r="J375" i="74" s="1"/>
  <c r="I377" i="72"/>
  <c r="E380" i="72"/>
  <c r="G377" i="72"/>
  <c r="F377" i="72"/>
  <c r="P377" i="74" s="1"/>
  <c r="H377" i="72"/>
  <c r="J377" i="74" s="1"/>
  <c r="E381" i="72"/>
  <c r="I374" i="72"/>
  <c r="G374" i="72"/>
  <c r="E385" i="72"/>
  <c r="I376" i="72"/>
  <c r="F375" i="72"/>
  <c r="P375" i="74" s="1"/>
  <c r="E393" i="72"/>
  <c r="E374" i="72"/>
  <c r="O137" i="72"/>
  <c r="M141" i="72"/>
  <c r="D421" i="72"/>
  <c r="O135" i="72"/>
  <c r="M139" i="72"/>
  <c r="D416" i="72"/>
  <c r="J362" i="72"/>
  <c r="O362" i="74"/>
  <c r="H390" i="72"/>
  <c r="J390" i="74" s="1"/>
  <c r="F390" i="72"/>
  <c r="P390" i="74" s="1"/>
  <c r="G383" i="72"/>
  <c r="I383" i="72"/>
  <c r="F381" i="72"/>
  <c r="P381" i="74" s="1"/>
  <c r="H386" i="72"/>
  <c r="J386" i="74" s="1"/>
  <c r="F386" i="72"/>
  <c r="P386" i="74" s="1"/>
  <c r="F385" i="72"/>
  <c r="P385" i="74" s="1"/>
  <c r="G388" i="72"/>
  <c r="I388" i="72"/>
  <c r="H378" i="72"/>
  <c r="J378" i="74" s="1"/>
  <c r="E389" i="72"/>
  <c r="G379" i="72"/>
  <c r="H374" i="72"/>
  <c r="J374" i="74" s="1"/>
  <c r="G380" i="72"/>
  <c r="H387" i="72"/>
  <c r="J387" i="74" s="1"/>
  <c r="F387" i="72"/>
  <c r="P387" i="74" s="1"/>
  <c r="H394" i="72"/>
  <c r="J394" i="74" s="1"/>
  <c r="F394" i="72"/>
  <c r="P394" i="74" s="1"/>
  <c r="E384" i="72"/>
  <c r="J381" i="72" l="1"/>
  <c r="O381" i="74"/>
  <c r="J380" i="72"/>
  <c r="O380" i="74"/>
  <c r="D420" i="72"/>
  <c r="D426" i="72"/>
  <c r="E395" i="72"/>
  <c r="E390" i="72"/>
  <c r="G392" i="72"/>
  <c r="H391" i="72"/>
  <c r="J391" i="74" s="1"/>
  <c r="H406" i="72"/>
  <c r="J406" i="74" s="1"/>
  <c r="J374" i="72"/>
  <c r="O374" i="74"/>
  <c r="J385" i="72"/>
  <c r="O385" i="74"/>
  <c r="J377" i="72"/>
  <c r="O377" i="74"/>
  <c r="J396" i="72"/>
  <c r="O396" i="74"/>
  <c r="J379" i="72"/>
  <c r="O379" i="74"/>
  <c r="J383" i="72"/>
  <c r="O383" i="74"/>
  <c r="J376" i="72"/>
  <c r="O376" i="74"/>
  <c r="D429" i="72"/>
  <c r="O134" i="72"/>
  <c r="I408" i="72" s="1"/>
  <c r="M138" i="72"/>
  <c r="D427" i="72"/>
  <c r="G397" i="72"/>
  <c r="F389" i="72"/>
  <c r="P389" i="74" s="1"/>
  <c r="D424" i="72"/>
  <c r="G395" i="72"/>
  <c r="I395" i="72"/>
  <c r="D430" i="72"/>
  <c r="O136" i="72"/>
  <c r="M140" i="72"/>
  <c r="D423" i="72"/>
  <c r="J393" i="72"/>
  <c r="O393" i="74"/>
  <c r="D425" i="72"/>
  <c r="E391" i="72"/>
  <c r="G389" i="72"/>
  <c r="E397" i="72"/>
  <c r="I393" i="72"/>
  <c r="I391" i="72"/>
  <c r="I389" i="72"/>
  <c r="H388" i="72"/>
  <c r="J388" i="74" s="1"/>
  <c r="E392" i="72"/>
  <c r="G393" i="72"/>
  <c r="F388" i="72"/>
  <c r="P388" i="74" s="1"/>
  <c r="G391" i="72"/>
  <c r="F393" i="72"/>
  <c r="P393" i="74" s="1"/>
  <c r="D422" i="72"/>
  <c r="E394" i="72"/>
  <c r="H389" i="72"/>
  <c r="J389" i="74" s="1"/>
  <c r="H395" i="72"/>
  <c r="J395" i="74" s="1"/>
  <c r="F395" i="72"/>
  <c r="P395" i="74" s="1"/>
  <c r="J384" i="72"/>
  <c r="O384" i="74"/>
  <c r="J389" i="72"/>
  <c r="O389" i="74"/>
  <c r="D428" i="72"/>
  <c r="O139" i="72"/>
  <c r="M143" i="72"/>
  <c r="D433" i="72"/>
  <c r="O141" i="72"/>
  <c r="M145" i="72"/>
  <c r="J378" i="72"/>
  <c r="O378" i="74"/>
  <c r="J388" i="72"/>
  <c r="O388" i="74"/>
  <c r="G403" i="72"/>
  <c r="F391" i="72"/>
  <c r="P391" i="74" s="1"/>
  <c r="H402" i="72"/>
  <c r="J402" i="74" s="1"/>
  <c r="E387" i="72"/>
  <c r="J382" i="72"/>
  <c r="O382" i="74"/>
  <c r="E386" i="72"/>
  <c r="F407" i="72"/>
  <c r="P407" i="74" s="1"/>
  <c r="D419" i="72"/>
  <c r="H407" i="72"/>
  <c r="J407" i="74" s="1"/>
  <c r="I392" i="72"/>
  <c r="H393" i="72"/>
  <c r="J393" i="74" s="1"/>
  <c r="G406" i="72"/>
  <c r="I394" i="72"/>
  <c r="I405" i="72" l="1"/>
  <c r="I402" i="72"/>
  <c r="D434" i="72"/>
  <c r="J391" i="72"/>
  <c r="O391" i="74"/>
  <c r="E402" i="72"/>
  <c r="F399" i="72"/>
  <c r="P399" i="74" s="1"/>
  <c r="F400" i="72"/>
  <c r="P400" i="74" s="1"/>
  <c r="D438" i="72"/>
  <c r="I398" i="72"/>
  <c r="F405" i="72"/>
  <c r="P405" i="74" s="1"/>
  <c r="E408" i="72"/>
  <c r="J394" i="72"/>
  <c r="O394" i="74"/>
  <c r="D437" i="72"/>
  <c r="D435" i="72"/>
  <c r="O140" i="72"/>
  <c r="M144" i="72"/>
  <c r="D442" i="72"/>
  <c r="D436" i="72"/>
  <c r="J386" i="72"/>
  <c r="O386" i="74"/>
  <c r="G399" i="72"/>
  <c r="E400" i="72"/>
  <c r="G402" i="72"/>
  <c r="E403" i="72"/>
  <c r="J392" i="72"/>
  <c r="O392" i="74"/>
  <c r="F398" i="72"/>
  <c r="P398" i="74" s="1"/>
  <c r="H399" i="72"/>
  <c r="J399" i="74" s="1"/>
  <c r="H400" i="72"/>
  <c r="J400" i="74" s="1"/>
  <c r="G398" i="72"/>
  <c r="G408" i="72"/>
  <c r="G405" i="72"/>
  <c r="E401" i="72"/>
  <c r="E405" i="72"/>
  <c r="F409" i="72"/>
  <c r="P409" i="74" s="1"/>
  <c r="H409" i="72"/>
  <c r="J409" i="74" s="1"/>
  <c r="F404" i="72"/>
  <c r="P404" i="74" s="1"/>
  <c r="H404" i="72"/>
  <c r="J404" i="74" s="1"/>
  <c r="F401" i="72"/>
  <c r="P401" i="74" s="1"/>
  <c r="H401" i="72"/>
  <c r="J401" i="74" s="1"/>
  <c r="I409" i="72"/>
  <c r="G409" i="72"/>
  <c r="I404" i="72"/>
  <c r="G404" i="72"/>
  <c r="H405" i="72"/>
  <c r="J405" i="74" s="1"/>
  <c r="I401" i="72"/>
  <c r="G401" i="72"/>
  <c r="E409" i="72"/>
  <c r="E404" i="72"/>
  <c r="J395" i="72"/>
  <c r="O395" i="74"/>
  <c r="H403" i="72"/>
  <c r="J403" i="74" s="1"/>
  <c r="D432" i="72"/>
  <c r="I399" i="72"/>
  <c r="D431" i="72"/>
  <c r="E398" i="72"/>
  <c r="E407" i="72"/>
  <c r="I400" i="72"/>
  <c r="J387" i="72"/>
  <c r="O387" i="74"/>
  <c r="O145" i="72"/>
  <c r="M149" i="72"/>
  <c r="D445" i="72"/>
  <c r="O143" i="72"/>
  <c r="M147" i="72"/>
  <c r="D440" i="72"/>
  <c r="E399" i="72"/>
  <c r="I406" i="72"/>
  <c r="G407" i="72"/>
  <c r="I407" i="72"/>
  <c r="G400" i="72"/>
  <c r="F402" i="72"/>
  <c r="P402" i="74" s="1"/>
  <c r="I403" i="72"/>
  <c r="E406" i="72"/>
  <c r="J397" i="72"/>
  <c r="O397" i="74"/>
  <c r="H398" i="72"/>
  <c r="J398" i="74" s="1"/>
  <c r="D439" i="72"/>
  <c r="O138" i="72"/>
  <c r="E412" i="72" s="1"/>
  <c r="M142" i="72"/>
  <c r="D441" i="72"/>
  <c r="F406" i="72"/>
  <c r="P406" i="74" s="1"/>
  <c r="J390" i="72"/>
  <c r="O390" i="74"/>
  <c r="I414" i="72"/>
  <c r="F403" i="72"/>
  <c r="P403" i="74" s="1"/>
  <c r="H408" i="72"/>
  <c r="J408" i="74" s="1"/>
  <c r="F408" i="72"/>
  <c r="P408" i="74" s="1"/>
  <c r="J412" i="72" l="1"/>
  <c r="O412" i="74"/>
  <c r="J398" i="72"/>
  <c r="O398" i="74"/>
  <c r="G420" i="72"/>
  <c r="I418" i="72"/>
  <c r="D448" i="72"/>
  <c r="D449" i="72"/>
  <c r="G415" i="72"/>
  <c r="E411" i="72"/>
  <c r="G422" i="72"/>
  <c r="G414" i="72"/>
  <c r="I429" i="72"/>
  <c r="H412" i="72"/>
  <c r="J412" i="74" s="1"/>
  <c r="H411" i="72"/>
  <c r="J411" i="74" s="1"/>
  <c r="E416" i="72"/>
  <c r="J399" i="72"/>
  <c r="O399" i="74"/>
  <c r="E428" i="72"/>
  <c r="J407" i="72"/>
  <c r="O407" i="74"/>
  <c r="G419" i="72"/>
  <c r="I419" i="72"/>
  <c r="H420" i="72"/>
  <c r="J420" i="74" s="1"/>
  <c r="F420" i="72"/>
  <c r="P420" i="74" s="1"/>
  <c r="J405" i="72"/>
  <c r="O405" i="74"/>
  <c r="F417" i="72"/>
  <c r="P417" i="74" s="1"/>
  <c r="G418" i="72"/>
  <c r="G413" i="72"/>
  <c r="E410" i="72"/>
  <c r="H416" i="72"/>
  <c r="J416" i="74" s="1"/>
  <c r="H414" i="72"/>
  <c r="J414" i="74" s="1"/>
  <c r="E424" i="72"/>
  <c r="F423" i="72"/>
  <c r="P423" i="74" s="1"/>
  <c r="I417" i="72"/>
  <c r="J402" i="72"/>
  <c r="O402" i="74"/>
  <c r="E413" i="72"/>
  <c r="H422" i="72"/>
  <c r="J422" i="74" s="1"/>
  <c r="D452" i="72"/>
  <c r="O147" i="72"/>
  <c r="M151" i="72"/>
  <c r="D457" i="72"/>
  <c r="O149" i="72"/>
  <c r="M153" i="72"/>
  <c r="E419" i="72"/>
  <c r="I420" i="72"/>
  <c r="H415" i="72"/>
  <c r="J415" i="74" s="1"/>
  <c r="J403" i="72"/>
  <c r="O403" i="74"/>
  <c r="F429" i="72"/>
  <c r="P429" i="74" s="1"/>
  <c r="F418" i="72"/>
  <c r="P418" i="74" s="1"/>
  <c r="F413" i="72"/>
  <c r="P413" i="74" s="1"/>
  <c r="I410" i="72"/>
  <c r="E421" i="72"/>
  <c r="I428" i="72"/>
  <c r="F416" i="72"/>
  <c r="P416" i="74" s="1"/>
  <c r="H419" i="72"/>
  <c r="J419" i="74" s="1"/>
  <c r="F419" i="72"/>
  <c r="P419" i="74" s="1"/>
  <c r="E432" i="72"/>
  <c r="D444" i="72"/>
  <c r="J404" i="72"/>
  <c r="O404" i="74"/>
  <c r="J401" i="72"/>
  <c r="O401" i="74"/>
  <c r="E414" i="72"/>
  <c r="H417" i="72"/>
  <c r="J417" i="74" s="1"/>
  <c r="I412" i="72"/>
  <c r="I411" i="72"/>
  <c r="H421" i="72"/>
  <c r="J421" i="74" s="1"/>
  <c r="D454" i="72"/>
  <c r="O144" i="72"/>
  <c r="M148" i="72"/>
  <c r="D447" i="72"/>
  <c r="J408" i="72"/>
  <c r="O408" i="74"/>
  <c r="G417" i="72"/>
  <c r="D446" i="72"/>
  <c r="E415" i="72"/>
  <c r="I416" i="72"/>
  <c r="I421" i="72"/>
  <c r="E417" i="72"/>
  <c r="F410" i="72"/>
  <c r="P410" i="74" s="1"/>
  <c r="G416" i="72"/>
  <c r="H410" i="72"/>
  <c r="J410" i="74" s="1"/>
  <c r="G421" i="72"/>
  <c r="F412" i="72"/>
  <c r="P412" i="74" s="1"/>
  <c r="F411" i="72"/>
  <c r="P411" i="74" s="1"/>
  <c r="J406" i="72"/>
  <c r="O406" i="74"/>
  <c r="I413" i="72"/>
  <c r="G423" i="72"/>
  <c r="D453" i="72"/>
  <c r="O142" i="72"/>
  <c r="M146" i="72"/>
  <c r="D451" i="72"/>
  <c r="H418" i="72"/>
  <c r="J418" i="74" s="1"/>
  <c r="H413" i="72"/>
  <c r="J413" i="74" s="1"/>
  <c r="G410" i="72"/>
  <c r="F428" i="72"/>
  <c r="P428" i="74" s="1"/>
  <c r="H433" i="72"/>
  <c r="J433" i="74" s="1"/>
  <c r="F421" i="72"/>
  <c r="P421" i="74" s="1"/>
  <c r="F431" i="72"/>
  <c r="P431" i="74" s="1"/>
  <c r="I431" i="72"/>
  <c r="D443" i="72"/>
  <c r="H431" i="72"/>
  <c r="J431" i="74" s="1"/>
  <c r="G431" i="72"/>
  <c r="E420" i="72"/>
  <c r="F414" i="72"/>
  <c r="P414" i="74" s="1"/>
  <c r="J409" i="72"/>
  <c r="O409" i="74"/>
  <c r="F415" i="72"/>
  <c r="P415" i="74" s="1"/>
  <c r="G412" i="72"/>
  <c r="G411" i="72"/>
  <c r="J400" i="72"/>
  <c r="O400" i="74"/>
  <c r="F424" i="72"/>
  <c r="P424" i="74" s="1"/>
  <c r="E430" i="72"/>
  <c r="F425" i="72"/>
  <c r="P425" i="74" s="1"/>
  <c r="D450" i="72"/>
  <c r="I415" i="72"/>
  <c r="E418" i="72"/>
  <c r="E422" i="72"/>
  <c r="D463" i="72" l="1"/>
  <c r="O146" i="72"/>
  <c r="M150" i="72"/>
  <c r="D465" i="72"/>
  <c r="J432" i="72"/>
  <c r="O432" i="74"/>
  <c r="G432" i="72"/>
  <c r="I432" i="72"/>
  <c r="G428" i="72"/>
  <c r="J413" i="72"/>
  <c r="O413" i="74"/>
  <c r="H423" i="72"/>
  <c r="J423" i="74" s="1"/>
  <c r="G429" i="72"/>
  <c r="J411" i="72"/>
  <c r="O411" i="74"/>
  <c r="J422" i="72"/>
  <c r="O422" i="74"/>
  <c r="J428" i="72"/>
  <c r="O428" i="74"/>
  <c r="E429" i="72"/>
  <c r="E427" i="72"/>
  <c r="G430" i="72"/>
  <c r="D458" i="72"/>
  <c r="H429" i="72"/>
  <c r="J429" i="74" s="1"/>
  <c r="I426" i="72"/>
  <c r="H425" i="72"/>
  <c r="J425" i="74" s="1"/>
  <c r="H428" i="72"/>
  <c r="J428" i="74" s="1"/>
  <c r="J415" i="72"/>
  <c r="O415" i="74"/>
  <c r="F426" i="72"/>
  <c r="P426" i="74" s="1"/>
  <c r="I425" i="72"/>
  <c r="D459" i="72"/>
  <c r="O148" i="72"/>
  <c r="M152" i="72"/>
  <c r="D466" i="72"/>
  <c r="I424" i="72"/>
  <c r="H432" i="72"/>
  <c r="J432" i="74" s="1"/>
  <c r="F432" i="72"/>
  <c r="P432" i="74" s="1"/>
  <c r="I433" i="72"/>
  <c r="J421" i="72"/>
  <c r="O421" i="74"/>
  <c r="F427" i="72"/>
  <c r="P427" i="74" s="1"/>
  <c r="J419" i="72"/>
  <c r="O419" i="74"/>
  <c r="F440" i="72"/>
  <c r="P440" i="74" s="1"/>
  <c r="G426" i="72"/>
  <c r="F430" i="72"/>
  <c r="P430" i="74" s="1"/>
  <c r="I427" i="72"/>
  <c r="D461" i="72"/>
  <c r="I423" i="72"/>
  <c r="D460" i="72"/>
  <c r="J430" i="72"/>
  <c r="O430" i="74"/>
  <c r="J414" i="72"/>
  <c r="O414" i="74"/>
  <c r="J424" i="72"/>
  <c r="O424" i="74"/>
  <c r="J418" i="72"/>
  <c r="O418" i="74"/>
  <c r="D462" i="72"/>
  <c r="G445" i="72"/>
  <c r="H424" i="72"/>
  <c r="J424" i="74" s="1"/>
  <c r="I443" i="72"/>
  <c r="D455" i="72"/>
  <c r="G443" i="72"/>
  <c r="E423" i="72"/>
  <c r="J420" i="72"/>
  <c r="O420" i="74"/>
  <c r="E431" i="72"/>
  <c r="F433" i="72"/>
  <c r="P433" i="74" s="1"/>
  <c r="H439" i="72"/>
  <c r="J439" i="74" s="1"/>
  <c r="J417" i="72"/>
  <c r="O417" i="74"/>
  <c r="H426" i="72"/>
  <c r="J426" i="74" s="1"/>
  <c r="G425" i="72"/>
  <c r="G424" i="72"/>
  <c r="D456" i="72"/>
  <c r="G433" i="72"/>
  <c r="H427" i="72"/>
  <c r="J427" i="74" s="1"/>
  <c r="O153" i="72"/>
  <c r="M157" i="72"/>
  <c r="D469" i="72"/>
  <c r="O151" i="72"/>
  <c r="M155" i="72"/>
  <c r="D464" i="72"/>
  <c r="F422" i="72"/>
  <c r="P422" i="74" s="1"/>
  <c r="E425" i="72"/>
  <c r="H430" i="72"/>
  <c r="J430" i="74" s="1"/>
  <c r="J410" i="72"/>
  <c r="O410" i="74"/>
  <c r="E433" i="72"/>
  <c r="J416" i="72"/>
  <c r="O416" i="74"/>
  <c r="G427" i="72"/>
  <c r="I422" i="72"/>
  <c r="E426" i="72"/>
  <c r="E437" i="72"/>
  <c r="I430" i="72"/>
  <c r="D474" i="72" l="1"/>
  <c r="I441" i="72"/>
  <c r="E451" i="72"/>
  <c r="F457" i="72"/>
  <c r="P457" i="74" s="1"/>
  <c r="E444" i="72"/>
  <c r="E442" i="72"/>
  <c r="I434" i="72"/>
  <c r="F441" i="72"/>
  <c r="P441" i="74" s="1"/>
  <c r="J423" i="72"/>
  <c r="O423" i="74"/>
  <c r="H443" i="72"/>
  <c r="J443" i="74" s="1"/>
  <c r="F443" i="72"/>
  <c r="P443" i="74" s="1"/>
  <c r="H442" i="72"/>
  <c r="J442" i="74" s="1"/>
  <c r="F448" i="72"/>
  <c r="P448" i="74" s="1"/>
  <c r="D473" i="72"/>
  <c r="H440" i="72"/>
  <c r="J440" i="74" s="1"/>
  <c r="G454" i="72"/>
  <c r="E434" i="72"/>
  <c r="G441" i="72"/>
  <c r="H436" i="72"/>
  <c r="J436" i="74" s="1"/>
  <c r="J437" i="72"/>
  <c r="O437" i="74"/>
  <c r="I445" i="72"/>
  <c r="J429" i="72"/>
  <c r="O429" i="74"/>
  <c r="I442" i="72"/>
  <c r="G442" i="72"/>
  <c r="G435" i="72"/>
  <c r="H434" i="72"/>
  <c r="J434" i="74" s="1"/>
  <c r="H438" i="72"/>
  <c r="J438" i="74" s="1"/>
  <c r="E439" i="72"/>
  <c r="I436" i="72"/>
  <c r="I437" i="72"/>
  <c r="E445" i="72"/>
  <c r="I435" i="72"/>
  <c r="F438" i="72"/>
  <c r="P438" i="74" s="1"/>
  <c r="E441" i="72"/>
  <c r="G436" i="72"/>
  <c r="G437" i="72"/>
  <c r="E440" i="72"/>
  <c r="F434" i="72"/>
  <c r="P434" i="74" s="1"/>
  <c r="J426" i="72"/>
  <c r="O426" i="74"/>
  <c r="E436" i="72"/>
  <c r="J433" i="72"/>
  <c r="O433" i="74"/>
  <c r="J425" i="72"/>
  <c r="O425" i="74"/>
  <c r="D476" i="72"/>
  <c r="O155" i="72"/>
  <c r="M159" i="72"/>
  <c r="D481" i="72"/>
  <c r="O157" i="72"/>
  <c r="M161" i="72"/>
  <c r="G444" i="72"/>
  <c r="I444" i="72"/>
  <c r="E435" i="72"/>
  <c r="G434" i="72"/>
  <c r="H441" i="72"/>
  <c r="J441" i="74" s="1"/>
  <c r="J431" i="72"/>
  <c r="O431" i="74"/>
  <c r="I438" i="72"/>
  <c r="D467" i="72"/>
  <c r="I450" i="72"/>
  <c r="D472" i="72"/>
  <c r="F445" i="72"/>
  <c r="P445" i="74" s="1"/>
  <c r="F447" i="72"/>
  <c r="P447" i="74" s="1"/>
  <c r="I439" i="72"/>
  <c r="F442" i="72"/>
  <c r="P442" i="74" s="1"/>
  <c r="D470" i="72"/>
  <c r="F437" i="72"/>
  <c r="P437" i="74" s="1"/>
  <c r="G440" i="72"/>
  <c r="H435" i="72"/>
  <c r="J435" i="74" s="1"/>
  <c r="H453" i="72"/>
  <c r="J453" i="74" s="1"/>
  <c r="F456" i="72"/>
  <c r="P456" i="74" s="1"/>
  <c r="D468" i="72"/>
  <c r="H456" i="72"/>
  <c r="J456" i="74" s="1"/>
  <c r="H444" i="72"/>
  <c r="J444" i="74" s="1"/>
  <c r="F444" i="72"/>
  <c r="P444" i="74" s="1"/>
  <c r="F439" i="72"/>
  <c r="P439" i="74" s="1"/>
  <c r="G438" i="72"/>
  <c r="E443" i="72"/>
  <c r="E438" i="72"/>
  <c r="E448" i="72"/>
  <c r="H445" i="72"/>
  <c r="J445" i="74" s="1"/>
  <c r="D478" i="72"/>
  <c r="O152" i="72"/>
  <c r="M156" i="72"/>
  <c r="D471" i="72"/>
  <c r="G439" i="72"/>
  <c r="I440" i="72"/>
  <c r="F435" i="72"/>
  <c r="P435" i="74" s="1"/>
  <c r="E446" i="72"/>
  <c r="J427" i="72"/>
  <c r="O427" i="74"/>
  <c r="H437" i="72"/>
  <c r="J437" i="74" s="1"/>
  <c r="D477" i="72"/>
  <c r="O150" i="72"/>
  <c r="M154" i="72"/>
  <c r="D475" i="72"/>
  <c r="F436" i="72"/>
  <c r="P436" i="74" s="1"/>
  <c r="D487" i="72" l="1"/>
  <c r="O154" i="72"/>
  <c r="M158" i="72"/>
  <c r="D489" i="72"/>
  <c r="J448" i="72"/>
  <c r="O448" i="74"/>
  <c r="D484" i="72"/>
  <c r="O161" i="72"/>
  <c r="M165" i="72"/>
  <c r="D493" i="72"/>
  <c r="O159" i="72"/>
  <c r="M163" i="72"/>
  <c r="D488" i="72"/>
  <c r="J436" i="72"/>
  <c r="O436" i="74"/>
  <c r="D485" i="72"/>
  <c r="J451" i="72"/>
  <c r="O451" i="74"/>
  <c r="F450" i="72"/>
  <c r="P450" i="74" s="1"/>
  <c r="E457" i="72"/>
  <c r="D480" i="72"/>
  <c r="F451" i="72"/>
  <c r="P451" i="74" s="1"/>
  <c r="H458" i="72"/>
  <c r="J458" i="74" s="1"/>
  <c r="F458" i="72"/>
  <c r="P458" i="74" s="1"/>
  <c r="H447" i="72"/>
  <c r="J447" i="74" s="1"/>
  <c r="E449" i="72"/>
  <c r="E460" i="72"/>
  <c r="G450" i="72"/>
  <c r="E455" i="72"/>
  <c r="J435" i="72"/>
  <c r="O435" i="74"/>
  <c r="J439" i="72"/>
  <c r="O439" i="74"/>
  <c r="G451" i="72"/>
  <c r="F446" i="72"/>
  <c r="P446" i="74" s="1"/>
  <c r="I447" i="72"/>
  <c r="E461" i="72"/>
  <c r="H448" i="72"/>
  <c r="J448" i="74" s="1"/>
  <c r="H457" i="72"/>
  <c r="J457" i="74" s="1"/>
  <c r="G446" i="72"/>
  <c r="H462" i="72"/>
  <c r="J462" i="74" s="1"/>
  <c r="J440" i="72"/>
  <c r="O440" i="74"/>
  <c r="I448" i="72"/>
  <c r="F449" i="72"/>
  <c r="P449" i="74" s="1"/>
  <c r="H449" i="72"/>
  <c r="J449" i="74" s="1"/>
  <c r="G448" i="72"/>
  <c r="I457" i="72"/>
  <c r="I452" i="72"/>
  <c r="E454" i="72"/>
  <c r="G457" i="72"/>
  <c r="G452" i="72"/>
  <c r="E465" i="72"/>
  <c r="D483" i="72"/>
  <c r="O156" i="72"/>
  <c r="I468" i="72" s="1"/>
  <c r="M160" i="72"/>
  <c r="D490" i="72"/>
  <c r="G463" i="72"/>
  <c r="I463" i="72"/>
  <c r="G465" i="72"/>
  <c r="I465" i="72"/>
  <c r="E459" i="72"/>
  <c r="E466" i="72"/>
  <c r="I449" i="72"/>
  <c r="H450" i="72"/>
  <c r="J450" i="74" s="1"/>
  <c r="E452" i="72"/>
  <c r="E456" i="72"/>
  <c r="H451" i="72"/>
  <c r="J451" i="74" s="1"/>
  <c r="D482" i="72"/>
  <c r="F454" i="72"/>
  <c r="P454" i="74" s="1"/>
  <c r="G460" i="72"/>
  <c r="I460" i="72"/>
  <c r="G455" i="72"/>
  <c r="I455" i="72"/>
  <c r="G469" i="72"/>
  <c r="I469" i="72"/>
  <c r="G464" i="72"/>
  <c r="I464" i="72"/>
  <c r="J445" i="72"/>
  <c r="O445" i="74"/>
  <c r="I453" i="72"/>
  <c r="H446" i="72"/>
  <c r="J446" i="74" s="1"/>
  <c r="G447" i="72"/>
  <c r="G461" i="72"/>
  <c r="I461" i="72"/>
  <c r="E450" i="72"/>
  <c r="J442" i="72"/>
  <c r="O442" i="74"/>
  <c r="F452" i="72"/>
  <c r="P452" i="74" s="1"/>
  <c r="D486" i="72"/>
  <c r="I446" i="72"/>
  <c r="J443" i="72"/>
  <c r="O443" i="74"/>
  <c r="F467" i="72"/>
  <c r="P467" i="74" s="1"/>
  <c r="I467" i="72"/>
  <c r="E467" i="72"/>
  <c r="D479" i="72"/>
  <c r="H467" i="72"/>
  <c r="J467" i="74" s="1"/>
  <c r="G467" i="72"/>
  <c r="J434" i="72"/>
  <c r="O434" i="74"/>
  <c r="J446" i="72"/>
  <c r="O446" i="74"/>
  <c r="G466" i="72"/>
  <c r="I466" i="72"/>
  <c r="G449" i="72"/>
  <c r="J438" i="72"/>
  <c r="O438" i="74"/>
  <c r="G456" i="72"/>
  <c r="I456" i="72"/>
  <c r="F453" i="72"/>
  <c r="P453" i="74" s="1"/>
  <c r="E458" i="72"/>
  <c r="H454" i="72"/>
  <c r="J454" i="74" s="1"/>
  <c r="H460" i="72"/>
  <c r="J460" i="74" s="1"/>
  <c r="F460" i="72"/>
  <c r="P460" i="74" s="1"/>
  <c r="H455" i="72"/>
  <c r="J455" i="74" s="1"/>
  <c r="F455" i="72"/>
  <c r="P455" i="74" s="1"/>
  <c r="H469" i="72"/>
  <c r="J469" i="74" s="1"/>
  <c r="F469" i="72"/>
  <c r="P469" i="74" s="1"/>
  <c r="H464" i="72"/>
  <c r="J464" i="74" s="1"/>
  <c r="F464" i="72"/>
  <c r="P464" i="74" s="1"/>
  <c r="J441" i="72"/>
  <c r="O441" i="74"/>
  <c r="E453" i="72"/>
  <c r="G453" i="72"/>
  <c r="I454" i="72"/>
  <c r="H461" i="72"/>
  <c r="J461" i="74" s="1"/>
  <c r="F461" i="72"/>
  <c r="P461" i="74" s="1"/>
  <c r="J444" i="72"/>
  <c r="O444" i="74"/>
  <c r="H452" i="72"/>
  <c r="J452" i="74" s="1"/>
  <c r="E447" i="72"/>
  <c r="E462" i="72"/>
  <c r="I451" i="72"/>
  <c r="D494" i="72" l="1"/>
  <c r="J454" i="72"/>
  <c r="O454" i="74"/>
  <c r="E469" i="72"/>
  <c r="H468" i="72"/>
  <c r="J468" i="74" s="1"/>
  <c r="F468" i="72"/>
  <c r="P468" i="74" s="1"/>
  <c r="E473" i="72"/>
  <c r="E477" i="72"/>
  <c r="I459" i="72"/>
  <c r="G459" i="72"/>
  <c r="F465" i="72"/>
  <c r="P465" i="74" s="1"/>
  <c r="H465" i="72"/>
  <c r="J465" i="74" s="1"/>
  <c r="F463" i="72"/>
  <c r="P463" i="74" s="1"/>
  <c r="H463" i="72"/>
  <c r="J463" i="74" s="1"/>
  <c r="I458" i="72"/>
  <c r="G458" i="72"/>
  <c r="F466" i="72"/>
  <c r="P466" i="74" s="1"/>
  <c r="F459" i="72"/>
  <c r="P459" i="74" s="1"/>
  <c r="E463" i="72"/>
  <c r="I462" i="72"/>
  <c r="G462" i="72"/>
  <c r="H466" i="72"/>
  <c r="J466" i="74" s="1"/>
  <c r="H459" i="72"/>
  <c r="J459" i="74" s="1"/>
  <c r="E475" i="72"/>
  <c r="J462" i="72"/>
  <c r="O462" i="74"/>
  <c r="I479" i="72"/>
  <c r="D491" i="72"/>
  <c r="G479" i="72"/>
  <c r="J450" i="72"/>
  <c r="O450" i="74"/>
  <c r="J456" i="72"/>
  <c r="O456" i="74"/>
  <c r="J466" i="72"/>
  <c r="O466" i="74"/>
  <c r="D502" i="72"/>
  <c r="O160" i="72"/>
  <c r="M164" i="72"/>
  <c r="D495" i="72"/>
  <c r="J465" i="72"/>
  <c r="O465" i="74"/>
  <c r="J461" i="72"/>
  <c r="O461" i="74"/>
  <c r="J460" i="72"/>
  <c r="O460" i="74"/>
  <c r="I480" i="72"/>
  <c r="D492" i="72"/>
  <c r="G480" i="72"/>
  <c r="J457" i="72"/>
  <c r="O457" i="74"/>
  <c r="I473" i="72"/>
  <c r="I481" i="72"/>
  <c r="I477" i="72"/>
  <c r="I475" i="72"/>
  <c r="J447" i="72"/>
  <c r="O447" i="74"/>
  <c r="J453" i="72"/>
  <c r="O453" i="74"/>
  <c r="J458" i="72"/>
  <c r="O458" i="74"/>
  <c r="J467" i="72"/>
  <c r="O467" i="74"/>
  <c r="D498" i="72"/>
  <c r="J452" i="72"/>
  <c r="O452" i="74"/>
  <c r="J459" i="72"/>
  <c r="O459" i="74"/>
  <c r="J449" i="72"/>
  <c r="O449" i="74"/>
  <c r="E468" i="72"/>
  <c r="F473" i="72"/>
  <c r="P473" i="74" s="1"/>
  <c r="F476" i="72"/>
  <c r="P476" i="74" s="1"/>
  <c r="F481" i="72"/>
  <c r="P481" i="74" s="1"/>
  <c r="F472" i="72"/>
  <c r="P472" i="74" s="1"/>
  <c r="F477" i="72"/>
  <c r="P477" i="74" s="1"/>
  <c r="F475" i="72"/>
  <c r="P475" i="74" s="1"/>
  <c r="E464" i="72"/>
  <c r="J455" i="72"/>
  <c r="O455" i="74"/>
  <c r="G468" i="72"/>
  <c r="D497" i="72"/>
  <c r="D500" i="72"/>
  <c r="O163" i="72"/>
  <c r="M167" i="72"/>
  <c r="O167" i="72" s="1"/>
  <c r="D505" i="72"/>
  <c r="O165" i="72"/>
  <c r="M169" i="72"/>
  <c r="O169" i="72" s="1"/>
  <c r="D496" i="72"/>
  <c r="D501" i="72"/>
  <c r="O158" i="72"/>
  <c r="M162" i="72"/>
  <c r="D499" i="72"/>
  <c r="F462" i="72"/>
  <c r="P462" i="74" s="1"/>
  <c r="J477" i="72" l="1"/>
  <c r="O477" i="74"/>
  <c r="J473" i="72"/>
  <c r="O473" i="74"/>
  <c r="I471" i="72"/>
  <c r="G471" i="72"/>
  <c r="I478" i="72"/>
  <c r="G478" i="72"/>
  <c r="F470" i="72"/>
  <c r="P470" i="74" s="1"/>
  <c r="H470" i="72"/>
  <c r="J470" i="74" s="1"/>
  <c r="E474" i="72"/>
  <c r="E478" i="72"/>
  <c r="I470" i="72"/>
  <c r="G470" i="72"/>
  <c r="E470" i="72"/>
  <c r="F474" i="72"/>
  <c r="P474" i="74" s="1"/>
  <c r="H474" i="72"/>
  <c r="J474" i="74" s="1"/>
  <c r="F471" i="72"/>
  <c r="P471" i="74" s="1"/>
  <c r="H471" i="72"/>
  <c r="J471" i="74" s="1"/>
  <c r="F478" i="72"/>
  <c r="P478" i="74" s="1"/>
  <c r="H478" i="72"/>
  <c r="J478" i="74" s="1"/>
  <c r="I474" i="72"/>
  <c r="G474" i="72"/>
  <c r="H475" i="72"/>
  <c r="J475" i="74" s="1"/>
  <c r="H472" i="72"/>
  <c r="J472" i="74" s="1"/>
  <c r="H476" i="72"/>
  <c r="J476" i="74" s="1"/>
  <c r="G477" i="72"/>
  <c r="G481" i="72"/>
  <c r="G473" i="72"/>
  <c r="H480" i="72"/>
  <c r="J480" i="74" s="1"/>
  <c r="F480" i="72"/>
  <c r="P480" i="74" s="1"/>
  <c r="H490" i="72"/>
  <c r="J490" i="74" s="1"/>
  <c r="H479" i="72"/>
  <c r="J479" i="74" s="1"/>
  <c r="F479" i="72"/>
  <c r="P479" i="74" s="1"/>
  <c r="J463" i="72"/>
  <c r="O463" i="74"/>
  <c r="E472" i="72"/>
  <c r="O162" i="72"/>
  <c r="M166" i="72"/>
  <c r="O166" i="72" s="1"/>
  <c r="F501" i="72"/>
  <c r="P501" i="74" s="1"/>
  <c r="F498" i="72"/>
  <c r="P498" i="74" s="1"/>
  <c r="J475" i="72"/>
  <c r="O475" i="74"/>
  <c r="I476" i="72"/>
  <c r="I492" i="72"/>
  <c r="D504" i="72"/>
  <c r="G492" i="72"/>
  <c r="O164" i="72"/>
  <c r="M168" i="72"/>
  <c r="O168" i="72" s="1"/>
  <c r="E490" i="72"/>
  <c r="D503" i="72"/>
  <c r="E491" i="72"/>
  <c r="E481" i="72"/>
  <c r="G482" i="72"/>
  <c r="E494" i="72"/>
  <c r="H497" i="72"/>
  <c r="J497" i="74" s="1"/>
  <c r="J468" i="72"/>
  <c r="O468" i="74"/>
  <c r="G502" i="72"/>
  <c r="I505" i="72"/>
  <c r="I472" i="72"/>
  <c r="H487" i="72"/>
  <c r="J487" i="74" s="1"/>
  <c r="G499" i="72"/>
  <c r="E484" i="72"/>
  <c r="F485" i="72"/>
  <c r="P485" i="74" s="1"/>
  <c r="J464" i="72"/>
  <c r="O464" i="74"/>
  <c r="H477" i="72"/>
  <c r="J477" i="74" s="1"/>
  <c r="H481" i="72"/>
  <c r="J481" i="74" s="1"/>
  <c r="H473" i="72"/>
  <c r="J473" i="74" s="1"/>
  <c r="E471" i="72"/>
  <c r="G475" i="72"/>
  <c r="G472" i="72"/>
  <c r="G476" i="72"/>
  <c r="E480" i="72"/>
  <c r="I483" i="72"/>
  <c r="E479" i="72"/>
  <c r="E476" i="72"/>
  <c r="J469" i="72"/>
  <c r="O469" i="74"/>
  <c r="E486" i="72" l="1"/>
  <c r="H484" i="72"/>
  <c r="J484" i="74" s="1"/>
  <c r="G489" i="72"/>
  <c r="G490" i="72"/>
  <c r="G483" i="72"/>
  <c r="I488" i="72"/>
  <c r="I493" i="72"/>
  <c r="I484" i="72"/>
  <c r="I485" i="72"/>
  <c r="G485" i="72"/>
  <c r="H488" i="72"/>
  <c r="J488" i="74" s="1"/>
  <c r="I489" i="72"/>
  <c r="F487" i="72"/>
  <c r="P487" i="74" s="1"/>
  <c r="G487" i="72"/>
  <c r="G486" i="72"/>
  <c r="G488" i="72"/>
  <c r="G493" i="72"/>
  <c r="E487" i="72"/>
  <c r="I487" i="72"/>
  <c r="E482" i="72"/>
  <c r="F483" i="72"/>
  <c r="P483" i="74" s="1"/>
  <c r="G484" i="72"/>
  <c r="E495" i="72"/>
  <c r="E489" i="72"/>
  <c r="F496" i="72"/>
  <c r="P496" i="74" s="1"/>
  <c r="J478" i="72"/>
  <c r="O478" i="74"/>
  <c r="F482" i="72"/>
  <c r="P482" i="74" s="1"/>
  <c r="J476" i="72"/>
  <c r="O476" i="74"/>
  <c r="J480" i="72"/>
  <c r="O480" i="74"/>
  <c r="I486" i="72"/>
  <c r="H485" i="72"/>
  <c r="J485" i="74" s="1"/>
  <c r="F489" i="72"/>
  <c r="P489" i="74" s="1"/>
  <c r="F499" i="72"/>
  <c r="P499" i="74" s="1"/>
  <c r="H505" i="72"/>
  <c r="J505" i="74" s="1"/>
  <c r="H502" i="72"/>
  <c r="J502" i="74" s="1"/>
  <c r="F497" i="72"/>
  <c r="P497" i="74" s="1"/>
  <c r="F494" i="72"/>
  <c r="P494" i="74" s="1"/>
  <c r="J481" i="72"/>
  <c r="O481" i="74"/>
  <c r="I491" i="72"/>
  <c r="H504" i="72"/>
  <c r="J504" i="74" s="1"/>
  <c r="G504" i="72"/>
  <c r="F504" i="72"/>
  <c r="P504" i="74" s="1"/>
  <c r="I504" i="72"/>
  <c r="E504" i="72"/>
  <c r="F492" i="72"/>
  <c r="P492" i="74" s="1"/>
  <c r="I498" i="72"/>
  <c r="E498" i="72"/>
  <c r="H501" i="72"/>
  <c r="J501" i="74" s="1"/>
  <c r="I482" i="72"/>
  <c r="G495" i="72"/>
  <c r="I495" i="72"/>
  <c r="H486" i="72"/>
  <c r="J486" i="74" s="1"/>
  <c r="E485" i="72"/>
  <c r="F500" i="72"/>
  <c r="P500" i="74" s="1"/>
  <c r="H493" i="72"/>
  <c r="J493" i="74" s="1"/>
  <c r="E496" i="72"/>
  <c r="J470" i="72"/>
  <c r="O470" i="74"/>
  <c r="J474" i="72"/>
  <c r="O474" i="74"/>
  <c r="J494" i="72"/>
  <c r="O494" i="74"/>
  <c r="J491" i="72"/>
  <c r="O491" i="74"/>
  <c r="E500" i="72"/>
  <c r="H482" i="72"/>
  <c r="J482" i="74" s="1"/>
  <c r="J479" i="72"/>
  <c r="O479" i="74"/>
  <c r="J471" i="72"/>
  <c r="O471" i="74"/>
  <c r="E488" i="72"/>
  <c r="H489" i="72"/>
  <c r="J489" i="74" s="1"/>
  <c r="E499" i="72"/>
  <c r="E505" i="72"/>
  <c r="G505" i="72"/>
  <c r="F502" i="72"/>
  <c r="P502" i="74" s="1"/>
  <c r="I497" i="72"/>
  <c r="G497" i="72"/>
  <c r="I494" i="72"/>
  <c r="G491" i="72"/>
  <c r="F491" i="72"/>
  <c r="P491" i="74" s="1"/>
  <c r="H492" i="72"/>
  <c r="J492" i="74" s="1"/>
  <c r="G498" i="72"/>
  <c r="I501" i="72"/>
  <c r="G501" i="72"/>
  <c r="J472" i="72"/>
  <c r="O472" i="74"/>
  <c r="H495" i="72"/>
  <c r="J495" i="74" s="1"/>
  <c r="H483" i="72"/>
  <c r="J483" i="74" s="1"/>
  <c r="F488" i="72"/>
  <c r="P488" i="74" s="1"/>
  <c r="G500" i="72"/>
  <c r="F484" i="72"/>
  <c r="P484" i="74" s="1"/>
  <c r="G496" i="72"/>
  <c r="J484" i="72"/>
  <c r="O484" i="74"/>
  <c r="J490" i="72"/>
  <c r="O490" i="74"/>
  <c r="F486" i="72"/>
  <c r="P486" i="74" s="1"/>
  <c r="F493" i="72"/>
  <c r="P493" i="74" s="1"/>
  <c r="I490" i="72"/>
  <c r="E493" i="72"/>
  <c r="H499" i="72"/>
  <c r="J499" i="74" s="1"/>
  <c r="I499" i="72"/>
  <c r="F505" i="72"/>
  <c r="P505" i="74" s="1"/>
  <c r="I502" i="72"/>
  <c r="E502" i="72"/>
  <c r="E497" i="72"/>
  <c r="H494" i="72"/>
  <c r="J494" i="74" s="1"/>
  <c r="G494" i="72"/>
  <c r="H491" i="72"/>
  <c r="J491" i="74" s="1"/>
  <c r="I503" i="72"/>
  <c r="E503" i="72"/>
  <c r="H503" i="72"/>
  <c r="J503" i="74" s="1"/>
  <c r="G503" i="72"/>
  <c r="F503" i="72"/>
  <c r="P503" i="74" s="1"/>
  <c r="E483" i="72"/>
  <c r="E492" i="72"/>
  <c r="H498" i="72"/>
  <c r="J498" i="74" s="1"/>
  <c r="E501" i="72"/>
  <c r="F490" i="72"/>
  <c r="P490" i="74" s="1"/>
  <c r="F495" i="72"/>
  <c r="P495" i="74" s="1"/>
  <c r="I500" i="72"/>
  <c r="H500" i="72"/>
  <c r="J500" i="74" s="1"/>
  <c r="I496" i="72"/>
  <c r="H496" i="72"/>
  <c r="J496" i="74" s="1"/>
  <c r="J483" i="72" l="1"/>
  <c r="O483" i="74"/>
  <c r="J503" i="72"/>
  <c r="O503" i="74"/>
  <c r="J496" i="72"/>
  <c r="O496" i="74"/>
  <c r="J504" i="72"/>
  <c r="O504" i="74"/>
  <c r="J489" i="72"/>
  <c r="O489" i="74"/>
  <c r="J482" i="72"/>
  <c r="O482" i="74"/>
  <c r="J501" i="72"/>
  <c r="O501" i="74"/>
  <c r="J497" i="72"/>
  <c r="O497" i="74"/>
  <c r="J488" i="72"/>
  <c r="O488" i="74"/>
  <c r="J498" i="72"/>
  <c r="O498" i="74"/>
  <c r="J495" i="72"/>
  <c r="O495" i="74"/>
  <c r="J505" i="72"/>
  <c r="O505" i="74"/>
  <c r="J487" i="72"/>
  <c r="O487" i="74"/>
  <c r="J502" i="72"/>
  <c r="O502" i="74"/>
  <c r="J492" i="72"/>
  <c r="O492" i="74"/>
  <c r="J493" i="72"/>
  <c r="O493" i="74"/>
  <c r="J499" i="72"/>
  <c r="O499" i="74"/>
  <c r="J500" i="72"/>
  <c r="O500" i="74"/>
  <c r="J485" i="72"/>
  <c r="O485" i="74"/>
  <c r="J486" i="72"/>
  <c r="O486" i="74"/>
  <c r="E494" i="66" l="1"/>
  <c r="E495" i="66"/>
  <c r="E496" i="66"/>
  <c r="E497" i="66"/>
  <c r="E498" i="66"/>
  <c r="E499" i="66"/>
  <c r="E500" i="66"/>
  <c r="E501" i="66"/>
  <c r="E502" i="66"/>
  <c r="E503" i="66"/>
  <c r="E504" i="66"/>
  <c r="E505" i="66"/>
  <c r="E135" i="66"/>
  <c r="E136" i="66"/>
  <c r="E137" i="66"/>
  <c r="E138" i="66"/>
  <c r="E139" i="66"/>
  <c r="E140" i="66"/>
  <c r="E141" i="66"/>
  <c r="E142" i="66"/>
  <c r="E143" i="66"/>
  <c r="E144" i="66"/>
  <c r="E145" i="66"/>
  <c r="E146" i="66"/>
  <c r="E147" i="66"/>
  <c r="E148" i="66"/>
  <c r="E149" i="66"/>
  <c r="E150" i="66"/>
  <c r="E151" i="66"/>
  <c r="E152" i="66"/>
  <c r="E153" i="66"/>
  <c r="E154" i="66"/>
  <c r="E155" i="66"/>
  <c r="E156" i="66"/>
  <c r="E157" i="66"/>
  <c r="E158" i="66"/>
  <c r="E159" i="66"/>
  <c r="E160" i="66"/>
  <c r="E161" i="66"/>
  <c r="E162" i="66"/>
  <c r="E163" i="66"/>
  <c r="E164" i="66"/>
  <c r="E165" i="66"/>
  <c r="E166" i="66"/>
  <c r="E167" i="66"/>
  <c r="E168" i="66"/>
  <c r="E169" i="66"/>
  <c r="E170" i="66"/>
  <c r="E171" i="66"/>
  <c r="E172" i="66"/>
  <c r="E173" i="66"/>
  <c r="E174" i="66"/>
  <c r="E175" i="66"/>
  <c r="E176" i="66"/>
  <c r="E177" i="66"/>
  <c r="E178" i="66"/>
  <c r="E179" i="66"/>
  <c r="E180" i="66"/>
  <c r="E181" i="66"/>
  <c r="E182" i="66"/>
  <c r="E183" i="66"/>
  <c r="E184" i="66"/>
  <c r="E185" i="66"/>
  <c r="E186" i="66"/>
  <c r="E187" i="66"/>
  <c r="E188" i="66"/>
  <c r="E189" i="66"/>
  <c r="E190" i="66"/>
  <c r="E191" i="66"/>
  <c r="E192" i="66"/>
  <c r="E193" i="66"/>
  <c r="E194" i="66"/>
  <c r="E195" i="66"/>
  <c r="E196" i="66"/>
  <c r="E197" i="66"/>
  <c r="E198" i="66"/>
  <c r="E199" i="66"/>
  <c r="E200" i="66"/>
  <c r="E201" i="66"/>
  <c r="E202" i="66"/>
  <c r="E203" i="66"/>
  <c r="E204" i="66"/>
  <c r="E205" i="66"/>
  <c r="E206" i="66"/>
  <c r="E207" i="66"/>
  <c r="E208" i="66"/>
  <c r="E209" i="66"/>
  <c r="E210" i="66"/>
  <c r="E211" i="66"/>
  <c r="E212" i="66"/>
  <c r="E213" i="66"/>
  <c r="E214" i="66"/>
  <c r="E215" i="66"/>
  <c r="E216" i="66"/>
  <c r="E217" i="66"/>
  <c r="E218" i="66"/>
  <c r="E219" i="66"/>
  <c r="E220" i="66"/>
  <c r="E221" i="66"/>
  <c r="E222" i="66"/>
  <c r="E223" i="66"/>
  <c r="E224" i="66"/>
  <c r="E225" i="66"/>
  <c r="E226" i="66"/>
  <c r="E227" i="66"/>
  <c r="E228" i="66"/>
  <c r="E229" i="66"/>
  <c r="E230" i="66"/>
  <c r="E231" i="66"/>
  <c r="E232" i="66"/>
  <c r="E233" i="66"/>
  <c r="E234" i="66"/>
  <c r="E235" i="66"/>
  <c r="E236" i="66"/>
  <c r="E237" i="66"/>
  <c r="E238" i="66"/>
  <c r="E239" i="66"/>
  <c r="E240" i="66"/>
  <c r="E241" i="66"/>
  <c r="E242" i="66"/>
  <c r="E243" i="66"/>
  <c r="E244" i="66"/>
  <c r="E245" i="66"/>
  <c r="E246" i="66"/>
  <c r="E247" i="66"/>
  <c r="E248" i="66"/>
  <c r="E249" i="66"/>
  <c r="E250" i="66"/>
  <c r="E251" i="66"/>
  <c r="E252" i="66"/>
  <c r="E253" i="66"/>
  <c r="E254" i="66"/>
  <c r="E255" i="66"/>
  <c r="E256" i="66"/>
  <c r="E257" i="66"/>
  <c r="E258" i="66"/>
  <c r="E259" i="66"/>
  <c r="E260" i="66"/>
  <c r="E261" i="66"/>
  <c r="E262" i="66"/>
  <c r="E263" i="66"/>
  <c r="E264" i="66"/>
  <c r="E265" i="66"/>
  <c r="E266" i="66"/>
  <c r="E267" i="66"/>
  <c r="E268" i="66"/>
  <c r="E269" i="66"/>
  <c r="E270" i="66"/>
  <c r="E271" i="66"/>
  <c r="E272" i="66"/>
  <c r="E273" i="66"/>
  <c r="E274" i="66"/>
  <c r="E275" i="66"/>
  <c r="E276" i="66"/>
  <c r="E277" i="66"/>
  <c r="E278" i="66"/>
  <c r="E279" i="66"/>
  <c r="E280" i="66"/>
  <c r="E281" i="66"/>
  <c r="E282" i="66"/>
  <c r="E283" i="66"/>
  <c r="E284" i="66"/>
  <c r="E285" i="66"/>
  <c r="E286" i="66"/>
  <c r="E287" i="66"/>
  <c r="E288" i="66"/>
  <c r="E289" i="66"/>
  <c r="E290" i="66"/>
  <c r="E291" i="66"/>
  <c r="E292" i="66"/>
  <c r="E293" i="66"/>
  <c r="E294" i="66"/>
  <c r="E295" i="66"/>
  <c r="E296" i="66"/>
  <c r="E297" i="66"/>
  <c r="E298" i="66"/>
  <c r="E299" i="66"/>
  <c r="E300" i="66"/>
  <c r="E301" i="66"/>
  <c r="E302" i="66"/>
  <c r="E303" i="66"/>
  <c r="E304" i="66"/>
  <c r="E305" i="66"/>
  <c r="E306" i="66"/>
  <c r="E307" i="66"/>
  <c r="E308" i="66"/>
  <c r="E309" i="66"/>
  <c r="E310" i="66"/>
  <c r="E311" i="66"/>
  <c r="E312" i="66"/>
  <c r="E313" i="66"/>
  <c r="E314" i="66"/>
  <c r="E315" i="66"/>
  <c r="E316" i="66"/>
  <c r="E317" i="66"/>
  <c r="E318" i="66"/>
  <c r="E319" i="66"/>
  <c r="E320" i="66"/>
  <c r="E321" i="66"/>
  <c r="E322" i="66"/>
  <c r="E323" i="66"/>
  <c r="E324" i="66"/>
  <c r="E325" i="66"/>
  <c r="E326" i="66"/>
  <c r="E327" i="66"/>
  <c r="E328" i="66"/>
  <c r="E329" i="66"/>
  <c r="E330" i="66"/>
  <c r="E331" i="66"/>
  <c r="E332" i="66"/>
  <c r="E333" i="66"/>
  <c r="E334" i="66"/>
  <c r="E335" i="66"/>
  <c r="E336" i="66"/>
  <c r="E337" i="66"/>
  <c r="E338" i="66"/>
  <c r="E339" i="66"/>
  <c r="E340" i="66"/>
  <c r="E341" i="66"/>
  <c r="E342" i="66"/>
  <c r="E343" i="66"/>
  <c r="E344" i="66"/>
  <c r="E345" i="66"/>
  <c r="E346" i="66"/>
  <c r="E347" i="66"/>
  <c r="E348" i="66"/>
  <c r="E349" i="66"/>
  <c r="E350" i="66"/>
  <c r="E351" i="66"/>
  <c r="E352" i="66"/>
  <c r="E353" i="66"/>
  <c r="E354" i="66"/>
  <c r="E355" i="66"/>
  <c r="E356" i="66"/>
  <c r="E357" i="66"/>
  <c r="E358" i="66"/>
  <c r="E359" i="66"/>
  <c r="E360" i="66"/>
  <c r="E361" i="66"/>
  <c r="E362" i="66"/>
  <c r="E363" i="66"/>
  <c r="E364" i="66"/>
  <c r="E365" i="66"/>
  <c r="E366" i="66"/>
  <c r="E367" i="66"/>
  <c r="E368" i="66"/>
  <c r="E369" i="66"/>
  <c r="E370" i="66"/>
  <c r="E371" i="66"/>
  <c r="E372" i="66"/>
  <c r="E373" i="66"/>
  <c r="E374" i="66"/>
  <c r="E375" i="66"/>
  <c r="E376" i="66"/>
  <c r="E377" i="66"/>
  <c r="E378" i="66"/>
  <c r="E379" i="66"/>
  <c r="E380" i="66"/>
  <c r="E381" i="66"/>
  <c r="E382" i="66"/>
  <c r="E383" i="66"/>
  <c r="E384" i="66"/>
  <c r="E385" i="66"/>
  <c r="E386" i="66"/>
  <c r="E387" i="66"/>
  <c r="E388" i="66"/>
  <c r="E389" i="66"/>
  <c r="E390" i="66"/>
  <c r="E391" i="66"/>
  <c r="E392" i="66"/>
  <c r="E393" i="66"/>
  <c r="E394" i="66"/>
  <c r="E395" i="66"/>
  <c r="E396" i="66"/>
  <c r="E397" i="66"/>
  <c r="E398" i="66"/>
  <c r="E399" i="66"/>
  <c r="E400" i="66"/>
  <c r="E401" i="66"/>
  <c r="E402" i="66"/>
  <c r="E403" i="66"/>
  <c r="E404" i="66"/>
  <c r="E405" i="66"/>
  <c r="E406" i="66"/>
  <c r="E407" i="66"/>
  <c r="E408" i="66"/>
  <c r="E409" i="66"/>
  <c r="E410" i="66"/>
  <c r="E411" i="66"/>
  <c r="E412" i="66"/>
  <c r="E413" i="66"/>
  <c r="E414" i="66"/>
  <c r="E415" i="66"/>
  <c r="E416" i="66"/>
  <c r="E417" i="66"/>
  <c r="E418" i="66"/>
  <c r="E419" i="66"/>
  <c r="E420" i="66"/>
  <c r="E421" i="66"/>
  <c r="E422" i="66"/>
  <c r="E423" i="66"/>
  <c r="E424" i="66"/>
  <c r="E425" i="66"/>
  <c r="E426" i="66"/>
  <c r="E427" i="66"/>
  <c r="E428" i="66"/>
  <c r="E429" i="66"/>
  <c r="E430" i="66"/>
  <c r="E431" i="66"/>
  <c r="E432" i="66"/>
  <c r="E433" i="66"/>
  <c r="E434" i="66"/>
  <c r="E435" i="66"/>
  <c r="E436" i="66"/>
  <c r="E437" i="66"/>
  <c r="E438" i="66"/>
  <c r="E439" i="66"/>
  <c r="E440" i="66"/>
  <c r="E441" i="66"/>
  <c r="E442" i="66"/>
  <c r="E443" i="66"/>
  <c r="E444" i="66"/>
  <c r="E445" i="66"/>
  <c r="E446" i="66"/>
  <c r="E447" i="66"/>
  <c r="E448" i="66"/>
  <c r="E449" i="66"/>
  <c r="E450" i="66"/>
  <c r="E451" i="66"/>
  <c r="E452" i="66"/>
  <c r="E453" i="66"/>
  <c r="E454" i="66"/>
  <c r="E455" i="66"/>
  <c r="E456" i="66"/>
  <c r="E457" i="66"/>
  <c r="E458" i="66"/>
  <c r="E459" i="66"/>
  <c r="E460" i="66"/>
  <c r="E461" i="66"/>
  <c r="E462" i="66"/>
  <c r="E463" i="66"/>
  <c r="E464" i="66"/>
  <c r="E465" i="66"/>
  <c r="E466" i="66"/>
  <c r="E467" i="66"/>
  <c r="E468" i="66"/>
  <c r="E469" i="66"/>
  <c r="E470" i="66"/>
  <c r="E471" i="66"/>
  <c r="E472" i="66"/>
  <c r="E473" i="66"/>
  <c r="E474" i="66"/>
  <c r="E475" i="66"/>
  <c r="E476" i="66"/>
  <c r="E477" i="66"/>
  <c r="E478" i="66"/>
  <c r="E479" i="66"/>
  <c r="E480" i="66"/>
  <c r="E481" i="66"/>
  <c r="E482" i="66"/>
  <c r="E483" i="66"/>
  <c r="E484" i="66"/>
  <c r="E485" i="66"/>
  <c r="E486" i="66"/>
  <c r="E487" i="66"/>
  <c r="E488" i="66"/>
  <c r="E489" i="66"/>
  <c r="E490" i="66"/>
  <c r="E491" i="66"/>
  <c r="E492" i="66"/>
  <c r="E493" i="66"/>
  <c r="E134" i="66"/>
  <c r="Y33" i="22" l="1"/>
  <c r="Y34" i="22" s="1"/>
  <c r="Y35" i="22" s="1"/>
  <c r="Y36" i="22" s="1"/>
  <c r="Y37" i="22" s="1"/>
  <c r="Y38" i="22" s="1"/>
  <c r="Y39" i="22" s="1"/>
  <c r="Y40" i="22" s="1"/>
  <c r="Y41" i="22" s="1"/>
  <c r="Y42" i="22" s="1"/>
  <c r="Y43" i="22" s="1"/>
  <c r="Y44" i="22" s="1"/>
  <c r="Y45" i="22" s="1"/>
  <c r="Y46" i="22" s="1"/>
  <c r="Y47" i="22" s="1"/>
  <c r="Y48" i="22" s="1"/>
  <c r="Y49" i="22" s="1"/>
  <c r="T20" i="20" l="1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X19" i="20" l="1"/>
  <c r="Y28" i="20" l="1"/>
  <c r="Y29" i="20"/>
  <c r="Y30" i="20"/>
  <c r="Y33" i="20"/>
  <c r="Y34" i="20"/>
  <c r="Y35" i="20"/>
  <c r="Y36" i="20"/>
  <c r="Y37" i="20"/>
  <c r="Y38" i="20"/>
  <c r="Y39" i="20"/>
  <c r="Y40" i="20"/>
  <c r="Y41" i="20"/>
  <c r="Y42" i="20"/>
  <c r="Y43" i="20"/>
  <c r="Y44" i="20"/>
  <c r="Y45" i="20"/>
  <c r="Y46" i="20"/>
  <c r="Y47" i="20"/>
  <c r="Y48" i="20"/>
  <c r="Y49" i="20"/>
  <c r="Y32" i="20"/>
  <c r="Y31" i="20"/>
  <c r="D23" i="70" l="1"/>
  <c r="D24" i="70"/>
  <c r="D25" i="70"/>
  <c r="D26" i="70"/>
  <c r="D27" i="70"/>
  <c r="D28" i="70"/>
  <c r="D29" i="70"/>
  <c r="D30" i="70"/>
  <c r="C23" i="70"/>
  <c r="C24" i="70"/>
  <c r="C25" i="70"/>
  <c r="C26" i="70"/>
  <c r="C27" i="70"/>
  <c r="C28" i="70"/>
  <c r="C29" i="70"/>
  <c r="C30" i="70"/>
  <c r="W20" i="20" l="1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C19" i="70" l="1"/>
  <c r="C20" i="70"/>
  <c r="D20" i="70" s="1"/>
  <c r="C21" i="70"/>
  <c r="D21" i="70" s="1"/>
  <c r="C22" i="70"/>
  <c r="D22" i="70" s="1"/>
  <c r="C11" i="70"/>
  <c r="C12" i="70"/>
  <c r="C13" i="70"/>
  <c r="C14" i="70"/>
  <c r="C15" i="70"/>
  <c r="D15" i="70" s="1"/>
  <c r="C16" i="70"/>
  <c r="C17" i="70"/>
  <c r="D17" i="70" s="1"/>
  <c r="C18" i="70"/>
  <c r="D18" i="70" s="1"/>
  <c r="C7" i="70"/>
  <c r="C8" i="70"/>
  <c r="C9" i="70"/>
  <c r="C10" i="70"/>
  <c r="C6" i="70"/>
  <c r="D13" i="70" l="1"/>
  <c r="D19" i="70"/>
  <c r="D16" i="70"/>
  <c r="D14" i="70"/>
  <c r="D12" i="70"/>
  <c r="N13" i="40"/>
  <c r="K13" i="40"/>
  <c r="J13" i="40"/>
  <c r="I13" i="40"/>
  <c r="H13" i="40"/>
  <c r="D13" i="40"/>
  <c r="N12" i="40"/>
  <c r="K12" i="40"/>
  <c r="J12" i="40"/>
  <c r="I12" i="40"/>
  <c r="H12" i="40"/>
  <c r="D12" i="40"/>
  <c r="N11" i="40"/>
  <c r="K11" i="40"/>
  <c r="J11" i="40"/>
  <c r="I11" i="40"/>
  <c r="H11" i="40"/>
  <c r="D11" i="40"/>
  <c r="N10" i="40"/>
  <c r="K10" i="40"/>
  <c r="J10" i="40"/>
  <c r="I10" i="40"/>
  <c r="H10" i="40"/>
  <c r="D10" i="40"/>
  <c r="N9" i="40"/>
  <c r="K9" i="40"/>
  <c r="J9" i="40"/>
  <c r="I9" i="40"/>
  <c r="H9" i="40"/>
  <c r="D9" i="40"/>
  <c r="N8" i="40"/>
  <c r="K8" i="40"/>
  <c r="J8" i="40"/>
  <c r="I8" i="40"/>
  <c r="H8" i="40"/>
  <c r="D8" i="40"/>
  <c r="N7" i="40"/>
  <c r="K7" i="40"/>
  <c r="J7" i="40"/>
  <c r="I7" i="40"/>
  <c r="H7" i="40"/>
  <c r="D7" i="40"/>
  <c r="N6" i="40"/>
  <c r="K6" i="40"/>
  <c r="J6" i="40"/>
  <c r="I6" i="40"/>
  <c r="H6" i="40"/>
  <c r="D6" i="40"/>
  <c r="N5" i="40"/>
  <c r="K5" i="40"/>
  <c r="J5" i="40"/>
  <c r="I5" i="40"/>
  <c r="H5" i="40"/>
  <c r="D5" i="40"/>
  <c r="N4" i="40"/>
  <c r="K4" i="40"/>
  <c r="J4" i="40"/>
  <c r="I4" i="40"/>
  <c r="H4" i="40"/>
  <c r="D4" i="40"/>
  <c r="N3" i="40"/>
  <c r="K3" i="40"/>
  <c r="J3" i="40"/>
  <c r="I3" i="40"/>
  <c r="H3" i="40"/>
  <c r="D3" i="40"/>
  <c r="N2" i="40"/>
  <c r="K2" i="40"/>
  <c r="J2" i="40"/>
  <c r="I2" i="40"/>
  <c r="H2" i="40"/>
  <c r="D2" i="40"/>
  <c r="BD123" i="44" l="1"/>
  <c r="BC123" i="44"/>
  <c r="BA123" i="44"/>
  <c r="AY123" i="44"/>
  <c r="AW123" i="44"/>
  <c r="AU123" i="44"/>
  <c r="AS123" i="44"/>
  <c r="AQ123" i="44"/>
  <c r="AO123" i="44"/>
  <c r="AM123" i="44"/>
  <c r="AK123" i="44"/>
  <c r="AJ123" i="44"/>
  <c r="AH123" i="44"/>
  <c r="AF123" i="44"/>
  <c r="AD123" i="44"/>
  <c r="AB123" i="44"/>
  <c r="Z123" i="44"/>
  <c r="X123" i="44"/>
  <c r="V123" i="44"/>
  <c r="BE103" i="44"/>
  <c r="BE102" i="44"/>
  <c r="BE101" i="44"/>
  <c r="BE100" i="44"/>
  <c r="BE99" i="44"/>
  <c r="BE98" i="44" l="1"/>
  <c r="BA79" i="44" l="1"/>
  <c r="AY79" i="44"/>
  <c r="AW79" i="44"/>
  <c r="AU79" i="44"/>
  <c r="AS79" i="44"/>
  <c r="AQ79" i="44"/>
  <c r="AO79" i="44"/>
  <c r="AM79" i="44"/>
  <c r="AK79" i="44"/>
  <c r="AF79" i="44"/>
  <c r="AD79" i="44"/>
  <c r="AD80" i="44" s="1"/>
  <c r="AB79" i="44"/>
  <c r="AB80" i="44" s="1"/>
  <c r="Z80" i="44" s="1"/>
  <c r="X80" i="44" s="1"/>
  <c r="V80" i="44" s="1"/>
  <c r="Z79" i="44"/>
  <c r="X79" i="44"/>
  <c r="V79" i="44"/>
  <c r="AJ78" i="44"/>
  <c r="AJ79" i="44" s="1"/>
  <c r="AH78" i="44"/>
  <c r="AJ77" i="44"/>
  <c r="AH77" i="44"/>
  <c r="AJ76" i="44"/>
  <c r="AH76" i="44"/>
  <c r="AJ75" i="44"/>
  <c r="AH75" i="44"/>
  <c r="BO74" i="44"/>
  <c r="AJ74" i="44"/>
  <c r="AH74" i="44"/>
  <c r="AJ73" i="44"/>
  <c r="AH73" i="44"/>
  <c r="AJ72" i="44"/>
  <c r="AH72" i="44"/>
  <c r="AJ71" i="44"/>
  <c r="AH71" i="44"/>
  <c r="AJ70" i="44"/>
  <c r="AH70" i="44"/>
  <c r="AJ69" i="44"/>
  <c r="AH69" i="44"/>
  <c r="AJ68" i="44"/>
  <c r="AH68" i="44"/>
  <c r="AJ67" i="44"/>
  <c r="AH67" i="44"/>
  <c r="AJ66" i="44"/>
  <c r="AH66" i="44"/>
  <c r="BZ65" i="44"/>
  <c r="AJ65" i="44"/>
  <c r="AH65" i="44"/>
  <c r="AJ64" i="44"/>
  <c r="AH64" i="44"/>
  <c r="AJ63" i="44"/>
  <c r="AH63" i="44"/>
  <c r="AJ62" i="44"/>
  <c r="AH62" i="44"/>
  <c r="AJ61" i="44"/>
  <c r="AH61" i="44"/>
  <c r="AJ60" i="44"/>
  <c r="AH60" i="44"/>
  <c r="AJ59" i="44"/>
  <c r="AH59" i="44"/>
  <c r="AJ58" i="44"/>
  <c r="AH58" i="44"/>
  <c r="AJ57" i="44"/>
  <c r="AH57" i="44"/>
  <c r="AJ56" i="44"/>
  <c r="AH56" i="44"/>
  <c r="AJ55" i="44"/>
  <c r="AH55" i="44"/>
  <c r="CI54" i="44"/>
  <c r="CH54" i="44"/>
  <c r="CG54" i="44"/>
  <c r="CF54" i="44"/>
  <c r="CE54" i="44"/>
  <c r="CD54" i="44"/>
  <c r="CC54" i="44"/>
  <c r="CB54" i="44"/>
  <c r="CA54" i="44"/>
  <c r="BX54" i="44"/>
  <c r="BW54" i="44"/>
  <c r="BV54" i="44"/>
  <c r="BU54" i="44"/>
  <c r="BT54" i="44"/>
  <c r="BS54" i="44"/>
  <c r="BR54" i="44"/>
  <c r="BQ54" i="44"/>
  <c r="BP54" i="44"/>
  <c r="AJ54" i="44"/>
  <c r="AH54" i="44"/>
  <c r="CI53" i="44"/>
  <c r="CH53" i="44"/>
  <c r="CG53" i="44"/>
  <c r="CF53" i="44"/>
  <c r="CE53" i="44"/>
  <c r="CD53" i="44"/>
  <c r="CC53" i="44"/>
  <c r="CB53" i="44"/>
  <c r="CA53" i="44"/>
  <c r="BX53" i="44"/>
  <c r="BW53" i="44"/>
  <c r="BV53" i="44"/>
  <c r="BU53" i="44"/>
  <c r="BT53" i="44"/>
  <c r="BS53" i="44"/>
  <c r="BR53" i="44"/>
  <c r="BQ53" i="44"/>
  <c r="BP53" i="44"/>
  <c r="AJ53" i="44"/>
  <c r="AH53" i="44"/>
  <c r="CI52" i="44"/>
  <c r="CH52" i="44"/>
  <c r="CG52" i="44"/>
  <c r="CF52" i="44"/>
  <c r="CE52" i="44"/>
  <c r="CD52" i="44"/>
  <c r="CC52" i="44"/>
  <c r="CB52" i="44"/>
  <c r="CA52" i="44"/>
  <c r="BX52" i="44"/>
  <c r="BW52" i="44"/>
  <c r="BV52" i="44"/>
  <c r="BU52" i="44"/>
  <c r="BT52" i="44"/>
  <c r="BS52" i="44"/>
  <c r="BR52" i="44"/>
  <c r="BQ52" i="44"/>
  <c r="BP52" i="44"/>
  <c r="AJ52" i="44"/>
  <c r="AH52" i="44"/>
  <c r="CI51" i="44"/>
  <c r="CH51" i="44"/>
  <c r="CG51" i="44"/>
  <c r="CF51" i="44"/>
  <c r="CE51" i="44"/>
  <c r="CD51" i="44"/>
  <c r="CC51" i="44"/>
  <c r="CB51" i="44"/>
  <c r="CA51" i="44"/>
  <c r="BX51" i="44"/>
  <c r="BW51" i="44"/>
  <c r="BV51" i="44"/>
  <c r="BU51" i="44"/>
  <c r="BT51" i="44"/>
  <c r="BS51" i="44"/>
  <c r="BR51" i="44"/>
  <c r="BQ51" i="44"/>
  <c r="BP51" i="44"/>
  <c r="AJ51" i="44"/>
  <c r="AH51" i="44"/>
  <c r="CI50" i="44"/>
  <c r="CH50" i="44"/>
  <c r="CG50" i="44"/>
  <c r="CF50" i="44"/>
  <c r="CE50" i="44"/>
  <c r="CD50" i="44"/>
  <c r="CC50" i="44"/>
  <c r="CB50" i="44"/>
  <c r="CA50" i="44"/>
  <c r="BX50" i="44"/>
  <c r="BW50" i="44"/>
  <c r="BV50" i="44"/>
  <c r="BU50" i="44"/>
  <c r="BT50" i="44"/>
  <c r="BS50" i="44"/>
  <c r="BR50" i="44"/>
  <c r="BQ50" i="44"/>
  <c r="BP50" i="44"/>
  <c r="AJ50" i="44"/>
  <c r="AH50" i="44"/>
  <c r="CI49" i="44"/>
  <c r="CH49" i="44"/>
  <c r="CG49" i="44"/>
  <c r="CF49" i="44"/>
  <c r="CE49" i="44"/>
  <c r="CD49" i="44"/>
  <c r="CC49" i="44"/>
  <c r="CB49" i="44"/>
  <c r="CA49" i="44"/>
  <c r="BX49" i="44"/>
  <c r="BW49" i="44"/>
  <c r="BV49" i="44"/>
  <c r="BU49" i="44"/>
  <c r="BT49" i="44"/>
  <c r="BS49" i="44"/>
  <c r="BR49" i="44"/>
  <c r="BQ49" i="44"/>
  <c r="BP49" i="44"/>
  <c r="AJ49" i="44"/>
  <c r="AH49" i="44"/>
  <c r="CI48" i="44"/>
  <c r="CH48" i="44"/>
  <c r="CG48" i="44"/>
  <c r="CF48" i="44"/>
  <c r="CE48" i="44"/>
  <c r="CD48" i="44"/>
  <c r="CC48" i="44"/>
  <c r="CB48" i="44"/>
  <c r="CA48" i="44"/>
  <c r="BX48" i="44"/>
  <c r="BW48" i="44"/>
  <c r="BV48" i="44"/>
  <c r="BU48" i="44"/>
  <c r="BT48" i="44"/>
  <c r="BS48" i="44"/>
  <c r="BR48" i="44"/>
  <c r="BQ48" i="44"/>
  <c r="BP48" i="44"/>
  <c r="AJ48" i="44"/>
  <c r="AH48" i="44"/>
  <c r="CI47" i="44"/>
  <c r="CH47" i="44"/>
  <c r="CG47" i="44"/>
  <c r="CF47" i="44"/>
  <c r="CE47" i="44"/>
  <c r="CD47" i="44"/>
  <c r="CC47" i="44"/>
  <c r="CB47" i="44"/>
  <c r="CA47" i="44"/>
  <c r="BX47" i="44"/>
  <c r="BW47" i="44"/>
  <c r="BV47" i="44"/>
  <c r="BU47" i="44"/>
  <c r="BT47" i="44"/>
  <c r="BS47" i="44"/>
  <c r="BR47" i="44"/>
  <c r="BQ47" i="44"/>
  <c r="BP47" i="44"/>
  <c r="CI46" i="44"/>
  <c r="CH46" i="44"/>
  <c r="CG46" i="44"/>
  <c r="CF46" i="44"/>
  <c r="CE46" i="44"/>
  <c r="CD46" i="44"/>
  <c r="CC46" i="44"/>
  <c r="CB46" i="44"/>
  <c r="CA46" i="44"/>
  <c r="BX46" i="44"/>
  <c r="BW46" i="44"/>
  <c r="BV46" i="44"/>
  <c r="BU46" i="44"/>
  <c r="BT46" i="44"/>
  <c r="BS46" i="44"/>
  <c r="BR46" i="44"/>
  <c r="BQ46" i="44"/>
  <c r="BP46" i="44"/>
  <c r="CI45" i="44"/>
  <c r="CH45" i="44"/>
  <c r="CG45" i="44"/>
  <c r="CF45" i="44"/>
  <c r="CE45" i="44"/>
  <c r="CD45" i="44"/>
  <c r="CC45" i="44"/>
  <c r="CB45" i="44"/>
  <c r="CA45" i="44"/>
  <c r="BX45" i="44"/>
  <c r="BW45" i="44"/>
  <c r="BV45" i="44"/>
  <c r="BU45" i="44"/>
  <c r="BT45" i="44"/>
  <c r="BS45" i="44"/>
  <c r="BR45" i="44"/>
  <c r="BQ45" i="44"/>
  <c r="BP45" i="44"/>
  <c r="CI44" i="44"/>
  <c r="CH44" i="44"/>
  <c r="CG44" i="44"/>
  <c r="CF44" i="44"/>
  <c r="CE44" i="44"/>
  <c r="CD44" i="44"/>
  <c r="CC44" i="44"/>
  <c r="CB44" i="44"/>
  <c r="CA44" i="44"/>
  <c r="BX44" i="44"/>
  <c r="BW44" i="44"/>
  <c r="BV44" i="44"/>
  <c r="BU44" i="44"/>
  <c r="BT44" i="44"/>
  <c r="BS44" i="44"/>
  <c r="BR44" i="44"/>
  <c r="BQ44" i="44"/>
  <c r="BP44" i="44"/>
  <c r="CI43" i="44"/>
  <c r="CH43" i="44"/>
  <c r="CG43" i="44"/>
  <c r="CF43" i="44"/>
  <c r="CE43" i="44"/>
  <c r="CD43" i="44"/>
  <c r="CC43" i="44"/>
  <c r="CB43" i="44"/>
  <c r="CA43" i="44"/>
  <c r="BX43" i="44"/>
  <c r="BW43" i="44"/>
  <c r="BV43" i="44"/>
  <c r="BU43" i="44"/>
  <c r="BT43" i="44"/>
  <c r="BS43" i="44"/>
  <c r="BR43" i="44"/>
  <c r="BQ43" i="44"/>
  <c r="BP43" i="44"/>
  <c r="CI42" i="44"/>
  <c r="CH42" i="44"/>
  <c r="CG42" i="44"/>
  <c r="CF42" i="44"/>
  <c r="CE42" i="44"/>
  <c r="CD42" i="44"/>
  <c r="CC42" i="44"/>
  <c r="CB42" i="44"/>
  <c r="CA42" i="44"/>
  <c r="BX42" i="44"/>
  <c r="BW42" i="44"/>
  <c r="BV42" i="44"/>
  <c r="BU42" i="44"/>
  <c r="BT42" i="44"/>
  <c r="BS42" i="44"/>
  <c r="BR42" i="44"/>
  <c r="BQ42" i="44"/>
  <c r="BP42" i="44"/>
  <c r="BZ66" i="44" l="1"/>
  <c r="BZ67" i="44" s="1"/>
  <c r="AH79" i="44"/>
  <c r="BA80" i="44"/>
  <c r="AY80" i="44" s="1"/>
  <c r="AW80" i="44" s="1"/>
  <c r="AU80" i="44" s="1"/>
  <c r="AS80" i="44" s="1"/>
  <c r="AQ80" i="44" s="1"/>
  <c r="AO80" i="44" s="1"/>
  <c r="AM80" i="44" s="1"/>
  <c r="AK80" i="44" s="1"/>
  <c r="AJ80" i="44" s="1"/>
  <c r="AH80" i="44" s="1"/>
  <c r="AF80" i="44" s="1"/>
  <c r="BZ68" i="44" l="1"/>
  <c r="BA81" i="44"/>
  <c r="AY81" i="44" s="1"/>
  <c r="AW81" i="44" s="1"/>
  <c r="AU81" i="44" s="1"/>
  <c r="AS81" i="44" s="1"/>
  <c r="AQ81" i="44" s="1"/>
  <c r="AO81" i="44" s="1"/>
  <c r="AM81" i="44" s="1"/>
  <c r="AK81" i="44" s="1"/>
  <c r="AJ81" i="44" s="1"/>
  <c r="AH81" i="44" s="1"/>
  <c r="AF81" i="44" s="1"/>
  <c r="AD81" i="44" s="1"/>
  <c r="AB81" i="44" s="1"/>
  <c r="CI36" i="44"/>
  <c r="CH36" i="44"/>
  <c r="CG36" i="44"/>
  <c r="CF36" i="44"/>
  <c r="CE36" i="44"/>
  <c r="CD36" i="44"/>
  <c r="CC36" i="44"/>
  <c r="CB36" i="44"/>
  <c r="CA36" i="44"/>
  <c r="BX36" i="44"/>
  <c r="BW36" i="44"/>
  <c r="BV36" i="44"/>
  <c r="BU36" i="44"/>
  <c r="BT36" i="44"/>
  <c r="BS36" i="44"/>
  <c r="BR36" i="44"/>
  <c r="BQ36" i="44"/>
  <c r="BP36" i="44"/>
  <c r="CI35" i="44"/>
  <c r="CH35" i="44"/>
  <c r="CG35" i="44"/>
  <c r="CF35" i="44"/>
  <c r="CE35" i="44"/>
  <c r="CD35" i="44"/>
  <c r="CC35" i="44"/>
  <c r="CB35" i="44"/>
  <c r="CA35" i="44"/>
  <c r="BX35" i="44"/>
  <c r="BW35" i="44"/>
  <c r="BV35" i="44"/>
  <c r="BU35" i="44"/>
  <c r="BT35" i="44"/>
  <c r="BS35" i="44"/>
  <c r="BR35" i="44"/>
  <c r="BQ35" i="44"/>
  <c r="BP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 s="1"/>
  <c r="C35" i="44"/>
  <c r="C36" i="44" s="1"/>
  <c r="B35" i="44"/>
  <c r="B36" i="44" s="1"/>
  <c r="CI34" i="44"/>
  <c r="CH34" i="44"/>
  <c r="CG34" i="44"/>
  <c r="CF34" i="44"/>
  <c r="CE34" i="44"/>
  <c r="CD34" i="44"/>
  <c r="CC34" i="44"/>
  <c r="CB34" i="44"/>
  <c r="CA34" i="44"/>
  <c r="BX34" i="44"/>
  <c r="BW34" i="44"/>
  <c r="BV34" i="44"/>
  <c r="BU34" i="44"/>
  <c r="BT34" i="44"/>
  <c r="BS34" i="44"/>
  <c r="BR34" i="44"/>
  <c r="BQ34" i="44"/>
  <c r="BP34" i="44"/>
  <c r="Z81" i="44" l="1"/>
  <c r="X81" i="44" s="1"/>
  <c r="V81" i="44" s="1"/>
  <c r="AB82" i="44"/>
  <c r="BZ69" i="44"/>
  <c r="BA82" i="44"/>
  <c r="AY82" i="44" s="1"/>
  <c r="AW82" i="44" s="1"/>
  <c r="AU82" i="44" s="1"/>
  <c r="AS82" i="44" s="1"/>
  <c r="AQ82" i="44" s="1"/>
  <c r="AO82" i="44" s="1"/>
  <c r="AM82" i="44" s="1"/>
  <c r="AK82" i="44" s="1"/>
  <c r="AJ82" i="44" s="1"/>
  <c r="AH82" i="44" s="1"/>
  <c r="AF82" i="44" s="1"/>
  <c r="AD82" i="44" s="1"/>
  <c r="Q34" i="44"/>
  <c r="P34" i="44"/>
  <c r="O34" i="44"/>
  <c r="N34" i="44"/>
  <c r="M34" i="44"/>
  <c r="L34" i="44"/>
  <c r="D34" i="44"/>
  <c r="CI33" i="44"/>
  <c r="CH33" i="44"/>
  <c r="CG33" i="44"/>
  <c r="CF33" i="44"/>
  <c r="CE33" i="44"/>
  <c r="CD33" i="44"/>
  <c r="CC33" i="44"/>
  <c r="CB33" i="44"/>
  <c r="CA33" i="44"/>
  <c r="BX33" i="44"/>
  <c r="BW33" i="44"/>
  <c r="BV33" i="44"/>
  <c r="BU33" i="44"/>
  <c r="BT33" i="44"/>
  <c r="BS33" i="44"/>
  <c r="BR33" i="44"/>
  <c r="BQ33" i="44"/>
  <c r="BP33" i="44"/>
  <c r="Q33" i="44"/>
  <c r="P33" i="44"/>
  <c r="O33" i="44"/>
  <c r="N33" i="44"/>
  <c r="M33" i="44"/>
  <c r="L33" i="44"/>
  <c r="D33" i="44"/>
  <c r="CI32" i="44"/>
  <c r="CH32" i="44"/>
  <c r="CG32" i="44"/>
  <c r="CF32" i="44"/>
  <c r="CE32" i="44"/>
  <c r="CD32" i="44"/>
  <c r="CC32" i="44"/>
  <c r="CB32" i="44"/>
  <c r="CA32" i="44"/>
  <c r="BX32" i="44"/>
  <c r="BW32" i="44"/>
  <c r="BV32" i="44"/>
  <c r="BU32" i="44"/>
  <c r="BT32" i="44"/>
  <c r="BS32" i="44"/>
  <c r="BR32" i="44"/>
  <c r="BQ32" i="44"/>
  <c r="BP32" i="44"/>
  <c r="Q32" i="44"/>
  <c r="P32" i="44"/>
  <c r="O32" i="44"/>
  <c r="N32" i="44"/>
  <c r="M32" i="44"/>
  <c r="L32" i="44"/>
  <c r="D32" i="44"/>
  <c r="CI31" i="44"/>
  <c r="CH31" i="44"/>
  <c r="CG31" i="44"/>
  <c r="CF31" i="44"/>
  <c r="CE31" i="44"/>
  <c r="CD31" i="44"/>
  <c r="CC31" i="44"/>
  <c r="CB31" i="44"/>
  <c r="CA31" i="44"/>
  <c r="BX31" i="44"/>
  <c r="BW31" i="44"/>
  <c r="BV31" i="44"/>
  <c r="BU31" i="44"/>
  <c r="BT31" i="44"/>
  <c r="BS31" i="44"/>
  <c r="BR31" i="44"/>
  <c r="BQ31" i="44"/>
  <c r="BP31" i="44"/>
  <c r="Q31" i="44"/>
  <c r="P31" i="44"/>
  <c r="O31" i="44"/>
  <c r="N31" i="44"/>
  <c r="M31" i="44"/>
  <c r="L31" i="44"/>
  <c r="D31" i="44"/>
  <c r="CI30" i="44"/>
  <c r="CH30" i="44"/>
  <c r="CG30" i="44"/>
  <c r="CF30" i="44"/>
  <c r="CE30" i="44"/>
  <c r="CD30" i="44"/>
  <c r="CC30" i="44"/>
  <c r="CB30" i="44"/>
  <c r="CA30" i="44"/>
  <c r="BX30" i="44"/>
  <c r="BW30" i="44"/>
  <c r="BV30" i="44"/>
  <c r="BU30" i="44"/>
  <c r="BT30" i="44"/>
  <c r="BS30" i="44"/>
  <c r="BR30" i="44"/>
  <c r="BQ30" i="44"/>
  <c r="BP30" i="44"/>
  <c r="Q30" i="44"/>
  <c r="P30" i="44"/>
  <c r="O30" i="44"/>
  <c r="N30" i="44"/>
  <c r="M30" i="44"/>
  <c r="L30" i="44"/>
  <c r="D30" i="44"/>
  <c r="CI29" i="44"/>
  <c r="CH29" i="44"/>
  <c r="CG29" i="44"/>
  <c r="CF29" i="44"/>
  <c r="CE29" i="44"/>
  <c r="CD29" i="44"/>
  <c r="CC29" i="44"/>
  <c r="CB29" i="44"/>
  <c r="CA29" i="44"/>
  <c r="BX29" i="44"/>
  <c r="BW29" i="44"/>
  <c r="BV29" i="44"/>
  <c r="BU29" i="44"/>
  <c r="BT29" i="44"/>
  <c r="BS29" i="44"/>
  <c r="BR29" i="44"/>
  <c r="BQ29" i="44"/>
  <c r="BP29" i="44"/>
  <c r="Q29" i="44"/>
  <c r="P29" i="44"/>
  <c r="O29" i="44"/>
  <c r="N29" i="44"/>
  <c r="M29" i="44"/>
  <c r="L29" i="44"/>
  <c r="D29" i="44"/>
  <c r="CI28" i="44"/>
  <c r="CH28" i="44"/>
  <c r="CG28" i="44"/>
  <c r="CF28" i="44"/>
  <c r="CE28" i="44"/>
  <c r="CD28" i="44"/>
  <c r="CC28" i="44"/>
  <c r="CB28" i="44"/>
  <c r="CA28" i="44"/>
  <c r="BX28" i="44"/>
  <c r="BW28" i="44"/>
  <c r="BV28" i="44"/>
  <c r="BU28" i="44"/>
  <c r="BT28" i="44"/>
  <c r="BS28" i="44"/>
  <c r="BR28" i="44"/>
  <c r="BQ28" i="44"/>
  <c r="BP28" i="44"/>
  <c r="Q28" i="44"/>
  <c r="P28" i="44"/>
  <c r="O28" i="44"/>
  <c r="N28" i="44"/>
  <c r="M28" i="44"/>
  <c r="L28" i="44"/>
  <c r="D28" i="44"/>
  <c r="CI27" i="44"/>
  <c r="CH27" i="44"/>
  <c r="CG27" i="44"/>
  <c r="CF27" i="44"/>
  <c r="CE27" i="44"/>
  <c r="CD27" i="44"/>
  <c r="CC27" i="44"/>
  <c r="CB27" i="44"/>
  <c r="CA27" i="44"/>
  <c r="BX27" i="44"/>
  <c r="BW27" i="44"/>
  <c r="BV27" i="44"/>
  <c r="BU27" i="44"/>
  <c r="BT27" i="44"/>
  <c r="BS27" i="44"/>
  <c r="BR27" i="44"/>
  <c r="BQ27" i="44"/>
  <c r="BP27" i="44"/>
  <c r="Q27" i="44"/>
  <c r="P27" i="44"/>
  <c r="O27" i="44"/>
  <c r="N27" i="44"/>
  <c r="M27" i="44"/>
  <c r="L27" i="44"/>
  <c r="D27" i="44"/>
  <c r="CI26" i="44"/>
  <c r="CH26" i="44"/>
  <c r="CG26" i="44"/>
  <c r="CF26" i="44"/>
  <c r="CE26" i="44"/>
  <c r="CD26" i="44"/>
  <c r="CC26" i="44"/>
  <c r="CB26" i="44"/>
  <c r="CA26" i="44"/>
  <c r="BX26" i="44"/>
  <c r="BW26" i="44"/>
  <c r="BV26" i="44"/>
  <c r="BU26" i="44"/>
  <c r="BT26" i="44"/>
  <c r="BS26" i="44"/>
  <c r="BR26" i="44"/>
  <c r="BQ26" i="44"/>
  <c r="BP26" i="44"/>
  <c r="Q26" i="44"/>
  <c r="P26" i="44"/>
  <c r="O26" i="44"/>
  <c r="N26" i="44"/>
  <c r="M26" i="44"/>
  <c r="L26" i="44"/>
  <c r="D26" i="44"/>
  <c r="CI25" i="44"/>
  <c r="CH25" i="44"/>
  <c r="CG25" i="44"/>
  <c r="CF25" i="44"/>
  <c r="CE25" i="44"/>
  <c r="CD25" i="44"/>
  <c r="CC25" i="44"/>
  <c r="CB25" i="44"/>
  <c r="CA25" i="44"/>
  <c r="BX25" i="44"/>
  <c r="BW25" i="44"/>
  <c r="BV25" i="44"/>
  <c r="BU25" i="44"/>
  <c r="BT25" i="44"/>
  <c r="BS25" i="44"/>
  <c r="BR25" i="44"/>
  <c r="BQ25" i="44"/>
  <c r="BP25" i="44"/>
  <c r="Q25" i="44"/>
  <c r="P25" i="44"/>
  <c r="O25" i="44"/>
  <c r="N25" i="44"/>
  <c r="M25" i="44"/>
  <c r="L25" i="44"/>
  <c r="D25" i="44"/>
  <c r="A25" i="44"/>
  <c r="A26" i="44" s="1"/>
  <c r="CI24" i="44"/>
  <c r="CH24" i="44"/>
  <c r="CG24" i="44"/>
  <c r="CF24" i="44"/>
  <c r="CE24" i="44"/>
  <c r="CD24" i="44"/>
  <c r="CC24" i="44"/>
  <c r="CB24" i="44"/>
  <c r="CA24" i="44"/>
  <c r="BX24" i="44"/>
  <c r="BW24" i="44"/>
  <c r="BV24" i="44"/>
  <c r="BU24" i="44"/>
  <c r="BT24" i="44"/>
  <c r="BS24" i="44"/>
  <c r="BR24" i="44"/>
  <c r="BQ24" i="44"/>
  <c r="BP24" i="44"/>
  <c r="Q24" i="44"/>
  <c r="P24" i="44"/>
  <c r="O24" i="44"/>
  <c r="N24" i="44"/>
  <c r="M24" i="44"/>
  <c r="L24" i="44"/>
  <c r="D24" i="44"/>
  <c r="CI23" i="44"/>
  <c r="CH23" i="44"/>
  <c r="CG23" i="44"/>
  <c r="CF23" i="44"/>
  <c r="CE23" i="44"/>
  <c r="CD23" i="44"/>
  <c r="CC23" i="44"/>
  <c r="CB23" i="44"/>
  <c r="CA23" i="44"/>
  <c r="BX23" i="44"/>
  <c r="BW23" i="44"/>
  <c r="BV23" i="44"/>
  <c r="BU23" i="44"/>
  <c r="BT23" i="44"/>
  <c r="BS23" i="44"/>
  <c r="BR23" i="44"/>
  <c r="BQ23" i="44"/>
  <c r="BP23" i="44"/>
  <c r="Q23" i="44"/>
  <c r="P23" i="44"/>
  <c r="O23" i="44"/>
  <c r="N23" i="44"/>
  <c r="M23" i="44"/>
  <c r="L23" i="44"/>
  <c r="D23" i="44"/>
  <c r="CI22" i="44"/>
  <c r="CH22" i="44"/>
  <c r="CG22" i="44"/>
  <c r="CF22" i="44"/>
  <c r="CE22" i="44"/>
  <c r="CD22" i="44"/>
  <c r="CC22" i="44"/>
  <c r="CB22" i="44"/>
  <c r="CA22" i="44"/>
  <c r="BX22" i="44"/>
  <c r="BW22" i="44"/>
  <c r="BV22" i="44"/>
  <c r="BU22" i="44"/>
  <c r="BT22" i="44"/>
  <c r="BS22" i="44"/>
  <c r="BR22" i="44"/>
  <c r="BQ22" i="44"/>
  <c r="BP22" i="44"/>
  <c r="Q22" i="44"/>
  <c r="P22" i="44"/>
  <c r="O22" i="44"/>
  <c r="N22" i="44"/>
  <c r="M22" i="44"/>
  <c r="L22" i="44"/>
  <c r="D22" i="44"/>
  <c r="CI21" i="44"/>
  <c r="CH21" i="44"/>
  <c r="CG21" i="44"/>
  <c r="CF21" i="44"/>
  <c r="CE21" i="44"/>
  <c r="CD21" i="44"/>
  <c r="CC21" i="44"/>
  <c r="CB21" i="44"/>
  <c r="CA21" i="44"/>
  <c r="BX21" i="44"/>
  <c r="BW21" i="44"/>
  <c r="BV21" i="44"/>
  <c r="BU21" i="44"/>
  <c r="BT21" i="44"/>
  <c r="BS21" i="44"/>
  <c r="BR21" i="44"/>
  <c r="BQ21" i="44"/>
  <c r="BP21" i="44"/>
  <c r="Q21" i="44"/>
  <c r="P21" i="44"/>
  <c r="O21" i="44"/>
  <c r="N21" i="44"/>
  <c r="M21" i="44"/>
  <c r="L21" i="44"/>
  <c r="D21" i="44"/>
  <c r="CI20" i="44"/>
  <c r="CH20" i="44"/>
  <c r="CG20" i="44"/>
  <c r="CF20" i="44"/>
  <c r="CE20" i="44"/>
  <c r="CD20" i="44"/>
  <c r="CC20" i="44"/>
  <c r="CB20" i="44"/>
  <c r="CA20" i="44"/>
  <c r="BX20" i="44"/>
  <c r="BW20" i="44"/>
  <c r="BV20" i="44"/>
  <c r="BU20" i="44"/>
  <c r="BT20" i="44"/>
  <c r="BS20" i="44"/>
  <c r="BR20" i="44"/>
  <c r="BQ20" i="44"/>
  <c r="BP20" i="44"/>
  <c r="Q20" i="44"/>
  <c r="P20" i="44"/>
  <c r="O20" i="44"/>
  <c r="N20" i="44"/>
  <c r="M20" i="44"/>
  <c r="L20" i="44"/>
  <c r="D20" i="44"/>
  <c r="CI19" i="44"/>
  <c r="CH19" i="44"/>
  <c r="CG19" i="44"/>
  <c r="CF19" i="44"/>
  <c r="CE19" i="44"/>
  <c r="CD19" i="44"/>
  <c r="CC19" i="44"/>
  <c r="CB19" i="44"/>
  <c r="CA19" i="44"/>
  <c r="BX19" i="44"/>
  <c r="BW19" i="44"/>
  <c r="BV19" i="44"/>
  <c r="BU19" i="44"/>
  <c r="BT19" i="44"/>
  <c r="BS19" i="44"/>
  <c r="BR19" i="44"/>
  <c r="BQ19" i="44"/>
  <c r="BP19" i="44"/>
  <c r="Q19" i="44"/>
  <c r="P19" i="44"/>
  <c r="O19" i="44"/>
  <c r="N19" i="44"/>
  <c r="M19" i="44"/>
  <c r="L19" i="44"/>
  <c r="D19" i="44"/>
  <c r="CI18" i="44"/>
  <c r="CH18" i="44"/>
  <c r="CG18" i="44"/>
  <c r="CF18" i="44"/>
  <c r="CE18" i="44"/>
  <c r="CD18" i="44"/>
  <c r="CC18" i="44"/>
  <c r="CB18" i="44"/>
  <c r="CA18" i="44"/>
  <c r="BX18" i="44"/>
  <c r="BW18" i="44"/>
  <c r="BV18" i="44"/>
  <c r="BU18" i="44"/>
  <c r="BT18" i="44"/>
  <c r="BS18" i="44"/>
  <c r="BR18" i="44"/>
  <c r="BQ18" i="44"/>
  <c r="BP18" i="44"/>
  <c r="Q18" i="44"/>
  <c r="P18" i="44"/>
  <c r="O18" i="44"/>
  <c r="N18" i="44"/>
  <c r="M18" i="44"/>
  <c r="L18" i="44"/>
  <c r="D18" i="44"/>
  <c r="CI17" i="44"/>
  <c r="CH17" i="44"/>
  <c r="CG17" i="44"/>
  <c r="CF17" i="44"/>
  <c r="CE17" i="44"/>
  <c r="CD17" i="44"/>
  <c r="CC17" i="44"/>
  <c r="CB17" i="44"/>
  <c r="CA17" i="44"/>
  <c r="BX17" i="44"/>
  <c r="BW17" i="44"/>
  <c r="BV17" i="44"/>
  <c r="BU17" i="44"/>
  <c r="BT17" i="44"/>
  <c r="BS17" i="44"/>
  <c r="BR17" i="44"/>
  <c r="BQ17" i="44"/>
  <c r="BP17" i="44"/>
  <c r="Q17" i="44"/>
  <c r="P17" i="44"/>
  <c r="O17" i="44"/>
  <c r="N17" i="44"/>
  <c r="M17" i="44"/>
  <c r="L17" i="44"/>
  <c r="D17" i="44"/>
  <c r="CI16" i="44"/>
  <c r="CH16" i="44"/>
  <c r="CG16" i="44"/>
  <c r="CF16" i="44"/>
  <c r="CE16" i="44"/>
  <c r="CD16" i="44"/>
  <c r="CC16" i="44"/>
  <c r="CB16" i="44"/>
  <c r="CA16" i="44"/>
  <c r="BX16" i="44"/>
  <c r="BW16" i="44"/>
  <c r="BV16" i="44"/>
  <c r="BU16" i="44"/>
  <c r="BT16" i="44"/>
  <c r="BS16" i="44"/>
  <c r="BR16" i="44"/>
  <c r="BQ16" i="44"/>
  <c r="BP16" i="44"/>
  <c r="Q16" i="44"/>
  <c r="P16" i="44"/>
  <c r="O16" i="44"/>
  <c r="N16" i="44"/>
  <c r="M16" i="44"/>
  <c r="L16" i="44"/>
  <c r="D16" i="44"/>
  <c r="CI15" i="44"/>
  <c r="CH15" i="44"/>
  <c r="CG15" i="44"/>
  <c r="CF15" i="44"/>
  <c r="CE15" i="44"/>
  <c r="CD15" i="44"/>
  <c r="CC15" i="44"/>
  <c r="CB15" i="44"/>
  <c r="CA15" i="44"/>
  <c r="BX15" i="44"/>
  <c r="BW15" i="44"/>
  <c r="BV15" i="44"/>
  <c r="BU15" i="44"/>
  <c r="BT15" i="44"/>
  <c r="BS15" i="44"/>
  <c r="BR15" i="44"/>
  <c r="BQ15" i="44"/>
  <c r="BP15" i="44"/>
  <c r="O15" i="44"/>
  <c r="N15" i="44"/>
  <c r="M15" i="44"/>
  <c r="L15" i="44"/>
  <c r="D15" i="44"/>
  <c r="CI14" i="44"/>
  <c r="CH14" i="44"/>
  <c r="CG14" i="44"/>
  <c r="CF14" i="44"/>
  <c r="CE14" i="44"/>
  <c r="CD14" i="44"/>
  <c r="CC14" i="44"/>
  <c r="CB14" i="44"/>
  <c r="CA14" i="44"/>
  <c r="BZ14" i="44"/>
  <c r="BX14" i="44"/>
  <c r="BW14" i="44"/>
  <c r="BV14" i="44"/>
  <c r="BU14" i="44"/>
  <c r="BT14" i="44"/>
  <c r="BS14" i="44"/>
  <c r="BR14" i="44"/>
  <c r="BQ14" i="44"/>
  <c r="BP14" i="44"/>
  <c r="BO14" i="44"/>
  <c r="O14" i="44"/>
  <c r="N14" i="44"/>
  <c r="M14" i="44"/>
  <c r="L14" i="44"/>
  <c r="D14" i="44"/>
  <c r="CI13" i="44"/>
  <c r="CH13" i="44"/>
  <c r="CG13" i="44"/>
  <c r="CF13" i="44"/>
  <c r="CE13" i="44"/>
  <c r="CD13" i="44"/>
  <c r="CC13" i="44"/>
  <c r="CB13" i="44"/>
  <c r="CA13" i="44"/>
  <c r="BZ13" i="44"/>
  <c r="BX13" i="44"/>
  <c r="BW13" i="44"/>
  <c r="BV13" i="44"/>
  <c r="BU13" i="44"/>
  <c r="BT13" i="44"/>
  <c r="BS13" i="44"/>
  <c r="BR13" i="44"/>
  <c r="BQ13" i="44"/>
  <c r="BP13" i="44"/>
  <c r="BO13" i="44"/>
  <c r="BJ13" i="44"/>
  <c r="BK13" i="44" s="1"/>
  <c r="BI13" i="44"/>
  <c r="O13" i="44"/>
  <c r="N13" i="44"/>
  <c r="M13" i="44"/>
  <c r="L13" i="44"/>
  <c r="D13" i="44"/>
  <c r="CI12" i="44"/>
  <c r="CH12" i="44"/>
  <c r="CG12" i="44"/>
  <c r="CF12" i="44"/>
  <c r="CE12" i="44"/>
  <c r="CD12" i="44"/>
  <c r="CC12" i="44"/>
  <c r="CB12" i="44"/>
  <c r="CA12" i="44"/>
  <c r="BZ12" i="44" s="1"/>
  <c r="BX12" i="44"/>
  <c r="BW12" i="44"/>
  <c r="BV12" i="44"/>
  <c r="BU12" i="44"/>
  <c r="BT12" i="44"/>
  <c r="BS12" i="44"/>
  <c r="BR12" i="44"/>
  <c r="BQ12" i="44"/>
  <c r="BP12" i="44"/>
  <c r="BO12" i="44" s="1"/>
  <c r="BJ12" i="44"/>
  <c r="BK12" i="44" s="1"/>
  <c r="BI12" i="44"/>
  <c r="O12" i="44"/>
  <c r="N12" i="44"/>
  <c r="M12" i="44"/>
  <c r="L12" i="44"/>
  <c r="D12" i="44"/>
  <c r="CI11" i="44"/>
  <c r="CH11" i="44"/>
  <c r="CG11" i="44"/>
  <c r="CF11" i="44"/>
  <c r="CE11" i="44"/>
  <c r="CD11" i="44"/>
  <c r="CC11" i="44"/>
  <c r="CB11" i="44"/>
  <c r="CA11" i="44"/>
  <c r="BZ11" i="44"/>
  <c r="BX11" i="44"/>
  <c r="BW11" i="44"/>
  <c r="BV11" i="44"/>
  <c r="BU11" i="44"/>
  <c r="BT11" i="44"/>
  <c r="BS11" i="44"/>
  <c r="BR11" i="44"/>
  <c r="BQ11" i="44"/>
  <c r="BP11" i="44"/>
  <c r="BO11" i="44"/>
  <c r="BJ11" i="44"/>
  <c r="BI11" i="44"/>
  <c r="O11" i="44"/>
  <c r="N11" i="44"/>
  <c r="M11" i="44"/>
  <c r="L11" i="44"/>
  <c r="D11" i="44"/>
  <c r="CI10" i="44"/>
  <c r="CH10" i="44"/>
  <c r="CG10" i="44"/>
  <c r="CF10" i="44"/>
  <c r="CE10" i="44"/>
  <c r="CD10" i="44"/>
  <c r="CC10" i="44"/>
  <c r="CB10" i="44"/>
  <c r="CA10" i="44"/>
  <c r="BZ10" i="44" s="1"/>
  <c r="BX10" i="44"/>
  <c r="BW10" i="44"/>
  <c r="BV10" i="44"/>
  <c r="BU10" i="44"/>
  <c r="BT10" i="44"/>
  <c r="BS10" i="44"/>
  <c r="BR10" i="44"/>
  <c r="BQ10" i="44"/>
  <c r="BP10" i="44"/>
  <c r="BO10" i="44" s="1"/>
  <c r="BJ10" i="44"/>
  <c r="BI10" i="44"/>
  <c r="O10" i="44"/>
  <c r="N10" i="44"/>
  <c r="M10" i="44"/>
  <c r="L10" i="44"/>
  <c r="D10" i="44"/>
  <c r="CI9" i="44"/>
  <c r="CH9" i="44"/>
  <c r="CG9" i="44"/>
  <c r="CF9" i="44"/>
  <c r="CE9" i="44"/>
  <c r="CD9" i="44"/>
  <c r="CC9" i="44"/>
  <c r="CB9" i="44"/>
  <c r="CA9" i="44"/>
  <c r="BZ9" i="44" s="1"/>
  <c r="BX9" i="44"/>
  <c r="BW9" i="44"/>
  <c r="BV9" i="44"/>
  <c r="BU9" i="44"/>
  <c r="BT9" i="44"/>
  <c r="BS9" i="44"/>
  <c r="BR9" i="44"/>
  <c r="BQ9" i="44"/>
  <c r="BP9" i="44"/>
  <c r="BO9" i="44" s="1"/>
  <c r="BJ9" i="44"/>
  <c r="BI9" i="44"/>
  <c r="O9" i="44"/>
  <c r="N9" i="44"/>
  <c r="M9" i="44"/>
  <c r="L9" i="44"/>
  <c r="D9" i="44"/>
  <c r="CI8" i="44"/>
  <c r="CH8" i="44"/>
  <c r="CG8" i="44"/>
  <c r="CF8" i="44"/>
  <c r="CE8" i="44"/>
  <c r="CD8" i="44"/>
  <c r="CC8" i="44"/>
  <c r="CB8" i="44"/>
  <c r="CA8" i="44"/>
  <c r="BZ8" i="44" s="1"/>
  <c r="BX8" i="44"/>
  <c r="BW8" i="44"/>
  <c r="BV8" i="44"/>
  <c r="BU8" i="44"/>
  <c r="BT8" i="44"/>
  <c r="BS8" i="44"/>
  <c r="BR8" i="44"/>
  <c r="BQ8" i="44"/>
  <c r="BP8" i="44"/>
  <c r="BO8" i="44" s="1"/>
  <c r="BJ8" i="44"/>
  <c r="BI8" i="44"/>
  <c r="BK8" i="44" s="1"/>
  <c r="O8" i="44"/>
  <c r="N8" i="44"/>
  <c r="M8" i="44"/>
  <c r="L8" i="44"/>
  <c r="D8" i="44"/>
  <c r="CI7" i="44"/>
  <c r="CH7" i="44"/>
  <c r="CG7" i="44"/>
  <c r="CF7" i="44"/>
  <c r="CE7" i="44"/>
  <c r="CD7" i="44"/>
  <c r="CC7" i="44"/>
  <c r="CB7" i="44"/>
  <c r="CA7" i="44"/>
  <c r="BZ7" i="44" s="1"/>
  <c r="BX7" i="44"/>
  <c r="BW7" i="44"/>
  <c r="BV7" i="44"/>
  <c r="BU7" i="44"/>
  <c r="BT7" i="44"/>
  <c r="BS7" i="44"/>
  <c r="BR7" i="44"/>
  <c r="BQ7" i="44"/>
  <c r="BP7" i="44"/>
  <c r="BO7" i="44" s="1"/>
  <c r="BJ7" i="44"/>
  <c r="BI7" i="44"/>
  <c r="O7" i="44"/>
  <c r="N7" i="44"/>
  <c r="M7" i="44"/>
  <c r="L7" i="44"/>
  <c r="D7" i="44"/>
  <c r="CI6" i="44"/>
  <c r="CH6" i="44"/>
  <c r="CG6" i="44"/>
  <c r="CF6" i="44"/>
  <c r="CE6" i="44"/>
  <c r="CD6" i="44"/>
  <c r="CC6" i="44"/>
  <c r="CB6" i="44"/>
  <c r="CA6" i="44"/>
  <c r="BZ6" i="44" s="1"/>
  <c r="BX6" i="44"/>
  <c r="BW6" i="44"/>
  <c r="BV6" i="44"/>
  <c r="BU6" i="44"/>
  <c r="BT6" i="44"/>
  <c r="BS6" i="44"/>
  <c r="BR6" i="44"/>
  <c r="BQ6" i="44"/>
  <c r="BP6" i="44"/>
  <c r="BO6" i="44" s="1"/>
  <c r="BJ6" i="44"/>
  <c r="BI6" i="44"/>
  <c r="O6" i="44"/>
  <c r="N6" i="44"/>
  <c r="M6" i="44"/>
  <c r="L6" i="44"/>
  <c r="D6" i="44"/>
  <c r="CI5" i="44"/>
  <c r="CH5" i="44"/>
  <c r="CG5" i="44"/>
  <c r="CF5" i="44"/>
  <c r="CE5" i="44"/>
  <c r="CD5" i="44"/>
  <c r="CC5" i="44"/>
  <c r="CB5" i="44"/>
  <c r="CA5" i="44"/>
  <c r="BZ5" i="44" s="1"/>
  <c r="BX5" i="44"/>
  <c r="BW5" i="44"/>
  <c r="BV5" i="44"/>
  <c r="BU5" i="44"/>
  <c r="BT5" i="44"/>
  <c r="BS5" i="44"/>
  <c r="BR5" i="44"/>
  <c r="BQ5" i="44"/>
  <c r="BP5" i="44"/>
  <c r="BO5" i="44" s="1"/>
  <c r="BJ5" i="44"/>
  <c r="BI5" i="44"/>
  <c r="O5" i="44"/>
  <c r="N5" i="44"/>
  <c r="M5" i="44"/>
  <c r="L5" i="44"/>
  <c r="D5" i="44"/>
  <c r="CI4" i="44"/>
  <c r="CH4" i="44"/>
  <c r="CG4" i="44"/>
  <c r="CF4" i="44"/>
  <c r="CE4" i="44"/>
  <c r="CD4" i="44"/>
  <c r="CC4" i="44"/>
  <c r="CB4" i="44"/>
  <c r="CA4" i="44"/>
  <c r="BX4" i="44"/>
  <c r="BW4" i="44"/>
  <c r="BV4" i="44"/>
  <c r="BU4" i="44"/>
  <c r="BT4" i="44"/>
  <c r="BS4" i="44"/>
  <c r="BR4" i="44"/>
  <c r="BQ4" i="44"/>
  <c r="BP4" i="44"/>
  <c r="BK22" i="44"/>
  <c r="BK21" i="44"/>
  <c r="O4" i="44"/>
  <c r="BK20" i="44" s="1"/>
  <c r="N4" i="44"/>
  <c r="BK19" i="44" s="1"/>
  <c r="M4" i="44"/>
  <c r="BK18" i="44" s="1"/>
  <c r="L4" i="44"/>
  <c r="BK14" i="44" s="1"/>
  <c r="K4" i="44"/>
  <c r="J4" i="44"/>
  <c r="BK15" i="44" s="1"/>
  <c r="I4" i="44"/>
  <c r="H4" i="44"/>
  <c r="G4" i="44"/>
  <c r="E4" i="44"/>
  <c r="D4" i="44"/>
  <c r="B4" i="44"/>
  <c r="N43" i="64"/>
  <c r="N44" i="64" s="1"/>
  <c r="N45" i="64" s="1"/>
  <c r="N46" i="64" s="1"/>
  <c r="N47" i="64" s="1"/>
  <c r="N48" i="64" s="1"/>
  <c r="N49" i="64" s="1"/>
  <c r="M43" i="64"/>
  <c r="M44" i="64" s="1"/>
  <c r="H43" i="64"/>
  <c r="H44" i="64" s="1"/>
  <c r="H45" i="64" s="1"/>
  <c r="G43" i="64"/>
  <c r="G44" i="64" s="1"/>
  <c r="G45" i="64" s="1"/>
  <c r="G46" i="64" s="1"/>
  <c r="F43" i="64"/>
  <c r="F44" i="64" s="1"/>
  <c r="D43" i="64"/>
  <c r="D44" i="64" s="1"/>
  <c r="D45" i="64" s="1"/>
  <c r="D46" i="64" s="1"/>
  <c r="D47" i="64" s="1"/>
  <c r="D48" i="64" s="1"/>
  <c r="D49" i="64" s="1"/>
  <c r="C43" i="64"/>
  <c r="C44" i="64" s="1"/>
  <c r="C45" i="64" s="1"/>
  <c r="C46" i="64" s="1"/>
  <c r="B43" i="64"/>
  <c r="B44" i="64" s="1"/>
  <c r="B45" i="64" s="1"/>
  <c r="I42" i="64"/>
  <c r="BC78" i="44" s="1"/>
  <c r="I41" i="64"/>
  <c r="BC77" i="44" s="1"/>
  <c r="I40" i="64"/>
  <c r="BC76" i="44" s="1"/>
  <c r="I39" i="64"/>
  <c r="BC75" i="44" s="1"/>
  <c r="I38" i="64"/>
  <c r="BC74" i="44" s="1"/>
  <c r="I37" i="64"/>
  <c r="BC73" i="44" s="1"/>
  <c r="I36" i="64"/>
  <c r="BC72" i="44" s="1"/>
  <c r="I35" i="64"/>
  <c r="BC71" i="44" s="1"/>
  <c r="I34" i="64"/>
  <c r="BC70" i="44" s="1"/>
  <c r="I33" i="64"/>
  <c r="BC69" i="44" s="1"/>
  <c r="A33" i="64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I32" i="64"/>
  <c r="BC68" i="44" s="1"/>
  <c r="K31" i="64"/>
  <c r="L31" i="64" s="1"/>
  <c r="I31" i="64"/>
  <c r="BC67" i="44" s="1"/>
  <c r="I30" i="64"/>
  <c r="BC66" i="44" s="1"/>
  <c r="K29" i="64"/>
  <c r="L29" i="64" s="1"/>
  <c r="I29" i="64"/>
  <c r="BC65" i="44" s="1"/>
  <c r="I28" i="64"/>
  <c r="BC64" i="44" s="1"/>
  <c r="K27" i="64"/>
  <c r="L27" i="64" s="1"/>
  <c r="I27" i="64"/>
  <c r="BC63" i="44" s="1"/>
  <c r="I26" i="64"/>
  <c r="BC62" i="44" s="1"/>
  <c r="K25" i="64"/>
  <c r="L25" i="64" s="1"/>
  <c r="I25" i="64"/>
  <c r="BC61" i="44" s="1"/>
  <c r="I24" i="64"/>
  <c r="BC60" i="44" s="1"/>
  <c r="K23" i="64"/>
  <c r="L23" i="64" s="1"/>
  <c r="I23" i="64"/>
  <c r="BC59" i="44" s="1"/>
  <c r="I22" i="64"/>
  <c r="BC58" i="44" s="1"/>
  <c r="K21" i="64"/>
  <c r="L21" i="64" s="1"/>
  <c r="I21" i="64"/>
  <c r="BC57" i="44" s="1"/>
  <c r="I20" i="64"/>
  <c r="BC56" i="44" s="1"/>
  <c r="K19" i="64"/>
  <c r="L19" i="64" s="1"/>
  <c r="I19" i="64"/>
  <c r="BC55" i="44" s="1"/>
  <c r="I18" i="64"/>
  <c r="BC54" i="44" s="1"/>
  <c r="K17" i="64"/>
  <c r="L17" i="64" s="1"/>
  <c r="I17" i="64"/>
  <c r="BC53" i="44" s="1"/>
  <c r="I16" i="64"/>
  <c r="BC52" i="44" s="1"/>
  <c r="BD52" i="44" s="1"/>
  <c r="BE52" i="44" s="1"/>
  <c r="K15" i="64"/>
  <c r="L15" i="64" s="1"/>
  <c r="I15" i="64"/>
  <c r="BC51" i="44" s="1"/>
  <c r="BD51" i="44" s="1"/>
  <c r="BD9" i="44" s="1"/>
  <c r="I14" i="64"/>
  <c r="BC50" i="44" s="1"/>
  <c r="BD50" i="44" s="1"/>
  <c r="BD8" i="44" s="1"/>
  <c r="K13" i="64"/>
  <c r="L13" i="64" s="1"/>
  <c r="I13" i="64"/>
  <c r="BC49" i="44" s="1"/>
  <c r="BD49" i="44" s="1"/>
  <c r="BD7" i="44" s="1"/>
  <c r="I12" i="64"/>
  <c r="BC48" i="44" s="1"/>
  <c r="BD48" i="44" s="1"/>
  <c r="BD6" i="44" s="1"/>
  <c r="D12" i="64"/>
  <c r="C12" i="64"/>
  <c r="B12" i="64"/>
  <c r="O15" i="64" l="1"/>
  <c r="O19" i="64"/>
  <c r="P19" i="64"/>
  <c r="O23" i="64"/>
  <c r="P23" i="64"/>
  <c r="O27" i="64"/>
  <c r="P27" i="64"/>
  <c r="O31" i="64"/>
  <c r="P31" i="64"/>
  <c r="B46" i="64"/>
  <c r="C47" i="64"/>
  <c r="F45" i="64"/>
  <c r="I45" i="64" s="1"/>
  <c r="K45" i="64" s="1"/>
  <c r="I44" i="64"/>
  <c r="K44" i="64" s="1"/>
  <c r="O13" i="64"/>
  <c r="O17" i="64"/>
  <c r="P17" i="64"/>
  <c r="O21" i="64"/>
  <c r="P21" i="64"/>
  <c r="O25" i="64"/>
  <c r="P25" i="64"/>
  <c r="O29" i="64"/>
  <c r="P29" i="64"/>
  <c r="A45" i="64"/>
  <c r="F46" i="64"/>
  <c r="G47" i="64"/>
  <c r="L44" i="64"/>
  <c r="M45" i="64"/>
  <c r="K12" i="64"/>
  <c r="K14" i="64"/>
  <c r="L14" i="64" s="1"/>
  <c r="K16" i="64"/>
  <c r="L16" i="64" s="1"/>
  <c r="BD53" i="44"/>
  <c r="BC11" i="44"/>
  <c r="BA11" i="44" s="1"/>
  <c r="AW11" i="44"/>
  <c r="AY11" i="44"/>
  <c r="AU11" i="44"/>
  <c r="BE11" i="44" s="1"/>
  <c r="AQ11" i="44"/>
  <c r="AM11" i="44"/>
  <c r="AJ11" i="44"/>
  <c r="AF11" i="44"/>
  <c r="AB11" i="44"/>
  <c r="K18" i="64"/>
  <c r="L18" i="64" s="1"/>
  <c r="BD55" i="44"/>
  <c r="BA13" i="44"/>
  <c r="AW13" i="44"/>
  <c r="AS13" i="44"/>
  <c r="AO13" i="44"/>
  <c r="AK13" i="44"/>
  <c r="AH13" i="44"/>
  <c r="AD13" i="44"/>
  <c r="Z13" i="44"/>
  <c r="V13" i="44"/>
  <c r="BC13" i="44"/>
  <c r="AY13" i="44"/>
  <c r="AU13" i="44"/>
  <c r="AQ13" i="44"/>
  <c r="AM13" i="44"/>
  <c r="AJ13" i="44"/>
  <c r="AF13" i="44"/>
  <c r="AB13" i="44"/>
  <c r="X13" i="44"/>
  <c r="K20" i="64"/>
  <c r="L20" i="64" s="1"/>
  <c r="BD57" i="44"/>
  <c r="BC15" i="44"/>
  <c r="AW15" i="44"/>
  <c r="AS15" i="44"/>
  <c r="AO15" i="44"/>
  <c r="AK15" i="44"/>
  <c r="AH15" i="44"/>
  <c r="AD15" i="44"/>
  <c r="Z15" i="44"/>
  <c r="V15" i="44"/>
  <c r="R13" i="44"/>
  <c r="AY15" i="44"/>
  <c r="AU15" i="44"/>
  <c r="BE15" i="44" s="1"/>
  <c r="AQ15" i="44"/>
  <c r="AM15" i="44"/>
  <c r="AJ15" i="44"/>
  <c r="AF15" i="44"/>
  <c r="AB15" i="44"/>
  <c r="X15" i="44"/>
  <c r="K22" i="64"/>
  <c r="L22" i="64" s="1"/>
  <c r="BD59" i="44"/>
  <c r="BC17" i="44"/>
  <c r="AY17" i="44"/>
  <c r="AU17" i="44"/>
  <c r="AQ17" i="44"/>
  <c r="AM17" i="44"/>
  <c r="AJ17" i="44"/>
  <c r="AF17" i="44"/>
  <c r="AB17" i="44"/>
  <c r="X17" i="44"/>
  <c r="R15" i="44"/>
  <c r="BA17" i="44"/>
  <c r="AW17" i="44"/>
  <c r="AS17" i="44"/>
  <c r="AO17" i="44"/>
  <c r="AK17" i="44"/>
  <c r="AH17" i="44"/>
  <c r="AD17" i="44"/>
  <c r="Z17" i="44"/>
  <c r="V17" i="44"/>
  <c r="K24" i="64"/>
  <c r="L24" i="64" s="1"/>
  <c r="BD61" i="44"/>
  <c r="BA19" i="44"/>
  <c r="AW19" i="44"/>
  <c r="AS19" i="44"/>
  <c r="AO19" i="44"/>
  <c r="AK19" i="44"/>
  <c r="AH19" i="44"/>
  <c r="AD19" i="44"/>
  <c r="Z19" i="44"/>
  <c r="V19" i="44"/>
  <c r="BC19" i="44"/>
  <c r="AY19" i="44"/>
  <c r="AU19" i="44"/>
  <c r="BE19" i="44" s="1"/>
  <c r="AQ19" i="44"/>
  <c r="AM19" i="44"/>
  <c r="AJ19" i="44"/>
  <c r="AF19" i="44"/>
  <c r="AB19" i="44"/>
  <c r="X19" i="44"/>
  <c r="R17" i="44"/>
  <c r="K26" i="64"/>
  <c r="L26" i="64" s="1"/>
  <c r="BD63" i="44"/>
  <c r="BC21" i="44"/>
  <c r="AY21" i="44"/>
  <c r="AU21" i="44"/>
  <c r="BE21" i="44" s="1"/>
  <c r="AQ21" i="44"/>
  <c r="AM21" i="44"/>
  <c r="AJ21" i="44"/>
  <c r="AF21" i="44"/>
  <c r="AB21" i="44"/>
  <c r="V21" i="44"/>
  <c r="R19" i="44"/>
  <c r="BA21" i="44"/>
  <c r="AW21" i="44"/>
  <c r="AS21" i="44"/>
  <c r="AO21" i="44"/>
  <c r="AK21" i="44"/>
  <c r="AH21" i="44"/>
  <c r="AD21" i="44"/>
  <c r="Z21" i="44"/>
  <c r="K28" i="64"/>
  <c r="L28" i="64" s="1"/>
  <c r="BD65" i="44"/>
  <c r="AY23" i="44"/>
  <c r="AU23" i="44"/>
  <c r="AQ23" i="44"/>
  <c r="AM23" i="44"/>
  <c r="AJ23" i="44"/>
  <c r="AF23" i="44"/>
  <c r="AB23" i="44"/>
  <c r="X23" i="44"/>
  <c r="R21" i="44"/>
  <c r="BA23" i="44"/>
  <c r="AW23" i="44"/>
  <c r="AS23" i="44"/>
  <c r="AO23" i="44"/>
  <c r="AK23" i="44"/>
  <c r="AH23" i="44"/>
  <c r="AD23" i="44"/>
  <c r="Z23" i="44"/>
  <c r="V23" i="44"/>
  <c r="K30" i="64"/>
  <c r="L30" i="64" s="1"/>
  <c r="BD67" i="44"/>
  <c r="BA25" i="44"/>
  <c r="AW25" i="44"/>
  <c r="AS25" i="44"/>
  <c r="AO25" i="44"/>
  <c r="AK25" i="44"/>
  <c r="AH25" i="44"/>
  <c r="AB25" i="44"/>
  <c r="X25" i="44"/>
  <c r="BC25" i="44"/>
  <c r="AY25" i="44"/>
  <c r="AU25" i="44"/>
  <c r="BE25" i="44" s="1"/>
  <c r="AQ25" i="44"/>
  <c r="AM25" i="44"/>
  <c r="AJ25" i="44"/>
  <c r="AD25" i="44"/>
  <c r="Z25" i="44"/>
  <c r="V25" i="44"/>
  <c r="R23" i="44"/>
  <c r="K32" i="64"/>
  <c r="L32" i="64" s="1"/>
  <c r="K33" i="64"/>
  <c r="L33" i="64" s="1"/>
  <c r="K34" i="64"/>
  <c r="L34" i="64" s="1"/>
  <c r="K35" i="64"/>
  <c r="L35" i="64" s="1"/>
  <c r="K36" i="64"/>
  <c r="L36" i="64" s="1"/>
  <c r="K37" i="64"/>
  <c r="L37" i="64" s="1"/>
  <c r="K38" i="64"/>
  <c r="L38" i="64" s="1"/>
  <c r="K39" i="64"/>
  <c r="L39" i="64" s="1"/>
  <c r="K40" i="64"/>
  <c r="L40" i="64" s="1"/>
  <c r="K41" i="64"/>
  <c r="L41" i="64" s="1"/>
  <c r="K42" i="64"/>
  <c r="L42" i="64" s="1"/>
  <c r="BK16" i="44"/>
  <c r="BL15" i="44"/>
  <c r="R4" i="44"/>
  <c r="BK23" i="44" s="1"/>
  <c r="S5" i="44"/>
  <c r="S6" i="44"/>
  <c r="X6" i="44"/>
  <c r="AB6" i="44"/>
  <c r="AF6" i="44"/>
  <c r="AJ6" i="44"/>
  <c r="AM6" i="44"/>
  <c r="BL18" i="44" s="1"/>
  <c r="AQ6" i="44"/>
  <c r="AU6" i="44"/>
  <c r="BE6" i="44" s="1"/>
  <c r="AY6" i="44"/>
  <c r="BL21" i="44" s="1"/>
  <c r="BC6" i="44"/>
  <c r="V7" i="44"/>
  <c r="S7" i="44" s="1"/>
  <c r="Z7" i="44"/>
  <c r="AD7" i="44"/>
  <c r="AH7" i="44"/>
  <c r="AK7" i="44"/>
  <c r="AO7" i="44"/>
  <c r="AS7" i="44"/>
  <c r="AW7" i="44"/>
  <c r="BA7" i="44"/>
  <c r="R8" i="44"/>
  <c r="V8" i="44"/>
  <c r="Z8" i="44"/>
  <c r="AD8" i="44"/>
  <c r="AH8" i="44"/>
  <c r="AK8" i="44"/>
  <c r="AO8" i="44"/>
  <c r="AS8" i="44"/>
  <c r="AW8" i="44"/>
  <c r="BA8" i="44"/>
  <c r="X9" i="44"/>
  <c r="AB9" i="44"/>
  <c r="AF9" i="44"/>
  <c r="AJ9" i="44"/>
  <c r="AM9" i="44"/>
  <c r="AQ9" i="44"/>
  <c r="AU9" i="44"/>
  <c r="BE9" i="44" s="1"/>
  <c r="AY9" i="44"/>
  <c r="BC9" i="44"/>
  <c r="X10" i="44"/>
  <c r="AB10" i="44"/>
  <c r="AF10" i="44"/>
  <c r="AK10" i="44"/>
  <c r="AJ10" i="44" s="1"/>
  <c r="AO10" i="44"/>
  <c r="AS10" i="44"/>
  <c r="AW10" i="44"/>
  <c r="BA10" i="44"/>
  <c r="BD10" i="44"/>
  <c r="R11" i="44"/>
  <c r="V11" i="44"/>
  <c r="Z11" i="44"/>
  <c r="AH11" i="44"/>
  <c r="AO11" i="44"/>
  <c r="BD54" i="44"/>
  <c r="BC12" i="44"/>
  <c r="AY12" i="44"/>
  <c r="AU12" i="44"/>
  <c r="AQ12" i="44"/>
  <c r="AM12" i="44"/>
  <c r="AN12" i="44" s="1"/>
  <c r="AJ12" i="44"/>
  <c r="AF12" i="44"/>
  <c r="AB12" i="44"/>
  <c r="AC12" i="44" s="1"/>
  <c r="X12" i="44"/>
  <c r="BA12" i="44"/>
  <c r="AW12" i="44"/>
  <c r="AX13" i="44" s="1"/>
  <c r="AS12" i="44"/>
  <c r="AO12" i="44"/>
  <c r="AP13" i="44" s="1"/>
  <c r="AK12" i="44"/>
  <c r="AH12" i="44"/>
  <c r="AD12" i="44"/>
  <c r="Z12" i="44"/>
  <c r="V12" i="44"/>
  <c r="W12" i="44" s="1"/>
  <c r="BD56" i="44"/>
  <c r="BC14" i="44"/>
  <c r="AY14" i="44"/>
  <c r="AU14" i="44"/>
  <c r="BE14" i="44" s="1"/>
  <c r="AQ14" i="44"/>
  <c r="AR14" i="44" s="1"/>
  <c r="AM14" i="44"/>
  <c r="AJ14" i="44"/>
  <c r="AF14" i="44"/>
  <c r="AB14" i="44"/>
  <c r="X14" i="44"/>
  <c r="BA14" i="44"/>
  <c r="AW14" i="44"/>
  <c r="AX15" i="44" s="1"/>
  <c r="AS14" i="44"/>
  <c r="AT14" i="44" s="1"/>
  <c r="AO14" i="44"/>
  <c r="AP15" i="44" s="1"/>
  <c r="AK14" i="44"/>
  <c r="AL15" i="44" s="1"/>
  <c r="AH14" i="44"/>
  <c r="AD14" i="44"/>
  <c r="Z14" i="44"/>
  <c r="V14" i="44"/>
  <c r="R12" i="44"/>
  <c r="BD58" i="44"/>
  <c r="BC16" i="44"/>
  <c r="AY16" i="44"/>
  <c r="AU16" i="44"/>
  <c r="BE16" i="44" s="1"/>
  <c r="AQ16" i="44"/>
  <c r="AM16" i="44"/>
  <c r="AN16" i="44" s="1"/>
  <c r="AJ16" i="44"/>
  <c r="AF16" i="44"/>
  <c r="AG16" i="44" s="1"/>
  <c r="AB16" i="44"/>
  <c r="AC17" i="44" s="1"/>
  <c r="X16" i="44"/>
  <c r="Y16" i="44" s="1"/>
  <c r="BA16" i="44"/>
  <c r="AW16" i="44"/>
  <c r="AX17" i="44" s="1"/>
  <c r="AS16" i="44"/>
  <c r="AO16" i="44"/>
  <c r="AK16" i="44"/>
  <c r="AL16" i="44" s="1"/>
  <c r="AH16" i="44"/>
  <c r="AI17" i="44" s="1"/>
  <c r="AD16" i="44"/>
  <c r="AE17" i="44" s="1"/>
  <c r="Z16" i="44"/>
  <c r="V16" i="44"/>
  <c r="W16" i="44" s="1"/>
  <c r="R14" i="44"/>
  <c r="BD60" i="44"/>
  <c r="BC18" i="44"/>
  <c r="AY18" i="44"/>
  <c r="AU18" i="44"/>
  <c r="BE18" i="44" s="1"/>
  <c r="AQ18" i="44"/>
  <c r="AM18" i="44"/>
  <c r="AN19" i="44" s="1"/>
  <c r="AJ18" i="44"/>
  <c r="AF18" i="44"/>
  <c r="AG19" i="44" s="1"/>
  <c r="AB18" i="44"/>
  <c r="AC18" i="44" s="1"/>
  <c r="X18" i="44"/>
  <c r="BA18" i="44"/>
  <c r="BB18" i="44" s="1"/>
  <c r="AW18" i="44"/>
  <c r="AS18" i="44"/>
  <c r="AT18" i="44" s="1"/>
  <c r="AO18" i="44"/>
  <c r="AK18" i="44"/>
  <c r="AL19" i="44" s="1"/>
  <c r="AH18" i="44"/>
  <c r="AI18" i="44" s="1"/>
  <c r="AD18" i="44"/>
  <c r="AE18" i="44" s="1"/>
  <c r="Z18" i="44"/>
  <c r="V18" i="44"/>
  <c r="W19" i="44" s="1"/>
  <c r="R16" i="44"/>
  <c r="BD62" i="44"/>
  <c r="BC20" i="44"/>
  <c r="AY20" i="44"/>
  <c r="AU20" i="44"/>
  <c r="BE20" i="44" s="1"/>
  <c r="AQ20" i="44"/>
  <c r="AR20" i="44" s="1"/>
  <c r="AM20" i="44"/>
  <c r="AH20" i="44"/>
  <c r="AD20" i="44"/>
  <c r="AE21" i="44" s="1"/>
  <c r="Z20" i="44"/>
  <c r="V20" i="44"/>
  <c r="W21" i="44" s="1"/>
  <c r="BA20" i="44"/>
  <c r="BB21" i="44" s="1"/>
  <c r="AW20" i="44"/>
  <c r="AS20" i="44"/>
  <c r="AT20" i="44" s="1"/>
  <c r="AO20" i="44"/>
  <c r="AK20" i="44"/>
  <c r="AJ20" i="44" s="1"/>
  <c r="AF20" i="44"/>
  <c r="AG21" i="44" s="1"/>
  <c r="AB20" i="44"/>
  <c r="AC21" i="44" s="1"/>
  <c r="X20" i="44"/>
  <c r="R18" i="44"/>
  <c r="BD64" i="44"/>
  <c r="BC22" i="44"/>
  <c r="AW22" i="44"/>
  <c r="AX22" i="44" s="1"/>
  <c r="AS22" i="44"/>
  <c r="AO22" i="44"/>
  <c r="AK22" i="44"/>
  <c r="AH22" i="44"/>
  <c r="AD22" i="44"/>
  <c r="Z22" i="44"/>
  <c r="V22" i="44"/>
  <c r="W23" i="44" s="1"/>
  <c r="R20" i="44"/>
  <c r="BA22" i="44"/>
  <c r="AY22" i="44" s="1"/>
  <c r="AU22" i="44"/>
  <c r="BE22" i="44" s="1"/>
  <c r="AQ22" i="44"/>
  <c r="AM22" i="44"/>
  <c r="AJ22" i="44"/>
  <c r="AF22" i="44"/>
  <c r="AB22" i="44"/>
  <c r="X22" i="44"/>
  <c r="Y23" i="44" s="1"/>
  <c r="BD66" i="44"/>
  <c r="BA24" i="44"/>
  <c r="AW24" i="44"/>
  <c r="AX25" i="44" s="1"/>
  <c r="AS24" i="44"/>
  <c r="AO24" i="44"/>
  <c r="AK24" i="44"/>
  <c r="AH24" i="44"/>
  <c r="AI25" i="44" s="1"/>
  <c r="AD24" i="44"/>
  <c r="AE24" i="44" s="1"/>
  <c r="Z24" i="44"/>
  <c r="V24" i="44"/>
  <c r="W25" i="44" s="1"/>
  <c r="R22" i="44"/>
  <c r="BC24" i="44"/>
  <c r="AY24" i="44"/>
  <c r="AU24" i="44"/>
  <c r="BE24" i="44" s="1"/>
  <c r="AQ24" i="44"/>
  <c r="AM24" i="44"/>
  <c r="AJ24" i="44"/>
  <c r="AF24" i="44"/>
  <c r="AG24" i="44" s="1"/>
  <c r="AB24" i="44"/>
  <c r="AC24" i="44" s="1"/>
  <c r="X24" i="44"/>
  <c r="Y25" i="44" s="1"/>
  <c r="BD68" i="44"/>
  <c r="AY26" i="44"/>
  <c r="AU26" i="44"/>
  <c r="AQ26" i="44"/>
  <c r="AM26" i="44"/>
  <c r="AJ26" i="44"/>
  <c r="AF26" i="44"/>
  <c r="AB26" i="44"/>
  <c r="X26" i="44"/>
  <c r="R24" i="44"/>
  <c r="BA26" i="44"/>
  <c r="AW26" i="44"/>
  <c r="AS26" i="44"/>
  <c r="AO26" i="44"/>
  <c r="AK26" i="44"/>
  <c r="AH26" i="44"/>
  <c r="AD26" i="44"/>
  <c r="Z26" i="44"/>
  <c r="V26" i="44"/>
  <c r="BD69" i="44"/>
  <c r="BA27" i="44"/>
  <c r="AY27" i="44" s="1"/>
  <c r="AU27" i="44"/>
  <c r="BE27" i="44" s="1"/>
  <c r="AQ27" i="44"/>
  <c r="AM27" i="44"/>
  <c r="AJ27" i="44"/>
  <c r="AF27" i="44"/>
  <c r="AB27" i="44"/>
  <c r="X27" i="44"/>
  <c r="BC27" i="44"/>
  <c r="AW27" i="44"/>
  <c r="AX27" i="44" s="1"/>
  <c r="AS27" i="44"/>
  <c r="AO27" i="44"/>
  <c r="AK27" i="44"/>
  <c r="AH27" i="44"/>
  <c r="AI27" i="44" s="1"/>
  <c r="AD27" i="44"/>
  <c r="AE27" i="44" s="1"/>
  <c r="Z27" i="44"/>
  <c r="V27" i="44"/>
  <c r="W28" i="44" s="1"/>
  <c r="R25" i="44"/>
  <c r="BD70" i="44"/>
  <c r="S26" i="44" s="1"/>
  <c r="BA28" i="44"/>
  <c r="AW28" i="44"/>
  <c r="AX28" i="44" s="1"/>
  <c r="AS28" i="44"/>
  <c r="AO28" i="44"/>
  <c r="AK28" i="44"/>
  <c r="AH28" i="44"/>
  <c r="AD28" i="44"/>
  <c r="Z28" i="44"/>
  <c r="V28" i="44"/>
  <c r="BC28" i="44"/>
  <c r="AY28" i="44"/>
  <c r="AU28" i="44"/>
  <c r="BE28" i="44" s="1"/>
  <c r="BD28" i="44" s="1"/>
  <c r="AQ28" i="44"/>
  <c r="AR28" i="44" s="1"/>
  <c r="AM28" i="44"/>
  <c r="AJ28" i="44"/>
  <c r="AF28" i="44"/>
  <c r="AG29" i="44" s="1"/>
  <c r="AB28" i="44"/>
  <c r="X28" i="44"/>
  <c r="R26" i="44"/>
  <c r="BD71" i="44"/>
  <c r="BC29" i="44"/>
  <c r="AY29" i="44"/>
  <c r="AU29" i="44"/>
  <c r="BE29" i="44" s="1"/>
  <c r="AQ29" i="44"/>
  <c r="AM29" i="44"/>
  <c r="AJ29" i="44"/>
  <c r="AD29" i="44"/>
  <c r="Z29" i="44"/>
  <c r="V29" i="44"/>
  <c r="W29" i="44" s="1"/>
  <c r="BA29" i="44"/>
  <c r="BB29" i="44" s="1"/>
  <c r="AW29" i="44"/>
  <c r="AS29" i="44"/>
  <c r="AO29" i="44"/>
  <c r="AK29" i="44"/>
  <c r="AF29" i="44"/>
  <c r="AB29" i="44"/>
  <c r="X29" i="44"/>
  <c r="R27" i="44"/>
  <c r="BD72" i="44"/>
  <c r="AY30" i="44"/>
  <c r="AU30" i="44"/>
  <c r="AQ30" i="44"/>
  <c r="AM30" i="44"/>
  <c r="AN30" i="44" s="1"/>
  <c r="AJ30" i="44"/>
  <c r="AF30" i="44"/>
  <c r="AB30" i="44"/>
  <c r="X30" i="44"/>
  <c r="Y30" i="44" s="1"/>
  <c r="R28" i="44"/>
  <c r="BC30" i="44"/>
  <c r="AW30" i="44"/>
  <c r="AS30" i="44"/>
  <c r="AO30" i="44"/>
  <c r="AK30" i="44"/>
  <c r="AH30" i="44"/>
  <c r="AD30" i="44"/>
  <c r="Z30" i="44"/>
  <c r="V30" i="44"/>
  <c r="BD73" i="44"/>
  <c r="BA31" i="44"/>
  <c r="AW31" i="44"/>
  <c r="AS31" i="44"/>
  <c r="AT31" i="44" s="1"/>
  <c r="AO31" i="44"/>
  <c r="AP31" i="44" s="1"/>
  <c r="AK31" i="44"/>
  <c r="AH31" i="44"/>
  <c r="AD31" i="44"/>
  <c r="AE31" i="44" s="1"/>
  <c r="Z31" i="44"/>
  <c r="V31" i="44"/>
  <c r="R29" i="44"/>
  <c r="BC31" i="44"/>
  <c r="AY31" i="44"/>
  <c r="AU31" i="44"/>
  <c r="BE31" i="44" s="1"/>
  <c r="AQ31" i="44"/>
  <c r="AR31" i="44" s="1"/>
  <c r="AM31" i="44"/>
  <c r="AJ31" i="44"/>
  <c r="AF31" i="44"/>
  <c r="AB31" i="44"/>
  <c r="AC31" i="44" s="1"/>
  <c r="X31" i="44"/>
  <c r="BD74" i="44"/>
  <c r="BD32" i="44" s="1"/>
  <c r="BA32" i="44"/>
  <c r="BB32" i="44" s="1"/>
  <c r="AW32" i="44"/>
  <c r="AS32" i="44"/>
  <c r="AT32" i="44" s="1"/>
  <c r="AM32" i="44"/>
  <c r="AJ32" i="44"/>
  <c r="AF32" i="44"/>
  <c r="AB32" i="44"/>
  <c r="X32" i="44"/>
  <c r="R30" i="44"/>
  <c r="BC32" i="44"/>
  <c r="AY32" i="44"/>
  <c r="AU32" i="44"/>
  <c r="BE32" i="44" s="1"/>
  <c r="AQ32" i="44"/>
  <c r="AK32" i="44"/>
  <c r="AH32" i="44"/>
  <c r="AD32" i="44"/>
  <c r="Z32" i="44"/>
  <c r="V32" i="44"/>
  <c r="BD75" i="44"/>
  <c r="S31" i="44" s="1"/>
  <c r="BC33" i="44"/>
  <c r="AY33" i="44"/>
  <c r="AS33" i="44"/>
  <c r="AO33" i="44"/>
  <c r="AK33" i="44"/>
  <c r="AH33" i="44"/>
  <c r="AD33" i="44"/>
  <c r="Z33" i="44"/>
  <c r="V33" i="44"/>
  <c r="R31" i="44"/>
  <c r="BA33" i="44"/>
  <c r="BB34" i="44" s="1"/>
  <c r="AW33" i="44"/>
  <c r="AU33" i="44" s="1"/>
  <c r="BE33" i="44" s="1"/>
  <c r="BD33" i="44" s="1"/>
  <c r="AQ33" i="44"/>
  <c r="AM33" i="44"/>
  <c r="AJ33" i="44"/>
  <c r="AF33" i="44"/>
  <c r="AB33" i="44"/>
  <c r="AC34" i="44" s="1"/>
  <c r="X33" i="44"/>
  <c r="BD76" i="44"/>
  <c r="BD34" i="44" s="1"/>
  <c r="BA34" i="44"/>
  <c r="AW34" i="44"/>
  <c r="AS34" i="44"/>
  <c r="AO34" i="44"/>
  <c r="AK34" i="44"/>
  <c r="AH34" i="44"/>
  <c r="AD34" i="44"/>
  <c r="Z34" i="44"/>
  <c r="V34" i="44"/>
  <c r="AJ34" i="44"/>
  <c r="AB34" i="44"/>
  <c r="BC34" i="44"/>
  <c r="AY34" i="44"/>
  <c r="AU34" i="44"/>
  <c r="AQ34" i="44"/>
  <c r="AM34" i="44"/>
  <c r="AF34" i="44"/>
  <c r="X34" i="44"/>
  <c r="R32" i="44"/>
  <c r="BD77" i="44"/>
  <c r="BC35" i="44"/>
  <c r="AY35" i="44"/>
  <c r="AU35" i="44"/>
  <c r="BE35" i="44" s="1"/>
  <c r="AQ35" i="44"/>
  <c r="AM35" i="44"/>
  <c r="AJ35" i="44"/>
  <c r="AF35" i="44"/>
  <c r="AG35" i="44" s="1"/>
  <c r="AB35" i="44"/>
  <c r="X35" i="44"/>
  <c r="BA35" i="44"/>
  <c r="AW35" i="44"/>
  <c r="AS35" i="44"/>
  <c r="AO35" i="44"/>
  <c r="AK35" i="44"/>
  <c r="AH35" i="44"/>
  <c r="AI35" i="44" s="1"/>
  <c r="AD35" i="44"/>
  <c r="AE35" i="44" s="1"/>
  <c r="Z35" i="44"/>
  <c r="V35" i="44"/>
  <c r="W35" i="44" s="1"/>
  <c r="R33" i="44"/>
  <c r="BC79" i="44"/>
  <c r="BD78" i="44"/>
  <c r="BA36" i="44"/>
  <c r="BB36" i="44" s="1"/>
  <c r="AW36" i="44"/>
  <c r="AX36" i="44" s="1"/>
  <c r="AS36" i="44"/>
  <c r="AO36" i="44"/>
  <c r="AK36" i="44"/>
  <c r="AH36" i="44"/>
  <c r="AI36" i="44" s="1"/>
  <c r="AD36" i="44"/>
  <c r="AE36" i="44" s="1"/>
  <c r="Z36" i="44"/>
  <c r="AA36" i="44" s="1"/>
  <c r="V36" i="44"/>
  <c r="W36" i="44" s="1"/>
  <c r="BC36" i="44"/>
  <c r="AY36" i="44"/>
  <c r="AZ36" i="44" s="1"/>
  <c r="AU36" i="44"/>
  <c r="AQ36" i="44"/>
  <c r="AM36" i="44"/>
  <c r="AN36" i="44" s="1"/>
  <c r="AJ36" i="44"/>
  <c r="AF36" i="44"/>
  <c r="AG36" i="44" s="1"/>
  <c r="AB36" i="44"/>
  <c r="AC36" i="44" s="1"/>
  <c r="X36" i="44"/>
  <c r="Y36" i="44" s="1"/>
  <c r="R34" i="44"/>
  <c r="I43" i="64"/>
  <c r="K43" i="64" s="1"/>
  <c r="L43" i="64"/>
  <c r="P43" i="64" s="1"/>
  <c r="S4" i="44"/>
  <c r="BK24" i="44" s="1"/>
  <c r="R5" i="44"/>
  <c r="R6" i="44"/>
  <c r="V6" i="44"/>
  <c r="Z6" i="44"/>
  <c r="AD6" i="44"/>
  <c r="AH6" i="44"/>
  <c r="AK6" i="44"/>
  <c r="AO6" i="44"/>
  <c r="AS6" i="44"/>
  <c r="BL20" i="44" s="1"/>
  <c r="AW6" i="44"/>
  <c r="BA6" i="44"/>
  <c r="BL22" i="44" s="1"/>
  <c r="R7" i="44"/>
  <c r="X7" i="44"/>
  <c r="AB7" i="44"/>
  <c r="AF7" i="44"/>
  <c r="AJ7" i="44"/>
  <c r="AM7" i="44"/>
  <c r="AQ7" i="44"/>
  <c r="AU7" i="44"/>
  <c r="BE7" i="44" s="1"/>
  <c r="AY7" i="44"/>
  <c r="BC7" i="44"/>
  <c r="S8" i="44"/>
  <c r="X8" i="44"/>
  <c r="AB8" i="44"/>
  <c r="AF8" i="44"/>
  <c r="AJ8" i="44"/>
  <c r="AM8" i="44"/>
  <c r="AQ8" i="44"/>
  <c r="AU8" i="44"/>
  <c r="BE8" i="44" s="1"/>
  <c r="AY8" i="44"/>
  <c r="BC8" i="44"/>
  <c r="R9" i="44"/>
  <c r="V9" i="44"/>
  <c r="Z9" i="44"/>
  <c r="AD9" i="44"/>
  <c r="AH9" i="44"/>
  <c r="AK9" i="44"/>
  <c r="AO9" i="44"/>
  <c r="AS9" i="44"/>
  <c r="AW9" i="44"/>
  <c r="BA9" i="44"/>
  <c r="R10" i="44"/>
  <c r="V10" i="44"/>
  <c r="Z10" i="44"/>
  <c r="AD10" i="44"/>
  <c r="AH10" i="44"/>
  <c r="AM10" i="44"/>
  <c r="AQ10" i="44"/>
  <c r="AU10" i="44"/>
  <c r="BE10" i="44" s="1"/>
  <c r="AY10" i="44"/>
  <c r="BC10" i="44"/>
  <c r="X11" i="44"/>
  <c r="AD11" i="44"/>
  <c r="AK11" i="44"/>
  <c r="AS11" i="44"/>
  <c r="A27" i="44"/>
  <c r="A28" i="44" s="1"/>
  <c r="A29" i="44"/>
  <c r="A30" i="44"/>
  <c r="A31" i="44" s="1"/>
  <c r="A32" i="44" s="1"/>
  <c r="A33" i="44" s="1"/>
  <c r="A34" i="44" s="1"/>
  <c r="A35" i="44" s="1"/>
  <c r="A36" i="44" s="1"/>
  <c r="BZ70" i="44"/>
  <c r="Z82" i="44"/>
  <c r="X82" i="44" s="1"/>
  <c r="V82" i="44" s="1"/>
  <c r="AB83" i="44"/>
  <c r="BK10" i="44"/>
  <c r="BA83" i="44"/>
  <c r="AY83" i="44" s="1"/>
  <c r="AW83" i="44" s="1"/>
  <c r="AU83" i="44" s="1"/>
  <c r="AS83" i="44" s="1"/>
  <c r="AQ83" i="44" s="1"/>
  <c r="AO83" i="44" s="1"/>
  <c r="AM83" i="44" s="1"/>
  <c r="AK83" i="44" s="1"/>
  <c r="AJ83" i="44" s="1"/>
  <c r="AH83" i="44" s="1"/>
  <c r="AF83" i="44" s="1"/>
  <c r="AD83" i="44" s="1"/>
  <c r="Y12" i="44"/>
  <c r="AE12" i="44"/>
  <c r="AI12" i="44"/>
  <c r="AP12" i="44"/>
  <c r="BE12" i="44"/>
  <c r="W13" i="44"/>
  <c r="Y13" i="44"/>
  <c r="AI13" i="44"/>
  <c r="AN13" i="44"/>
  <c r="BB13" i="44"/>
  <c r="AC14" i="44"/>
  <c r="AG14" i="44"/>
  <c r="AL14" i="44"/>
  <c r="Y15" i="44"/>
  <c r="AC15" i="44"/>
  <c r="AI16" i="44"/>
  <c r="AP16" i="44"/>
  <c r="AT16" i="44"/>
  <c r="AX16" i="44"/>
  <c r="Y17" i="44"/>
  <c r="AL17" i="44"/>
  <c r="W18" i="44"/>
  <c r="AG18" i="44"/>
  <c r="AP18" i="44"/>
  <c r="AE19" i="44"/>
  <c r="AX19" i="44"/>
  <c r="W20" i="44"/>
  <c r="AC20" i="44"/>
  <c r="AE20" i="44"/>
  <c r="AG20" i="44"/>
  <c r="BB20" i="44"/>
  <c r="AL21" i="44"/>
  <c r="W22" i="44"/>
  <c r="AP22" i="44"/>
  <c r="AT22" i="44"/>
  <c r="BB22" i="44"/>
  <c r="AE23" i="44"/>
  <c r="AI23" i="44"/>
  <c r="AL23" i="44"/>
  <c r="AP23" i="44"/>
  <c r="AT23" i="44"/>
  <c r="AX23" i="44"/>
  <c r="BB23" i="44"/>
  <c r="BE23" i="44"/>
  <c r="AI24" i="44"/>
  <c r="AX24" i="44"/>
  <c r="AC25" i="44"/>
  <c r="AE25" i="44"/>
  <c r="AN25" i="44"/>
  <c r="BB25" i="44"/>
  <c r="AL26" i="44"/>
  <c r="AR26" i="44"/>
  <c r="W27" i="44"/>
  <c r="Y27" i="44"/>
  <c r="BB27" i="44"/>
  <c r="AC28" i="44"/>
  <c r="AE28" i="44"/>
  <c r="AG28" i="44"/>
  <c r="AI28" i="44"/>
  <c r="AL28" i="44"/>
  <c r="AT28" i="44"/>
  <c r="AX29" i="44"/>
  <c r="AG30" i="44"/>
  <c r="AP30" i="44"/>
  <c r="AT30" i="44"/>
  <c r="AX30" i="44"/>
  <c r="BE30" i="44"/>
  <c r="AG31" i="44"/>
  <c r="AI31" i="44"/>
  <c r="AE32" i="44"/>
  <c r="AL32" i="44"/>
  <c r="AR32" i="44"/>
  <c r="W33" i="44"/>
  <c r="Y33" i="44"/>
  <c r="AX33" i="44"/>
  <c r="BB33" i="44"/>
  <c r="AX34" i="44"/>
  <c r="AG12" i="44"/>
  <c r="AC13" i="44"/>
  <c r="AL13" i="44"/>
  <c r="AR13" i="44"/>
  <c r="BE13" i="44"/>
  <c r="AE14" i="44"/>
  <c r="AN14" i="44"/>
  <c r="AP14" i="44"/>
  <c r="AX14" i="44"/>
  <c r="W15" i="44"/>
  <c r="AN15" i="44"/>
  <c r="AR15" i="44"/>
  <c r="AT15" i="44"/>
  <c r="AE16" i="44"/>
  <c r="AR16" i="44"/>
  <c r="AG17" i="44"/>
  <c r="AN18" i="44"/>
  <c r="AR18" i="44"/>
  <c r="Y19" i="44"/>
  <c r="AC19" i="44"/>
  <c r="AI19" i="44"/>
  <c r="AP19" i="44"/>
  <c r="AR19" i="44"/>
  <c r="AT19" i="44"/>
  <c r="AP20" i="44"/>
  <c r="AI21" i="44"/>
  <c r="AX21" i="44"/>
  <c r="AI22" i="44"/>
  <c r="AN22" i="44"/>
  <c r="AR22" i="44"/>
  <c r="AG23" i="44"/>
  <c r="AN23" i="44"/>
  <c r="AR23" i="44"/>
  <c r="AN24" i="44"/>
  <c r="AP24" i="44"/>
  <c r="AR24" i="44"/>
  <c r="AT24" i="44"/>
  <c r="Y26" i="44"/>
  <c r="AP26" i="44"/>
  <c r="AT26" i="44"/>
  <c r="AX26" i="44"/>
  <c r="AC27" i="44"/>
  <c r="AN27" i="44"/>
  <c r="AR27" i="44"/>
  <c r="AT27" i="44"/>
  <c r="AP28" i="44"/>
  <c r="BB28" i="44"/>
  <c r="AN29" i="44"/>
  <c r="AR29" i="44"/>
  <c r="W30" i="44"/>
  <c r="AE30" i="44"/>
  <c r="AL30" i="44"/>
  <c r="AR30" i="44"/>
  <c r="W31" i="44"/>
  <c r="Y31" i="44"/>
  <c r="AN31" i="44"/>
  <c r="Y32" i="44"/>
  <c r="AC32" i="44"/>
  <c r="AE33" i="44"/>
  <c r="AG33" i="44"/>
  <c r="AI33" i="44"/>
  <c r="AN33" i="44"/>
  <c r="AT33" i="44"/>
  <c r="AR34" i="44"/>
  <c r="AP34" i="44"/>
  <c r="W49" i="20"/>
  <c r="V49" i="20"/>
  <c r="W48" i="20"/>
  <c r="W47" i="20"/>
  <c r="W46" i="20"/>
  <c r="W45" i="20"/>
  <c r="W44" i="20"/>
  <c r="D44" i="20"/>
  <c r="C44" i="20"/>
  <c r="W43" i="20"/>
  <c r="S43" i="20"/>
  <c r="R43" i="20"/>
  <c r="Q43" i="20"/>
  <c r="P43" i="20"/>
  <c r="O43" i="20"/>
  <c r="N43" i="20"/>
  <c r="L43" i="20"/>
  <c r="M43" i="20" s="1"/>
  <c r="K43" i="20"/>
  <c r="J43" i="20"/>
  <c r="I43" i="20"/>
  <c r="H43" i="20"/>
  <c r="G43" i="20"/>
  <c r="F43" i="20"/>
  <c r="E43" i="20"/>
  <c r="D43" i="20"/>
  <c r="C43" i="20"/>
  <c r="W42" i="20"/>
  <c r="Q42" i="20"/>
  <c r="P42" i="20" s="1"/>
  <c r="O42" i="20" s="1"/>
  <c r="N42" i="20"/>
  <c r="M42" i="20"/>
  <c r="L42" i="20"/>
  <c r="K42" i="20" s="1"/>
  <c r="J42" i="20"/>
  <c r="I42" i="20"/>
  <c r="H42" i="20"/>
  <c r="G42" i="20"/>
  <c r="F42" i="20"/>
  <c r="E42" i="20"/>
  <c r="D42" i="20"/>
  <c r="C42" i="20"/>
  <c r="W41" i="20"/>
  <c r="N41" i="20"/>
  <c r="L41" i="20"/>
  <c r="K41" i="20" s="1"/>
  <c r="J41" i="20"/>
  <c r="I41" i="20"/>
  <c r="H41" i="20"/>
  <c r="G41" i="20"/>
  <c r="F41" i="20"/>
  <c r="E41" i="20"/>
  <c r="D41" i="20"/>
  <c r="C41" i="20"/>
  <c r="W40" i="20"/>
  <c r="N40" i="20"/>
  <c r="L40" i="20"/>
  <c r="K40" i="20" s="1"/>
  <c r="J40" i="20"/>
  <c r="I40" i="20"/>
  <c r="H40" i="20"/>
  <c r="G40" i="20"/>
  <c r="F40" i="20"/>
  <c r="E40" i="20" s="1"/>
  <c r="D40" i="20"/>
  <c r="C40" i="20"/>
  <c r="W39" i="20"/>
  <c r="Q39" i="20"/>
  <c r="P39" i="20" s="1"/>
  <c r="O39" i="20" s="1"/>
  <c r="N39" i="20"/>
  <c r="L39" i="20"/>
  <c r="K39" i="20" s="1"/>
  <c r="J39" i="20"/>
  <c r="I39" i="20"/>
  <c r="H39" i="20"/>
  <c r="G39" i="20"/>
  <c r="F39" i="20"/>
  <c r="E39" i="20" s="1"/>
  <c r="D39" i="20"/>
  <c r="C39" i="20"/>
  <c r="BL10" i="44" l="1"/>
  <c r="BE36" i="44"/>
  <c r="AV36" i="44"/>
  <c r="BD79" i="44"/>
  <c r="BD36" i="44"/>
  <c r="S34" i="44"/>
  <c r="AP36" i="44"/>
  <c r="AP35" i="44"/>
  <c r="Y35" i="44"/>
  <c r="AN35" i="44"/>
  <c r="AZ35" i="44"/>
  <c r="AC35" i="44"/>
  <c r="BB35" i="44"/>
  <c r="Y34" i="44"/>
  <c r="AG34" i="44"/>
  <c r="AN34" i="44"/>
  <c r="AI34" i="44"/>
  <c r="AR33" i="44"/>
  <c r="AC33" i="44"/>
  <c r="AG32" i="44"/>
  <c r="AN32" i="44"/>
  <c r="W32" i="44"/>
  <c r="S30" i="44"/>
  <c r="AL31" i="44"/>
  <c r="BD30" i="44"/>
  <c r="S28" i="44"/>
  <c r="Y29" i="44"/>
  <c r="AC29" i="44"/>
  <c r="AE29" i="44"/>
  <c r="AL29" i="44"/>
  <c r="AT29" i="44"/>
  <c r="Y28" i="44"/>
  <c r="AG27" i="44"/>
  <c r="AN28" i="44"/>
  <c r="BD27" i="44"/>
  <c r="S25" i="44"/>
  <c r="AP27" i="44"/>
  <c r="BD24" i="44"/>
  <c r="BE64" i="44"/>
  <c r="BD22" i="44"/>
  <c r="S20" i="44"/>
  <c r="AL12" i="44"/>
  <c r="AX12" i="44"/>
  <c r="BE54" i="44"/>
  <c r="BD12" i="44"/>
  <c r="S10" i="44"/>
  <c r="P41" i="64"/>
  <c r="O41" i="64"/>
  <c r="P39" i="64"/>
  <c r="O39" i="64"/>
  <c r="P37" i="64"/>
  <c r="O37" i="64"/>
  <c r="P35" i="64"/>
  <c r="O35" i="64"/>
  <c r="P33" i="64"/>
  <c r="O33" i="64"/>
  <c r="AR25" i="44"/>
  <c r="AI26" i="44"/>
  <c r="AP25" i="44"/>
  <c r="BE67" i="44"/>
  <c r="BD25" i="44"/>
  <c r="S23" i="44"/>
  <c r="W24" i="44"/>
  <c r="AL24" i="44"/>
  <c r="BB24" i="44"/>
  <c r="Y24" i="44"/>
  <c r="BE65" i="44"/>
  <c r="BD23" i="44"/>
  <c r="BC23" i="44" s="1"/>
  <c r="S21" i="44"/>
  <c r="AP21" i="44"/>
  <c r="AC22" i="44"/>
  <c r="AR21" i="44"/>
  <c r="BE63" i="44"/>
  <c r="BD21" i="44"/>
  <c r="S19" i="44"/>
  <c r="AL20" i="44"/>
  <c r="BB19" i="44"/>
  <c r="P24" i="64"/>
  <c r="O24" i="64"/>
  <c r="AP17" i="44"/>
  <c r="AX18" i="44"/>
  <c r="AR17" i="44"/>
  <c r="BE59" i="44"/>
  <c r="BD17" i="44"/>
  <c r="S15" i="44"/>
  <c r="AG15" i="44"/>
  <c r="AI15" i="44"/>
  <c r="BE57" i="44"/>
  <c r="BD15" i="44"/>
  <c r="S13" i="44"/>
  <c r="Y14" i="44"/>
  <c r="AG13" i="44"/>
  <c r="AI14" i="44"/>
  <c r="BE55" i="44"/>
  <c r="BD13" i="44"/>
  <c r="S11" i="44"/>
  <c r="AR12" i="44"/>
  <c r="BB12" i="44"/>
  <c r="P16" i="64"/>
  <c r="O16" i="64"/>
  <c r="L12" i="64"/>
  <c r="K11" i="64"/>
  <c r="P44" i="64"/>
  <c r="O44" i="64"/>
  <c r="B47" i="64"/>
  <c r="C48" i="64"/>
  <c r="Z83" i="44"/>
  <c r="X83" i="44" s="1"/>
  <c r="V83" i="44" s="1"/>
  <c r="AB84" i="44"/>
  <c r="BZ71" i="44"/>
  <c r="O43" i="64"/>
  <c r="BC80" i="44"/>
  <c r="BC81" i="44" s="1"/>
  <c r="BC82" i="44" s="1"/>
  <c r="BC83" i="44" s="1"/>
  <c r="BC84" i="44" s="1"/>
  <c r="R35" i="44"/>
  <c r="AL36" i="44"/>
  <c r="AL35" i="44"/>
  <c r="AT36" i="44"/>
  <c r="AT35" i="44"/>
  <c r="AR36" i="44"/>
  <c r="AR35" i="44"/>
  <c r="BD35" i="44"/>
  <c r="S33" i="44"/>
  <c r="AV35" i="44"/>
  <c r="BE34" i="44"/>
  <c r="AX35" i="44"/>
  <c r="W34" i="44"/>
  <c r="AE34" i="44"/>
  <c r="AL34" i="44"/>
  <c r="AT34" i="44"/>
  <c r="S32" i="44"/>
  <c r="AL33" i="44"/>
  <c r="AI32" i="44"/>
  <c r="AX32" i="44"/>
  <c r="BD31" i="44"/>
  <c r="S29" i="44"/>
  <c r="AX31" i="44"/>
  <c r="AC30" i="44"/>
  <c r="S27" i="44"/>
  <c r="BD29" i="44"/>
  <c r="AP29" i="44"/>
  <c r="AL27" i="44"/>
  <c r="BD26" i="44"/>
  <c r="BC26" i="44" s="1"/>
  <c r="S24" i="44"/>
  <c r="BE66" i="44"/>
  <c r="S22" i="44"/>
  <c r="BE62" i="44"/>
  <c r="S18" i="44"/>
  <c r="BD20" i="44"/>
  <c r="BE60" i="44"/>
  <c r="S16" i="44"/>
  <c r="BD18" i="44"/>
  <c r="BE58" i="44"/>
  <c r="S14" i="44"/>
  <c r="BD16" i="44"/>
  <c r="BE56" i="44"/>
  <c r="S12" i="44"/>
  <c r="T12" i="44" s="1"/>
  <c r="BD14" i="44"/>
  <c r="AT12" i="44"/>
  <c r="P42" i="64"/>
  <c r="O42" i="64"/>
  <c r="P40" i="64"/>
  <c r="O40" i="64"/>
  <c r="P38" i="64"/>
  <c r="O38" i="64"/>
  <c r="P36" i="64"/>
  <c r="O36" i="64"/>
  <c r="P34" i="64"/>
  <c r="O34" i="64"/>
  <c r="P32" i="64"/>
  <c r="O32" i="64"/>
  <c r="W26" i="44"/>
  <c r="AE26" i="44"/>
  <c r="AN26" i="44"/>
  <c r="AC26" i="44"/>
  <c r="AL25" i="44"/>
  <c r="AT25" i="44"/>
  <c r="BB26" i="44"/>
  <c r="P30" i="64"/>
  <c r="O30" i="64"/>
  <c r="AC23" i="44"/>
  <c r="P28" i="64"/>
  <c r="O28" i="64"/>
  <c r="AE22" i="44"/>
  <c r="AL22" i="44"/>
  <c r="AT21" i="44"/>
  <c r="AG22" i="44"/>
  <c r="AN21" i="44"/>
  <c r="P26" i="64"/>
  <c r="O26" i="64"/>
  <c r="Y20" i="44"/>
  <c r="AN20" i="44"/>
  <c r="AI20" i="44"/>
  <c r="AX20" i="44"/>
  <c r="BE61" i="44"/>
  <c r="BD19" i="44"/>
  <c r="S17" i="44"/>
  <c r="W17" i="44"/>
  <c r="AL18" i="44"/>
  <c r="AT17" i="44"/>
  <c r="BB17" i="44"/>
  <c r="Y18" i="44"/>
  <c r="AN17" i="44"/>
  <c r="P22" i="64"/>
  <c r="O22" i="64"/>
  <c r="AC16" i="44"/>
  <c r="AE15" i="44"/>
  <c r="P20" i="64"/>
  <c r="O20" i="64"/>
  <c r="W14" i="44"/>
  <c r="AE13" i="44"/>
  <c r="AT13" i="44"/>
  <c r="BB14" i="44"/>
  <c r="P18" i="64"/>
  <c r="O18" i="64"/>
  <c r="BE53" i="44"/>
  <c r="BD11" i="44"/>
  <c r="S9" i="44"/>
  <c r="O14" i="64"/>
  <c r="L45" i="64"/>
  <c r="M46" i="64"/>
  <c r="F47" i="64"/>
  <c r="G48" i="64"/>
  <c r="A46" i="64"/>
  <c r="M39" i="20"/>
  <c r="M40" i="20"/>
  <c r="M41" i="20"/>
  <c r="BA84" i="44"/>
  <c r="AY84" i="44" s="1"/>
  <c r="AW84" i="44" s="1"/>
  <c r="AU84" i="44" s="1"/>
  <c r="AS84" i="44" s="1"/>
  <c r="AQ84" i="44" s="1"/>
  <c r="AO84" i="44" s="1"/>
  <c r="AM84" i="44" s="1"/>
  <c r="AK84" i="44" s="1"/>
  <c r="AJ84" i="44" s="1"/>
  <c r="AH84" i="44" s="1"/>
  <c r="AF84" i="44" s="1"/>
  <c r="AD84" i="44" s="1"/>
  <c r="BC85" i="44"/>
  <c r="BA85" i="44" s="1"/>
  <c r="AY85" i="44" s="1"/>
  <c r="AW85" i="44" s="1"/>
  <c r="AU85" i="44" s="1"/>
  <c r="AS85" i="44" s="1"/>
  <c r="AQ85" i="44" s="1"/>
  <c r="AO85" i="44" s="1"/>
  <c r="AM85" i="44" s="1"/>
  <c r="AK85" i="44" s="1"/>
  <c r="AJ85" i="44" s="1"/>
  <c r="AH85" i="44" s="1"/>
  <c r="AF85" i="44" s="1"/>
  <c r="AD85" i="44" s="1"/>
  <c r="W38" i="20"/>
  <c r="Q38" i="20"/>
  <c r="P38" i="20" s="1"/>
  <c r="O38" i="20" s="1"/>
  <c r="N38" i="20"/>
  <c r="L38" i="20"/>
  <c r="K38" i="20" s="1"/>
  <c r="J38" i="20"/>
  <c r="I38" i="20"/>
  <c r="H38" i="20"/>
  <c r="G38" i="20"/>
  <c r="F38" i="20"/>
  <c r="E38" i="20" s="1"/>
  <c r="D38" i="20"/>
  <c r="C38" i="20"/>
  <c r="Q37" i="20"/>
  <c r="P37" i="20" s="1"/>
  <c r="O37" i="20"/>
  <c r="N37" i="20"/>
  <c r="M37" i="20" s="1"/>
  <c r="L37" i="20"/>
  <c r="K37" i="20" s="1"/>
  <c r="J37" i="20"/>
  <c r="I37" i="20"/>
  <c r="H37" i="20"/>
  <c r="G37" i="20"/>
  <c r="F37" i="20"/>
  <c r="E37" i="20" s="1"/>
  <c r="D37" i="20"/>
  <c r="C37" i="20"/>
  <c r="N36" i="20"/>
  <c r="L36" i="20"/>
  <c r="K36" i="20" s="1"/>
  <c r="J36" i="20"/>
  <c r="M38" i="20" l="1"/>
  <c r="P45" i="64"/>
  <c r="O45" i="64"/>
  <c r="BZ72" i="44"/>
  <c r="BZ73" i="44" s="1"/>
  <c r="Z84" i="44"/>
  <c r="X84" i="44" s="1"/>
  <c r="V84" i="44" s="1"/>
  <c r="AB85" i="44"/>
  <c r="B48" i="64"/>
  <c r="C49" i="64"/>
  <c r="L11" i="64"/>
  <c r="K10" i="64"/>
  <c r="BD80" i="44"/>
  <c r="BD81" i="44" s="1"/>
  <c r="BD82" i="44" s="1"/>
  <c r="BD83" i="44" s="1"/>
  <c r="BD84" i="44" s="1"/>
  <c r="BD85" i="44" s="1"/>
  <c r="S35" i="44"/>
  <c r="F48" i="64"/>
  <c r="G49" i="64"/>
  <c r="F49" i="64" s="1"/>
  <c r="M47" i="64"/>
  <c r="R18" i="64"/>
  <c r="R22" i="64"/>
  <c r="R28" i="64"/>
  <c r="R32" i="64"/>
  <c r="R36" i="64"/>
  <c r="R40" i="64"/>
  <c r="A47" i="64"/>
  <c r="R44" i="64"/>
  <c r="O12" i="64"/>
  <c r="Q20" i="64" s="1"/>
  <c r="R16" i="64"/>
  <c r="Q24" i="64"/>
  <c r="R33" i="64"/>
  <c r="R35" i="64"/>
  <c r="R37" i="64"/>
  <c r="R39" i="64"/>
  <c r="R41" i="64"/>
  <c r="M36" i="20"/>
  <c r="I36" i="20"/>
  <c r="H36" i="20"/>
  <c r="G36" i="20"/>
  <c r="F36" i="20"/>
  <c r="E36" i="20" s="1"/>
  <c r="D36" i="20"/>
  <c r="C36" i="20"/>
  <c r="N35" i="20"/>
  <c r="L35" i="20"/>
  <c r="K35" i="20" s="1"/>
  <c r="J35" i="20"/>
  <c r="I35" i="20"/>
  <c r="H35" i="20"/>
  <c r="G35" i="20"/>
  <c r="F35" i="20"/>
  <c r="E35" i="20" s="1"/>
  <c r="D35" i="20"/>
  <c r="C35" i="20"/>
  <c r="N34" i="20"/>
  <c r="L34" i="20"/>
  <c r="K34" i="20" s="1"/>
  <c r="J34" i="20"/>
  <c r="I34" i="20"/>
  <c r="H34" i="20"/>
  <c r="G34" i="20"/>
  <c r="F34" i="20"/>
  <c r="E34" i="20" s="1"/>
  <c r="D34" i="20"/>
  <c r="C34" i="20"/>
  <c r="N33" i="20"/>
  <c r="M33" i="20" s="1"/>
  <c r="L33" i="20"/>
  <c r="K33" i="20" s="1"/>
  <c r="J33" i="20"/>
  <c r="I33" i="20"/>
  <c r="H33" i="20"/>
  <c r="G33" i="20"/>
  <c r="F33" i="20"/>
  <c r="E33" i="20" s="1"/>
  <c r="D33" i="20"/>
  <c r="C33" i="20"/>
  <c r="A33" i="20"/>
  <c r="X32" i="20" s="1"/>
  <c r="N32" i="20"/>
  <c r="M32" i="20" s="1"/>
  <c r="L32" i="20"/>
  <c r="K32" i="20" s="1"/>
  <c r="J32" i="20"/>
  <c r="I32" i="20"/>
  <c r="H32" i="20"/>
  <c r="G32" i="20"/>
  <c r="F32" i="20"/>
  <c r="E32" i="20" s="1"/>
  <c r="D32" i="20"/>
  <c r="C32" i="20"/>
  <c r="X31" i="20" s="1"/>
  <c r="N31" i="20"/>
  <c r="L31" i="20"/>
  <c r="K31" i="20" s="1"/>
  <c r="J31" i="20"/>
  <c r="I31" i="20"/>
  <c r="H31" i="20"/>
  <c r="G31" i="20"/>
  <c r="F31" i="20"/>
  <c r="E31" i="20" s="1"/>
  <c r="D31" i="20"/>
  <c r="C31" i="20"/>
  <c r="X30" i="20" s="1"/>
  <c r="N30" i="20"/>
  <c r="M30" i="20" s="1"/>
  <c r="L30" i="20"/>
  <c r="K30" i="20" s="1"/>
  <c r="J30" i="20"/>
  <c r="I30" i="20"/>
  <c r="H30" i="20"/>
  <c r="G30" i="20"/>
  <c r="F30" i="20"/>
  <c r="E30" i="20" s="1"/>
  <c r="D30" i="20"/>
  <c r="C30" i="20"/>
  <c r="X29" i="20" s="1"/>
  <c r="N29" i="20"/>
  <c r="L29" i="20"/>
  <c r="K29" i="20" s="1"/>
  <c r="J29" i="20"/>
  <c r="I29" i="20"/>
  <c r="H29" i="20"/>
  <c r="G29" i="20"/>
  <c r="F29" i="20"/>
  <c r="E29" i="20" s="1"/>
  <c r="D29" i="20"/>
  <c r="C29" i="20"/>
  <c r="X28" i="20" s="1"/>
  <c r="N28" i="20"/>
  <c r="M28" i="20" s="1"/>
  <c r="L28" i="20"/>
  <c r="K28" i="20" s="1"/>
  <c r="J28" i="20"/>
  <c r="I28" i="20"/>
  <c r="H28" i="20"/>
  <c r="G28" i="20"/>
  <c r="F28" i="20"/>
  <c r="E28" i="20" s="1"/>
  <c r="D28" i="20"/>
  <c r="C28" i="20"/>
  <c r="X27" i="20" s="1"/>
  <c r="N27" i="20"/>
  <c r="L27" i="20"/>
  <c r="K27" i="20" s="1"/>
  <c r="J27" i="20"/>
  <c r="I27" i="20"/>
  <c r="H27" i="20"/>
  <c r="G27" i="20"/>
  <c r="F27" i="20"/>
  <c r="E27" i="20" s="1"/>
  <c r="D27" i="20"/>
  <c r="C27" i="20"/>
  <c r="X26" i="20" s="1"/>
  <c r="N26" i="20"/>
  <c r="M26" i="20" s="1"/>
  <c r="L26" i="20"/>
  <c r="K26" i="20" s="1"/>
  <c r="J26" i="20"/>
  <c r="I26" i="20"/>
  <c r="H26" i="20"/>
  <c r="G26" i="20"/>
  <c r="F26" i="20"/>
  <c r="E26" i="20" s="1"/>
  <c r="D26" i="20"/>
  <c r="C26" i="20"/>
  <c r="X25" i="20" s="1"/>
  <c r="N25" i="20"/>
  <c r="L25" i="20"/>
  <c r="K25" i="20" s="1"/>
  <c r="J25" i="20"/>
  <c r="I25" i="20"/>
  <c r="H25" i="20"/>
  <c r="G25" i="20"/>
  <c r="F25" i="20"/>
  <c r="E25" i="20" s="1"/>
  <c r="D25" i="20"/>
  <c r="C25" i="20"/>
  <c r="X24" i="20" s="1"/>
  <c r="N24" i="20"/>
  <c r="L24" i="20"/>
  <c r="K24" i="20" s="1"/>
  <c r="J24" i="20"/>
  <c r="I24" i="20"/>
  <c r="H24" i="20"/>
  <c r="G24" i="20"/>
  <c r="F24" i="20"/>
  <c r="E24" i="20" s="1"/>
  <c r="D24" i="20"/>
  <c r="C24" i="20"/>
  <c r="X23" i="20" s="1"/>
  <c r="N23" i="20"/>
  <c r="L23" i="20"/>
  <c r="K23" i="20" s="1"/>
  <c r="J23" i="20"/>
  <c r="I23" i="20"/>
  <c r="H23" i="20"/>
  <c r="G23" i="20"/>
  <c r="F23" i="20"/>
  <c r="E23" i="20" s="1"/>
  <c r="D23" i="20"/>
  <c r="C23" i="20"/>
  <c r="X22" i="20" s="1"/>
  <c r="N22" i="20"/>
  <c r="L22" i="20"/>
  <c r="K22" i="20" s="1"/>
  <c r="J22" i="20"/>
  <c r="I22" i="20"/>
  <c r="H22" i="20"/>
  <c r="G22" i="20"/>
  <c r="F22" i="20"/>
  <c r="E22" i="20" s="1"/>
  <c r="D22" i="20"/>
  <c r="C22" i="20"/>
  <c r="X21" i="20" s="1"/>
  <c r="N21" i="20"/>
  <c r="L21" i="20"/>
  <c r="K21" i="20" s="1"/>
  <c r="J21" i="20"/>
  <c r="I21" i="20"/>
  <c r="H21" i="20"/>
  <c r="G21" i="20"/>
  <c r="F21" i="20"/>
  <c r="E21" i="20" s="1"/>
  <c r="D21" i="20"/>
  <c r="C21" i="20"/>
  <c r="X20" i="20" s="1"/>
  <c r="N20" i="20"/>
  <c r="L20" i="20"/>
  <c r="K20" i="20" s="1"/>
  <c r="J20" i="20"/>
  <c r="I20" i="20"/>
  <c r="H20" i="20"/>
  <c r="G20" i="20"/>
  <c r="F20" i="20"/>
  <c r="E20" i="20" s="1"/>
  <c r="D20" i="20"/>
  <c r="C20" i="20"/>
  <c r="N19" i="20"/>
  <c r="M19" i="20" s="1"/>
  <c r="L19" i="20"/>
  <c r="K19" i="20" s="1"/>
  <c r="J19" i="20"/>
  <c r="I19" i="20"/>
  <c r="H19" i="20"/>
  <c r="G19" i="20"/>
  <c r="F19" i="20"/>
  <c r="E19" i="20" s="1"/>
  <c r="D19" i="20"/>
  <c r="C19" i="20"/>
  <c r="X18" i="20" s="1"/>
  <c r="T18" i="20" s="1"/>
  <c r="P18" i="20" s="1"/>
  <c r="O18" i="20" s="1"/>
  <c r="N18" i="20"/>
  <c r="L18" i="20"/>
  <c r="K18" i="20" s="1"/>
  <c r="J18" i="20"/>
  <c r="I18" i="20"/>
  <c r="H18" i="20"/>
  <c r="G18" i="20"/>
  <c r="F18" i="20"/>
  <c r="E18" i="20" s="1"/>
  <c r="D18" i="20"/>
  <c r="C18" i="20"/>
  <c r="X17" i="20" s="1"/>
  <c r="T17" i="20" s="1"/>
  <c r="O17" i="20" s="1"/>
  <c r="N17" i="20"/>
  <c r="M17" i="20" s="1"/>
  <c r="L17" i="20"/>
  <c r="K17" i="20" s="1"/>
  <c r="J17" i="20"/>
  <c r="I17" i="20"/>
  <c r="H17" i="20"/>
  <c r="G17" i="20"/>
  <c r="F17" i="20"/>
  <c r="D17" i="20"/>
  <c r="C17" i="20"/>
  <c r="X16" i="20" s="1"/>
  <c r="T16" i="20" s="1"/>
  <c r="O16" i="20" s="1"/>
  <c r="N16" i="20"/>
  <c r="L16" i="20"/>
  <c r="K16" i="20" s="1"/>
  <c r="J16" i="20"/>
  <c r="I16" i="20"/>
  <c r="H16" i="20"/>
  <c r="G16" i="20"/>
  <c r="F16" i="20"/>
  <c r="D16" i="20"/>
  <c r="C16" i="20"/>
  <c r="X15" i="20" s="1"/>
  <c r="T15" i="20" s="1"/>
  <c r="O15" i="20" s="1"/>
  <c r="N15" i="20"/>
  <c r="M15" i="20" s="1"/>
  <c r="L15" i="20"/>
  <c r="K15" i="20" s="1"/>
  <c r="J15" i="20"/>
  <c r="I15" i="20"/>
  <c r="H15" i="20"/>
  <c r="G15" i="20"/>
  <c r="F15" i="20"/>
  <c r="D15" i="20"/>
  <c r="C15" i="20"/>
  <c r="X14" i="20" s="1"/>
  <c r="T14" i="20" s="1"/>
  <c r="O14" i="20" s="1"/>
  <c r="N14" i="20"/>
  <c r="L14" i="20"/>
  <c r="K14" i="20" s="1"/>
  <c r="J14" i="20"/>
  <c r="I14" i="20"/>
  <c r="H14" i="20"/>
  <c r="G14" i="20"/>
  <c r="F14" i="20"/>
  <c r="D14" i="20"/>
  <c r="C14" i="20"/>
  <c r="X13" i="20" s="1"/>
  <c r="T13" i="20" s="1"/>
  <c r="O13" i="20" s="1"/>
  <c r="N13" i="20"/>
  <c r="M13" i="20" s="1"/>
  <c r="L13" i="20"/>
  <c r="K13" i="20" s="1"/>
  <c r="J13" i="20"/>
  <c r="I13" i="20"/>
  <c r="H13" i="20"/>
  <c r="G13" i="20"/>
  <c r="F13" i="20"/>
  <c r="D13" i="20"/>
  <c r="C13" i="20"/>
  <c r="X12" i="20" s="1"/>
  <c r="T12" i="20"/>
  <c r="S12" i="20" s="1"/>
  <c r="R12" i="20"/>
  <c r="O12" i="20"/>
  <c r="N12" i="20"/>
  <c r="L12" i="20"/>
  <c r="M12" i="20" s="1"/>
  <c r="K12" i="20"/>
  <c r="J12" i="20"/>
  <c r="I12" i="20"/>
  <c r="H12" i="20"/>
  <c r="G12" i="20" s="1"/>
  <c r="F12" i="20"/>
  <c r="E12" i="20"/>
  <c r="D12" i="20"/>
  <c r="C12" i="20"/>
  <c r="M20" i="20" l="1"/>
  <c r="S22" i="20"/>
  <c r="R22" i="20" s="1"/>
  <c r="Q22" i="20" s="1"/>
  <c r="P22" i="20" s="1"/>
  <c r="O22" i="20" s="1"/>
  <c r="M23" i="20"/>
  <c r="M27" i="20"/>
  <c r="M29" i="20"/>
  <c r="M31" i="20"/>
  <c r="A34" i="20"/>
  <c r="X33" i="20" s="1"/>
  <c r="A35" i="20"/>
  <c r="X34" i="20" s="1"/>
  <c r="M35" i="20"/>
  <c r="R12" i="64"/>
  <c r="R25" i="64"/>
  <c r="R17" i="64"/>
  <c r="R31" i="64"/>
  <c r="R23" i="64"/>
  <c r="R15" i="64"/>
  <c r="R29" i="64"/>
  <c r="R21" i="64"/>
  <c r="R13" i="64"/>
  <c r="R27" i="64"/>
  <c r="R19" i="64"/>
  <c r="R43" i="64"/>
  <c r="Q43" i="64" s="1"/>
  <c r="R42" i="64"/>
  <c r="R38" i="64"/>
  <c r="R34" i="64"/>
  <c r="Q30" i="64"/>
  <c r="Q26" i="64"/>
  <c r="R20" i="64"/>
  <c r="Q41" i="64"/>
  <c r="Q37" i="64"/>
  <c r="Q33" i="64"/>
  <c r="Q16" i="64"/>
  <c r="O11" i="64"/>
  <c r="R11" i="64"/>
  <c r="B49" i="64"/>
  <c r="Z85" i="44"/>
  <c r="X85" i="44" s="1"/>
  <c r="V85" i="44" s="1"/>
  <c r="BO73" i="44"/>
  <c r="BO72" i="44" s="1"/>
  <c r="BO71" i="44" s="1"/>
  <c r="BO70" i="44" s="1"/>
  <c r="BO69" i="44" s="1"/>
  <c r="BO68" i="44" s="1"/>
  <c r="BO67" i="44" s="1"/>
  <c r="BO66" i="44" s="1"/>
  <c r="BO65" i="44" s="1"/>
  <c r="BZ74" i="44"/>
  <c r="BZ75" i="44" s="1"/>
  <c r="BZ76" i="44" s="1"/>
  <c r="BZ77" i="44" s="1"/>
  <c r="BZ78" i="44" s="1"/>
  <c r="BZ79" i="44" s="1"/>
  <c r="Q42" i="64"/>
  <c r="Q38" i="64"/>
  <c r="Q34" i="64"/>
  <c r="R30" i="64"/>
  <c r="R26" i="64"/>
  <c r="R14" i="64"/>
  <c r="R45" i="64"/>
  <c r="S20" i="20"/>
  <c r="R20" i="20" s="1"/>
  <c r="Q20" i="20" s="1"/>
  <c r="P20" i="20" s="1"/>
  <c r="O20" i="20" s="1"/>
  <c r="S23" i="20"/>
  <c r="R23" i="20" s="1"/>
  <c r="Q23" i="20" s="1"/>
  <c r="P23" i="20" s="1"/>
  <c r="O23" i="20" s="1"/>
  <c r="U23" i="20"/>
  <c r="A36" i="20"/>
  <c r="Q25" i="64"/>
  <c r="Q17" i="64"/>
  <c r="Q27" i="64"/>
  <c r="Q19" i="64"/>
  <c r="Q29" i="64"/>
  <c r="Q21" i="64"/>
  <c r="Q31" i="64"/>
  <c r="Q23" i="64"/>
  <c r="M48" i="64"/>
  <c r="Q39" i="64"/>
  <c r="Q35" i="64"/>
  <c r="R24" i="64"/>
  <c r="L10" i="64"/>
  <c r="K9" i="64"/>
  <c r="Q44" i="64"/>
  <c r="A48" i="64"/>
  <c r="Q40" i="64"/>
  <c r="Q36" i="64"/>
  <c r="Q32" i="64"/>
  <c r="Q28" i="64"/>
  <c r="Q22" i="64"/>
  <c r="Q18" i="64"/>
  <c r="Q45" i="64"/>
  <c r="M14" i="20"/>
  <c r="M16" i="20"/>
  <c r="M18" i="20"/>
  <c r="M21" i="20"/>
  <c r="M22" i="20"/>
  <c r="M24" i="20"/>
  <c r="M25" i="20"/>
  <c r="M34" i="20"/>
  <c r="O10" i="64" l="1"/>
  <c r="R10" i="64"/>
  <c r="X35" i="20"/>
  <c r="A37" i="20"/>
  <c r="K8" i="64"/>
  <c r="L9" i="64"/>
  <c r="M49" i="64"/>
  <c r="A49" i="64"/>
  <c r="L8" i="64" l="1"/>
  <c r="K7" i="64"/>
  <c r="R9" i="64"/>
  <c r="O9" i="64"/>
  <c r="X36" i="20"/>
  <c r="A38" i="20"/>
  <c r="K6" i="64" l="1"/>
  <c r="L7" i="64"/>
  <c r="X37" i="20"/>
  <c r="A39" i="20"/>
  <c r="O8" i="64"/>
  <c r="R8" i="64"/>
  <c r="X38" i="20" l="1"/>
  <c r="A40" i="20"/>
  <c r="R7" i="64"/>
  <c r="O7" i="64"/>
  <c r="L6" i="64"/>
  <c r="K5" i="64"/>
  <c r="K4" i="64" l="1"/>
  <c r="L5" i="64"/>
  <c r="X39" i="20"/>
  <c r="A41" i="20"/>
  <c r="O6" i="64"/>
  <c r="R6" i="64"/>
  <c r="X40" i="20" l="1"/>
  <c r="A42" i="20"/>
  <c r="R5" i="64"/>
  <c r="O5" i="64"/>
  <c r="L4" i="64"/>
  <c r="K3" i="64"/>
  <c r="K2" i="64" l="1"/>
  <c r="L2" i="64" s="1"/>
  <c r="L3" i="64"/>
  <c r="X41" i="20"/>
  <c r="A43" i="20"/>
  <c r="O4" i="64"/>
  <c r="R4" i="64"/>
  <c r="X42" i="20" l="1"/>
  <c r="A44" i="20"/>
  <c r="X43" i="20" s="1"/>
  <c r="R3" i="64"/>
  <c r="O3" i="64"/>
  <c r="O2" i="64"/>
  <c r="R2" i="64"/>
  <c r="AJ43" i="6" l="1"/>
  <c r="AI43" i="6"/>
  <c r="W42" i="6" l="1"/>
  <c r="F42" i="6" l="1"/>
  <c r="N42" i="6" s="1"/>
  <c r="N43" i="6" s="1"/>
  <c r="N44" i="6" s="1"/>
  <c r="N45" i="6" s="1"/>
  <c r="N46" i="6" s="1"/>
  <c r="N47" i="6" s="1"/>
  <c r="N48" i="6" s="1"/>
  <c r="N49" i="6" s="1"/>
  <c r="W41" i="6"/>
  <c r="F41" i="6" l="1"/>
  <c r="AG40" i="6"/>
  <c r="W40" i="6"/>
  <c r="N41" i="6" l="1"/>
  <c r="F40" i="6"/>
  <c r="W39" i="6"/>
  <c r="N40" i="6" l="1"/>
  <c r="F39" i="6"/>
  <c r="W38" i="6"/>
  <c r="N39" i="6" l="1"/>
  <c r="F38" i="6"/>
  <c r="W37" i="6"/>
  <c r="F37" i="6"/>
  <c r="W36" i="6"/>
  <c r="F36" i="6"/>
  <c r="W35" i="6"/>
  <c r="N36" i="6" l="1"/>
  <c r="N37" i="6"/>
  <c r="N38" i="6"/>
  <c r="F35" i="6"/>
  <c r="W34" i="6"/>
  <c r="N35" i="6" l="1"/>
  <c r="F34" i="6"/>
  <c r="W33" i="6"/>
  <c r="F33" i="6"/>
  <c r="A33" i="6"/>
  <c r="AH32" i="6" s="1"/>
  <c r="AG32" i="6" s="1"/>
  <c r="W32" i="6"/>
  <c r="N33" i="6" l="1"/>
  <c r="N34" i="6"/>
  <c r="F32" i="6"/>
  <c r="N32" i="6" l="1"/>
  <c r="W31" i="6"/>
  <c r="F31" i="6" l="1"/>
  <c r="W30" i="6"/>
  <c r="F30" i="6"/>
  <c r="W29" i="6"/>
  <c r="N31" i="6" l="1"/>
  <c r="N30" i="6"/>
  <c r="F29" i="6"/>
  <c r="W28" i="6"/>
  <c r="F28" i="6"/>
  <c r="W27" i="6"/>
  <c r="N28" i="6" l="1"/>
  <c r="N29" i="6"/>
  <c r="F27" i="6"/>
  <c r="W26" i="6"/>
  <c r="F26" i="6"/>
  <c r="W25" i="6"/>
  <c r="N26" i="6" l="1"/>
  <c r="N27" i="6"/>
  <c r="F25" i="6"/>
  <c r="W24" i="6"/>
  <c r="F24" i="6"/>
  <c r="W23" i="6"/>
  <c r="N24" i="6" l="1"/>
  <c r="N25" i="6"/>
  <c r="F23" i="6"/>
  <c r="W22" i="6"/>
  <c r="F22" i="6"/>
  <c r="W21" i="6"/>
  <c r="F21" i="6"/>
  <c r="W20" i="6"/>
  <c r="F20" i="6"/>
  <c r="W19" i="6"/>
  <c r="F19" i="6"/>
  <c r="W18" i="6"/>
  <c r="F18" i="6"/>
  <c r="BK17" i="6"/>
  <c r="BI17" i="6"/>
  <c r="BG17" i="6"/>
  <c r="BE17" i="6"/>
  <c r="BC17" i="6"/>
  <c r="BA17" i="6"/>
  <c r="AY17" i="6"/>
  <c r="AW17" i="6"/>
  <c r="AU17" i="6"/>
  <c r="AS17" i="6"/>
  <c r="AQ17" i="6"/>
  <c r="AO17" i="6"/>
  <c r="AN17" i="6"/>
  <c r="AM17" i="6"/>
  <c r="AH17" i="6" s="1"/>
  <c r="AG17" i="6" s="1"/>
  <c r="AE17" i="6"/>
  <c r="AC17" i="6"/>
  <c r="AA17" i="6"/>
  <c r="Y17" i="6"/>
  <c r="W17" i="6"/>
  <c r="T17" i="6"/>
  <c r="R17" i="6"/>
  <c r="P17" i="6"/>
  <c r="L17" i="6"/>
  <c r="J17" i="6"/>
  <c r="H17" i="6"/>
  <c r="F17" i="6"/>
  <c r="D17" i="6"/>
  <c r="B17" i="6"/>
  <c r="W16" i="6"/>
  <c r="F16" i="6"/>
  <c r="BB15" i="6"/>
  <c r="AZ15" i="6" s="1"/>
  <c r="AX15" i="6" s="1"/>
  <c r="AV15" i="6" s="1"/>
  <c r="AT15" i="6" s="1"/>
  <c r="AR15" i="6"/>
  <c r="AR16" i="6" s="1"/>
  <c r="AP15" i="6"/>
  <c r="AP16" i="6" s="1"/>
  <c r="W15" i="6"/>
  <c r="T15" i="6"/>
  <c r="R15" i="6"/>
  <c r="L15" i="6"/>
  <c r="J15" i="6"/>
  <c r="H15" i="6"/>
  <c r="F15" i="6"/>
  <c r="AW14" i="6"/>
  <c r="AO14" i="6"/>
  <c r="AN14" i="6"/>
  <c r="AM14" i="6"/>
  <c r="AH14" i="6" s="1"/>
  <c r="AG14" i="6" s="1"/>
  <c r="AE14" i="6"/>
  <c r="AC14" i="6"/>
  <c r="AA14" i="6"/>
  <c r="Y14" i="6"/>
  <c r="W14" i="6"/>
  <c r="T14" i="6"/>
  <c r="R14" i="6"/>
  <c r="L14" i="6"/>
  <c r="J14" i="6"/>
  <c r="H14" i="6"/>
  <c r="F14" i="6"/>
  <c r="D14" i="6"/>
  <c r="B14" i="6"/>
  <c r="AR13" i="6"/>
  <c r="AP13" i="6" s="1"/>
  <c r="AE13" i="6"/>
  <c r="J16" i="6" l="1"/>
  <c r="AV16" i="6"/>
  <c r="AT16" i="6" s="1"/>
  <c r="L16" i="6" s="1"/>
  <c r="B18" i="6"/>
  <c r="R18" i="6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H16" i="6"/>
  <c r="R16" i="6"/>
  <c r="AX16" i="6"/>
  <c r="D18" i="6"/>
  <c r="D19" i="6" s="1"/>
  <c r="D20" i="6" s="1"/>
  <c r="D21" i="6" s="1"/>
  <c r="D22" i="6" s="1"/>
  <c r="D23" i="6" s="1"/>
  <c r="D24" i="6" s="1"/>
  <c r="D25" i="6" s="1"/>
  <c r="D26" i="6" s="1"/>
  <c r="P18" i="6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P34" i="6" s="1"/>
  <c r="P35" i="6" s="1"/>
  <c r="P36" i="6" s="1"/>
  <c r="P37" i="6" s="1"/>
  <c r="P38" i="6" s="1"/>
  <c r="P39" i="6" s="1"/>
  <c r="P40" i="6" s="1"/>
  <c r="P41" i="6" s="1"/>
  <c r="P42" i="6" s="1"/>
  <c r="P43" i="6" s="1"/>
  <c r="P44" i="6" s="1"/>
  <c r="P45" i="6" s="1"/>
  <c r="P46" i="6" s="1"/>
  <c r="P47" i="6" s="1"/>
  <c r="P48" i="6" s="1"/>
  <c r="P49" i="6" s="1"/>
  <c r="T18" i="6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T34" i="6" s="1"/>
  <c r="T35" i="6" s="1"/>
  <c r="T36" i="6" s="1"/>
  <c r="T37" i="6" s="1"/>
  <c r="T38" i="6" s="1"/>
  <c r="T39" i="6" s="1"/>
  <c r="T40" i="6" s="1"/>
  <c r="T41" i="6" s="1"/>
  <c r="T42" i="6" s="1"/>
  <c r="J18" i="6"/>
  <c r="N18" i="6"/>
  <c r="Y18" i="6"/>
  <c r="AC18" i="6"/>
  <c r="AC19" i="6" s="1"/>
  <c r="AC20" i="6" s="1"/>
  <c r="AC21" i="6" s="1"/>
  <c r="AC22" i="6" s="1"/>
  <c r="AC23" i="6" s="1"/>
  <c r="AC24" i="6" s="1"/>
  <c r="AC25" i="6" s="1"/>
  <c r="AC26" i="6" s="1"/>
  <c r="AC27" i="6" s="1"/>
  <c r="AC28" i="6" s="1"/>
  <c r="AC29" i="6" s="1"/>
  <c r="AC30" i="6" s="1"/>
  <c r="AC31" i="6" s="1"/>
  <c r="AC32" i="6" s="1"/>
  <c r="AC33" i="6" s="1"/>
  <c r="AC34" i="6" s="1"/>
  <c r="AC35" i="6" s="1"/>
  <c r="AC36" i="6" s="1"/>
  <c r="AC37" i="6" s="1"/>
  <c r="AC38" i="6" s="1"/>
  <c r="AC39" i="6" s="1"/>
  <c r="AC40" i="6" s="1"/>
  <c r="AC41" i="6" s="1"/>
  <c r="AC42" i="6" s="1"/>
  <c r="B19" i="6"/>
  <c r="J19" i="6"/>
  <c r="J20" i="6" s="1"/>
  <c r="N19" i="6"/>
  <c r="N21" i="6"/>
  <c r="N23" i="6"/>
  <c r="N14" i="6"/>
  <c r="N15" i="6"/>
  <c r="N16" i="6"/>
  <c r="N17" i="6"/>
  <c r="H18" i="6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L18" i="6"/>
  <c r="AA18" i="6"/>
  <c r="AA19" i="6" s="1"/>
  <c r="AA20" i="6" s="1"/>
  <c r="AA21" i="6" s="1"/>
  <c r="AA22" i="6" s="1"/>
  <c r="AA23" i="6" s="1"/>
  <c r="AA24" i="6" s="1"/>
  <c r="AA25" i="6" s="1"/>
  <c r="AA26" i="6" s="1"/>
  <c r="AA27" i="6" s="1"/>
  <c r="AA28" i="6" s="1"/>
  <c r="AA29" i="6" s="1"/>
  <c r="AA30" i="6" s="1"/>
  <c r="AA31" i="6" s="1"/>
  <c r="AA32" i="6" s="1"/>
  <c r="AA33" i="6" s="1"/>
  <c r="AA34" i="6" s="1"/>
  <c r="AA35" i="6" s="1"/>
  <c r="AA36" i="6" s="1"/>
  <c r="AA37" i="6" s="1"/>
  <c r="AA38" i="6" s="1"/>
  <c r="AA39" i="6" s="1"/>
  <c r="AA40" i="6" s="1"/>
  <c r="AA41" i="6" s="1"/>
  <c r="AA42" i="6" s="1"/>
  <c r="AE18" i="6"/>
  <c r="AE19" i="6" s="1"/>
  <c r="AE20" i="6" s="1"/>
  <c r="AE21" i="6" s="1"/>
  <c r="AE22" i="6" s="1"/>
  <c r="AE23" i="6" s="1"/>
  <c r="AE24" i="6" s="1"/>
  <c r="AE25" i="6" s="1"/>
  <c r="AE26" i="6" s="1"/>
  <c r="AE27" i="6" s="1"/>
  <c r="AE28" i="6" s="1"/>
  <c r="AE29" i="6" s="1"/>
  <c r="AE30" i="6" s="1"/>
  <c r="AE31" i="6" s="1"/>
  <c r="AE32" i="6" s="1"/>
  <c r="AE33" i="6" s="1"/>
  <c r="AE34" i="6" s="1"/>
  <c r="AE35" i="6" s="1"/>
  <c r="AE36" i="6" s="1"/>
  <c r="AE37" i="6" s="1"/>
  <c r="AE38" i="6" s="1"/>
  <c r="AE39" i="6" s="1"/>
  <c r="AE40" i="6" s="1"/>
  <c r="AE41" i="6" s="1"/>
  <c r="AE42" i="6" s="1"/>
  <c r="L19" i="6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Y19" i="6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N20" i="6"/>
  <c r="J21" i="6"/>
  <c r="J22" i="6" s="1"/>
  <c r="J23" i="6" s="1"/>
  <c r="J24" i="6" s="1"/>
  <c r="J25" i="6" s="1"/>
  <c r="J26" i="6" s="1"/>
  <c r="J27" i="6" s="1"/>
  <c r="J28" i="6" s="1"/>
  <c r="J29" i="6" s="1"/>
  <c r="J30" i="6" s="1"/>
  <c r="N22" i="6"/>
  <c r="W13" i="6"/>
  <c r="T13" i="6"/>
  <c r="L13" i="6"/>
  <c r="J13" i="6"/>
  <c r="H13" i="6"/>
  <c r="F13" i="6"/>
  <c r="AS12" i="6"/>
  <c r="AP12" i="6"/>
  <c r="H12" i="6" s="1"/>
  <c r="AG12" i="6"/>
  <c r="AE12" i="6"/>
  <c r="W12" i="6"/>
  <c r="T12" i="6"/>
  <c r="R12" i="6"/>
  <c r="L12" i="6"/>
  <c r="J12" i="6"/>
  <c r="F12" i="6"/>
  <c r="N12" i="6" s="1"/>
  <c r="AV11" i="6"/>
  <c r="AV12" i="6" s="1"/>
  <c r="AE11" i="6"/>
  <c r="AV13" i="6" l="1"/>
  <c r="AP11" i="6"/>
  <c r="R13" i="6"/>
  <c r="P16" i="6"/>
  <c r="AH18" i="6"/>
  <c r="AG18" i="6" s="1"/>
  <c r="B20" i="6"/>
  <c r="N13" i="6"/>
  <c r="T11" i="6"/>
  <c r="L11" i="6"/>
  <c r="J11" i="6"/>
  <c r="H11" i="6"/>
  <c r="AW10" i="6"/>
  <c r="AP10" i="6"/>
  <c r="AO10" i="6"/>
  <c r="AN10" i="6"/>
  <c r="AM10" i="6"/>
  <c r="AE10" i="6"/>
  <c r="T10" i="6"/>
  <c r="R10" i="6"/>
  <c r="L10" i="6"/>
  <c r="J10" i="6"/>
  <c r="H10" i="6"/>
  <c r="D10" i="6"/>
  <c r="B10" i="6"/>
  <c r="AP9" i="6"/>
  <c r="AE9" i="6"/>
  <c r="R11" i="6" l="1"/>
  <c r="AH19" i="6"/>
  <c r="AG19" i="6" s="1"/>
  <c r="B21" i="6"/>
  <c r="T9" i="6"/>
  <c r="R9" i="6"/>
  <c r="L9" i="6"/>
  <c r="J9" i="6"/>
  <c r="H9" i="6"/>
  <c r="AP8" i="6"/>
  <c r="AE8" i="6"/>
  <c r="T8" i="6"/>
  <c r="R8" i="6"/>
  <c r="L8" i="6"/>
  <c r="J8" i="6"/>
  <c r="H8" i="6"/>
  <c r="AR7" i="6"/>
  <c r="AR8" i="6" s="1"/>
  <c r="AP7" i="6"/>
  <c r="AE7" i="6"/>
  <c r="AH20" i="6" l="1"/>
  <c r="AG20" i="6" s="1"/>
  <c r="B22" i="6"/>
  <c r="T7" i="6"/>
  <c r="R7" i="6"/>
  <c r="L7" i="6"/>
  <c r="J7" i="6"/>
  <c r="H7" i="6"/>
  <c r="AW6" i="6"/>
  <c r="AS6" i="6"/>
  <c r="AP6" i="6"/>
  <c r="AE6" i="6"/>
  <c r="T6" i="6"/>
  <c r="R6" i="6"/>
  <c r="L6" i="6"/>
  <c r="L5" i="6" s="1"/>
  <c r="L4" i="6" s="1"/>
  <c r="J6" i="6"/>
  <c r="H6" i="6"/>
  <c r="AP5" i="6"/>
  <c r="AE5" i="6"/>
  <c r="T5" i="6"/>
  <c r="T4" i="6" s="1"/>
  <c r="J5" i="6"/>
  <c r="H5" i="6"/>
  <c r="AP4" i="6"/>
  <c r="H4" i="6" s="1"/>
  <c r="AE4" i="6"/>
  <c r="R4" i="6"/>
  <c r="J4" i="6"/>
  <c r="R5" i="6" l="1"/>
  <c r="B23" i="6"/>
  <c r="AR3" i="6"/>
  <c r="AR4" i="6" s="1"/>
  <c r="AP3" i="6"/>
  <c r="H3" i="6" s="1"/>
  <c r="AL3" i="6"/>
  <c r="AN3" i="6" s="1"/>
  <c r="B3" i="6" s="1"/>
  <c r="AE3" i="6"/>
  <c r="AC3" i="6"/>
  <c r="AC4" i="6" s="1"/>
  <c r="AC5" i="6" s="1"/>
  <c r="AC6" i="6" s="1"/>
  <c r="AC7" i="6" s="1"/>
  <c r="AC8" i="6" s="1"/>
  <c r="AC9" i="6" s="1"/>
  <c r="AC10" i="6" s="1"/>
  <c r="AC11" i="6" s="1"/>
  <c r="AC12" i="6" s="1"/>
  <c r="AC13" i="6" s="1"/>
  <c r="AA3" i="6"/>
  <c r="AA4" i="6" s="1"/>
  <c r="AA5" i="6" s="1"/>
  <c r="AA6" i="6" s="1"/>
  <c r="AA7" i="6" s="1"/>
  <c r="AA8" i="6" s="1"/>
  <c r="AA9" i="6" s="1"/>
  <c r="AA10" i="6" s="1"/>
  <c r="AA11" i="6" s="1"/>
  <c r="AA12" i="6" s="1"/>
  <c r="AA13" i="6" s="1"/>
  <c r="Y3" i="6"/>
  <c r="Y4" i="6" s="1"/>
  <c r="Y5" i="6" s="1"/>
  <c r="Y6" i="6" s="1"/>
  <c r="Y7" i="6" s="1"/>
  <c r="Y8" i="6" s="1"/>
  <c r="Y9" i="6" s="1"/>
  <c r="Y10" i="6" s="1"/>
  <c r="Y11" i="6" s="1"/>
  <c r="Y12" i="6" s="1"/>
  <c r="Y13" i="6" s="1"/>
  <c r="W3" i="6"/>
  <c r="W4" i="6" s="1"/>
  <c r="W5" i="6" s="1"/>
  <c r="W6" i="6" s="1"/>
  <c r="W7" i="6" s="1"/>
  <c r="W8" i="6" s="1"/>
  <c r="W9" i="6" s="1"/>
  <c r="W10" i="6" s="1"/>
  <c r="W11" i="6" s="1"/>
  <c r="U3" i="6"/>
  <c r="U4" i="6" s="1"/>
  <c r="U5" i="6" s="1"/>
  <c r="U6" i="6" s="1"/>
  <c r="U7" i="6" s="1"/>
  <c r="U8" i="6" s="1"/>
  <c r="U9" i="6" s="1"/>
  <c r="U10" i="6" s="1"/>
  <c r="U11" i="6" s="1"/>
  <c r="T3" i="6"/>
  <c r="T2" i="6" s="1"/>
  <c r="R3" i="6"/>
  <c r="L3" i="6"/>
  <c r="J3" i="6"/>
  <c r="F3" i="6"/>
  <c r="F4" i="6" s="1"/>
  <c r="AO2" i="6"/>
  <c r="AN2" i="6"/>
  <c r="AE2" i="6"/>
  <c r="R2" i="6"/>
  <c r="N2" i="6"/>
  <c r="AP2" i="6" l="1"/>
  <c r="AL4" i="6"/>
  <c r="AO3" i="6"/>
  <c r="D3" i="6" s="1"/>
  <c r="AH22" i="6"/>
  <c r="AG22" i="6" s="1"/>
  <c r="B24" i="6"/>
  <c r="F5" i="6"/>
  <c r="N4" i="6"/>
  <c r="N3" i="6"/>
  <c r="L2" i="6"/>
  <c r="J2" i="6"/>
  <c r="H2" i="6"/>
  <c r="D2" i="6"/>
  <c r="B2" i="6"/>
  <c r="AN4" i="6" l="1"/>
  <c r="B4" i="6" s="1"/>
  <c r="AV3" i="6" s="1"/>
  <c r="AO4" i="6"/>
  <c r="D4" i="6" s="1"/>
  <c r="F6" i="6"/>
  <c r="N5" i="6"/>
  <c r="AH23" i="6"/>
  <c r="AG23" i="6" s="1"/>
  <c r="B25" i="6"/>
  <c r="W43" i="22"/>
  <c r="W42" i="22"/>
  <c r="AV4" i="6" l="1"/>
  <c r="N6" i="6"/>
  <c r="F7" i="6"/>
  <c r="AH24" i="6"/>
  <c r="AG24" i="6" s="1"/>
  <c r="B26" i="6"/>
  <c r="W41" i="22"/>
  <c r="W40" i="22"/>
  <c r="W39" i="22"/>
  <c r="W38" i="22"/>
  <c r="W37" i="22"/>
  <c r="W35" i="22"/>
  <c r="A33" i="22"/>
  <c r="W32" i="22" s="1"/>
  <c r="W31" i="22"/>
  <c r="W30" i="22"/>
  <c r="W29" i="22"/>
  <c r="W28" i="22"/>
  <c r="A34" i="22" l="1"/>
  <c r="AV5" i="6"/>
  <c r="AH25" i="6"/>
  <c r="AG25" i="6" s="1"/>
  <c r="B27" i="6"/>
  <c r="F8" i="6"/>
  <c r="N7" i="6"/>
  <c r="W26" i="22"/>
  <c r="W24" i="22"/>
  <c r="W23" i="22"/>
  <c r="W21" i="22"/>
  <c r="W19" i="22"/>
  <c r="W18" i="22"/>
  <c r="W17" i="22"/>
  <c r="W16" i="22"/>
  <c r="W15" i="22"/>
  <c r="W14" i="22"/>
  <c r="W13" i="22"/>
  <c r="AR5" i="6" l="1"/>
  <c r="W33" i="22"/>
  <c r="A35" i="22"/>
  <c r="F9" i="6"/>
  <c r="N8" i="6"/>
  <c r="AH26" i="6"/>
  <c r="AG26" i="6" s="1"/>
  <c r="B28" i="6"/>
  <c r="W12" i="22"/>
  <c r="W11" i="22"/>
  <c r="W10" i="22"/>
  <c r="W9" i="22"/>
  <c r="W8" i="22"/>
  <c r="W7" i="22"/>
  <c r="W6" i="22"/>
  <c r="W5" i="22"/>
  <c r="W4" i="22"/>
  <c r="W3" i="22"/>
  <c r="W2" i="22"/>
  <c r="W34" i="22" l="1"/>
  <c r="A36" i="22"/>
  <c r="A37" i="22" s="1"/>
  <c r="F10" i="6"/>
  <c r="N9" i="6"/>
  <c r="AH27" i="6"/>
  <c r="AG27" i="6" s="1"/>
  <c r="B29" i="6"/>
  <c r="W36" i="22" l="1"/>
  <c r="A38" i="22"/>
  <c r="A39" i="22" s="1"/>
  <c r="A40" i="22" s="1"/>
  <c r="A41" i="22" s="1"/>
  <c r="A42" i="22" s="1"/>
  <c r="A43" i="22" s="1"/>
  <c r="N10" i="6"/>
  <c r="F11" i="6"/>
  <c r="N11" i="6" s="1"/>
  <c r="AH28" i="6"/>
  <c r="AG28" i="6" s="1"/>
  <c r="B30" i="6"/>
  <c r="V48" i="17"/>
  <c r="T48" i="17"/>
  <c r="R48" i="17"/>
  <c r="P48" i="17"/>
  <c r="W48" i="17" l="1"/>
  <c r="AH29" i="6"/>
  <c r="AG29" i="6" s="1"/>
  <c r="B31" i="6"/>
  <c r="V47" i="17"/>
  <c r="T47" i="17"/>
  <c r="R47" i="17"/>
  <c r="P47" i="17"/>
  <c r="W47" i="17" l="1"/>
  <c r="AH30" i="6"/>
  <c r="AG30" i="6" s="1"/>
  <c r="B32" i="6"/>
  <c r="AH31" i="6" l="1"/>
  <c r="AG31" i="6" s="1"/>
  <c r="B33" i="6"/>
  <c r="B34" i="6" s="1"/>
  <c r="V46" i="17"/>
  <c r="T46" i="17"/>
  <c r="R46" i="17"/>
  <c r="P46" i="17"/>
  <c r="W46" i="17" s="1"/>
  <c r="X47" i="17" l="1"/>
  <c r="A34" i="6"/>
  <c r="AH33" i="6" s="1"/>
  <c r="AG33" i="6" s="1"/>
  <c r="B35" i="6"/>
  <c r="V45" i="17"/>
  <c r="T45" i="17"/>
  <c r="R45" i="17"/>
  <c r="P45" i="17"/>
  <c r="W45" i="17" s="1"/>
  <c r="X46" i="17" l="1"/>
  <c r="A35" i="6"/>
  <c r="AH34" i="6" s="1"/>
  <c r="AG34" i="6" s="1"/>
  <c r="B36" i="6"/>
  <c r="V44" i="17"/>
  <c r="T44" i="17"/>
  <c r="R44" i="17"/>
  <c r="P44" i="17"/>
  <c r="W44" i="17" l="1"/>
  <c r="A36" i="6"/>
  <c r="AH35" i="6" s="1"/>
  <c r="AG35" i="6" s="1"/>
  <c r="B37" i="6"/>
  <c r="X45" i="17" l="1"/>
  <c r="A37" i="6"/>
  <c r="B38" i="6"/>
  <c r="A38" i="6" l="1"/>
  <c r="AH37" i="6" s="1"/>
  <c r="AG37" i="6" s="1"/>
  <c r="B39" i="6"/>
  <c r="A39" i="6" l="1"/>
  <c r="AH38" i="6" s="1"/>
  <c r="AG38" i="6" s="1"/>
  <c r="B40" i="6"/>
  <c r="V43" i="17"/>
  <c r="T43" i="17"/>
  <c r="R43" i="17"/>
  <c r="P43" i="17"/>
  <c r="W43" i="17" l="1"/>
  <c r="X44" i="17" s="1"/>
  <c r="A40" i="6"/>
  <c r="AH39" i="6" s="1"/>
  <c r="AG39" i="6" s="1"/>
  <c r="B41" i="6"/>
  <c r="V42" i="17"/>
  <c r="T42" i="17"/>
  <c r="R42" i="17"/>
  <c r="P42" i="17"/>
  <c r="W42" i="17" l="1"/>
  <c r="A41" i="6"/>
  <c r="AH40" i="6" s="1"/>
  <c r="B42" i="6"/>
  <c r="A42" i="6" l="1"/>
  <c r="AH41" i="6" s="1"/>
  <c r="AG41" i="6" s="1"/>
  <c r="V41" i="17"/>
  <c r="T41" i="17"/>
  <c r="R41" i="17"/>
  <c r="P41" i="17"/>
  <c r="V40" i="17"/>
  <c r="T40" i="17"/>
  <c r="R40" i="17"/>
  <c r="P40" i="17"/>
  <c r="W40" i="17" l="1"/>
  <c r="W41" i="17"/>
  <c r="X41" i="17" s="1"/>
  <c r="V39" i="17" l="1"/>
  <c r="T39" i="17"/>
  <c r="R39" i="17"/>
  <c r="P39" i="17"/>
  <c r="W39" i="17" s="1"/>
  <c r="V38" i="17"/>
  <c r="T38" i="17"/>
  <c r="R38" i="17"/>
  <c r="P38" i="17"/>
  <c r="W38" i="17" l="1"/>
  <c r="X39" i="17" s="1"/>
  <c r="V37" i="17"/>
  <c r="T37" i="17"/>
  <c r="R37" i="17" l="1"/>
  <c r="P37" i="17"/>
  <c r="W37" i="17" s="1"/>
  <c r="N37" i="17"/>
  <c r="N38" i="17" s="1"/>
  <c r="N39" i="17" s="1"/>
  <c r="N40" i="17" s="1"/>
  <c r="N41" i="17" s="1"/>
  <c r="N42" i="17" s="1"/>
  <c r="N43" i="17" s="1"/>
  <c r="N44" i="17" s="1"/>
  <c r="N45" i="17" s="1"/>
  <c r="N46" i="17" s="1"/>
  <c r="N47" i="17" s="1"/>
  <c r="N48" i="17" s="1"/>
  <c r="V36" i="17"/>
  <c r="T36" i="17"/>
  <c r="R36" i="17"/>
  <c r="P36" i="17"/>
  <c r="W36" i="17" s="1"/>
  <c r="X37" i="17" l="1"/>
  <c r="V35" i="17"/>
  <c r="T35" i="17"/>
  <c r="R35" i="17"/>
  <c r="P35" i="17"/>
  <c r="V34" i="17"/>
  <c r="T34" i="17"/>
  <c r="R34" i="17"/>
  <c r="P34" i="17"/>
  <c r="W34" i="17" s="1"/>
  <c r="V33" i="17" l="1"/>
  <c r="T33" i="17"/>
  <c r="R33" i="17"/>
  <c r="P33" i="17"/>
  <c r="V32" i="17"/>
  <c r="T32" i="17"/>
  <c r="R32" i="17"/>
  <c r="P32" i="17"/>
  <c r="W32" i="17" s="1"/>
  <c r="V31" i="17" l="1"/>
  <c r="T31" i="17"/>
  <c r="R31" i="17"/>
  <c r="P31" i="17"/>
  <c r="V30" i="17" l="1"/>
  <c r="T30" i="17"/>
  <c r="R30" i="17"/>
  <c r="P30" i="17"/>
  <c r="W30" i="17" s="1"/>
  <c r="V29" i="17" l="1"/>
  <c r="T29" i="17"/>
  <c r="R29" i="17"/>
  <c r="P29" i="17"/>
  <c r="W29" i="17" s="1"/>
  <c r="V28" i="17"/>
  <c r="T28" i="17"/>
  <c r="R28" i="17"/>
  <c r="P28" i="17"/>
  <c r="W28" i="17" s="1"/>
  <c r="V27" i="17" l="1"/>
  <c r="T27" i="17"/>
  <c r="R27" i="17"/>
  <c r="P27" i="17"/>
  <c r="V26" i="17"/>
  <c r="T26" i="17"/>
  <c r="R26" i="17"/>
  <c r="P26" i="17"/>
  <c r="V25" i="17"/>
  <c r="T25" i="17"/>
  <c r="R25" i="17"/>
  <c r="P25" i="17"/>
  <c r="V24" i="17"/>
  <c r="T24" i="17"/>
  <c r="R24" i="17"/>
  <c r="P24" i="17"/>
  <c r="V23" i="17"/>
  <c r="T23" i="17"/>
  <c r="R23" i="17"/>
  <c r="P23" i="17"/>
  <c r="V22" i="17"/>
  <c r="T22" i="17"/>
  <c r="R22" i="17"/>
  <c r="P22" i="17"/>
  <c r="V21" i="17"/>
  <c r="T21" i="17"/>
  <c r="R21" i="17"/>
  <c r="P21" i="17"/>
  <c r="V20" i="17"/>
  <c r="T20" i="17"/>
  <c r="R20" i="17"/>
  <c r="P20" i="17"/>
  <c r="V19" i="17"/>
  <c r="T19" i="17"/>
  <c r="R19" i="17"/>
  <c r="P19" i="17"/>
  <c r="V18" i="17"/>
  <c r="T18" i="17"/>
  <c r="R18" i="17"/>
  <c r="P18" i="17"/>
  <c r="V17" i="17"/>
  <c r="T17" i="17"/>
  <c r="R17" i="17"/>
  <c r="P17" i="17"/>
  <c r="V16" i="17"/>
  <c r="T16" i="17"/>
  <c r="R16" i="17"/>
  <c r="P16" i="17"/>
  <c r="W16" i="17" l="1"/>
  <c r="W20" i="17"/>
  <c r="W21" i="17"/>
  <c r="X21" i="17" s="1"/>
  <c r="W24" i="17"/>
  <c r="W25" i="17"/>
  <c r="X25" i="17" s="1"/>
  <c r="W17" i="17"/>
  <c r="W18" i="17"/>
  <c r="W19" i="17"/>
  <c r="X19" i="17" s="1"/>
  <c r="W22" i="17"/>
  <c r="W23" i="17"/>
  <c r="X23" i="17" s="1"/>
  <c r="W26" i="17"/>
  <c r="V15" i="17"/>
  <c r="T15" i="17"/>
  <c r="R15" i="17"/>
  <c r="V14" i="17"/>
  <c r="T14" i="17"/>
  <c r="R14" i="17"/>
  <c r="V13" i="17"/>
  <c r="T13" i="17"/>
  <c r="R13" i="17"/>
  <c r="V12" i="17"/>
  <c r="T12" i="17"/>
  <c r="R12" i="17"/>
  <c r="V11" i="17"/>
  <c r="T11" i="17"/>
  <c r="R11" i="17"/>
  <c r="V10" i="17"/>
  <c r="T10" i="17"/>
  <c r="R10" i="17"/>
  <c r="W10" i="17"/>
  <c r="W14" i="17" l="1"/>
  <c r="W15" i="17"/>
  <c r="X15" i="17" s="1"/>
  <c r="W11" i="17"/>
  <c r="X11" i="17" s="1"/>
  <c r="W12" i="17"/>
  <c r="W13" i="17"/>
  <c r="X13" i="17" s="1"/>
  <c r="V9" i="17"/>
  <c r="T9" i="17"/>
  <c r="R9" i="17"/>
  <c r="V8" i="17"/>
  <c r="T8" i="17"/>
  <c r="R8" i="17"/>
  <c r="V7" i="17"/>
  <c r="T7" i="17"/>
  <c r="R7" i="17"/>
  <c r="V6" i="17"/>
  <c r="T6" i="17"/>
  <c r="R6" i="17"/>
  <c r="W6" i="17"/>
  <c r="X16" i="17" l="1"/>
  <c r="W7" i="17"/>
  <c r="X7" i="17" s="1"/>
  <c r="W8" i="17"/>
  <c r="W9" i="17"/>
  <c r="X9" i="17" s="1"/>
  <c r="V5" i="17"/>
  <c r="T5" i="17"/>
  <c r="R5" i="17"/>
  <c r="V4" i="17"/>
  <c r="T4" i="17"/>
  <c r="R4" i="17"/>
  <c r="V3" i="17"/>
  <c r="T3" i="17"/>
  <c r="R3" i="17"/>
  <c r="W3" i="17"/>
  <c r="N3" i="17"/>
  <c r="A3" i="17"/>
  <c r="A4" i="17" s="1"/>
  <c r="W2" i="17"/>
  <c r="M505" i="66"/>
  <c r="A505" i="66"/>
  <c r="M504" i="66"/>
  <c r="A504" i="66"/>
  <c r="M503" i="66"/>
  <c r="X3" i="17" l="1"/>
  <c r="A5" i="17"/>
  <c r="N4" i="17"/>
  <c r="W4" i="17"/>
  <c r="N5" i="17"/>
  <c r="N6" i="17" s="1"/>
  <c r="N7" i="17" s="1"/>
  <c r="N8" i="17" s="1"/>
  <c r="N9" i="17" s="1"/>
  <c r="N10" i="17" s="1"/>
  <c r="N11" i="17" s="1"/>
  <c r="N12" i="17" s="1"/>
  <c r="N13" i="17" s="1"/>
  <c r="N14" i="17" s="1"/>
  <c r="N15" i="17" s="1"/>
  <c r="N16" i="17" s="1"/>
  <c r="N17" i="17" s="1"/>
  <c r="N18" i="17" s="1"/>
  <c r="N19" i="17" s="1"/>
  <c r="N20" i="17" s="1"/>
  <c r="N21" i="17" s="1"/>
  <c r="N22" i="17" s="1"/>
  <c r="N23" i="17" s="1"/>
  <c r="N24" i="17" s="1"/>
  <c r="N25" i="17" s="1"/>
  <c r="N26" i="17" s="1"/>
  <c r="N27" i="17" s="1"/>
  <c r="W5" i="17"/>
  <c r="T503" i="66"/>
  <c r="T504" i="66"/>
  <c r="T505" i="66"/>
  <c r="A503" i="66"/>
  <c r="M502" i="66"/>
  <c r="A502" i="66"/>
  <c r="M501" i="66"/>
  <c r="A501" i="66"/>
  <c r="M500" i="66"/>
  <c r="A500" i="66"/>
  <c r="M499" i="66"/>
  <c r="A499" i="66"/>
  <c r="M498" i="66"/>
  <c r="A498" i="66"/>
  <c r="M497" i="66"/>
  <c r="A497" i="66"/>
  <c r="M496" i="66"/>
  <c r="A496" i="66"/>
  <c r="M495" i="66"/>
  <c r="A495" i="66"/>
  <c r="M494" i="66"/>
  <c r="X5" i="17" l="1"/>
  <c r="X4" i="17"/>
  <c r="A6" i="17"/>
  <c r="A7" i="17" s="1"/>
  <c r="T495" i="66"/>
  <c r="T496" i="66"/>
  <c r="T497" i="66"/>
  <c r="T498" i="66"/>
  <c r="T499" i="66"/>
  <c r="T500" i="66"/>
  <c r="T501" i="66"/>
  <c r="T502" i="66"/>
  <c r="A494" i="66"/>
  <c r="G493" i="66"/>
  <c r="G492" i="66"/>
  <c r="G491" i="66"/>
  <c r="G490" i="66"/>
  <c r="G489" i="66"/>
  <c r="G488" i="66"/>
  <c r="G487" i="66"/>
  <c r="G486" i="66"/>
  <c r="G485" i="66"/>
  <c r="G484" i="66"/>
  <c r="G483" i="66"/>
  <c r="G482" i="66"/>
  <c r="X6" i="17" l="1"/>
  <c r="A8" i="17"/>
  <c r="A9" i="17" s="1"/>
  <c r="T369" i="66"/>
  <c r="T371" i="66"/>
  <c r="T373" i="66"/>
  <c r="T375" i="66"/>
  <c r="T377" i="66"/>
  <c r="T379" i="66"/>
  <c r="T381" i="66"/>
  <c r="T383" i="66"/>
  <c r="T385" i="66"/>
  <c r="T387" i="66"/>
  <c r="T389" i="66"/>
  <c r="T391" i="66"/>
  <c r="T393" i="66"/>
  <c r="T395" i="66"/>
  <c r="T397" i="66"/>
  <c r="T399" i="66"/>
  <c r="T401" i="66"/>
  <c r="T403" i="66"/>
  <c r="T405" i="66"/>
  <c r="T407" i="66"/>
  <c r="T409" i="66"/>
  <c r="T411" i="66"/>
  <c r="T413" i="66"/>
  <c r="T415" i="66"/>
  <c r="T417" i="66"/>
  <c r="T419" i="66"/>
  <c r="T421" i="66"/>
  <c r="T423" i="66"/>
  <c r="T425" i="66"/>
  <c r="T427" i="66"/>
  <c r="T429" i="66"/>
  <c r="T431" i="66"/>
  <c r="T433" i="66"/>
  <c r="T435" i="66"/>
  <c r="T437" i="66"/>
  <c r="T439" i="66"/>
  <c r="T441" i="66"/>
  <c r="T443" i="66"/>
  <c r="T445" i="66"/>
  <c r="T447" i="66"/>
  <c r="T449" i="66"/>
  <c r="T451" i="66"/>
  <c r="T453" i="66"/>
  <c r="T455" i="66"/>
  <c r="T457" i="66"/>
  <c r="T459" i="66"/>
  <c r="T461" i="66"/>
  <c r="T463" i="66"/>
  <c r="T465" i="66"/>
  <c r="T467" i="66"/>
  <c r="T469" i="66"/>
  <c r="T471" i="66"/>
  <c r="T473" i="66"/>
  <c r="T475" i="66"/>
  <c r="T477" i="66"/>
  <c r="T479" i="66"/>
  <c r="T481" i="66"/>
  <c r="T482" i="66"/>
  <c r="T483" i="66"/>
  <c r="T484" i="66"/>
  <c r="T485" i="66"/>
  <c r="T486" i="66"/>
  <c r="T487" i="66"/>
  <c r="T488" i="66"/>
  <c r="T489" i="66"/>
  <c r="T490" i="66"/>
  <c r="T491" i="66"/>
  <c r="T492" i="66"/>
  <c r="T493" i="66"/>
  <c r="T494" i="66"/>
  <c r="T370" i="66"/>
  <c r="T372" i="66"/>
  <c r="T374" i="66"/>
  <c r="T376" i="66"/>
  <c r="T378" i="66"/>
  <c r="T380" i="66"/>
  <c r="T382" i="66"/>
  <c r="T384" i="66"/>
  <c r="T386" i="66"/>
  <c r="T388" i="66"/>
  <c r="T390" i="66"/>
  <c r="T392" i="66"/>
  <c r="T394" i="66"/>
  <c r="T396" i="66"/>
  <c r="T398" i="66"/>
  <c r="T400" i="66"/>
  <c r="T402" i="66"/>
  <c r="T404" i="66"/>
  <c r="T406" i="66"/>
  <c r="T408" i="66"/>
  <c r="T410" i="66"/>
  <c r="T412" i="66"/>
  <c r="T414" i="66"/>
  <c r="T416" i="66"/>
  <c r="T418" i="66"/>
  <c r="T420" i="66"/>
  <c r="T422" i="66"/>
  <c r="T424" i="66"/>
  <c r="T426" i="66"/>
  <c r="T428" i="66"/>
  <c r="T430" i="66"/>
  <c r="T432" i="66"/>
  <c r="T434" i="66"/>
  <c r="T436" i="66"/>
  <c r="T438" i="66"/>
  <c r="T440" i="66"/>
  <c r="T442" i="66"/>
  <c r="T444" i="66"/>
  <c r="T446" i="66"/>
  <c r="T448" i="66"/>
  <c r="T450" i="66"/>
  <c r="T452" i="66"/>
  <c r="T454" i="66"/>
  <c r="T456" i="66"/>
  <c r="T458" i="66"/>
  <c r="T460" i="66"/>
  <c r="T462" i="66"/>
  <c r="T464" i="66"/>
  <c r="T466" i="66"/>
  <c r="T468" i="66"/>
  <c r="T470" i="66"/>
  <c r="T472" i="66"/>
  <c r="T474" i="66"/>
  <c r="T476" i="66"/>
  <c r="T478" i="66"/>
  <c r="T480" i="66"/>
  <c r="X8" i="17" l="1"/>
  <c r="A10" i="17"/>
  <c r="A11" i="17" s="1"/>
  <c r="T338" i="66"/>
  <c r="T340" i="66"/>
  <c r="T342" i="66"/>
  <c r="T344" i="66"/>
  <c r="T346" i="66"/>
  <c r="T348" i="66"/>
  <c r="T350" i="66"/>
  <c r="T352" i="66"/>
  <c r="T354" i="66"/>
  <c r="T356" i="66"/>
  <c r="T358" i="66"/>
  <c r="T360" i="66"/>
  <c r="T362" i="66"/>
  <c r="T364" i="66"/>
  <c r="T366" i="66"/>
  <c r="T368" i="66"/>
  <c r="T339" i="66"/>
  <c r="T341" i="66"/>
  <c r="T343" i="66"/>
  <c r="T345" i="66"/>
  <c r="T347" i="66"/>
  <c r="T349" i="66"/>
  <c r="T351" i="66"/>
  <c r="T353" i="66"/>
  <c r="T355" i="66"/>
  <c r="T357" i="66"/>
  <c r="T359" i="66"/>
  <c r="T361" i="66"/>
  <c r="T363" i="66"/>
  <c r="T365" i="66"/>
  <c r="T367" i="66"/>
  <c r="X10" i="17" l="1"/>
  <c r="A12" i="17"/>
  <c r="A13" i="17" s="1"/>
  <c r="T292" i="66"/>
  <c r="T294" i="66"/>
  <c r="T296" i="66"/>
  <c r="T298" i="66"/>
  <c r="T300" i="66"/>
  <c r="T302" i="66"/>
  <c r="T304" i="66"/>
  <c r="T306" i="66"/>
  <c r="T308" i="66"/>
  <c r="T310" i="66"/>
  <c r="T312" i="66"/>
  <c r="T314" i="66"/>
  <c r="T316" i="66"/>
  <c r="T318" i="66"/>
  <c r="T320" i="66"/>
  <c r="T322" i="66"/>
  <c r="T324" i="66"/>
  <c r="T326" i="66"/>
  <c r="T328" i="66"/>
  <c r="T330" i="66"/>
  <c r="T332" i="66"/>
  <c r="T334" i="66"/>
  <c r="T336" i="66"/>
  <c r="T337" i="66"/>
  <c r="T293" i="66"/>
  <c r="T295" i="66"/>
  <c r="T297" i="66"/>
  <c r="T299" i="66"/>
  <c r="T301" i="66"/>
  <c r="T303" i="66"/>
  <c r="T305" i="66"/>
  <c r="T307" i="66"/>
  <c r="T309" i="66"/>
  <c r="T311" i="66"/>
  <c r="T313" i="66"/>
  <c r="T315" i="66"/>
  <c r="T317" i="66"/>
  <c r="T319" i="66"/>
  <c r="T321" i="66"/>
  <c r="T323" i="66"/>
  <c r="T325" i="66"/>
  <c r="T327" i="66"/>
  <c r="T329" i="66"/>
  <c r="T331" i="66"/>
  <c r="T333" i="66"/>
  <c r="T335" i="66"/>
  <c r="D193" i="66"/>
  <c r="D205" i="66" s="1"/>
  <c r="D217" i="66" s="1"/>
  <c r="D229" i="66" s="1"/>
  <c r="D241" i="66" s="1"/>
  <c r="D253" i="66" s="1"/>
  <c r="D265" i="66" s="1"/>
  <c r="D277" i="66" s="1"/>
  <c r="D289" i="66" s="1"/>
  <c r="D301" i="66" s="1"/>
  <c r="D313" i="66" s="1"/>
  <c r="D325" i="66" s="1"/>
  <c r="D337" i="66" s="1"/>
  <c r="D349" i="66" s="1"/>
  <c r="D361" i="66" s="1"/>
  <c r="D373" i="66" s="1"/>
  <c r="D385" i="66" s="1"/>
  <c r="D397" i="66" s="1"/>
  <c r="D409" i="66" s="1"/>
  <c r="D421" i="66" s="1"/>
  <c r="D433" i="66" s="1"/>
  <c r="D445" i="66" s="1"/>
  <c r="D457" i="66" s="1"/>
  <c r="D469" i="66" s="1"/>
  <c r="D481" i="66" s="1"/>
  <c r="D493" i="66" s="1"/>
  <c r="D505" i="66" s="1"/>
  <c r="D192" i="66"/>
  <c r="D204" i="66" s="1"/>
  <c r="D216" i="66" s="1"/>
  <c r="D228" i="66" s="1"/>
  <c r="D240" i="66" s="1"/>
  <c r="D252" i="66" s="1"/>
  <c r="D264" i="66" s="1"/>
  <c r="D276" i="66" s="1"/>
  <c r="D288" i="66" s="1"/>
  <c r="D300" i="66" s="1"/>
  <c r="D312" i="66" s="1"/>
  <c r="D324" i="66" s="1"/>
  <c r="D336" i="66" s="1"/>
  <c r="D348" i="66" s="1"/>
  <c r="D360" i="66" s="1"/>
  <c r="D372" i="66" s="1"/>
  <c r="D384" i="66" s="1"/>
  <c r="D396" i="66" s="1"/>
  <c r="D408" i="66" s="1"/>
  <c r="D420" i="66" s="1"/>
  <c r="D432" i="66" s="1"/>
  <c r="D444" i="66" s="1"/>
  <c r="D456" i="66" s="1"/>
  <c r="D468" i="66" s="1"/>
  <c r="D480" i="66" s="1"/>
  <c r="D492" i="66" s="1"/>
  <c r="D504" i="66" s="1"/>
  <c r="D191" i="66"/>
  <c r="D203" i="66" s="1"/>
  <c r="D215" i="66" s="1"/>
  <c r="D227" i="66" s="1"/>
  <c r="D239" i="66" s="1"/>
  <c r="D251" i="66" s="1"/>
  <c r="D263" i="66" s="1"/>
  <c r="D275" i="66" s="1"/>
  <c r="D287" i="66" s="1"/>
  <c r="D299" i="66" s="1"/>
  <c r="D311" i="66" s="1"/>
  <c r="D323" i="66" s="1"/>
  <c r="D335" i="66" s="1"/>
  <c r="D347" i="66" s="1"/>
  <c r="D359" i="66" s="1"/>
  <c r="D371" i="66" s="1"/>
  <c r="D383" i="66" s="1"/>
  <c r="D395" i="66" s="1"/>
  <c r="D407" i="66" s="1"/>
  <c r="D419" i="66" s="1"/>
  <c r="D431" i="66" s="1"/>
  <c r="D443" i="66" s="1"/>
  <c r="D455" i="66" s="1"/>
  <c r="D467" i="66" s="1"/>
  <c r="D479" i="66" s="1"/>
  <c r="D491" i="66" s="1"/>
  <c r="D503" i="66" s="1"/>
  <c r="D190" i="66"/>
  <c r="D202" i="66" s="1"/>
  <c r="D214" i="66" s="1"/>
  <c r="D226" i="66" s="1"/>
  <c r="D238" i="66" s="1"/>
  <c r="D250" i="66" s="1"/>
  <c r="D262" i="66" s="1"/>
  <c r="D274" i="66" s="1"/>
  <c r="D286" i="66" s="1"/>
  <c r="D298" i="66" s="1"/>
  <c r="D310" i="66" s="1"/>
  <c r="D322" i="66" s="1"/>
  <c r="D334" i="66" s="1"/>
  <c r="D346" i="66" s="1"/>
  <c r="D358" i="66" s="1"/>
  <c r="D370" i="66" s="1"/>
  <c r="D382" i="66" s="1"/>
  <c r="D394" i="66" s="1"/>
  <c r="D406" i="66" s="1"/>
  <c r="D418" i="66" s="1"/>
  <c r="D430" i="66" s="1"/>
  <c r="D442" i="66" s="1"/>
  <c r="D454" i="66" s="1"/>
  <c r="D466" i="66" s="1"/>
  <c r="D478" i="66" s="1"/>
  <c r="D490" i="66" s="1"/>
  <c r="D502" i="66" s="1"/>
  <c r="D189" i="66"/>
  <c r="D201" i="66" s="1"/>
  <c r="D213" i="66" s="1"/>
  <c r="D225" i="66" s="1"/>
  <c r="D237" i="66" s="1"/>
  <c r="D249" i="66" s="1"/>
  <c r="D261" i="66" s="1"/>
  <c r="D273" i="66" s="1"/>
  <c r="D285" i="66" s="1"/>
  <c r="D297" i="66" s="1"/>
  <c r="D309" i="66" s="1"/>
  <c r="D321" i="66" s="1"/>
  <c r="D333" i="66" s="1"/>
  <c r="D345" i="66" s="1"/>
  <c r="D357" i="66" s="1"/>
  <c r="D369" i="66" s="1"/>
  <c r="D381" i="66" s="1"/>
  <c r="D393" i="66" s="1"/>
  <c r="D405" i="66" s="1"/>
  <c r="D417" i="66" s="1"/>
  <c r="D429" i="66" s="1"/>
  <c r="D441" i="66" s="1"/>
  <c r="D453" i="66" s="1"/>
  <c r="D465" i="66" s="1"/>
  <c r="D477" i="66" s="1"/>
  <c r="D489" i="66" s="1"/>
  <c r="D501" i="66" s="1"/>
  <c r="D188" i="66"/>
  <c r="D200" i="66" s="1"/>
  <c r="D212" i="66" s="1"/>
  <c r="D224" i="66" s="1"/>
  <c r="D236" i="66" s="1"/>
  <c r="D248" i="66" s="1"/>
  <c r="D260" i="66" s="1"/>
  <c r="D272" i="66" s="1"/>
  <c r="D284" i="66" s="1"/>
  <c r="D296" i="66" s="1"/>
  <c r="D308" i="66" s="1"/>
  <c r="D320" i="66" s="1"/>
  <c r="D332" i="66" s="1"/>
  <c r="D344" i="66" s="1"/>
  <c r="D356" i="66" s="1"/>
  <c r="D368" i="66" s="1"/>
  <c r="D380" i="66" s="1"/>
  <c r="D392" i="66" s="1"/>
  <c r="D404" i="66" s="1"/>
  <c r="D416" i="66" s="1"/>
  <c r="D428" i="66" s="1"/>
  <c r="D440" i="66" s="1"/>
  <c r="D452" i="66" s="1"/>
  <c r="D464" i="66" s="1"/>
  <c r="D476" i="66" s="1"/>
  <c r="D488" i="66" s="1"/>
  <c r="D500" i="66" s="1"/>
  <c r="D187" i="66"/>
  <c r="D199" i="66" s="1"/>
  <c r="D211" i="66" s="1"/>
  <c r="D223" i="66" s="1"/>
  <c r="D235" i="66" s="1"/>
  <c r="D247" i="66" s="1"/>
  <c r="D259" i="66" s="1"/>
  <c r="D271" i="66" s="1"/>
  <c r="D283" i="66" s="1"/>
  <c r="D295" i="66" s="1"/>
  <c r="D307" i="66" s="1"/>
  <c r="D319" i="66" s="1"/>
  <c r="D331" i="66" s="1"/>
  <c r="D343" i="66" s="1"/>
  <c r="D355" i="66" s="1"/>
  <c r="D367" i="66" s="1"/>
  <c r="D379" i="66" s="1"/>
  <c r="D391" i="66" s="1"/>
  <c r="D403" i="66" s="1"/>
  <c r="D415" i="66" s="1"/>
  <c r="D427" i="66" s="1"/>
  <c r="D439" i="66" s="1"/>
  <c r="D451" i="66" s="1"/>
  <c r="D463" i="66" s="1"/>
  <c r="D475" i="66" s="1"/>
  <c r="D487" i="66" s="1"/>
  <c r="D499" i="66" s="1"/>
  <c r="D186" i="66"/>
  <c r="D198" i="66" s="1"/>
  <c r="D210" i="66" s="1"/>
  <c r="D222" i="66" s="1"/>
  <c r="D234" i="66" s="1"/>
  <c r="D246" i="66" s="1"/>
  <c r="D258" i="66" s="1"/>
  <c r="D270" i="66" s="1"/>
  <c r="D282" i="66" s="1"/>
  <c r="D294" i="66" s="1"/>
  <c r="D306" i="66" s="1"/>
  <c r="D318" i="66" s="1"/>
  <c r="D330" i="66" s="1"/>
  <c r="D342" i="66" s="1"/>
  <c r="D354" i="66" s="1"/>
  <c r="D366" i="66" s="1"/>
  <c r="D378" i="66" s="1"/>
  <c r="D390" i="66" s="1"/>
  <c r="D402" i="66" s="1"/>
  <c r="D414" i="66" s="1"/>
  <c r="D426" i="66" s="1"/>
  <c r="D438" i="66" s="1"/>
  <c r="D450" i="66" s="1"/>
  <c r="D462" i="66" s="1"/>
  <c r="D474" i="66" s="1"/>
  <c r="D486" i="66" s="1"/>
  <c r="D498" i="66" s="1"/>
  <c r="D185" i="66"/>
  <c r="D197" i="66" s="1"/>
  <c r="D209" i="66" s="1"/>
  <c r="D221" i="66" s="1"/>
  <c r="D233" i="66" s="1"/>
  <c r="D245" i="66" s="1"/>
  <c r="D257" i="66" s="1"/>
  <c r="D269" i="66" s="1"/>
  <c r="D281" i="66" s="1"/>
  <c r="D293" i="66" s="1"/>
  <c r="D305" i="66" s="1"/>
  <c r="D317" i="66" s="1"/>
  <c r="D329" i="66" s="1"/>
  <c r="D341" i="66" s="1"/>
  <c r="D353" i="66" s="1"/>
  <c r="D365" i="66" s="1"/>
  <c r="D377" i="66" s="1"/>
  <c r="D389" i="66" s="1"/>
  <c r="D401" i="66" s="1"/>
  <c r="D413" i="66" s="1"/>
  <c r="D425" i="66" s="1"/>
  <c r="D437" i="66" s="1"/>
  <c r="D449" i="66" s="1"/>
  <c r="D461" i="66" s="1"/>
  <c r="D473" i="66" s="1"/>
  <c r="D485" i="66" s="1"/>
  <c r="D497" i="66" s="1"/>
  <c r="D184" i="66"/>
  <c r="D196" i="66" s="1"/>
  <c r="D208" i="66" s="1"/>
  <c r="D220" i="66" s="1"/>
  <c r="D232" i="66" s="1"/>
  <c r="D244" i="66" s="1"/>
  <c r="D256" i="66" s="1"/>
  <c r="D268" i="66" s="1"/>
  <c r="D280" i="66" s="1"/>
  <c r="D292" i="66" s="1"/>
  <c r="D304" i="66" s="1"/>
  <c r="D316" i="66" s="1"/>
  <c r="D328" i="66" s="1"/>
  <c r="D340" i="66" s="1"/>
  <c r="D352" i="66" s="1"/>
  <c r="D364" i="66" s="1"/>
  <c r="D376" i="66" s="1"/>
  <c r="D388" i="66" s="1"/>
  <c r="D400" i="66" s="1"/>
  <c r="D412" i="66" s="1"/>
  <c r="D424" i="66" s="1"/>
  <c r="D436" i="66" s="1"/>
  <c r="D448" i="66" s="1"/>
  <c r="D460" i="66" s="1"/>
  <c r="D472" i="66" s="1"/>
  <c r="D484" i="66" s="1"/>
  <c r="D496" i="66" s="1"/>
  <c r="D183" i="66"/>
  <c r="D195" i="66" s="1"/>
  <c r="D207" i="66" s="1"/>
  <c r="D219" i="66" s="1"/>
  <c r="D231" i="66" s="1"/>
  <c r="D243" i="66" s="1"/>
  <c r="D255" i="66" s="1"/>
  <c r="D267" i="66" s="1"/>
  <c r="D279" i="66" s="1"/>
  <c r="D291" i="66" s="1"/>
  <c r="D303" i="66" s="1"/>
  <c r="D315" i="66" s="1"/>
  <c r="D327" i="66" s="1"/>
  <c r="D339" i="66" s="1"/>
  <c r="D351" i="66" s="1"/>
  <c r="D363" i="66" s="1"/>
  <c r="D375" i="66" s="1"/>
  <c r="D387" i="66" s="1"/>
  <c r="D399" i="66" s="1"/>
  <c r="D411" i="66" s="1"/>
  <c r="D423" i="66" s="1"/>
  <c r="D435" i="66" s="1"/>
  <c r="D447" i="66" s="1"/>
  <c r="D459" i="66" s="1"/>
  <c r="D471" i="66" s="1"/>
  <c r="D483" i="66" s="1"/>
  <c r="D495" i="66" s="1"/>
  <c r="D182" i="66"/>
  <c r="D194" i="66" s="1"/>
  <c r="D206" i="66" s="1"/>
  <c r="D218" i="66" s="1"/>
  <c r="D230" i="66" s="1"/>
  <c r="D242" i="66" s="1"/>
  <c r="D254" i="66" s="1"/>
  <c r="D266" i="66" s="1"/>
  <c r="D278" i="66" s="1"/>
  <c r="D290" i="66" s="1"/>
  <c r="D302" i="66" s="1"/>
  <c r="D314" i="66" s="1"/>
  <c r="D326" i="66" s="1"/>
  <c r="D338" i="66" s="1"/>
  <c r="D350" i="66" s="1"/>
  <c r="D362" i="66" s="1"/>
  <c r="D374" i="66" s="1"/>
  <c r="D386" i="66" s="1"/>
  <c r="D398" i="66" s="1"/>
  <c r="D410" i="66" s="1"/>
  <c r="D422" i="66" s="1"/>
  <c r="D434" i="66" s="1"/>
  <c r="D446" i="66" s="1"/>
  <c r="D458" i="66" s="1"/>
  <c r="D470" i="66" s="1"/>
  <c r="D482" i="66" s="1"/>
  <c r="D494" i="66" s="1"/>
  <c r="D181" i="66"/>
  <c r="D180" i="66"/>
  <c r="D179" i="66"/>
  <c r="D178" i="66"/>
  <c r="D177" i="66"/>
  <c r="D176" i="66"/>
  <c r="D175" i="66"/>
  <c r="D174" i="66"/>
  <c r="D173" i="66"/>
  <c r="D172" i="66"/>
  <c r="D171" i="66"/>
  <c r="D170" i="66"/>
  <c r="Q169" i="66"/>
  <c r="Q181" i="66" s="1"/>
  <c r="Q193" i="66" s="1"/>
  <c r="Q205" i="66" s="1"/>
  <c r="Q217" i="66" s="1"/>
  <c r="Q229" i="66" s="1"/>
  <c r="Q241" i="66" s="1"/>
  <c r="Q253" i="66" s="1"/>
  <c r="Q265" i="66" s="1"/>
  <c r="Q277" i="66" s="1"/>
  <c r="Q289" i="66" s="1"/>
  <c r="Q301" i="66" s="1"/>
  <c r="Q313" i="66" s="1"/>
  <c r="Q325" i="66" s="1"/>
  <c r="Q337" i="66" s="1"/>
  <c r="Q349" i="66" s="1"/>
  <c r="Q361" i="66" s="1"/>
  <c r="Q373" i="66" s="1"/>
  <c r="Q385" i="66" s="1"/>
  <c r="Q397" i="66" s="1"/>
  <c r="Q409" i="66" s="1"/>
  <c r="Q421" i="66" s="1"/>
  <c r="Q433" i="66" s="1"/>
  <c r="Q445" i="66" s="1"/>
  <c r="Q457" i="66" s="1"/>
  <c r="Q469" i="66" s="1"/>
  <c r="Q481" i="66" s="1"/>
  <c r="Q493" i="66" s="1"/>
  <c r="Q505" i="66" s="1"/>
  <c r="P169" i="66"/>
  <c r="P181" i="66" s="1"/>
  <c r="P193" i="66" s="1"/>
  <c r="P205" i="66" s="1"/>
  <c r="P217" i="66" s="1"/>
  <c r="P229" i="66" s="1"/>
  <c r="P241" i="66" s="1"/>
  <c r="P253" i="66" s="1"/>
  <c r="P265" i="66" s="1"/>
  <c r="P277" i="66" s="1"/>
  <c r="P289" i="66" s="1"/>
  <c r="P301" i="66" s="1"/>
  <c r="P313" i="66" s="1"/>
  <c r="P325" i="66" s="1"/>
  <c r="P337" i="66" s="1"/>
  <c r="P349" i="66" s="1"/>
  <c r="P361" i="66" s="1"/>
  <c r="P373" i="66" s="1"/>
  <c r="P385" i="66" s="1"/>
  <c r="P397" i="66" s="1"/>
  <c r="P409" i="66" s="1"/>
  <c r="P421" i="66" s="1"/>
  <c r="P433" i="66" s="1"/>
  <c r="P445" i="66" s="1"/>
  <c r="P457" i="66" s="1"/>
  <c r="P469" i="66" s="1"/>
  <c r="P481" i="66" s="1"/>
  <c r="P493" i="66" s="1"/>
  <c r="P505" i="66" s="1"/>
  <c r="D169" i="66"/>
  <c r="Q168" i="66"/>
  <c r="Q180" i="66" s="1"/>
  <c r="Q192" i="66" s="1"/>
  <c r="Q204" i="66" s="1"/>
  <c r="Q216" i="66" s="1"/>
  <c r="Q228" i="66" s="1"/>
  <c r="Q240" i="66" s="1"/>
  <c r="Q252" i="66" s="1"/>
  <c r="Q264" i="66" s="1"/>
  <c r="Q276" i="66" s="1"/>
  <c r="Q288" i="66" s="1"/>
  <c r="Q300" i="66" s="1"/>
  <c r="Q312" i="66" s="1"/>
  <c r="Q324" i="66" s="1"/>
  <c r="Q336" i="66" s="1"/>
  <c r="Q348" i="66" s="1"/>
  <c r="Q360" i="66" s="1"/>
  <c r="Q372" i="66" s="1"/>
  <c r="Q384" i="66" s="1"/>
  <c r="Q396" i="66" s="1"/>
  <c r="Q408" i="66" s="1"/>
  <c r="Q420" i="66" s="1"/>
  <c r="Q432" i="66" s="1"/>
  <c r="Q444" i="66" s="1"/>
  <c r="Q456" i="66" s="1"/>
  <c r="Q468" i="66" s="1"/>
  <c r="Q480" i="66" s="1"/>
  <c r="Q492" i="66" s="1"/>
  <c r="Q504" i="66" s="1"/>
  <c r="P168" i="66"/>
  <c r="P180" i="66" s="1"/>
  <c r="P192" i="66" s="1"/>
  <c r="P204" i="66" s="1"/>
  <c r="P216" i="66" s="1"/>
  <c r="P228" i="66" s="1"/>
  <c r="P240" i="66" s="1"/>
  <c r="P252" i="66" s="1"/>
  <c r="P264" i="66" s="1"/>
  <c r="P276" i="66" s="1"/>
  <c r="P288" i="66" s="1"/>
  <c r="P300" i="66" s="1"/>
  <c r="P312" i="66" s="1"/>
  <c r="P324" i="66" s="1"/>
  <c r="P336" i="66" s="1"/>
  <c r="P348" i="66" s="1"/>
  <c r="P360" i="66" s="1"/>
  <c r="P372" i="66" s="1"/>
  <c r="P384" i="66" s="1"/>
  <c r="P396" i="66" s="1"/>
  <c r="P408" i="66" s="1"/>
  <c r="P420" i="66" s="1"/>
  <c r="P432" i="66" s="1"/>
  <c r="P444" i="66" s="1"/>
  <c r="P456" i="66" s="1"/>
  <c r="P468" i="66" s="1"/>
  <c r="P480" i="66" s="1"/>
  <c r="P492" i="66" s="1"/>
  <c r="P504" i="66" s="1"/>
  <c r="D168" i="66"/>
  <c r="Q167" i="66"/>
  <c r="Q179" i="66" s="1"/>
  <c r="Q191" i="66" s="1"/>
  <c r="Q203" i="66" s="1"/>
  <c r="Q215" i="66" s="1"/>
  <c r="Q227" i="66" s="1"/>
  <c r="Q239" i="66" s="1"/>
  <c r="Q251" i="66" s="1"/>
  <c r="Q263" i="66" s="1"/>
  <c r="Q275" i="66" s="1"/>
  <c r="Q287" i="66" s="1"/>
  <c r="Q299" i="66" s="1"/>
  <c r="Q311" i="66" s="1"/>
  <c r="Q323" i="66" s="1"/>
  <c r="Q335" i="66" s="1"/>
  <c r="Q347" i="66" s="1"/>
  <c r="Q359" i="66" s="1"/>
  <c r="Q371" i="66" s="1"/>
  <c r="Q383" i="66" s="1"/>
  <c r="Q395" i="66" s="1"/>
  <c r="Q407" i="66" s="1"/>
  <c r="Q419" i="66" s="1"/>
  <c r="Q431" i="66" s="1"/>
  <c r="Q443" i="66" s="1"/>
  <c r="Q455" i="66" s="1"/>
  <c r="Q467" i="66" s="1"/>
  <c r="Q479" i="66" s="1"/>
  <c r="Q491" i="66" s="1"/>
  <c r="Q503" i="66" s="1"/>
  <c r="P167" i="66"/>
  <c r="P179" i="66" s="1"/>
  <c r="P191" i="66" s="1"/>
  <c r="P203" i="66" s="1"/>
  <c r="P215" i="66" s="1"/>
  <c r="P227" i="66" s="1"/>
  <c r="P239" i="66" s="1"/>
  <c r="P251" i="66" s="1"/>
  <c r="P263" i="66" s="1"/>
  <c r="P275" i="66" s="1"/>
  <c r="P287" i="66" s="1"/>
  <c r="P299" i="66" s="1"/>
  <c r="P311" i="66" s="1"/>
  <c r="P323" i="66" s="1"/>
  <c r="P335" i="66" s="1"/>
  <c r="P347" i="66" s="1"/>
  <c r="P359" i="66" s="1"/>
  <c r="P371" i="66" s="1"/>
  <c r="P383" i="66" s="1"/>
  <c r="P395" i="66" s="1"/>
  <c r="P407" i="66" s="1"/>
  <c r="P419" i="66" s="1"/>
  <c r="P431" i="66" s="1"/>
  <c r="P443" i="66" s="1"/>
  <c r="P455" i="66" s="1"/>
  <c r="P467" i="66" s="1"/>
  <c r="P479" i="66" s="1"/>
  <c r="P491" i="66" s="1"/>
  <c r="P503" i="66" s="1"/>
  <c r="D167" i="66"/>
  <c r="Q166" i="66"/>
  <c r="Q178" i="66" s="1"/>
  <c r="Q190" i="66" s="1"/>
  <c r="Q202" i="66" s="1"/>
  <c r="Q214" i="66" s="1"/>
  <c r="Q226" i="66" s="1"/>
  <c r="Q238" i="66" s="1"/>
  <c r="Q250" i="66" s="1"/>
  <c r="Q262" i="66" s="1"/>
  <c r="Q274" i="66" s="1"/>
  <c r="Q286" i="66" s="1"/>
  <c r="Q298" i="66" s="1"/>
  <c r="Q310" i="66" s="1"/>
  <c r="Q322" i="66" s="1"/>
  <c r="Q334" i="66" s="1"/>
  <c r="Q346" i="66" s="1"/>
  <c r="Q358" i="66" s="1"/>
  <c r="Q370" i="66" s="1"/>
  <c r="Q382" i="66" s="1"/>
  <c r="Q394" i="66" s="1"/>
  <c r="Q406" i="66" s="1"/>
  <c r="Q418" i="66" s="1"/>
  <c r="Q430" i="66" s="1"/>
  <c r="Q442" i="66" s="1"/>
  <c r="Q454" i="66" s="1"/>
  <c r="Q466" i="66" s="1"/>
  <c r="Q478" i="66" s="1"/>
  <c r="Q490" i="66" s="1"/>
  <c r="Q502" i="66" s="1"/>
  <c r="P166" i="66"/>
  <c r="P178" i="66" s="1"/>
  <c r="P190" i="66" s="1"/>
  <c r="P202" i="66" s="1"/>
  <c r="P214" i="66" s="1"/>
  <c r="P226" i="66" s="1"/>
  <c r="P238" i="66" s="1"/>
  <c r="P250" i="66" s="1"/>
  <c r="P262" i="66" s="1"/>
  <c r="P274" i="66" s="1"/>
  <c r="P286" i="66" s="1"/>
  <c r="P298" i="66" s="1"/>
  <c r="P310" i="66" s="1"/>
  <c r="P322" i="66" s="1"/>
  <c r="P334" i="66" s="1"/>
  <c r="P346" i="66" s="1"/>
  <c r="P358" i="66" s="1"/>
  <c r="P370" i="66" s="1"/>
  <c r="P382" i="66" s="1"/>
  <c r="P394" i="66" s="1"/>
  <c r="P406" i="66" s="1"/>
  <c r="P418" i="66" s="1"/>
  <c r="P430" i="66" s="1"/>
  <c r="P442" i="66" s="1"/>
  <c r="P454" i="66" s="1"/>
  <c r="P466" i="66" s="1"/>
  <c r="P478" i="66" s="1"/>
  <c r="P490" i="66" s="1"/>
  <c r="P502" i="66" s="1"/>
  <c r="D166" i="66"/>
  <c r="Q165" i="66"/>
  <c r="Q177" i="66" s="1"/>
  <c r="Q189" i="66" s="1"/>
  <c r="Q201" i="66" s="1"/>
  <c r="Q213" i="66" s="1"/>
  <c r="Q225" i="66" s="1"/>
  <c r="Q237" i="66" s="1"/>
  <c r="Q249" i="66" s="1"/>
  <c r="Q261" i="66" s="1"/>
  <c r="Q273" i="66" s="1"/>
  <c r="Q285" i="66" s="1"/>
  <c r="Q297" i="66" s="1"/>
  <c r="Q309" i="66" s="1"/>
  <c r="Q321" i="66" s="1"/>
  <c r="Q333" i="66" s="1"/>
  <c r="Q345" i="66" s="1"/>
  <c r="Q357" i="66" s="1"/>
  <c r="Q369" i="66" s="1"/>
  <c r="Q381" i="66" s="1"/>
  <c r="Q393" i="66" s="1"/>
  <c r="Q405" i="66" s="1"/>
  <c r="Q417" i="66" s="1"/>
  <c r="Q429" i="66" s="1"/>
  <c r="Q441" i="66" s="1"/>
  <c r="Q453" i="66" s="1"/>
  <c r="Q465" i="66" s="1"/>
  <c r="Q477" i="66" s="1"/>
  <c r="Q489" i="66" s="1"/>
  <c r="Q501" i="66" s="1"/>
  <c r="P165" i="66"/>
  <c r="P177" i="66" s="1"/>
  <c r="P189" i="66" s="1"/>
  <c r="P201" i="66" s="1"/>
  <c r="P213" i="66" s="1"/>
  <c r="P225" i="66" s="1"/>
  <c r="P237" i="66" s="1"/>
  <c r="P249" i="66" s="1"/>
  <c r="P261" i="66" s="1"/>
  <c r="P273" i="66" s="1"/>
  <c r="P285" i="66" s="1"/>
  <c r="P297" i="66" s="1"/>
  <c r="P309" i="66" s="1"/>
  <c r="P321" i="66" s="1"/>
  <c r="P333" i="66" s="1"/>
  <c r="P345" i="66" s="1"/>
  <c r="P357" i="66" s="1"/>
  <c r="P369" i="66" s="1"/>
  <c r="P381" i="66" s="1"/>
  <c r="P393" i="66" s="1"/>
  <c r="P405" i="66" s="1"/>
  <c r="P417" i="66" s="1"/>
  <c r="P429" i="66" s="1"/>
  <c r="P441" i="66" s="1"/>
  <c r="P453" i="66" s="1"/>
  <c r="P465" i="66" s="1"/>
  <c r="P477" i="66" s="1"/>
  <c r="P489" i="66" s="1"/>
  <c r="P501" i="66" s="1"/>
  <c r="D165" i="66"/>
  <c r="Q164" i="66"/>
  <c r="Q176" i="66" s="1"/>
  <c r="Q188" i="66" s="1"/>
  <c r="Q200" i="66" s="1"/>
  <c r="Q212" i="66" s="1"/>
  <c r="Q224" i="66" s="1"/>
  <c r="Q236" i="66" s="1"/>
  <c r="Q248" i="66" s="1"/>
  <c r="Q260" i="66" s="1"/>
  <c r="Q272" i="66" s="1"/>
  <c r="Q284" i="66" s="1"/>
  <c r="Q296" i="66" s="1"/>
  <c r="Q308" i="66" s="1"/>
  <c r="Q320" i="66" s="1"/>
  <c r="Q332" i="66" s="1"/>
  <c r="Q344" i="66" s="1"/>
  <c r="Q356" i="66" s="1"/>
  <c r="Q368" i="66" s="1"/>
  <c r="Q380" i="66" s="1"/>
  <c r="Q392" i="66" s="1"/>
  <c r="Q404" i="66" s="1"/>
  <c r="Q416" i="66" s="1"/>
  <c r="Q428" i="66" s="1"/>
  <c r="Q440" i="66" s="1"/>
  <c r="Q452" i="66" s="1"/>
  <c r="Q464" i="66" s="1"/>
  <c r="Q476" i="66" s="1"/>
  <c r="Q488" i="66" s="1"/>
  <c r="Q500" i="66" s="1"/>
  <c r="P164" i="66"/>
  <c r="P176" i="66" s="1"/>
  <c r="P188" i="66" s="1"/>
  <c r="P200" i="66" s="1"/>
  <c r="P212" i="66" s="1"/>
  <c r="P224" i="66" s="1"/>
  <c r="P236" i="66" s="1"/>
  <c r="P248" i="66" s="1"/>
  <c r="P260" i="66" s="1"/>
  <c r="P272" i="66" s="1"/>
  <c r="P284" i="66" s="1"/>
  <c r="P296" i="66" s="1"/>
  <c r="P308" i="66" s="1"/>
  <c r="P320" i="66" s="1"/>
  <c r="P332" i="66" s="1"/>
  <c r="P344" i="66" s="1"/>
  <c r="P356" i="66" s="1"/>
  <c r="P368" i="66" s="1"/>
  <c r="P380" i="66" s="1"/>
  <c r="P392" i="66" s="1"/>
  <c r="P404" i="66" s="1"/>
  <c r="P416" i="66" s="1"/>
  <c r="P428" i="66" s="1"/>
  <c r="P440" i="66" s="1"/>
  <c r="P452" i="66" s="1"/>
  <c r="P464" i="66" s="1"/>
  <c r="P476" i="66" s="1"/>
  <c r="P488" i="66" s="1"/>
  <c r="P500" i="66" s="1"/>
  <c r="D164" i="66"/>
  <c r="Q163" i="66"/>
  <c r="Q175" i="66" s="1"/>
  <c r="Q187" i="66" s="1"/>
  <c r="Q199" i="66" s="1"/>
  <c r="Q211" i="66" s="1"/>
  <c r="Q223" i="66" s="1"/>
  <c r="Q235" i="66" s="1"/>
  <c r="Q247" i="66" s="1"/>
  <c r="Q259" i="66" s="1"/>
  <c r="Q271" i="66" s="1"/>
  <c r="Q283" i="66" s="1"/>
  <c r="Q295" i="66" s="1"/>
  <c r="Q307" i="66" s="1"/>
  <c r="Q319" i="66" s="1"/>
  <c r="Q331" i="66" s="1"/>
  <c r="Q343" i="66" s="1"/>
  <c r="Q355" i="66" s="1"/>
  <c r="Q367" i="66" s="1"/>
  <c r="Q379" i="66" s="1"/>
  <c r="Q391" i="66" s="1"/>
  <c r="Q403" i="66" s="1"/>
  <c r="Q415" i="66" s="1"/>
  <c r="Q427" i="66" s="1"/>
  <c r="Q439" i="66" s="1"/>
  <c r="Q451" i="66" s="1"/>
  <c r="Q463" i="66" s="1"/>
  <c r="Q475" i="66" s="1"/>
  <c r="Q487" i="66" s="1"/>
  <c r="Q499" i="66" s="1"/>
  <c r="P163" i="66"/>
  <c r="P175" i="66" s="1"/>
  <c r="P187" i="66" s="1"/>
  <c r="P199" i="66" s="1"/>
  <c r="P211" i="66" s="1"/>
  <c r="P223" i="66" s="1"/>
  <c r="P235" i="66" s="1"/>
  <c r="P247" i="66" s="1"/>
  <c r="P259" i="66" s="1"/>
  <c r="P271" i="66" s="1"/>
  <c r="P283" i="66" s="1"/>
  <c r="P295" i="66" s="1"/>
  <c r="P307" i="66" s="1"/>
  <c r="P319" i="66" s="1"/>
  <c r="P331" i="66" s="1"/>
  <c r="P343" i="66" s="1"/>
  <c r="P355" i="66" s="1"/>
  <c r="P367" i="66" s="1"/>
  <c r="P379" i="66" s="1"/>
  <c r="P391" i="66" s="1"/>
  <c r="P403" i="66" s="1"/>
  <c r="P415" i="66" s="1"/>
  <c r="P427" i="66" s="1"/>
  <c r="P439" i="66" s="1"/>
  <c r="P451" i="66" s="1"/>
  <c r="P463" i="66" s="1"/>
  <c r="P475" i="66" s="1"/>
  <c r="P487" i="66" s="1"/>
  <c r="P499" i="66" s="1"/>
  <c r="D163" i="66"/>
  <c r="Q162" i="66"/>
  <c r="Q174" i="66" s="1"/>
  <c r="Q186" i="66" s="1"/>
  <c r="Q198" i="66" s="1"/>
  <c r="Q210" i="66" s="1"/>
  <c r="Q222" i="66" s="1"/>
  <c r="Q234" i="66" s="1"/>
  <c r="Q246" i="66" s="1"/>
  <c r="Q258" i="66" s="1"/>
  <c r="Q270" i="66" s="1"/>
  <c r="Q282" i="66" s="1"/>
  <c r="Q294" i="66" s="1"/>
  <c r="Q306" i="66" s="1"/>
  <c r="Q318" i="66" s="1"/>
  <c r="Q330" i="66" s="1"/>
  <c r="Q342" i="66" s="1"/>
  <c r="Q354" i="66" s="1"/>
  <c r="Q366" i="66" s="1"/>
  <c r="Q378" i="66" s="1"/>
  <c r="Q390" i="66" s="1"/>
  <c r="Q402" i="66" s="1"/>
  <c r="Q414" i="66" s="1"/>
  <c r="Q426" i="66" s="1"/>
  <c r="Q438" i="66" s="1"/>
  <c r="Q450" i="66" s="1"/>
  <c r="Q462" i="66" s="1"/>
  <c r="Q474" i="66" s="1"/>
  <c r="Q486" i="66" s="1"/>
  <c r="Q498" i="66" s="1"/>
  <c r="P162" i="66"/>
  <c r="P174" i="66" s="1"/>
  <c r="P186" i="66" s="1"/>
  <c r="P198" i="66" s="1"/>
  <c r="P210" i="66" s="1"/>
  <c r="P222" i="66" s="1"/>
  <c r="P234" i="66" s="1"/>
  <c r="P246" i="66" s="1"/>
  <c r="P258" i="66" s="1"/>
  <c r="P270" i="66" s="1"/>
  <c r="P282" i="66" s="1"/>
  <c r="P294" i="66" s="1"/>
  <c r="P306" i="66" s="1"/>
  <c r="P318" i="66" s="1"/>
  <c r="P330" i="66" s="1"/>
  <c r="P342" i="66" s="1"/>
  <c r="P354" i="66" s="1"/>
  <c r="P366" i="66" s="1"/>
  <c r="P378" i="66" s="1"/>
  <c r="P390" i="66" s="1"/>
  <c r="P402" i="66" s="1"/>
  <c r="P414" i="66" s="1"/>
  <c r="P426" i="66" s="1"/>
  <c r="P438" i="66" s="1"/>
  <c r="P450" i="66" s="1"/>
  <c r="P462" i="66" s="1"/>
  <c r="P474" i="66" s="1"/>
  <c r="P486" i="66" s="1"/>
  <c r="P498" i="66" s="1"/>
  <c r="D162" i="66"/>
  <c r="Q161" i="66"/>
  <c r="Q173" i="66" s="1"/>
  <c r="Q185" i="66" s="1"/>
  <c r="Q197" i="66" s="1"/>
  <c r="Q209" i="66" s="1"/>
  <c r="Q221" i="66" s="1"/>
  <c r="Q233" i="66" s="1"/>
  <c r="Q245" i="66" s="1"/>
  <c r="Q257" i="66" s="1"/>
  <c r="Q269" i="66" s="1"/>
  <c r="Q281" i="66" s="1"/>
  <c r="Q293" i="66" s="1"/>
  <c r="Q305" i="66" s="1"/>
  <c r="Q317" i="66" s="1"/>
  <c r="Q329" i="66" s="1"/>
  <c r="Q341" i="66" s="1"/>
  <c r="Q353" i="66" s="1"/>
  <c r="Q365" i="66" s="1"/>
  <c r="Q377" i="66" s="1"/>
  <c r="Q389" i="66" s="1"/>
  <c r="Q401" i="66" s="1"/>
  <c r="Q413" i="66" s="1"/>
  <c r="Q425" i="66" s="1"/>
  <c r="Q437" i="66" s="1"/>
  <c r="Q449" i="66" s="1"/>
  <c r="Q461" i="66" s="1"/>
  <c r="Q473" i="66" s="1"/>
  <c r="Q485" i="66" s="1"/>
  <c r="Q497" i="66" s="1"/>
  <c r="P161" i="66"/>
  <c r="P173" i="66" s="1"/>
  <c r="P185" i="66" s="1"/>
  <c r="P197" i="66" s="1"/>
  <c r="P209" i="66" s="1"/>
  <c r="P221" i="66" s="1"/>
  <c r="P233" i="66" s="1"/>
  <c r="P245" i="66" s="1"/>
  <c r="P257" i="66" s="1"/>
  <c r="P269" i="66" s="1"/>
  <c r="P281" i="66" s="1"/>
  <c r="P293" i="66" s="1"/>
  <c r="P305" i="66" s="1"/>
  <c r="P317" i="66" s="1"/>
  <c r="P329" i="66" s="1"/>
  <c r="P341" i="66" s="1"/>
  <c r="P353" i="66" s="1"/>
  <c r="P365" i="66" s="1"/>
  <c r="P377" i="66" s="1"/>
  <c r="P389" i="66" s="1"/>
  <c r="P401" i="66" s="1"/>
  <c r="P413" i="66" s="1"/>
  <c r="P425" i="66" s="1"/>
  <c r="P437" i="66" s="1"/>
  <c r="P449" i="66" s="1"/>
  <c r="P461" i="66" s="1"/>
  <c r="P473" i="66" s="1"/>
  <c r="P485" i="66" s="1"/>
  <c r="P497" i="66" s="1"/>
  <c r="D161" i="66"/>
  <c r="Q160" i="66"/>
  <c r="Q172" i="66" s="1"/>
  <c r="Q184" i="66" s="1"/>
  <c r="Q196" i="66" s="1"/>
  <c r="Q208" i="66" s="1"/>
  <c r="Q220" i="66" s="1"/>
  <c r="Q232" i="66" s="1"/>
  <c r="Q244" i="66" s="1"/>
  <c r="Q256" i="66" s="1"/>
  <c r="Q268" i="66" s="1"/>
  <c r="Q280" i="66" s="1"/>
  <c r="Q292" i="66" s="1"/>
  <c r="Q304" i="66" s="1"/>
  <c r="Q316" i="66" s="1"/>
  <c r="Q328" i="66" s="1"/>
  <c r="Q340" i="66" s="1"/>
  <c r="Q352" i="66" s="1"/>
  <c r="Q364" i="66" s="1"/>
  <c r="Q376" i="66" s="1"/>
  <c r="Q388" i="66" s="1"/>
  <c r="Q400" i="66" s="1"/>
  <c r="Q412" i="66" s="1"/>
  <c r="Q424" i="66" s="1"/>
  <c r="Q436" i="66" s="1"/>
  <c r="Q448" i="66" s="1"/>
  <c r="Q460" i="66" s="1"/>
  <c r="Q472" i="66" s="1"/>
  <c r="Q484" i="66" s="1"/>
  <c r="Q496" i="66" s="1"/>
  <c r="P160" i="66"/>
  <c r="P172" i="66" s="1"/>
  <c r="P184" i="66" s="1"/>
  <c r="P196" i="66" s="1"/>
  <c r="P208" i="66" s="1"/>
  <c r="P220" i="66" s="1"/>
  <c r="P232" i="66" s="1"/>
  <c r="P244" i="66" s="1"/>
  <c r="P256" i="66" s="1"/>
  <c r="P268" i="66" s="1"/>
  <c r="P280" i="66" s="1"/>
  <c r="P292" i="66" s="1"/>
  <c r="P304" i="66" s="1"/>
  <c r="P316" i="66" s="1"/>
  <c r="P328" i="66" s="1"/>
  <c r="P340" i="66" s="1"/>
  <c r="P352" i="66" s="1"/>
  <c r="P364" i="66" s="1"/>
  <c r="P376" i="66" s="1"/>
  <c r="P388" i="66" s="1"/>
  <c r="P400" i="66" s="1"/>
  <c r="P412" i="66" s="1"/>
  <c r="P424" i="66" s="1"/>
  <c r="P436" i="66" s="1"/>
  <c r="P448" i="66" s="1"/>
  <c r="P460" i="66" s="1"/>
  <c r="P472" i="66" s="1"/>
  <c r="P484" i="66" s="1"/>
  <c r="P496" i="66" s="1"/>
  <c r="D160" i="66"/>
  <c r="Q159" i="66"/>
  <c r="Q171" i="66" s="1"/>
  <c r="Q183" i="66" s="1"/>
  <c r="Q195" i="66" s="1"/>
  <c r="Q207" i="66" s="1"/>
  <c r="Q219" i="66" s="1"/>
  <c r="Q231" i="66" s="1"/>
  <c r="Q243" i="66" s="1"/>
  <c r="Q255" i="66" s="1"/>
  <c r="Q267" i="66" s="1"/>
  <c r="Q279" i="66" s="1"/>
  <c r="Q291" i="66" s="1"/>
  <c r="Q303" i="66" s="1"/>
  <c r="Q315" i="66" s="1"/>
  <c r="Q327" i="66" s="1"/>
  <c r="Q339" i="66" s="1"/>
  <c r="Q351" i="66" s="1"/>
  <c r="Q363" i="66" s="1"/>
  <c r="Q375" i="66" s="1"/>
  <c r="Q387" i="66" s="1"/>
  <c r="Q399" i="66" s="1"/>
  <c r="Q411" i="66" s="1"/>
  <c r="Q423" i="66" s="1"/>
  <c r="Q435" i="66" s="1"/>
  <c r="Q447" i="66" s="1"/>
  <c r="Q459" i="66" s="1"/>
  <c r="Q471" i="66" s="1"/>
  <c r="Q483" i="66" s="1"/>
  <c r="Q495" i="66" s="1"/>
  <c r="X12" i="17" l="1"/>
  <c r="A14" i="17"/>
  <c r="A15" i="17" s="1"/>
  <c r="T161" i="66"/>
  <c r="T163" i="66"/>
  <c r="T165" i="66"/>
  <c r="T167" i="66"/>
  <c r="T169" i="66"/>
  <c r="T171" i="66"/>
  <c r="T173" i="66"/>
  <c r="T175" i="66"/>
  <c r="T177" i="66"/>
  <c r="T179" i="66"/>
  <c r="T181" i="66"/>
  <c r="T183" i="66"/>
  <c r="T185" i="66"/>
  <c r="T187" i="66"/>
  <c r="T189" i="66"/>
  <c r="T191" i="66"/>
  <c r="T193" i="66"/>
  <c r="T195" i="66"/>
  <c r="T197" i="66"/>
  <c r="T199" i="66"/>
  <c r="T201" i="66"/>
  <c r="T203" i="66"/>
  <c r="T205" i="66"/>
  <c r="T207" i="66"/>
  <c r="T209" i="66"/>
  <c r="T211" i="66"/>
  <c r="T213" i="66"/>
  <c r="T215" i="66"/>
  <c r="T217" i="66"/>
  <c r="T219" i="66"/>
  <c r="T221" i="66"/>
  <c r="T223" i="66"/>
  <c r="T225" i="66"/>
  <c r="T227" i="66"/>
  <c r="T229" i="66"/>
  <c r="T231" i="66"/>
  <c r="T233" i="66"/>
  <c r="T235" i="66"/>
  <c r="T237" i="66"/>
  <c r="T239" i="66"/>
  <c r="T241" i="66"/>
  <c r="T243" i="66"/>
  <c r="T245" i="66"/>
  <c r="T247" i="66"/>
  <c r="T249" i="66"/>
  <c r="T251" i="66"/>
  <c r="T253" i="66"/>
  <c r="T255" i="66"/>
  <c r="T257" i="66"/>
  <c r="T259" i="66"/>
  <c r="T261" i="66"/>
  <c r="T263" i="66"/>
  <c r="T265" i="66"/>
  <c r="T267" i="66"/>
  <c r="T269" i="66"/>
  <c r="T271" i="66"/>
  <c r="T273" i="66"/>
  <c r="T275" i="66"/>
  <c r="T277" i="66"/>
  <c r="T279" i="66"/>
  <c r="T281" i="66"/>
  <c r="T283" i="66"/>
  <c r="T285" i="66"/>
  <c r="T287" i="66"/>
  <c r="T289" i="66"/>
  <c r="T291" i="66"/>
  <c r="T160" i="66"/>
  <c r="T162" i="66"/>
  <c r="T164" i="66"/>
  <c r="T166" i="66"/>
  <c r="T168" i="66"/>
  <c r="T170" i="66"/>
  <c r="T172" i="66"/>
  <c r="T174" i="66"/>
  <c r="T176" i="66"/>
  <c r="T178" i="66"/>
  <c r="T180" i="66"/>
  <c r="T182" i="66"/>
  <c r="T184" i="66"/>
  <c r="T186" i="66"/>
  <c r="T188" i="66"/>
  <c r="T190" i="66"/>
  <c r="T192" i="66"/>
  <c r="T194" i="66"/>
  <c r="T196" i="66"/>
  <c r="T198" i="66"/>
  <c r="T200" i="66"/>
  <c r="T202" i="66"/>
  <c r="T204" i="66"/>
  <c r="T206" i="66"/>
  <c r="T208" i="66"/>
  <c r="T210" i="66"/>
  <c r="T212" i="66"/>
  <c r="T214" i="66"/>
  <c r="T216" i="66"/>
  <c r="T218" i="66"/>
  <c r="T220" i="66"/>
  <c r="T222" i="66"/>
  <c r="T224" i="66"/>
  <c r="T226" i="66"/>
  <c r="T228" i="66"/>
  <c r="T230" i="66"/>
  <c r="T232" i="66"/>
  <c r="T234" i="66"/>
  <c r="T236" i="66"/>
  <c r="T238" i="66"/>
  <c r="T240" i="66"/>
  <c r="T242" i="66"/>
  <c r="T244" i="66"/>
  <c r="T246" i="66"/>
  <c r="T248" i="66"/>
  <c r="T250" i="66"/>
  <c r="T252" i="66"/>
  <c r="T254" i="66"/>
  <c r="T256" i="66"/>
  <c r="T258" i="66"/>
  <c r="T260" i="66"/>
  <c r="T262" i="66"/>
  <c r="T264" i="66"/>
  <c r="T266" i="66"/>
  <c r="T268" i="66"/>
  <c r="T270" i="66"/>
  <c r="T272" i="66"/>
  <c r="T274" i="66"/>
  <c r="T276" i="66"/>
  <c r="T278" i="66"/>
  <c r="T280" i="66"/>
  <c r="T282" i="66"/>
  <c r="T284" i="66"/>
  <c r="T286" i="66"/>
  <c r="T288" i="66"/>
  <c r="T290" i="66"/>
  <c r="P159" i="66"/>
  <c r="P171" i="66" s="1"/>
  <c r="P183" i="66" s="1"/>
  <c r="P195" i="66" s="1"/>
  <c r="P207" i="66" s="1"/>
  <c r="P219" i="66" s="1"/>
  <c r="P231" i="66" s="1"/>
  <c r="P243" i="66" s="1"/>
  <c r="P255" i="66" s="1"/>
  <c r="P267" i="66" s="1"/>
  <c r="P279" i="66" s="1"/>
  <c r="P291" i="66" s="1"/>
  <c r="P303" i="66" s="1"/>
  <c r="P315" i="66" s="1"/>
  <c r="P327" i="66" s="1"/>
  <c r="P339" i="66" s="1"/>
  <c r="P351" i="66" s="1"/>
  <c r="P363" i="66" s="1"/>
  <c r="P375" i="66" s="1"/>
  <c r="P387" i="66" s="1"/>
  <c r="P399" i="66" s="1"/>
  <c r="P411" i="66" s="1"/>
  <c r="P423" i="66" s="1"/>
  <c r="P435" i="66" s="1"/>
  <c r="P447" i="66" s="1"/>
  <c r="P459" i="66" s="1"/>
  <c r="P471" i="66" s="1"/>
  <c r="P483" i="66" s="1"/>
  <c r="P495" i="66" s="1"/>
  <c r="D159" i="66"/>
  <c r="Q158" i="66"/>
  <c r="Q170" i="66" s="1"/>
  <c r="Q182" i="66" s="1"/>
  <c r="Q194" i="66" s="1"/>
  <c r="Q206" i="66" s="1"/>
  <c r="Q218" i="66" s="1"/>
  <c r="Q230" i="66" s="1"/>
  <c r="Q242" i="66" s="1"/>
  <c r="Q254" i="66" s="1"/>
  <c r="Q266" i="66" s="1"/>
  <c r="Q278" i="66" s="1"/>
  <c r="Q290" i="66" s="1"/>
  <c r="Q302" i="66" s="1"/>
  <c r="Q314" i="66" s="1"/>
  <c r="Q326" i="66" s="1"/>
  <c r="Q338" i="66" s="1"/>
  <c r="Q350" i="66" s="1"/>
  <c r="Q362" i="66" s="1"/>
  <c r="Q374" i="66" s="1"/>
  <c r="Q386" i="66" s="1"/>
  <c r="Q398" i="66" s="1"/>
  <c r="Q410" i="66" s="1"/>
  <c r="Q422" i="66" s="1"/>
  <c r="Q434" i="66" s="1"/>
  <c r="Q446" i="66" s="1"/>
  <c r="Q458" i="66" s="1"/>
  <c r="Q470" i="66" s="1"/>
  <c r="Q482" i="66" s="1"/>
  <c r="Q494" i="66" s="1"/>
  <c r="P158" i="66"/>
  <c r="P170" i="66" s="1"/>
  <c r="P182" i="66" s="1"/>
  <c r="P194" i="66" s="1"/>
  <c r="P206" i="66" s="1"/>
  <c r="P218" i="66" s="1"/>
  <c r="P230" i="66" s="1"/>
  <c r="P242" i="66" s="1"/>
  <c r="P254" i="66" s="1"/>
  <c r="P266" i="66" s="1"/>
  <c r="P278" i="66" s="1"/>
  <c r="P290" i="66" s="1"/>
  <c r="P302" i="66" s="1"/>
  <c r="P314" i="66" s="1"/>
  <c r="P326" i="66" s="1"/>
  <c r="P338" i="66" s="1"/>
  <c r="P350" i="66" s="1"/>
  <c r="P362" i="66" s="1"/>
  <c r="P374" i="66" s="1"/>
  <c r="P386" i="66" s="1"/>
  <c r="P398" i="66" s="1"/>
  <c r="P410" i="66" s="1"/>
  <c r="P422" i="66" s="1"/>
  <c r="P434" i="66" s="1"/>
  <c r="P446" i="66" s="1"/>
  <c r="P458" i="66" s="1"/>
  <c r="P470" i="66" s="1"/>
  <c r="P482" i="66" s="1"/>
  <c r="P494" i="66" s="1"/>
  <c r="D158" i="66"/>
  <c r="D157" i="66"/>
  <c r="D156" i="66"/>
  <c r="D155" i="66"/>
  <c r="D154" i="66"/>
  <c r="D153" i="66"/>
  <c r="D152" i="66"/>
  <c r="D151" i="66"/>
  <c r="D150" i="66"/>
  <c r="D149" i="66"/>
  <c r="D148" i="66"/>
  <c r="D147" i="66"/>
  <c r="D146" i="66"/>
  <c r="D145" i="66"/>
  <c r="D144" i="66"/>
  <c r="D143" i="66"/>
  <c r="D142" i="66"/>
  <c r="D141" i="66"/>
  <c r="D140" i="66"/>
  <c r="D139" i="66"/>
  <c r="D138" i="66"/>
  <c r="T137" i="66"/>
  <c r="D137" i="66"/>
  <c r="T136" i="66"/>
  <c r="D136" i="66"/>
  <c r="T135" i="66"/>
  <c r="D135" i="66"/>
  <c r="T134" i="66"/>
  <c r="D134" i="66"/>
  <c r="T133" i="66"/>
  <c r="D133" i="66"/>
  <c r="T132" i="66"/>
  <c r="D132" i="66"/>
  <c r="T131" i="66"/>
  <c r="D131" i="66"/>
  <c r="T130" i="66"/>
  <c r="D130" i="66"/>
  <c r="T129" i="66"/>
  <c r="D129" i="66"/>
  <c r="T128" i="66"/>
  <c r="D128" i="66"/>
  <c r="X14" i="17" l="1"/>
  <c r="A16" i="17"/>
  <c r="A17" i="17" s="1"/>
  <c r="A18" i="17" s="1"/>
  <c r="T138" i="66"/>
  <c r="T140" i="66"/>
  <c r="T142" i="66"/>
  <c r="T144" i="66"/>
  <c r="T146" i="66"/>
  <c r="T148" i="66"/>
  <c r="T150" i="66"/>
  <c r="T152" i="66"/>
  <c r="T154" i="66"/>
  <c r="T156" i="66"/>
  <c r="T158" i="66"/>
  <c r="T159" i="66"/>
  <c r="T139" i="66"/>
  <c r="T141" i="66"/>
  <c r="T143" i="66"/>
  <c r="T145" i="66"/>
  <c r="T147" i="66"/>
  <c r="T149" i="66"/>
  <c r="T151" i="66"/>
  <c r="T153" i="66"/>
  <c r="T155" i="66"/>
  <c r="T157" i="66"/>
  <c r="T127" i="66"/>
  <c r="D127" i="66"/>
  <c r="T126" i="66"/>
  <c r="D126" i="66"/>
  <c r="T125" i="66"/>
  <c r="D125" i="66"/>
  <c r="T124" i="66"/>
  <c r="D124" i="66"/>
  <c r="T123" i="66"/>
  <c r="D123" i="66"/>
  <c r="T122" i="66"/>
  <c r="D122" i="66"/>
  <c r="T121" i="66"/>
  <c r="T120" i="66"/>
  <c r="T119" i="66"/>
  <c r="T118" i="66"/>
  <c r="T117" i="66"/>
  <c r="T116" i="66"/>
  <c r="T115" i="66"/>
  <c r="T114" i="66"/>
  <c r="T113" i="66"/>
  <c r="T112" i="66"/>
  <c r="T111" i="66"/>
  <c r="T110" i="66"/>
  <c r="T109" i="66"/>
  <c r="T108" i="66"/>
  <c r="T107" i="66"/>
  <c r="T106" i="66"/>
  <c r="T105" i="66"/>
  <c r="T104" i="66"/>
  <c r="T103" i="66"/>
  <c r="T102" i="66"/>
  <c r="T101" i="66"/>
  <c r="T100" i="66"/>
  <c r="T99" i="66"/>
  <c r="T98" i="66"/>
  <c r="T97" i="66"/>
  <c r="T96" i="66"/>
  <c r="T95" i="66"/>
  <c r="T94" i="66"/>
  <c r="T93" i="66"/>
  <c r="T92" i="66"/>
  <c r="T91" i="66"/>
  <c r="T90" i="66"/>
  <c r="T89" i="66"/>
  <c r="T88" i="66"/>
  <c r="T87" i="66"/>
  <c r="T86" i="66"/>
  <c r="T85" i="66"/>
  <c r="T84" i="66"/>
  <c r="T83" i="66"/>
  <c r="T82" i="66"/>
  <c r="T81" i="66"/>
  <c r="T80" i="66"/>
  <c r="T79" i="66"/>
  <c r="T78" i="66"/>
  <c r="T77" i="66"/>
  <c r="T76" i="66"/>
  <c r="T75" i="66"/>
  <c r="T74" i="66"/>
  <c r="T73" i="66"/>
  <c r="T72" i="66"/>
  <c r="T71" i="66"/>
  <c r="T70" i="66"/>
  <c r="T69" i="66"/>
  <c r="T68" i="66"/>
  <c r="T67" i="66"/>
  <c r="T66" i="66"/>
  <c r="T65" i="66"/>
  <c r="T64" i="66"/>
  <c r="T63" i="66"/>
  <c r="T62" i="66"/>
  <c r="T61" i="66"/>
  <c r="T60" i="66"/>
  <c r="T59" i="66"/>
  <c r="T58" i="66"/>
  <c r="T57" i="66"/>
  <c r="T56" i="66"/>
  <c r="T55" i="66"/>
  <c r="T54" i="66"/>
  <c r="T53" i="66"/>
  <c r="T52" i="66"/>
  <c r="T51" i="66"/>
  <c r="T50" i="66"/>
  <c r="T49" i="66"/>
  <c r="T48" i="66"/>
  <c r="T47" i="66"/>
  <c r="T46" i="66"/>
  <c r="T45" i="66"/>
  <c r="T44" i="66"/>
  <c r="T43" i="66"/>
  <c r="T42" i="66"/>
  <c r="T41" i="66"/>
  <c r="T40" i="66"/>
  <c r="T39" i="66"/>
  <c r="T38" i="66"/>
  <c r="T37" i="66"/>
  <c r="T36" i="66"/>
  <c r="T35" i="66"/>
  <c r="T34" i="66"/>
  <c r="T33" i="66"/>
  <c r="W32" i="66"/>
  <c r="T32" i="66"/>
  <c r="X17" i="17" l="1"/>
  <c r="A19" i="17"/>
  <c r="T31" i="66"/>
  <c r="X18" i="17" l="1"/>
  <c r="A20" i="17"/>
  <c r="A21" i="17" s="1"/>
  <c r="T30" i="66"/>
  <c r="X20" i="17" l="1"/>
  <c r="A22" i="17"/>
  <c r="A23" i="17" s="1"/>
  <c r="T29" i="66"/>
  <c r="X22" i="17" l="1"/>
  <c r="A24" i="17"/>
  <c r="A25" i="17" s="1"/>
  <c r="T28" i="66"/>
  <c r="X24" i="17" l="1"/>
  <c r="A26" i="17"/>
  <c r="A27" i="17" s="1"/>
  <c r="T27" i="66"/>
  <c r="T26" i="66"/>
  <c r="T25" i="66"/>
  <c r="T24" i="66"/>
  <c r="T23" i="66"/>
  <c r="T22" i="66"/>
  <c r="T21" i="66"/>
  <c r="T20" i="66"/>
  <c r="T19" i="66"/>
  <c r="T18" i="66"/>
  <c r="T17" i="66"/>
  <c r="T16" i="66"/>
  <c r="T15" i="66"/>
  <c r="T14" i="66"/>
  <c r="T13" i="66"/>
  <c r="T12" i="66"/>
  <c r="T11" i="66"/>
  <c r="T10" i="66"/>
  <c r="T9" i="66"/>
  <c r="T8" i="66"/>
  <c r="T7" i="66"/>
  <c r="T6" i="66"/>
  <c r="T5" i="66"/>
  <c r="T4" i="66"/>
  <c r="T3" i="66"/>
  <c r="X26" i="17" l="1"/>
  <c r="A28" i="17"/>
  <c r="A29" i="17" s="1"/>
  <c r="A30" i="17" s="1"/>
  <c r="V2" i="66"/>
  <c r="V3" i="66" s="1"/>
  <c r="T2" i="66"/>
  <c r="H29" i="69"/>
  <c r="G29" i="69"/>
  <c r="F29" i="69"/>
  <c r="E29" i="69"/>
  <c r="D29" i="69"/>
  <c r="K14" i="69"/>
  <c r="K15" i="69" s="1"/>
  <c r="J14" i="69"/>
  <c r="J15" i="69" s="1"/>
  <c r="I14" i="69"/>
  <c r="I15" i="69" s="1"/>
  <c r="H14" i="69"/>
  <c r="H15" i="69" s="1"/>
  <c r="G14" i="69"/>
  <c r="G15" i="69" s="1"/>
  <c r="F14" i="69"/>
  <c r="F15" i="69" s="1"/>
  <c r="E14" i="69"/>
  <c r="E15" i="69" s="1"/>
  <c r="D14" i="69"/>
  <c r="D15" i="69" s="1"/>
  <c r="C14" i="69"/>
  <c r="C15" i="69" s="1"/>
  <c r="B14" i="69"/>
  <c r="C29" i="69" s="1"/>
  <c r="X29" i="17" l="1"/>
  <c r="A31" i="17"/>
  <c r="V4" i="66"/>
  <c r="W3" i="66"/>
  <c r="C505" i="67"/>
  <c r="A505" i="67"/>
  <c r="C504" i="67"/>
  <c r="A504" i="67"/>
  <c r="C503" i="67"/>
  <c r="A503" i="67"/>
  <c r="C502" i="67"/>
  <c r="A502" i="67"/>
  <c r="C501" i="67"/>
  <c r="A501" i="67"/>
  <c r="C500" i="67"/>
  <c r="A500" i="67"/>
  <c r="C499" i="67"/>
  <c r="A499" i="67"/>
  <c r="C498" i="67"/>
  <c r="A498" i="67"/>
  <c r="C497" i="67"/>
  <c r="A497" i="67"/>
  <c r="C496" i="67"/>
  <c r="A496" i="67"/>
  <c r="C495" i="67"/>
  <c r="A495" i="67"/>
  <c r="X30" i="17" l="1"/>
  <c r="A32" i="17"/>
  <c r="A33" i="17" s="1"/>
  <c r="V5" i="66"/>
  <c r="W4" i="66"/>
  <c r="C494" i="67"/>
  <c r="A494" i="67"/>
  <c r="C493" i="67"/>
  <c r="C492" i="67"/>
  <c r="C491" i="67"/>
  <c r="C490" i="67"/>
  <c r="C489" i="67"/>
  <c r="C488" i="67"/>
  <c r="C487" i="67"/>
  <c r="C486" i="67"/>
  <c r="C485" i="67"/>
  <c r="C484" i="67"/>
  <c r="C483" i="67"/>
  <c r="C482" i="67"/>
  <c r="C481" i="67"/>
  <c r="C480" i="67"/>
  <c r="C479" i="67"/>
  <c r="C478" i="67"/>
  <c r="C477" i="67"/>
  <c r="C476" i="67"/>
  <c r="C475" i="67"/>
  <c r="C474" i="67"/>
  <c r="C473" i="67"/>
  <c r="C472" i="67"/>
  <c r="C471" i="67"/>
  <c r="C470" i="67"/>
  <c r="C469" i="67"/>
  <c r="C468" i="67"/>
  <c r="C467" i="67"/>
  <c r="C466" i="67"/>
  <c r="C465" i="67"/>
  <c r="C464" i="67"/>
  <c r="C463" i="67"/>
  <c r="C462" i="67"/>
  <c r="C461" i="67"/>
  <c r="C460" i="67"/>
  <c r="C459" i="67"/>
  <c r="C458" i="67"/>
  <c r="C457" i="67"/>
  <c r="C456" i="67"/>
  <c r="C455" i="67"/>
  <c r="C454" i="67"/>
  <c r="C453" i="67"/>
  <c r="C452" i="67"/>
  <c r="C451" i="67"/>
  <c r="C450" i="67"/>
  <c r="C449" i="67"/>
  <c r="C448" i="67"/>
  <c r="C447" i="67"/>
  <c r="C446" i="67"/>
  <c r="C445" i="67"/>
  <c r="C444" i="67"/>
  <c r="C443" i="67"/>
  <c r="C442" i="67"/>
  <c r="C441" i="67"/>
  <c r="C440" i="67"/>
  <c r="C439" i="67"/>
  <c r="C438" i="67"/>
  <c r="C437" i="67"/>
  <c r="C436" i="67"/>
  <c r="C435" i="67"/>
  <c r="C434" i="67"/>
  <c r="C433" i="67"/>
  <c r="C432" i="67"/>
  <c r="C431" i="67"/>
  <c r="C430" i="67"/>
  <c r="C429" i="67"/>
  <c r="C428" i="67"/>
  <c r="C427" i="67"/>
  <c r="C426" i="67"/>
  <c r="C425" i="67"/>
  <c r="C424" i="67"/>
  <c r="C423" i="67"/>
  <c r="C422" i="67"/>
  <c r="C421" i="67"/>
  <c r="C420" i="67"/>
  <c r="C419" i="67"/>
  <c r="C418" i="67"/>
  <c r="C417" i="67"/>
  <c r="C416" i="67"/>
  <c r="C415" i="67"/>
  <c r="C414" i="67"/>
  <c r="C413" i="67"/>
  <c r="C412" i="67"/>
  <c r="C411" i="67"/>
  <c r="C410" i="67"/>
  <c r="C409" i="67"/>
  <c r="C408" i="67"/>
  <c r="C407" i="67"/>
  <c r="C406" i="67"/>
  <c r="C405" i="67"/>
  <c r="C404" i="67"/>
  <c r="C403" i="67"/>
  <c r="C402" i="67"/>
  <c r="C401" i="67"/>
  <c r="C400" i="67"/>
  <c r="C399" i="67"/>
  <c r="C398" i="67"/>
  <c r="C397" i="67"/>
  <c r="C396" i="67"/>
  <c r="C395" i="67"/>
  <c r="C394" i="67"/>
  <c r="C393" i="67"/>
  <c r="C392" i="67"/>
  <c r="C391" i="67"/>
  <c r="C390" i="67"/>
  <c r="C389" i="67"/>
  <c r="C388" i="67"/>
  <c r="C387" i="67"/>
  <c r="C386" i="67"/>
  <c r="C385" i="67"/>
  <c r="C384" i="67"/>
  <c r="C383" i="67"/>
  <c r="C382" i="67"/>
  <c r="C381" i="67"/>
  <c r="C380" i="67"/>
  <c r="C379" i="67"/>
  <c r="C378" i="67"/>
  <c r="C377" i="67"/>
  <c r="C376" i="67"/>
  <c r="C375" i="67"/>
  <c r="C374" i="67"/>
  <c r="C373" i="67"/>
  <c r="C372" i="67"/>
  <c r="C371" i="67"/>
  <c r="C370" i="67"/>
  <c r="C369" i="67"/>
  <c r="C368" i="67"/>
  <c r="C367" i="67"/>
  <c r="C366" i="67"/>
  <c r="C365" i="67"/>
  <c r="C364" i="67"/>
  <c r="C363" i="67"/>
  <c r="C362" i="67"/>
  <c r="C361" i="67"/>
  <c r="C360" i="67"/>
  <c r="C359" i="67"/>
  <c r="C358" i="67"/>
  <c r="C357" i="67"/>
  <c r="C356" i="67"/>
  <c r="C355" i="67"/>
  <c r="C354" i="67"/>
  <c r="C353" i="67"/>
  <c r="C352" i="67"/>
  <c r="C351" i="67"/>
  <c r="C350" i="67"/>
  <c r="C349" i="67"/>
  <c r="C348" i="67"/>
  <c r="C347" i="67"/>
  <c r="C346" i="67"/>
  <c r="C345" i="67"/>
  <c r="C344" i="67"/>
  <c r="C343" i="67"/>
  <c r="C342" i="67"/>
  <c r="C341" i="67"/>
  <c r="C340" i="67"/>
  <c r="C339" i="67"/>
  <c r="C338" i="67"/>
  <c r="C337" i="67"/>
  <c r="C336" i="67"/>
  <c r="C335" i="67"/>
  <c r="C334" i="67"/>
  <c r="C333" i="67"/>
  <c r="C332" i="67"/>
  <c r="C331" i="67"/>
  <c r="C330" i="67"/>
  <c r="C329" i="67"/>
  <c r="C328" i="67"/>
  <c r="C327" i="67"/>
  <c r="C326" i="67"/>
  <c r="C325" i="67"/>
  <c r="C324" i="67"/>
  <c r="C323" i="67"/>
  <c r="C322" i="67"/>
  <c r="C321" i="67"/>
  <c r="C320" i="67"/>
  <c r="C319" i="67"/>
  <c r="C318" i="67"/>
  <c r="C317" i="67"/>
  <c r="C316" i="67"/>
  <c r="C315" i="67"/>
  <c r="C314" i="67"/>
  <c r="C313" i="67"/>
  <c r="C312" i="67"/>
  <c r="C311" i="67"/>
  <c r="C310" i="67"/>
  <c r="C309" i="67"/>
  <c r="C308" i="67"/>
  <c r="C307" i="67"/>
  <c r="C306" i="67"/>
  <c r="C305" i="67"/>
  <c r="C304" i="67"/>
  <c r="C303" i="67"/>
  <c r="C302" i="67"/>
  <c r="C301" i="67"/>
  <c r="C300" i="67"/>
  <c r="C299" i="67"/>
  <c r="C298" i="67"/>
  <c r="C297" i="67"/>
  <c r="C296" i="67"/>
  <c r="C295" i="67"/>
  <c r="C294" i="67"/>
  <c r="C293" i="67"/>
  <c r="C292" i="67"/>
  <c r="C291" i="67"/>
  <c r="C290" i="67"/>
  <c r="C289" i="67"/>
  <c r="C288" i="67"/>
  <c r="C287" i="67"/>
  <c r="C286" i="67"/>
  <c r="C285" i="67"/>
  <c r="C284" i="67"/>
  <c r="C283" i="67"/>
  <c r="C282" i="67"/>
  <c r="C281" i="67"/>
  <c r="C280" i="67"/>
  <c r="C279" i="67"/>
  <c r="C278" i="67"/>
  <c r="C277" i="67"/>
  <c r="C276" i="67"/>
  <c r="C275" i="67"/>
  <c r="C274" i="67"/>
  <c r="C273" i="67"/>
  <c r="C272" i="67"/>
  <c r="C271" i="67"/>
  <c r="C270" i="67"/>
  <c r="C269" i="67"/>
  <c r="C268" i="67"/>
  <c r="C267" i="67"/>
  <c r="C266" i="67"/>
  <c r="C265" i="67"/>
  <c r="C264" i="67"/>
  <c r="C263" i="67"/>
  <c r="C262" i="67"/>
  <c r="C261" i="67"/>
  <c r="C260" i="67"/>
  <c r="C259" i="67"/>
  <c r="C258" i="67"/>
  <c r="C257" i="67"/>
  <c r="C256" i="67"/>
  <c r="C255" i="67"/>
  <c r="C254" i="67"/>
  <c r="C253" i="67"/>
  <c r="C252" i="67"/>
  <c r="C251" i="67"/>
  <c r="C250" i="67"/>
  <c r="C249" i="67"/>
  <c r="C248" i="67"/>
  <c r="C247" i="67"/>
  <c r="C246" i="67"/>
  <c r="C245" i="67"/>
  <c r="C244" i="67"/>
  <c r="C243" i="67"/>
  <c r="C242" i="67"/>
  <c r="C241" i="67"/>
  <c r="C240" i="67"/>
  <c r="C239" i="67"/>
  <c r="C238" i="67"/>
  <c r="C237" i="67"/>
  <c r="C236" i="67"/>
  <c r="C235" i="67"/>
  <c r="C234" i="67"/>
  <c r="C233" i="67"/>
  <c r="C232" i="67"/>
  <c r="C231" i="67"/>
  <c r="C230" i="67"/>
  <c r="C229" i="67"/>
  <c r="C228" i="67"/>
  <c r="C227" i="67"/>
  <c r="C226" i="67"/>
  <c r="C225" i="67"/>
  <c r="C224" i="67"/>
  <c r="C223" i="67"/>
  <c r="C222" i="67"/>
  <c r="C221" i="67"/>
  <c r="C220" i="67"/>
  <c r="C219" i="67"/>
  <c r="C218" i="67"/>
  <c r="C217" i="67"/>
  <c r="C216" i="67"/>
  <c r="C215" i="67"/>
  <c r="C214" i="67"/>
  <c r="C213" i="67"/>
  <c r="C212" i="67"/>
  <c r="C211" i="67"/>
  <c r="C210" i="67"/>
  <c r="C209" i="67"/>
  <c r="C208" i="67"/>
  <c r="C207" i="67"/>
  <c r="C206" i="67"/>
  <c r="C205" i="67"/>
  <c r="C204" i="67"/>
  <c r="C203" i="67"/>
  <c r="C202" i="67"/>
  <c r="C201" i="67"/>
  <c r="C200" i="67"/>
  <c r="C199" i="67"/>
  <c r="C198" i="67"/>
  <c r="C197" i="67"/>
  <c r="C196" i="67"/>
  <c r="C195" i="67"/>
  <c r="C194" i="67"/>
  <c r="C193" i="67"/>
  <c r="C192" i="67"/>
  <c r="C191" i="67"/>
  <c r="C190" i="67"/>
  <c r="C189" i="67"/>
  <c r="C188" i="67"/>
  <c r="C187" i="67"/>
  <c r="C186" i="67"/>
  <c r="C185" i="67"/>
  <c r="C184" i="67"/>
  <c r="C183" i="67"/>
  <c r="C182" i="67"/>
  <c r="C181" i="67"/>
  <c r="C180" i="67"/>
  <c r="C179" i="67"/>
  <c r="C178" i="67"/>
  <c r="C177" i="67"/>
  <c r="C176" i="67"/>
  <c r="C175" i="67"/>
  <c r="C174" i="67"/>
  <c r="C173" i="67"/>
  <c r="C172" i="67"/>
  <c r="C171" i="67"/>
  <c r="C170" i="67"/>
  <c r="S169" i="67"/>
  <c r="Q169" i="67"/>
  <c r="O169" i="67"/>
  <c r="C169" i="67"/>
  <c r="S168" i="67"/>
  <c r="Q168" i="67"/>
  <c r="O168" i="67"/>
  <c r="A34" i="17" l="1"/>
  <c r="A35" i="17" s="1"/>
  <c r="V6" i="66"/>
  <c r="W5" i="66"/>
  <c r="C168" i="67"/>
  <c r="S167" i="67"/>
  <c r="Q167" i="67"/>
  <c r="O167" i="67"/>
  <c r="O173" i="67" s="1"/>
  <c r="O174" i="67" s="1"/>
  <c r="C167" i="67"/>
  <c r="S166" i="67"/>
  <c r="Q166" i="67"/>
  <c r="O166" i="67"/>
  <c r="C166" i="67"/>
  <c r="Y165" i="67"/>
  <c r="X165" i="67"/>
  <c r="U165" i="67"/>
  <c r="U166" i="67" s="1"/>
  <c r="U167" i="67" s="1"/>
  <c r="U168" i="67" s="1"/>
  <c r="U169" i="67" s="1"/>
  <c r="C165" i="67"/>
  <c r="Y164" i="67"/>
  <c r="X164" i="67"/>
  <c r="U164" i="67"/>
  <c r="A36" i="17" l="1"/>
  <c r="A37" i="17" s="1"/>
  <c r="V7" i="66"/>
  <c r="W6" i="66"/>
  <c r="C164" i="67"/>
  <c r="Y163" i="67"/>
  <c r="X163" i="67"/>
  <c r="U163" i="67"/>
  <c r="C163" i="67"/>
  <c r="Y162" i="67"/>
  <c r="X162" i="67"/>
  <c r="U162" i="67"/>
  <c r="C162" i="67"/>
  <c r="Y161" i="67"/>
  <c r="X161" i="67"/>
  <c r="U161" i="67"/>
  <c r="A38" i="17" l="1"/>
  <c r="A39" i="17" s="1"/>
  <c r="V8" i="66"/>
  <c r="W7" i="66"/>
  <c r="C161" i="67"/>
  <c r="Y160" i="67"/>
  <c r="X160" i="67"/>
  <c r="U160" i="67"/>
  <c r="C160" i="67"/>
  <c r="Y159" i="67"/>
  <c r="X159" i="67"/>
  <c r="U159" i="67"/>
  <c r="C159" i="67"/>
  <c r="Y158" i="67"/>
  <c r="X158" i="67"/>
  <c r="U158" i="67"/>
  <c r="C158" i="67"/>
  <c r="Y157" i="67"/>
  <c r="X157" i="67"/>
  <c r="U157" i="67"/>
  <c r="C157" i="67"/>
  <c r="Y156" i="67"/>
  <c r="X156" i="67"/>
  <c r="U156" i="67"/>
  <c r="C156" i="67"/>
  <c r="Y155" i="67"/>
  <c r="X155" i="67"/>
  <c r="U155" i="67"/>
  <c r="C155" i="67"/>
  <c r="Y154" i="67"/>
  <c r="X154" i="67"/>
  <c r="U154" i="67"/>
  <c r="C154" i="67"/>
  <c r="Y153" i="67"/>
  <c r="X153" i="67"/>
  <c r="U153" i="67"/>
  <c r="C153" i="67"/>
  <c r="Y152" i="67"/>
  <c r="X152" i="67"/>
  <c r="U152" i="67"/>
  <c r="C152" i="67"/>
  <c r="Y151" i="67"/>
  <c r="X151" i="67"/>
  <c r="U151" i="67"/>
  <c r="X38" i="17" l="1"/>
  <c r="A40" i="17"/>
  <c r="A41" i="17" s="1"/>
  <c r="V9" i="66"/>
  <c r="W8" i="66"/>
  <c r="C151" i="67"/>
  <c r="Y150" i="67"/>
  <c r="X150" i="67"/>
  <c r="U150" i="67"/>
  <c r="C150" i="67"/>
  <c r="Y149" i="67"/>
  <c r="X149" i="67"/>
  <c r="U149" i="67"/>
  <c r="C149" i="67"/>
  <c r="Y148" i="67"/>
  <c r="X148" i="67"/>
  <c r="U148" i="67"/>
  <c r="C148" i="67"/>
  <c r="Y147" i="67"/>
  <c r="X147" i="67"/>
  <c r="U147" i="67"/>
  <c r="C147" i="67"/>
  <c r="Y146" i="67"/>
  <c r="X146" i="67"/>
  <c r="U146" i="67"/>
  <c r="C146" i="67"/>
  <c r="Y145" i="67"/>
  <c r="X145" i="67"/>
  <c r="U145" i="67"/>
  <c r="C145" i="67"/>
  <c r="Y144" i="67"/>
  <c r="X144" i="67"/>
  <c r="U144" i="67"/>
  <c r="X40" i="17" l="1"/>
  <c r="A42" i="17"/>
  <c r="A43" i="17" s="1"/>
  <c r="V10" i="66"/>
  <c r="W9" i="66"/>
  <c r="C144" i="67"/>
  <c r="Y143" i="67"/>
  <c r="X143" i="67"/>
  <c r="U143" i="67"/>
  <c r="X42" i="17" l="1"/>
  <c r="A44" i="17"/>
  <c r="X43" i="17" s="1"/>
  <c r="V11" i="66"/>
  <c r="W10" i="66"/>
  <c r="C143" i="67"/>
  <c r="Y142" i="67"/>
  <c r="X142" i="67"/>
  <c r="U142" i="67"/>
  <c r="C142" i="67"/>
  <c r="Y141" i="67"/>
  <c r="X141" i="67"/>
  <c r="U141" i="67"/>
  <c r="C141" i="67"/>
  <c r="Y140" i="67"/>
  <c r="X140" i="67"/>
  <c r="U140" i="67"/>
  <c r="V12" i="66" l="1"/>
  <c r="W11" i="66"/>
  <c r="C140" i="67"/>
  <c r="Y139" i="67"/>
  <c r="X139" i="67"/>
  <c r="U139" i="67"/>
  <c r="C139" i="67"/>
  <c r="Y138" i="67"/>
  <c r="X138" i="67"/>
  <c r="U138" i="67"/>
  <c r="C138" i="67"/>
  <c r="Y137" i="67"/>
  <c r="X137" i="67"/>
  <c r="U137" i="67"/>
  <c r="C137" i="67"/>
  <c r="Y136" i="67"/>
  <c r="X136" i="67"/>
  <c r="U136" i="67"/>
  <c r="C136" i="67"/>
  <c r="Y135" i="67"/>
  <c r="X135" i="67"/>
  <c r="U135" i="67"/>
  <c r="V13" i="66" l="1"/>
  <c r="W12" i="66"/>
  <c r="C135" i="67"/>
  <c r="Y134" i="67"/>
  <c r="X134" i="67"/>
  <c r="U134" i="67"/>
  <c r="C134" i="67"/>
  <c r="Y133" i="67"/>
  <c r="X133" i="67"/>
  <c r="U133" i="67"/>
  <c r="C133" i="67"/>
  <c r="Y132" i="67"/>
  <c r="X132" i="67"/>
  <c r="U132" i="67"/>
  <c r="V14" i="66" l="1"/>
  <c r="W13" i="66"/>
  <c r="C132" i="67"/>
  <c r="Y131" i="67"/>
  <c r="X131" i="67"/>
  <c r="U131" i="67"/>
  <c r="C131" i="67"/>
  <c r="Y130" i="67"/>
  <c r="X130" i="67"/>
  <c r="U130" i="67"/>
  <c r="C130" i="67"/>
  <c r="Y129" i="67"/>
  <c r="X129" i="67"/>
  <c r="U129" i="67"/>
  <c r="C129" i="67"/>
  <c r="Y128" i="67"/>
  <c r="X128" i="67"/>
  <c r="U128" i="67"/>
  <c r="C128" i="67"/>
  <c r="Y127" i="67"/>
  <c r="X127" i="67"/>
  <c r="U127" i="67"/>
  <c r="V15" i="66" l="1"/>
  <c r="W14" i="66"/>
  <c r="C127" i="67"/>
  <c r="Y126" i="67"/>
  <c r="X126" i="67"/>
  <c r="U126" i="67"/>
  <c r="C126" i="67"/>
  <c r="Y125" i="67"/>
  <c r="X125" i="67"/>
  <c r="U125" i="67"/>
  <c r="C125" i="67"/>
  <c r="Y124" i="67"/>
  <c r="X124" i="67"/>
  <c r="U124" i="67"/>
  <c r="V16" i="66" l="1"/>
  <c r="W15" i="66"/>
  <c r="C124" i="67"/>
  <c r="Y123" i="67"/>
  <c r="X123" i="67"/>
  <c r="U123" i="67"/>
  <c r="C123" i="67"/>
  <c r="Y122" i="67"/>
  <c r="X122" i="67"/>
  <c r="U122" i="67"/>
  <c r="V17" i="66" l="1"/>
  <c r="W16" i="66"/>
  <c r="C122" i="67"/>
  <c r="Y121" i="67"/>
  <c r="X121" i="67"/>
  <c r="U121" i="67"/>
  <c r="C121" i="67"/>
  <c r="Y120" i="67"/>
  <c r="X120" i="67"/>
  <c r="U120" i="67"/>
  <c r="C120" i="67"/>
  <c r="Y119" i="67"/>
  <c r="X119" i="67"/>
  <c r="U119" i="67"/>
  <c r="V18" i="66" l="1"/>
  <c r="W17" i="66"/>
  <c r="V19" i="66" l="1"/>
  <c r="W18" i="66"/>
  <c r="C119" i="67"/>
  <c r="Y118" i="67"/>
  <c r="X118" i="67"/>
  <c r="U118" i="67"/>
  <c r="C118" i="67"/>
  <c r="Y117" i="67"/>
  <c r="X117" i="67"/>
  <c r="U117" i="67"/>
  <c r="C117" i="67"/>
  <c r="Y116" i="67"/>
  <c r="X116" i="67"/>
  <c r="U116" i="67"/>
  <c r="V20" i="66" l="1"/>
  <c r="W19" i="66"/>
  <c r="C116" i="67"/>
  <c r="Y115" i="67"/>
  <c r="X115" i="67"/>
  <c r="U115" i="67"/>
  <c r="C115" i="67"/>
  <c r="Y114" i="67"/>
  <c r="X114" i="67"/>
  <c r="U114" i="67"/>
  <c r="C114" i="67"/>
  <c r="Y113" i="67"/>
  <c r="X113" i="67"/>
  <c r="U113" i="67"/>
  <c r="C113" i="67"/>
  <c r="Y112" i="67"/>
  <c r="X112" i="67"/>
  <c r="U112" i="67"/>
  <c r="C112" i="67"/>
  <c r="Y111" i="67"/>
  <c r="X111" i="67"/>
  <c r="U111" i="67"/>
  <c r="V21" i="66" l="1"/>
  <c r="W20" i="66"/>
  <c r="C111" i="67"/>
  <c r="Y110" i="67"/>
  <c r="X110" i="67"/>
  <c r="U110" i="67"/>
  <c r="C110" i="67"/>
  <c r="Y109" i="67"/>
  <c r="X109" i="67"/>
  <c r="U109" i="67"/>
  <c r="C109" i="67"/>
  <c r="Y108" i="67"/>
  <c r="X108" i="67"/>
  <c r="U108" i="67"/>
  <c r="V22" i="66" l="1"/>
  <c r="W21" i="66"/>
  <c r="C108" i="67"/>
  <c r="Y107" i="67"/>
  <c r="X107" i="67"/>
  <c r="U107" i="67"/>
  <c r="C107" i="67"/>
  <c r="Y106" i="67"/>
  <c r="X106" i="67"/>
  <c r="U106" i="67"/>
  <c r="C106" i="67"/>
  <c r="Y105" i="67"/>
  <c r="X105" i="67"/>
  <c r="U105" i="67"/>
  <c r="C105" i="67"/>
  <c r="Y104" i="67"/>
  <c r="X104" i="67"/>
  <c r="U104" i="67"/>
  <c r="C104" i="67"/>
  <c r="Y103" i="67"/>
  <c r="X103" i="67"/>
  <c r="U103" i="67"/>
  <c r="V23" i="66" l="1"/>
  <c r="W22" i="66"/>
  <c r="C103" i="67"/>
  <c r="Y102" i="67"/>
  <c r="X102" i="67"/>
  <c r="U102" i="67"/>
  <c r="C102" i="67"/>
  <c r="Y101" i="67"/>
  <c r="X101" i="67"/>
  <c r="U101" i="67"/>
  <c r="C101" i="67"/>
  <c r="Y100" i="67"/>
  <c r="X100" i="67"/>
  <c r="U100" i="67"/>
  <c r="V24" i="66" l="1"/>
  <c r="W23" i="66"/>
  <c r="C100" i="67"/>
  <c r="Y99" i="67"/>
  <c r="X99" i="67"/>
  <c r="U99" i="67"/>
  <c r="C99" i="67"/>
  <c r="Y98" i="67"/>
  <c r="X98" i="67"/>
  <c r="U98" i="67"/>
  <c r="C98" i="67"/>
  <c r="Y97" i="67"/>
  <c r="X97" i="67"/>
  <c r="U97" i="67"/>
  <c r="C97" i="67"/>
  <c r="Y96" i="67"/>
  <c r="X96" i="67"/>
  <c r="U96" i="67"/>
  <c r="C96" i="67"/>
  <c r="Y95" i="67"/>
  <c r="X95" i="67"/>
  <c r="U95" i="67"/>
  <c r="V25" i="66" l="1"/>
  <c r="W24" i="66"/>
  <c r="C95" i="67"/>
  <c r="Y94" i="67"/>
  <c r="X94" i="67"/>
  <c r="U94" i="67"/>
  <c r="C94" i="67"/>
  <c r="Y93" i="67"/>
  <c r="X93" i="67"/>
  <c r="U93" i="67"/>
  <c r="C93" i="67"/>
  <c r="Y92" i="67"/>
  <c r="X92" i="67"/>
  <c r="U92" i="67"/>
  <c r="V26" i="66" l="1"/>
  <c r="W25" i="66"/>
  <c r="C92" i="67"/>
  <c r="Y91" i="67"/>
  <c r="X91" i="67"/>
  <c r="U91" i="67"/>
  <c r="C91" i="67"/>
  <c r="Y90" i="67"/>
  <c r="X90" i="67"/>
  <c r="U90" i="67"/>
  <c r="C90" i="67"/>
  <c r="Y89" i="67"/>
  <c r="X89" i="67"/>
  <c r="U89" i="67"/>
  <c r="C89" i="67"/>
  <c r="Y88" i="67"/>
  <c r="X88" i="67"/>
  <c r="U88" i="67"/>
  <c r="C88" i="67"/>
  <c r="Y87" i="67"/>
  <c r="X87" i="67"/>
  <c r="U87" i="67"/>
  <c r="V27" i="66" l="1"/>
  <c r="W26" i="66"/>
  <c r="C87" i="67"/>
  <c r="Y86" i="67"/>
  <c r="X86" i="67"/>
  <c r="U86" i="67"/>
  <c r="C86" i="67"/>
  <c r="Y85" i="67"/>
  <c r="X85" i="67"/>
  <c r="U85" i="67"/>
  <c r="C85" i="67"/>
  <c r="Y84" i="67"/>
  <c r="X84" i="67"/>
  <c r="U84" i="67"/>
  <c r="V28" i="66" l="1"/>
  <c r="W27" i="66"/>
  <c r="C84" i="67"/>
  <c r="Y83" i="67"/>
  <c r="X83" i="67"/>
  <c r="U83" i="67"/>
  <c r="C83" i="67"/>
  <c r="Y82" i="67"/>
  <c r="X82" i="67"/>
  <c r="U82" i="67"/>
  <c r="C82" i="67"/>
  <c r="Y81" i="67"/>
  <c r="X81" i="67"/>
  <c r="U81" i="67"/>
  <c r="C81" i="67"/>
  <c r="Y80" i="67"/>
  <c r="X80" i="67"/>
  <c r="U80" i="67"/>
  <c r="C80" i="67"/>
  <c r="Y79" i="67"/>
  <c r="X79" i="67"/>
  <c r="U79" i="67"/>
  <c r="V29" i="66" l="1"/>
  <c r="W28" i="66"/>
  <c r="C79" i="67"/>
  <c r="Y78" i="67"/>
  <c r="X78" i="67"/>
  <c r="U78" i="67"/>
  <c r="C78" i="67"/>
  <c r="Y77" i="67"/>
  <c r="X77" i="67"/>
  <c r="U77" i="67"/>
  <c r="C77" i="67"/>
  <c r="Y76" i="67"/>
  <c r="X76" i="67"/>
  <c r="U76" i="67"/>
  <c r="V30" i="66" l="1"/>
  <c r="W29" i="66"/>
  <c r="C76" i="67"/>
  <c r="Y75" i="67"/>
  <c r="X75" i="67"/>
  <c r="U75" i="67"/>
  <c r="C75" i="67"/>
  <c r="Y74" i="67"/>
  <c r="X74" i="67"/>
  <c r="U74" i="67"/>
  <c r="C74" i="67"/>
  <c r="Y73" i="67"/>
  <c r="X73" i="67"/>
  <c r="U73" i="67"/>
  <c r="C73" i="67"/>
  <c r="Y72" i="67"/>
  <c r="X72" i="67"/>
  <c r="U72" i="67"/>
  <c r="C72" i="67"/>
  <c r="Y71" i="67"/>
  <c r="X71" i="67"/>
  <c r="U71" i="67"/>
  <c r="V31" i="66" l="1"/>
  <c r="W30" i="66"/>
  <c r="C71" i="67"/>
  <c r="Y70" i="67"/>
  <c r="X70" i="67"/>
  <c r="U70" i="67"/>
  <c r="C70" i="67"/>
  <c r="Y69" i="67"/>
  <c r="X69" i="67"/>
  <c r="U69" i="67"/>
  <c r="C69" i="67"/>
  <c r="Y68" i="67"/>
  <c r="X68" i="67"/>
  <c r="U68" i="67"/>
  <c r="C68" i="67"/>
  <c r="Y67" i="67"/>
  <c r="X67" i="67"/>
  <c r="U67" i="67"/>
  <c r="C67" i="67"/>
  <c r="Y66" i="67"/>
  <c r="X66" i="67"/>
  <c r="U66" i="67"/>
  <c r="C66" i="67"/>
  <c r="Y65" i="67"/>
  <c r="X65" i="67"/>
  <c r="U65" i="67"/>
  <c r="C65" i="67"/>
  <c r="Y64" i="67"/>
  <c r="X64" i="67"/>
  <c r="U64" i="67"/>
  <c r="C64" i="67"/>
  <c r="Y63" i="67"/>
  <c r="X63" i="67"/>
  <c r="U63" i="67"/>
  <c r="C63" i="67"/>
  <c r="Y62" i="67"/>
  <c r="X62" i="67"/>
  <c r="U62" i="67"/>
  <c r="C62" i="67"/>
  <c r="Y61" i="67"/>
  <c r="X61" i="67"/>
  <c r="U61" i="67"/>
  <c r="C61" i="67"/>
  <c r="Y60" i="67"/>
  <c r="X60" i="67"/>
  <c r="U60" i="67"/>
  <c r="C60" i="67"/>
  <c r="Y59" i="67"/>
  <c r="X59" i="67"/>
  <c r="U59" i="67"/>
  <c r="C59" i="67"/>
  <c r="Y58" i="67"/>
  <c r="X58" i="67"/>
  <c r="U58" i="67"/>
  <c r="C58" i="67"/>
  <c r="Y57" i="67"/>
  <c r="X57" i="67"/>
  <c r="U57" i="67"/>
  <c r="C57" i="67"/>
  <c r="Y56" i="67"/>
  <c r="X56" i="67"/>
  <c r="U56" i="67"/>
  <c r="C56" i="67"/>
  <c r="Y55" i="67"/>
  <c r="X55" i="67"/>
  <c r="U55" i="67"/>
  <c r="C55" i="67"/>
  <c r="Y54" i="67"/>
  <c r="X54" i="67"/>
  <c r="U54" i="67"/>
  <c r="C54" i="67"/>
  <c r="Y53" i="67"/>
  <c r="X53" i="67"/>
  <c r="U53" i="67"/>
  <c r="C53" i="67"/>
  <c r="Y52" i="67"/>
  <c r="X52" i="67"/>
  <c r="U52" i="67"/>
  <c r="C52" i="67"/>
  <c r="Y51" i="67"/>
  <c r="X51" i="67"/>
  <c r="U51" i="67"/>
  <c r="C51" i="67"/>
  <c r="Y50" i="67"/>
  <c r="X50" i="67"/>
  <c r="U50" i="67"/>
  <c r="C50" i="67"/>
  <c r="Y49" i="67"/>
  <c r="X49" i="67"/>
  <c r="U49" i="67"/>
  <c r="C49" i="67"/>
  <c r="Y48" i="67"/>
  <c r="X48" i="67"/>
  <c r="U48" i="67"/>
  <c r="C48" i="67"/>
  <c r="Y47" i="67"/>
  <c r="X47" i="67"/>
  <c r="U47" i="67"/>
  <c r="C47" i="67"/>
  <c r="Y46" i="67"/>
  <c r="X46" i="67"/>
  <c r="U46" i="67"/>
  <c r="C46" i="67"/>
  <c r="Y45" i="67"/>
  <c r="X45" i="67"/>
  <c r="U45" i="67"/>
  <c r="C45" i="67"/>
  <c r="Y44" i="67"/>
  <c r="X44" i="67"/>
  <c r="U44" i="67"/>
  <c r="C44" i="67"/>
  <c r="Y43" i="67"/>
  <c r="X43" i="67"/>
  <c r="U43" i="67"/>
  <c r="C43" i="67"/>
  <c r="Y42" i="67"/>
  <c r="X42" i="67"/>
  <c r="U42" i="67"/>
  <c r="C42" i="67"/>
  <c r="Y41" i="67"/>
  <c r="X41" i="67"/>
  <c r="U41" i="67"/>
  <c r="C41" i="67"/>
  <c r="Y40" i="67"/>
  <c r="X40" i="67"/>
  <c r="U40" i="67"/>
  <c r="C40" i="67"/>
  <c r="Y39" i="67"/>
  <c r="X39" i="67"/>
  <c r="U39" i="67"/>
  <c r="C39" i="67"/>
  <c r="Y38" i="67"/>
  <c r="X38" i="67"/>
  <c r="U38" i="67"/>
  <c r="C38" i="67"/>
  <c r="Y37" i="67"/>
  <c r="X37" i="67"/>
  <c r="U37" i="67"/>
  <c r="C37" i="67"/>
  <c r="Y36" i="67"/>
  <c r="X36" i="67"/>
  <c r="U36" i="67"/>
  <c r="C36" i="67"/>
  <c r="Y35" i="67"/>
  <c r="X35" i="67"/>
  <c r="U35" i="67"/>
  <c r="C35" i="67"/>
  <c r="Y34" i="67"/>
  <c r="X34" i="67"/>
  <c r="U34" i="67"/>
  <c r="C34" i="67"/>
  <c r="Y33" i="67"/>
  <c r="X33" i="67"/>
  <c r="U33" i="67"/>
  <c r="C33" i="67"/>
  <c r="Y32" i="67"/>
  <c r="X32" i="67"/>
  <c r="U32" i="67"/>
  <c r="C32" i="67"/>
  <c r="Y31" i="67"/>
  <c r="X31" i="67"/>
  <c r="U31" i="67"/>
  <c r="C31" i="67"/>
  <c r="Y30" i="67"/>
  <c r="X30" i="67"/>
  <c r="U30" i="67"/>
  <c r="C30" i="67"/>
  <c r="Y29" i="67"/>
  <c r="X29" i="67"/>
  <c r="U29" i="67"/>
  <c r="C29" i="67"/>
  <c r="Y28" i="67"/>
  <c r="X28" i="67"/>
  <c r="U28" i="67"/>
  <c r="C28" i="67"/>
  <c r="Y27" i="67"/>
  <c r="X27" i="67"/>
  <c r="U27" i="67"/>
  <c r="C27" i="67"/>
  <c r="Y26" i="67"/>
  <c r="X26" i="67"/>
  <c r="U26" i="67"/>
  <c r="C26" i="67"/>
  <c r="Y25" i="67"/>
  <c r="X25" i="67"/>
  <c r="U25" i="67"/>
  <c r="D25" i="67"/>
  <c r="D37" i="67" s="1"/>
  <c r="C25" i="67"/>
  <c r="Y24" i="67"/>
  <c r="X24" i="67"/>
  <c r="U24" i="67"/>
  <c r="D24" i="67"/>
  <c r="C24" i="67"/>
  <c r="Y23" i="67"/>
  <c r="X23" i="67"/>
  <c r="U23" i="67"/>
  <c r="D23" i="67"/>
  <c r="C23" i="67"/>
  <c r="Y22" i="67"/>
  <c r="X22" i="67"/>
  <c r="U22" i="67"/>
  <c r="D22" i="67"/>
  <c r="C22" i="67"/>
  <c r="Y21" i="67"/>
  <c r="X21" i="67"/>
  <c r="U21" i="67"/>
  <c r="D21" i="67"/>
  <c r="C21" i="67"/>
  <c r="Y20" i="67"/>
  <c r="X20" i="67"/>
  <c r="U20" i="67"/>
  <c r="D20" i="67"/>
  <c r="C20" i="67"/>
  <c r="Y19" i="67"/>
  <c r="X19" i="67"/>
  <c r="U19" i="67"/>
  <c r="D19" i="67"/>
  <c r="D31" i="67" s="1"/>
  <c r="C19" i="67"/>
  <c r="Y18" i="67"/>
  <c r="X18" i="67"/>
  <c r="U18" i="67"/>
  <c r="D18" i="67"/>
  <c r="C18" i="67"/>
  <c r="Y17" i="67"/>
  <c r="X17" i="67"/>
  <c r="U17" i="67"/>
  <c r="D17" i="67"/>
  <c r="D29" i="67" s="1"/>
  <c r="C17" i="67"/>
  <c r="Y16" i="67"/>
  <c r="X16" i="67"/>
  <c r="U16" i="67"/>
  <c r="D16" i="67"/>
  <c r="C16" i="67"/>
  <c r="Y15" i="67"/>
  <c r="X15" i="67"/>
  <c r="U15" i="67"/>
  <c r="D15" i="67"/>
  <c r="C15" i="67"/>
  <c r="Y14" i="67"/>
  <c r="X14" i="67"/>
  <c r="U14" i="67"/>
  <c r="D14" i="67"/>
  <c r="D26" i="67" s="1"/>
  <c r="C14" i="67"/>
  <c r="Y13" i="67"/>
  <c r="X13" i="67"/>
  <c r="U13" i="67"/>
  <c r="C13" i="67"/>
  <c r="Y12" i="67"/>
  <c r="X12" i="67"/>
  <c r="U12" i="67"/>
  <c r="L12" i="67"/>
  <c r="C12" i="67"/>
  <c r="Y11" i="67"/>
  <c r="X11" i="67"/>
  <c r="U11" i="67"/>
  <c r="C11" i="67"/>
  <c r="Y10" i="67"/>
  <c r="X10" i="67"/>
  <c r="U10" i="67"/>
  <c r="C10" i="67"/>
  <c r="Y9" i="67"/>
  <c r="X9" i="67"/>
  <c r="U9" i="67"/>
  <c r="M9" i="67"/>
  <c r="L9" i="67"/>
  <c r="L13" i="67" s="1"/>
  <c r="C9" i="67"/>
  <c r="Y8" i="67"/>
  <c r="X8" i="67"/>
  <c r="U8" i="67"/>
  <c r="M8" i="67"/>
  <c r="L8" i="67"/>
  <c r="N8" i="67" s="1"/>
  <c r="C8" i="67"/>
  <c r="Y7" i="67"/>
  <c r="X7" i="67"/>
  <c r="U7" i="67"/>
  <c r="M7" i="67"/>
  <c r="L7" i="67"/>
  <c r="L11" i="67" s="1"/>
  <c r="C7" i="67"/>
  <c r="Y6" i="67"/>
  <c r="X6" i="67"/>
  <c r="U6" i="67"/>
  <c r="M6" i="67"/>
  <c r="L6" i="67"/>
  <c r="N6" i="67" s="1"/>
  <c r="C6" i="67"/>
  <c r="Y5" i="67"/>
  <c r="X5" i="67"/>
  <c r="U5" i="67"/>
  <c r="N5" i="67"/>
  <c r="C5" i="67"/>
  <c r="Y4" i="67"/>
  <c r="X4" i="67"/>
  <c r="U4" i="67"/>
  <c r="N4" i="67"/>
  <c r="H4" i="67"/>
  <c r="F4" i="67"/>
  <c r="C4" i="67"/>
  <c r="Y3" i="67"/>
  <c r="X3" i="67"/>
  <c r="U3" i="67"/>
  <c r="N3" i="67"/>
  <c r="E7" i="67" s="1"/>
  <c r="N7" i="66" s="1"/>
  <c r="E3" i="67"/>
  <c r="N3" i="66" s="1"/>
  <c r="C3" i="67"/>
  <c r="Y2" i="67"/>
  <c r="X2" i="67"/>
  <c r="U2" i="67"/>
  <c r="G2" i="67" s="1"/>
  <c r="F2" i="67" s="1"/>
  <c r="N2" i="67"/>
  <c r="H13" i="67" s="1"/>
  <c r="H2" i="67"/>
  <c r="E2" i="67"/>
  <c r="N2" i="66" s="1"/>
  <c r="J2" i="66" s="1"/>
  <c r="C2" i="67"/>
  <c r="D38" i="67" l="1"/>
  <c r="H16" i="67"/>
  <c r="L15" i="67"/>
  <c r="L17" i="67"/>
  <c r="H15" i="67"/>
  <c r="G5" i="67"/>
  <c r="H6" i="67"/>
  <c r="G7" i="67"/>
  <c r="N7" i="67"/>
  <c r="F8" i="67"/>
  <c r="H8" i="67"/>
  <c r="E9" i="67"/>
  <c r="N9" i="66" s="1"/>
  <c r="G9" i="67"/>
  <c r="N9" i="67"/>
  <c r="F10" i="67"/>
  <c r="H10" i="67"/>
  <c r="E11" i="67"/>
  <c r="N11" i="66" s="1"/>
  <c r="G11" i="67"/>
  <c r="E12" i="67"/>
  <c r="N12" i="66" s="1"/>
  <c r="G12" i="67"/>
  <c r="E13" i="67"/>
  <c r="N13" i="66" s="1"/>
  <c r="J13" i="66" s="1"/>
  <c r="I13" i="66" s="1"/>
  <c r="G13" i="67"/>
  <c r="F14" i="67"/>
  <c r="H14" i="67"/>
  <c r="E15" i="67"/>
  <c r="N15" i="66" s="1"/>
  <c r="J15" i="66" s="1"/>
  <c r="I15" i="66" s="1"/>
  <c r="G15" i="67"/>
  <c r="E16" i="67"/>
  <c r="N16" i="66" s="1"/>
  <c r="J16" i="66" s="1"/>
  <c r="I16" i="66" s="1"/>
  <c r="G16" i="67"/>
  <c r="L16" i="67"/>
  <c r="E17" i="67"/>
  <c r="N17" i="66" s="1"/>
  <c r="G17" i="67"/>
  <c r="E18" i="67"/>
  <c r="N18" i="66" s="1"/>
  <c r="G18" i="67"/>
  <c r="F19" i="67"/>
  <c r="H19" i="67"/>
  <c r="F20" i="67"/>
  <c r="H20" i="67"/>
  <c r="F21" i="67"/>
  <c r="H21" i="67"/>
  <c r="F22" i="67"/>
  <c r="H22" i="67"/>
  <c r="E23" i="67"/>
  <c r="N23" i="66" s="1"/>
  <c r="G23" i="67"/>
  <c r="E24" i="67"/>
  <c r="N24" i="66" s="1"/>
  <c r="G24" i="67"/>
  <c r="E25" i="67"/>
  <c r="N25" i="66" s="1"/>
  <c r="G25" i="67"/>
  <c r="D27" i="67"/>
  <c r="D33" i="67"/>
  <c r="D35" i="67"/>
  <c r="I2" i="66"/>
  <c r="G3" i="67"/>
  <c r="E5" i="67"/>
  <c r="N5" i="66" s="1"/>
  <c r="F6" i="67"/>
  <c r="O4" i="66"/>
  <c r="O8" i="66"/>
  <c r="O19" i="66"/>
  <c r="O21" i="66"/>
  <c r="O10" i="66"/>
  <c r="O22" i="66"/>
  <c r="O2" i="66"/>
  <c r="O6" i="66"/>
  <c r="O14" i="66"/>
  <c r="O20" i="66"/>
  <c r="F3" i="67"/>
  <c r="O3" i="66" s="1"/>
  <c r="H3" i="67"/>
  <c r="J3" i="66" s="1"/>
  <c r="I3" i="66" s="1"/>
  <c r="W2" i="66" s="1"/>
  <c r="E4" i="67"/>
  <c r="N4" i="66" s="1"/>
  <c r="G4" i="67"/>
  <c r="F5" i="67"/>
  <c r="O5" i="66" s="1"/>
  <c r="H5" i="67"/>
  <c r="E6" i="67"/>
  <c r="N6" i="66" s="1"/>
  <c r="G6" i="67"/>
  <c r="F7" i="67"/>
  <c r="O7" i="66" s="1"/>
  <c r="H7" i="67"/>
  <c r="J7" i="66" s="1"/>
  <c r="I7" i="66" s="1"/>
  <c r="E8" i="67"/>
  <c r="N8" i="66" s="1"/>
  <c r="G8" i="67"/>
  <c r="F9" i="67"/>
  <c r="O9" i="66" s="1"/>
  <c r="H9" i="67"/>
  <c r="E10" i="67"/>
  <c r="N10" i="66" s="1"/>
  <c r="G10" i="67"/>
  <c r="F11" i="67"/>
  <c r="O11" i="66" s="1"/>
  <c r="H11" i="67"/>
  <c r="F12" i="67"/>
  <c r="O12" i="66" s="1"/>
  <c r="H12" i="67"/>
  <c r="F13" i="67"/>
  <c r="O13" i="66" s="1"/>
  <c r="E14" i="67"/>
  <c r="N14" i="66" s="1"/>
  <c r="G14" i="67"/>
  <c r="F15" i="67"/>
  <c r="O15" i="66" s="1"/>
  <c r="F16" i="67"/>
  <c r="O16" i="66" s="1"/>
  <c r="F17" i="67"/>
  <c r="O17" i="66" s="1"/>
  <c r="H17" i="67"/>
  <c r="F18" i="67"/>
  <c r="O18" i="66" s="1"/>
  <c r="E19" i="67"/>
  <c r="N19" i="66" s="1"/>
  <c r="G19" i="67"/>
  <c r="E20" i="67"/>
  <c r="N20" i="66" s="1"/>
  <c r="E21" i="67"/>
  <c r="N21" i="66" s="1"/>
  <c r="E22" i="67"/>
  <c r="N22" i="66" s="1"/>
  <c r="F23" i="67"/>
  <c r="O23" i="66" s="1"/>
  <c r="F24" i="67"/>
  <c r="O24" i="66" s="1"/>
  <c r="F25" i="67"/>
  <c r="O25" i="66" s="1"/>
  <c r="H25" i="67"/>
  <c r="V32" i="66"/>
  <c r="W31" i="66"/>
  <c r="D30" i="67"/>
  <c r="D42" i="67" s="1"/>
  <c r="D32" i="67"/>
  <c r="D44" i="67"/>
  <c r="D45" i="67"/>
  <c r="D47" i="67"/>
  <c r="D49" i="67"/>
  <c r="D56" i="67"/>
  <c r="J4" i="66"/>
  <c r="I4" i="66" s="1"/>
  <c r="J6" i="66"/>
  <c r="I6" i="66" s="1"/>
  <c r="J8" i="66"/>
  <c r="I8" i="66" s="1"/>
  <c r="J10" i="66"/>
  <c r="I10" i="66" s="1"/>
  <c r="J14" i="66"/>
  <c r="I14" i="66" s="1"/>
  <c r="J19" i="66"/>
  <c r="I19" i="66" s="1"/>
  <c r="J20" i="66"/>
  <c r="J21" i="66"/>
  <c r="J22" i="66"/>
  <c r="D28" i="67"/>
  <c r="D34" i="67"/>
  <c r="D36" i="67"/>
  <c r="D48" i="67" s="1"/>
  <c r="D39" i="67"/>
  <c r="D41" i="67"/>
  <c r="D53" i="67" s="1"/>
  <c r="D43" i="67"/>
  <c r="D55" i="67" s="1"/>
  <c r="D51" i="67"/>
  <c r="D57" i="67"/>
  <c r="D69" i="67" s="1"/>
  <c r="D59" i="67"/>
  <c r="D71" i="67" s="1"/>
  <c r="D61" i="67"/>
  <c r="D63" i="67"/>
  <c r="D68" i="67"/>
  <c r="BL8" i="44"/>
  <c r="BL12" i="44"/>
  <c r="BL13" i="44"/>
  <c r="BL14" i="44"/>
  <c r="BL16" i="44"/>
  <c r="BL19" i="44"/>
  <c r="BL23" i="44"/>
  <c r="BL24" i="44"/>
  <c r="C3" i="20"/>
  <c r="D3" i="20"/>
  <c r="D4" i="20" s="1"/>
  <c r="D5" i="20" s="1"/>
  <c r="D6" i="20" s="1"/>
  <c r="D7" i="20" s="1"/>
  <c r="D8" i="20" s="1"/>
  <c r="D9" i="20" s="1"/>
  <c r="D10" i="20" s="1"/>
  <c r="D11" i="20" s="1"/>
  <c r="E3" i="20"/>
  <c r="E4" i="20" s="1"/>
  <c r="E5" i="20" s="1"/>
  <c r="E6" i="20" s="1"/>
  <c r="E7" i="20" s="1"/>
  <c r="E8" i="20" s="1"/>
  <c r="E9" i="20" s="1"/>
  <c r="E10" i="20" s="1"/>
  <c r="E11" i="20" s="1"/>
  <c r="S3" i="20"/>
  <c r="S4" i="20" s="1"/>
  <c r="S5" i="20" s="1"/>
  <c r="S6" i="20" s="1"/>
  <c r="S7" i="20" s="1"/>
  <c r="S8" i="20" s="1"/>
  <c r="S9" i="20" s="1"/>
  <c r="S10" i="20" s="1"/>
  <c r="S11" i="20" s="1"/>
  <c r="F3" i="20"/>
  <c r="F4" i="20" s="1"/>
  <c r="G3" i="20"/>
  <c r="G4" i="20" s="1"/>
  <c r="H3" i="20"/>
  <c r="H4" i="20" s="1"/>
  <c r="I3" i="20"/>
  <c r="I4" i="20" s="1"/>
  <c r="J3" i="20"/>
  <c r="K3" i="20"/>
  <c r="K4" i="20" s="1"/>
  <c r="L3" i="20"/>
  <c r="L4" i="20" s="1"/>
  <c r="M3" i="20"/>
  <c r="M4" i="20" s="1"/>
  <c r="N3" i="20"/>
  <c r="N4" i="20" s="1"/>
  <c r="O3" i="20"/>
  <c r="R3" i="20"/>
  <c r="T3" i="20"/>
  <c r="C4" i="20"/>
  <c r="C5" i="20" s="1"/>
  <c r="C6" i="20" s="1"/>
  <c r="C7" i="20" s="1"/>
  <c r="C8" i="20" s="1"/>
  <c r="C9" i="20" s="1"/>
  <c r="C10" i="20" s="1"/>
  <c r="C11" i="20" s="1"/>
  <c r="J4" i="20"/>
  <c r="O4" i="20"/>
  <c r="R4" i="20"/>
  <c r="T4" i="20"/>
  <c r="F5" i="20"/>
  <c r="G5" i="20"/>
  <c r="H5" i="20"/>
  <c r="I5" i="20"/>
  <c r="J5" i="20"/>
  <c r="K5" i="20"/>
  <c r="L5" i="20"/>
  <c r="M5" i="20"/>
  <c r="N5" i="20"/>
  <c r="O5" i="20"/>
  <c r="R5" i="20"/>
  <c r="T5" i="20"/>
  <c r="F6" i="20"/>
  <c r="F7" i="20" s="1"/>
  <c r="F8" i="20" s="1"/>
  <c r="F9" i="20" s="1"/>
  <c r="F10" i="20" s="1"/>
  <c r="F11" i="20" s="1"/>
  <c r="G6" i="20"/>
  <c r="H6" i="20"/>
  <c r="H7" i="20" s="1"/>
  <c r="H8" i="20" s="1"/>
  <c r="H9" i="20" s="1"/>
  <c r="H10" i="20" s="1"/>
  <c r="H11" i="20" s="1"/>
  <c r="I6" i="20"/>
  <c r="J6" i="20"/>
  <c r="J7" i="20" s="1"/>
  <c r="J8" i="20" s="1"/>
  <c r="J9" i="20" s="1"/>
  <c r="J10" i="20" s="1"/>
  <c r="J11" i="20" s="1"/>
  <c r="K6" i="20"/>
  <c r="L6" i="20"/>
  <c r="L7" i="20" s="1"/>
  <c r="L8" i="20" s="1"/>
  <c r="L9" i="20" s="1"/>
  <c r="L10" i="20" s="1"/>
  <c r="L11" i="20" s="1"/>
  <c r="M6" i="20"/>
  <c r="N6" i="20"/>
  <c r="N7" i="20" s="1"/>
  <c r="N8" i="20" s="1"/>
  <c r="N9" i="20" s="1"/>
  <c r="N10" i="20" s="1"/>
  <c r="N11" i="20" s="1"/>
  <c r="O6" i="20"/>
  <c r="R6" i="20"/>
  <c r="R7" i="20" s="1"/>
  <c r="R8" i="20" s="1"/>
  <c r="R9" i="20" s="1"/>
  <c r="R10" i="20" s="1"/>
  <c r="R11" i="20" s="1"/>
  <c r="T6" i="20"/>
  <c r="K7" i="20"/>
  <c r="K8" i="20" s="1"/>
  <c r="K9" i="20" s="1"/>
  <c r="K10" i="20" s="1"/>
  <c r="K11" i="20" s="1"/>
  <c r="M7" i="20"/>
  <c r="M8" i="20" s="1"/>
  <c r="M9" i="20" s="1"/>
  <c r="M10" i="20" s="1"/>
  <c r="M11" i="20" s="1"/>
  <c r="O7" i="20"/>
  <c r="O8" i="20" s="1"/>
  <c r="O9" i="20" s="1"/>
  <c r="O10" i="20" s="1"/>
  <c r="O11" i="20" s="1"/>
  <c r="T7" i="20"/>
  <c r="T8" i="20" s="1"/>
  <c r="T9" i="20" s="1"/>
  <c r="T10" i="20" s="1"/>
  <c r="T11" i="20" s="1"/>
  <c r="G7" i="20"/>
  <c r="G8" i="20" s="1"/>
  <c r="G9" i="20" s="1"/>
  <c r="G10" i="20" s="1"/>
  <c r="G11" i="20" s="1"/>
  <c r="I7" i="20"/>
  <c r="I8" i="20" s="1"/>
  <c r="I9" i="20" s="1"/>
  <c r="I10" i="20" s="1"/>
  <c r="I11" i="20" s="1"/>
  <c r="S19" i="20"/>
  <c r="O19" i="20"/>
  <c r="P19" i="20"/>
  <c r="Q19" i="20"/>
  <c r="R19" i="20"/>
  <c r="T19" i="20"/>
  <c r="U20" i="20" s="1"/>
  <c r="W20" i="22"/>
  <c r="BA15" i="44"/>
  <c r="AH21" i="6"/>
  <c r="S21" i="20"/>
  <c r="O21" i="20"/>
  <c r="P21" i="20"/>
  <c r="Q21" i="20"/>
  <c r="AG21" i="6"/>
  <c r="R21" i="20"/>
  <c r="W22" i="22"/>
  <c r="S24" i="20"/>
  <c r="O24" i="20"/>
  <c r="P24" i="20"/>
  <c r="Q24" i="20"/>
  <c r="R24" i="20"/>
  <c r="S25" i="20"/>
  <c r="O25" i="20"/>
  <c r="P25" i="20"/>
  <c r="Q25" i="20"/>
  <c r="R25" i="20"/>
  <c r="W25" i="22"/>
  <c r="S26" i="20"/>
  <c r="O26" i="20"/>
  <c r="P26" i="20"/>
  <c r="Q26" i="20"/>
  <c r="R26" i="20"/>
  <c r="X21" i="44"/>
  <c r="Y21" i="44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S27" i="20"/>
  <c r="O27" i="20"/>
  <c r="P27" i="20"/>
  <c r="Q27" i="20"/>
  <c r="R27" i="20"/>
  <c r="W27" i="22"/>
  <c r="Y22" i="44"/>
  <c r="S28" i="20"/>
  <c r="O28" i="20"/>
  <c r="P28" i="20"/>
  <c r="Q28" i="20"/>
  <c r="R28" i="20"/>
  <c r="S29" i="20"/>
  <c r="O29" i="20"/>
  <c r="P29" i="20"/>
  <c r="Q29" i="20"/>
  <c r="R29" i="20"/>
  <c r="S30" i="20"/>
  <c r="O30" i="20"/>
  <c r="P30" i="20"/>
  <c r="Q30" i="20"/>
  <c r="R30" i="20"/>
  <c r="S31" i="20"/>
  <c r="O31" i="20"/>
  <c r="P31" i="20"/>
  <c r="Q31" i="20"/>
  <c r="R31" i="20"/>
  <c r="S32" i="20"/>
  <c r="AF25" i="44"/>
  <c r="AG25" i="44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O32" i="20"/>
  <c r="P32" i="20"/>
  <c r="Q32" i="20"/>
  <c r="R32" i="20"/>
  <c r="AG26" i="44"/>
  <c r="S33" i="20"/>
  <c r="O33" i="20"/>
  <c r="P33" i="20"/>
  <c r="Q33" i="20"/>
  <c r="R33" i="20"/>
  <c r="S34" i="20"/>
  <c r="O34" i="20"/>
  <c r="P34" i="20"/>
  <c r="Q34" i="20"/>
  <c r="R34" i="20"/>
  <c r="S35" i="20"/>
  <c r="AH29" i="44"/>
  <c r="AI29" i="44"/>
  <c r="L35" i="6" s="1"/>
  <c r="L36" i="6" s="1"/>
  <c r="L37" i="6" s="1"/>
  <c r="L38" i="6" s="1"/>
  <c r="L39" i="6" s="1"/>
  <c r="L40" i="6" s="1"/>
  <c r="L41" i="6" s="1"/>
  <c r="L42" i="6" s="1"/>
  <c r="L43" i="6" s="1"/>
  <c r="BA30" i="44"/>
  <c r="AH36" i="6"/>
  <c r="S36" i="20"/>
  <c r="AI30" i="44"/>
  <c r="O35" i="20"/>
  <c r="P35" i="20"/>
  <c r="Q35" i="20"/>
  <c r="R35" i="20"/>
  <c r="O36" i="20"/>
  <c r="P36" i="20"/>
  <c r="Q36" i="20"/>
  <c r="AG36" i="6"/>
  <c r="R36" i="20"/>
  <c r="S37" i="20"/>
  <c r="R37" i="20"/>
  <c r="S38" i="20"/>
  <c r="R38" i="20"/>
  <c r="AO32" i="44"/>
  <c r="AP32" i="44" s="1"/>
  <c r="R38" i="6" s="1"/>
  <c r="S39" i="20"/>
  <c r="R39" i="20"/>
  <c r="S40" i="20"/>
  <c r="O40" i="20"/>
  <c r="P40" i="20"/>
  <c r="Q40" i="20"/>
  <c r="R40" i="20"/>
  <c r="S41" i="20"/>
  <c r="O41" i="20"/>
  <c r="P41" i="20"/>
  <c r="Q41" i="20"/>
  <c r="R41" i="20"/>
  <c r="V37" i="44"/>
  <c r="W37" i="44"/>
  <c r="V38" i="44" s="1"/>
  <c r="AG42" i="6"/>
  <c r="R42" i="20"/>
  <c r="U43" i="20"/>
  <c r="AH42" i="6"/>
  <c r="S42" i="20"/>
  <c r="X37" i="44"/>
  <c r="Y37" i="44" s="1"/>
  <c r="X38" i="44" s="1"/>
  <c r="AB37" i="44"/>
  <c r="AC37" i="44"/>
  <c r="H43" i="6" s="1"/>
  <c r="BA37" i="44"/>
  <c r="AH43" i="6"/>
  <c r="AQ37" i="44"/>
  <c r="AR37" i="44" s="1"/>
  <c r="T43" i="6" s="1"/>
  <c r="AU37" i="44"/>
  <c r="W43" i="6"/>
  <c r="AW37" i="44"/>
  <c r="AX37" i="44" s="1"/>
  <c r="Y43" i="6" s="1"/>
  <c r="AM37" i="44"/>
  <c r="AN37" i="44" s="1"/>
  <c r="AA43" i="6" s="1"/>
  <c r="AK37" i="44"/>
  <c r="AL37" i="44" s="1"/>
  <c r="AC43" i="6" s="1"/>
  <c r="AS37" i="44"/>
  <c r="AT37" i="44" s="1"/>
  <c r="AE43" i="6" s="1"/>
  <c r="AY37" i="44"/>
  <c r="AZ37" i="44" s="1"/>
  <c r="AF37" i="44"/>
  <c r="AG37" i="44"/>
  <c r="AF38" i="44" s="1"/>
  <c r="AH37" i="44"/>
  <c r="AI37" i="44"/>
  <c r="AH38" i="44" s="1"/>
  <c r="AO37" i="44"/>
  <c r="AP37" i="44"/>
  <c r="AO38" i="44" s="1"/>
  <c r="AG38" i="44"/>
  <c r="AI38" i="44"/>
  <c r="AV37" i="44"/>
  <c r="AU38" i="44" s="1"/>
  <c r="W44" i="6"/>
  <c r="AW38" i="44"/>
  <c r="AX38" i="44" s="1"/>
  <c r="Y44" i="6"/>
  <c r="AB38" i="44"/>
  <c r="AC38" i="44" s="1"/>
  <c r="H44" i="6"/>
  <c r="BB37" i="44"/>
  <c r="BA38" i="44" s="1"/>
  <c r="AH44" i="6"/>
  <c r="AH39" i="44"/>
  <c r="AI39" i="44" s="1"/>
  <c r="AH40" i="44" s="1"/>
  <c r="AB39" i="44"/>
  <c r="AC39" i="44" s="1"/>
  <c r="BB38" i="44"/>
  <c r="BA39" i="44" s="1"/>
  <c r="AV38" i="44"/>
  <c r="AU39" i="44" s="1"/>
  <c r="AW39" i="44"/>
  <c r="AX39" i="44" s="1"/>
  <c r="A45" i="17"/>
  <c r="A46" i="17"/>
  <c r="A47" i="17"/>
  <c r="A48" i="17" s="1"/>
  <c r="A49" i="17" s="1"/>
  <c r="X48" i="17"/>
  <c r="A44" i="22"/>
  <c r="A45" i="22" s="1"/>
  <c r="A46" i="22" s="1"/>
  <c r="A47" i="22" s="1"/>
  <c r="A48" i="22" s="1"/>
  <c r="A43" i="6"/>
  <c r="A44" i="6"/>
  <c r="A45" i="6" s="1"/>
  <c r="A46" i="6" s="1"/>
  <c r="A47" i="6" s="1"/>
  <c r="A48" i="6" s="1"/>
  <c r="A49" i="6" s="1"/>
  <c r="AJ44" i="6"/>
  <c r="AJ45" i="6" s="1"/>
  <c r="AI44" i="6"/>
  <c r="AI45" i="6"/>
  <c r="AI46" i="6" s="1"/>
  <c r="AI47" i="6" s="1"/>
  <c r="AI48" i="6" s="1"/>
  <c r="AI49" i="6" s="1"/>
  <c r="U34" i="20"/>
  <c r="U25" i="20"/>
  <c r="U32" i="20"/>
  <c r="U26" i="20"/>
  <c r="U27" i="20"/>
  <c r="U28" i="20"/>
  <c r="U29" i="20"/>
  <c r="U30" i="20"/>
  <c r="U31" i="20"/>
  <c r="U33" i="20"/>
  <c r="U35" i="20"/>
  <c r="U36" i="20"/>
  <c r="W19" i="20"/>
  <c r="U24" i="20"/>
  <c r="U37" i="20"/>
  <c r="U38" i="20"/>
  <c r="U41" i="20"/>
  <c r="U39" i="20"/>
  <c r="U42" i="20"/>
  <c r="BE26" i="44"/>
  <c r="U40" i="20"/>
  <c r="BK6" i="44"/>
  <c r="BL6" i="44" s="1"/>
  <c r="BK9" i="44"/>
  <c r="BL9" i="44" s="1"/>
  <c r="BK7" i="44"/>
  <c r="BL7" i="44" s="1"/>
  <c r="BK11" i="44"/>
  <c r="BL11" i="44" s="1"/>
  <c r="BB16" i="44"/>
  <c r="BB15" i="44"/>
  <c r="BK17" i="44"/>
  <c r="BL17" i="44" s="1"/>
  <c r="BE17" i="44"/>
  <c r="BB31" i="44"/>
  <c r="BB30" i="44"/>
  <c r="AJ37" i="44"/>
  <c r="Z37" i="44"/>
  <c r="F43" i="6" s="1"/>
  <c r="AA37" i="44"/>
  <c r="AD37" i="44"/>
  <c r="AE37" i="44"/>
  <c r="AD38" i="44"/>
  <c r="AE38" i="44" s="1"/>
  <c r="AJ38" i="44"/>
  <c r="BD37" i="44"/>
  <c r="BD38" i="44"/>
  <c r="BD39" i="44" s="1"/>
  <c r="BD40" i="44" s="1"/>
  <c r="BD41" i="44" s="1"/>
  <c r="BD42" i="44" s="1"/>
  <c r="BD43" i="44" s="1"/>
  <c r="BC37" i="44"/>
  <c r="BC38" i="44" s="1"/>
  <c r="BC39" i="44" s="1"/>
  <c r="BC40" i="44" s="1"/>
  <c r="BC41" i="44" s="1"/>
  <c r="BC42" i="44" s="1"/>
  <c r="BC43" i="44" s="1"/>
  <c r="BE37" i="44"/>
  <c r="BE38" i="44"/>
  <c r="A49" i="22" l="1"/>
  <c r="W45" i="6"/>
  <c r="AV39" i="44"/>
  <c r="BE39" i="44"/>
  <c r="AU40" i="44"/>
  <c r="H45" i="6"/>
  <c r="AB40" i="44"/>
  <c r="AP38" i="44"/>
  <c r="AO39" i="44" s="1"/>
  <c r="AJ46" i="6"/>
  <c r="Y45" i="6"/>
  <c r="AW40" i="44"/>
  <c r="AH45" i="6"/>
  <c r="BB39" i="44"/>
  <c r="BA40" i="44"/>
  <c r="AI40" i="44"/>
  <c r="AH41" i="44"/>
  <c r="AD39" i="44"/>
  <c r="Z38" i="44"/>
  <c r="AS38" i="44"/>
  <c r="AK38" i="44"/>
  <c r="AM38" i="44"/>
  <c r="Y38" i="44"/>
  <c r="X39" i="44" s="1"/>
  <c r="W38" i="44"/>
  <c r="V39" i="44"/>
  <c r="J43" i="6"/>
  <c r="J44" i="6" s="1"/>
  <c r="D83" i="67"/>
  <c r="D65" i="67"/>
  <c r="D60" i="67"/>
  <c r="D54" i="67"/>
  <c r="AF39" i="44"/>
  <c r="AG43" i="6"/>
  <c r="AY38" i="44"/>
  <c r="L44" i="6"/>
  <c r="L45" i="6" s="1"/>
  <c r="L46" i="6" s="1"/>
  <c r="D81" i="67"/>
  <c r="D67" i="67"/>
  <c r="AQ38" i="44"/>
  <c r="AP33" i="44"/>
  <c r="R39" i="6" s="1"/>
  <c r="R40" i="6" s="1"/>
  <c r="R41" i="6" s="1"/>
  <c r="R42" i="6" s="1"/>
  <c r="R43" i="6" s="1"/>
  <c r="R44" i="6" s="1"/>
  <c r="U21" i="20"/>
  <c r="U22" i="20"/>
  <c r="D80" i="67"/>
  <c r="D73" i="67"/>
  <c r="D46" i="67"/>
  <c r="D75" i="67"/>
  <c r="D40" i="67"/>
  <c r="J5" i="66"/>
  <c r="I5" i="66" s="1"/>
  <c r="J25" i="66"/>
  <c r="I25" i="66" s="1"/>
  <c r="J17" i="66"/>
  <c r="I17" i="66" s="1"/>
  <c r="J9" i="66"/>
  <c r="I9" i="66" s="1"/>
  <c r="H23" i="67"/>
  <c r="J23" i="66" s="1"/>
  <c r="I23" i="66" s="1"/>
  <c r="L21" i="67"/>
  <c r="L19" i="67"/>
  <c r="G22" i="67"/>
  <c r="I22" i="66" s="1"/>
  <c r="H18" i="67"/>
  <c r="J18" i="66" s="1"/>
  <c r="I18" i="66" s="1"/>
  <c r="D50" i="67"/>
  <c r="L20" i="67"/>
  <c r="J12" i="66"/>
  <c r="I12" i="66" s="1"/>
  <c r="J11" i="66"/>
  <c r="I11" i="66" s="1"/>
  <c r="G21" i="67"/>
  <c r="I21" i="66" s="1"/>
  <c r="H24" i="67"/>
  <c r="J24" i="66" s="1"/>
  <c r="I24" i="66" s="1"/>
  <c r="G20" i="67"/>
  <c r="I20" i="66" s="1"/>
  <c r="X40" i="44" l="1"/>
  <c r="Y39" i="44"/>
  <c r="AP39" i="44"/>
  <c r="AO40" i="44" s="1"/>
  <c r="R45" i="6"/>
  <c r="L24" i="67"/>
  <c r="D52" i="67"/>
  <c r="D92" i="67"/>
  <c r="D79" i="67"/>
  <c r="AG44" i="6"/>
  <c r="AZ38" i="44"/>
  <c r="AY39" i="44"/>
  <c r="AG39" i="44"/>
  <c r="AF40" i="44"/>
  <c r="D66" i="67"/>
  <c r="D77" i="67"/>
  <c r="J45" i="6"/>
  <c r="AL38" i="44"/>
  <c r="AC44" i="6" s="1"/>
  <c r="AE39" i="44"/>
  <c r="AD40" i="44" s="1"/>
  <c r="AX40" i="44"/>
  <c r="AW41" i="44" s="1"/>
  <c r="AJ39" i="44"/>
  <c r="AC40" i="44"/>
  <c r="AB41" i="44" s="1"/>
  <c r="W46" i="6"/>
  <c r="BE40" i="44"/>
  <c r="AV40" i="44"/>
  <c r="AU41" i="44" s="1"/>
  <c r="D62" i="67"/>
  <c r="L23" i="67"/>
  <c r="L25" i="67"/>
  <c r="D87" i="67"/>
  <c r="D58" i="67"/>
  <c r="D85" i="67"/>
  <c r="AR38" i="44"/>
  <c r="T44" i="6" s="1"/>
  <c r="AQ39" i="44"/>
  <c r="D93" i="67"/>
  <c r="D72" i="67"/>
  <c r="D95" i="67"/>
  <c r="W39" i="44"/>
  <c r="V40" i="44"/>
  <c r="AN38" i="44"/>
  <c r="AA44" i="6" s="1"/>
  <c r="AM39" i="44"/>
  <c r="AT38" i="44"/>
  <c r="AE44" i="6" s="1"/>
  <c r="AS39" i="44"/>
  <c r="F44" i="6"/>
  <c r="AA38" i="44"/>
  <c r="Z39" i="44"/>
  <c r="AI41" i="44"/>
  <c r="L47" i="6" s="1"/>
  <c r="AH46" i="6"/>
  <c r="BB40" i="44"/>
  <c r="BA41" i="44" s="1"/>
  <c r="Y46" i="6"/>
  <c r="AJ47" i="6"/>
  <c r="H46" i="6"/>
  <c r="BE41" i="44" l="1"/>
  <c r="W47" i="6"/>
  <c r="AV41" i="44"/>
  <c r="AU42" i="44" s="1"/>
  <c r="AE40" i="44"/>
  <c r="AD41" i="44" s="1"/>
  <c r="AH47" i="6"/>
  <c r="BB41" i="44"/>
  <c r="BA42" i="44" s="1"/>
  <c r="AC41" i="44"/>
  <c r="AB42" i="44" s="1"/>
  <c r="AX41" i="44"/>
  <c r="AW42" i="44" s="1"/>
  <c r="AP40" i="44"/>
  <c r="AO41" i="44" s="1"/>
  <c r="Y47" i="6"/>
  <c r="AA39" i="44"/>
  <c r="Z40" i="44"/>
  <c r="F45" i="6"/>
  <c r="D84" i="67"/>
  <c r="D105" i="67"/>
  <c r="D70" i="67"/>
  <c r="L29" i="67"/>
  <c r="L27" i="67"/>
  <c r="D74" i="67"/>
  <c r="AK39" i="44"/>
  <c r="D78" i="67"/>
  <c r="D91" i="67"/>
  <c r="D64" i="67"/>
  <c r="H47" i="6"/>
  <c r="AJ48" i="6"/>
  <c r="AH42" i="44"/>
  <c r="AS40" i="44"/>
  <c r="AT39" i="44"/>
  <c r="AE45" i="6" s="1"/>
  <c r="AM40" i="44"/>
  <c r="AN39" i="44"/>
  <c r="AA45" i="6" s="1"/>
  <c r="W40" i="44"/>
  <c r="V41" i="44" s="1"/>
  <c r="D107" i="67"/>
  <c r="AR39" i="44"/>
  <c r="T45" i="6" s="1"/>
  <c r="AQ40" i="44"/>
  <c r="D97" i="67"/>
  <c r="D99" i="67"/>
  <c r="AJ40" i="44"/>
  <c r="D89" i="67"/>
  <c r="AG40" i="44"/>
  <c r="J46" i="6" s="1"/>
  <c r="AF41" i="44"/>
  <c r="AG45" i="6"/>
  <c r="AZ39" i="44"/>
  <c r="AY40" i="44" s="1"/>
  <c r="D104" i="67"/>
  <c r="L28" i="67"/>
  <c r="R46" i="6"/>
  <c r="Y40" i="44"/>
  <c r="X41" i="44" s="1"/>
  <c r="X42" i="44" l="1"/>
  <c r="Y41" i="44"/>
  <c r="AG46" i="6"/>
  <c r="AZ40" i="44"/>
  <c r="AY41" i="44" s="1"/>
  <c r="AX42" i="44"/>
  <c r="AW43" i="44"/>
  <c r="AX43" i="44" s="1"/>
  <c r="AH48" i="6"/>
  <c r="BB42" i="44"/>
  <c r="BA43" i="44" s="1"/>
  <c r="AD42" i="44"/>
  <c r="AE41" i="44"/>
  <c r="W41" i="44"/>
  <c r="V42" i="44" s="1"/>
  <c r="AO42" i="44"/>
  <c r="AP41" i="44"/>
  <c r="AC42" i="44"/>
  <c r="AB43" i="44" s="1"/>
  <c r="AC43" i="44" s="1"/>
  <c r="AV42" i="44"/>
  <c r="AU43" i="44" s="1"/>
  <c r="BE42" i="44"/>
  <c r="W48" i="6"/>
  <c r="D116" i="67"/>
  <c r="AG41" i="44"/>
  <c r="J47" i="6" s="1"/>
  <c r="D101" i="67"/>
  <c r="D109" i="67"/>
  <c r="AI42" i="44"/>
  <c r="L48" i="6" s="1"/>
  <c r="AJ49" i="6"/>
  <c r="D76" i="67"/>
  <c r="D90" i="67"/>
  <c r="AL39" i="44"/>
  <c r="AC45" i="6" s="1"/>
  <c r="D82" i="67"/>
  <c r="D117" i="67"/>
  <c r="R47" i="6"/>
  <c r="L32" i="67"/>
  <c r="D111" i="67"/>
  <c r="AR40" i="44"/>
  <c r="T46" i="6" s="1"/>
  <c r="AQ41" i="44"/>
  <c r="D119" i="67"/>
  <c r="AN40" i="44"/>
  <c r="AA46" i="6" s="1"/>
  <c r="AT40" i="44"/>
  <c r="AE46" i="6" s="1"/>
  <c r="H48" i="6"/>
  <c r="D103" i="67"/>
  <c r="D86" i="67"/>
  <c r="L31" i="67"/>
  <c r="L33" i="67"/>
  <c r="D96" i="67"/>
  <c r="AA40" i="44"/>
  <c r="Z41" i="44" s="1"/>
  <c r="F46" i="6"/>
  <c r="Y48" i="6"/>
  <c r="Y49" i="6" s="1"/>
  <c r="BB43" i="44" l="1"/>
  <c r="AH49" i="6"/>
  <c r="AG47" i="6"/>
  <c r="AZ41" i="44"/>
  <c r="AY42" i="44" s="1"/>
  <c r="F47" i="6"/>
  <c r="Z42" i="44"/>
  <c r="AA41" i="44"/>
  <c r="W49" i="6"/>
  <c r="AV43" i="44"/>
  <c r="BE43" i="44"/>
  <c r="W42" i="44"/>
  <c r="B43" i="6" s="1"/>
  <c r="V43" i="44"/>
  <c r="W43" i="44" s="1"/>
  <c r="D108" i="67"/>
  <c r="L37" i="67"/>
  <c r="D115" i="67"/>
  <c r="AS41" i="44"/>
  <c r="AM41" i="44"/>
  <c r="D131" i="67"/>
  <c r="D94" i="67"/>
  <c r="AK40" i="44"/>
  <c r="AH43" i="44"/>
  <c r="AI43" i="44" s="1"/>
  <c r="D121" i="67"/>
  <c r="D113" i="67"/>
  <c r="AF42" i="44"/>
  <c r="L35" i="67"/>
  <c r="D98" i="67"/>
  <c r="H49" i="6"/>
  <c r="AQ42" i="44"/>
  <c r="AR41" i="44"/>
  <c r="T47" i="6" s="1"/>
  <c r="D123" i="67"/>
  <c r="L36" i="67"/>
  <c r="D129" i="67"/>
  <c r="D102" i="67"/>
  <c r="D88" i="67"/>
  <c r="L49" i="6"/>
  <c r="D128" i="67"/>
  <c r="AP42" i="44"/>
  <c r="R48" i="6" s="1"/>
  <c r="AE42" i="44"/>
  <c r="AD43" i="44"/>
  <c r="AE43" i="44" s="1"/>
  <c r="Y42" i="44"/>
  <c r="D43" i="6" s="1"/>
  <c r="X43" i="44"/>
  <c r="Y43" i="44" s="1"/>
  <c r="AZ42" i="44" l="1"/>
  <c r="AG48" i="6"/>
  <c r="AY43" i="44"/>
  <c r="D44" i="6"/>
  <c r="D45" i="6" s="1"/>
  <c r="D46" i="6" s="1"/>
  <c r="D47" i="6" s="1"/>
  <c r="D48" i="6" s="1"/>
  <c r="D49" i="6" s="1"/>
  <c r="AO43" i="44"/>
  <c r="AP43" i="44" s="1"/>
  <c r="R49" i="6" s="1"/>
  <c r="D114" i="67"/>
  <c r="D141" i="67"/>
  <c r="AG42" i="44"/>
  <c r="J48" i="6" s="1"/>
  <c r="D133" i="67"/>
  <c r="D106" i="67"/>
  <c r="D143" i="67"/>
  <c r="AT41" i="44"/>
  <c r="AE47" i="6" s="1"/>
  <c r="AS42" i="44"/>
  <c r="D120" i="67"/>
  <c r="B44" i="6"/>
  <c r="B45" i="6" s="1"/>
  <c r="B46" i="6" s="1"/>
  <c r="B47" i="6" s="1"/>
  <c r="B48" i="6" s="1"/>
  <c r="B49" i="6" s="1"/>
  <c r="D140" i="67"/>
  <c r="D100" i="67"/>
  <c r="L40" i="67"/>
  <c r="D135" i="67"/>
  <c r="AR42" i="44"/>
  <c r="T48" i="6" s="1"/>
  <c r="T49" i="6" s="1"/>
  <c r="AQ43" i="44"/>
  <c r="AR43" i="44" s="1"/>
  <c r="D110" i="67"/>
  <c r="L39" i="67"/>
  <c r="D125" i="67"/>
  <c r="AL40" i="44"/>
  <c r="AC46" i="6" s="1"/>
  <c r="AK41" i="44"/>
  <c r="AJ41" i="44"/>
  <c r="AJ42" i="44" s="1"/>
  <c r="AN41" i="44"/>
  <c r="AA47" i="6" s="1"/>
  <c r="AM42" i="44"/>
  <c r="D127" i="67"/>
  <c r="AA42" i="44"/>
  <c r="F48" i="6"/>
  <c r="Z43" i="44"/>
  <c r="D139" i="67" l="1"/>
  <c r="AL41" i="44"/>
  <c r="AK42" i="44" s="1"/>
  <c r="D137" i="67"/>
  <c r="D147" i="67"/>
  <c r="L44" i="67"/>
  <c r="D152" i="67"/>
  <c r="D132" i="67"/>
  <c r="AT42" i="44"/>
  <c r="AS43" i="44"/>
  <c r="AT43" i="44" s="1"/>
  <c r="D155" i="67"/>
  <c r="D145" i="67"/>
  <c r="D126" i="67"/>
  <c r="AA43" i="44"/>
  <c r="F49" i="6"/>
  <c r="AN42" i="44"/>
  <c r="AA48" i="6" s="1"/>
  <c r="AA49" i="6" s="1"/>
  <c r="AM43" i="44"/>
  <c r="AN43" i="44" s="1"/>
  <c r="AC47" i="6"/>
  <c r="L43" i="67"/>
  <c r="D122" i="67"/>
  <c r="D112" i="67"/>
  <c r="AE48" i="6"/>
  <c r="AE49" i="6" s="1"/>
  <c r="D118" i="67"/>
  <c r="AF43" i="44"/>
  <c r="AG43" i="44" s="1"/>
  <c r="J49" i="6" s="1"/>
  <c r="D153" i="67"/>
  <c r="AG49" i="6"/>
  <c r="AZ43" i="44"/>
  <c r="AL42" i="44" l="1"/>
  <c r="AK43" i="44" s="1"/>
  <c r="AL43" i="44" s="1"/>
  <c r="AJ43" i="44"/>
  <c r="D165" i="67"/>
  <c r="D130" i="67"/>
  <c r="D124" i="67"/>
  <c r="AC48" i="6"/>
  <c r="D138" i="67"/>
  <c r="D157" i="67"/>
  <c r="D144" i="67"/>
  <c r="L48" i="67"/>
  <c r="D159" i="67"/>
  <c r="D134" i="67"/>
  <c r="L47" i="67"/>
  <c r="D167" i="67"/>
  <c r="D164" i="67"/>
  <c r="D149" i="67"/>
  <c r="D151" i="67"/>
  <c r="D163" i="67" l="1"/>
  <c r="D176" i="67"/>
  <c r="D146" i="67"/>
  <c r="D156" i="67"/>
  <c r="D150" i="67"/>
  <c r="D136" i="67"/>
  <c r="D177" i="67"/>
  <c r="D161" i="67"/>
  <c r="D179" i="67"/>
  <c r="L51" i="67"/>
  <c r="D171" i="67"/>
  <c r="L52" i="67"/>
  <c r="D169" i="67"/>
  <c r="AC49" i="6"/>
  <c r="D142" i="67"/>
  <c r="D154" i="67" l="1"/>
  <c r="D183" i="67"/>
  <c r="D191" i="67"/>
  <c r="D173" i="67"/>
  <c r="D189" i="67"/>
  <c r="D148" i="67"/>
  <c r="D168" i="67"/>
  <c r="D188" i="67"/>
  <c r="D181" i="67"/>
  <c r="L56" i="67"/>
  <c r="L55" i="67"/>
  <c r="D162" i="67"/>
  <c r="D158" i="67"/>
  <c r="D175" i="67"/>
  <c r="D187" i="67" l="1"/>
  <c r="D174" i="67"/>
  <c r="L59" i="67"/>
  <c r="L60" i="67"/>
  <c r="D200" i="67"/>
  <c r="D160" i="67"/>
  <c r="D185" i="67"/>
  <c r="D195" i="67"/>
  <c r="D170" i="67"/>
  <c r="D193" i="67"/>
  <c r="D180" i="67"/>
  <c r="D201" i="67"/>
  <c r="D203" i="67"/>
  <c r="D166" i="67"/>
  <c r="D178" i="67" l="1"/>
  <c r="D213" i="67"/>
  <c r="D205" i="67"/>
  <c r="D207" i="67"/>
  <c r="D172" i="67"/>
  <c r="D186" i="67"/>
  <c r="D215" i="67"/>
  <c r="D192" i="67"/>
  <c r="D182" i="67"/>
  <c r="D197" i="67"/>
  <c r="D212" i="67"/>
  <c r="L64" i="67"/>
  <c r="L63" i="67"/>
  <c r="D199" i="67"/>
  <c r="D211" i="67" l="1"/>
  <c r="L67" i="67"/>
  <c r="D209" i="67"/>
  <c r="D204" i="67"/>
  <c r="D198" i="67"/>
  <c r="D219" i="67"/>
  <c r="D225" i="67"/>
  <c r="L68" i="67"/>
  <c r="D224" i="67"/>
  <c r="D194" i="67"/>
  <c r="D227" i="67"/>
  <c r="D184" i="67"/>
  <c r="D217" i="67"/>
  <c r="D190" i="67"/>
  <c r="D202" i="67" l="1"/>
  <c r="D196" i="67"/>
  <c r="D206" i="67"/>
  <c r="D237" i="67"/>
  <c r="D210" i="67"/>
  <c r="D221" i="67"/>
  <c r="L71" i="67"/>
  <c r="D229" i="67"/>
  <c r="D239" i="67"/>
  <c r="D236" i="67"/>
  <c r="L72" i="67"/>
  <c r="D231" i="67"/>
  <c r="D216" i="67"/>
  <c r="D223" i="67"/>
  <c r="D235" i="67" l="1"/>
  <c r="D243" i="67"/>
  <c r="D251" i="67"/>
  <c r="D233" i="67"/>
  <c r="D249" i="67"/>
  <c r="D208" i="67"/>
  <c r="D228" i="67"/>
  <c r="D248" i="67"/>
  <c r="D241" i="67"/>
  <c r="D222" i="67"/>
  <c r="D218" i="67"/>
  <c r="D214" i="67"/>
  <c r="D226" i="67" l="1"/>
  <c r="D234" i="67"/>
  <c r="D253" i="67"/>
  <c r="D240" i="67"/>
  <c r="D261" i="67"/>
  <c r="D263" i="67"/>
  <c r="D255" i="67"/>
  <c r="D230" i="67"/>
  <c r="D260" i="67"/>
  <c r="D220" i="67"/>
  <c r="D245" i="67"/>
  <c r="D247" i="67"/>
  <c r="D259" i="67" l="1"/>
  <c r="D232" i="67"/>
  <c r="D242" i="67"/>
  <c r="D275" i="67"/>
  <c r="D252" i="67"/>
  <c r="D246" i="67"/>
  <c r="D257" i="67"/>
  <c r="D272" i="67"/>
  <c r="D267" i="67"/>
  <c r="D273" i="67"/>
  <c r="D265" i="67"/>
  <c r="D238" i="67"/>
  <c r="D250" i="67" l="1"/>
  <c r="D285" i="67"/>
  <c r="D284" i="67"/>
  <c r="D258" i="67"/>
  <c r="D287" i="67"/>
  <c r="D244" i="67"/>
  <c r="D277" i="67"/>
  <c r="D279" i="67"/>
  <c r="D269" i="67"/>
  <c r="D264" i="67"/>
  <c r="D254" i="67"/>
  <c r="D271" i="67"/>
  <c r="D283" i="67" l="1"/>
  <c r="D276" i="67"/>
  <c r="D291" i="67"/>
  <c r="D256" i="67"/>
  <c r="D270" i="67"/>
  <c r="D297" i="67"/>
  <c r="D266" i="67"/>
  <c r="D281" i="67"/>
  <c r="D289" i="67"/>
  <c r="D299" i="67"/>
  <c r="D296" i="67"/>
  <c r="D262" i="67"/>
  <c r="D274" i="67" l="1"/>
  <c r="D311" i="67"/>
  <c r="D293" i="67"/>
  <c r="D309" i="67"/>
  <c r="D268" i="67"/>
  <c r="D288" i="67"/>
  <c r="D308" i="67"/>
  <c r="D301" i="67"/>
  <c r="D278" i="67"/>
  <c r="D282" i="67"/>
  <c r="D303" i="67"/>
  <c r="D295" i="67"/>
  <c r="D307" i="67" l="1"/>
  <c r="D294" i="67"/>
  <c r="D313" i="67"/>
  <c r="D300" i="67"/>
  <c r="D321" i="67"/>
  <c r="D323" i="67"/>
  <c r="D315" i="67"/>
  <c r="D290" i="67"/>
  <c r="D320" i="67"/>
  <c r="D280" i="67"/>
  <c r="D305" i="67"/>
  <c r="D286" i="67"/>
  <c r="D298" i="67" l="1"/>
  <c r="D292" i="67"/>
  <c r="D302" i="67"/>
  <c r="D335" i="67"/>
  <c r="D312" i="67"/>
  <c r="D306" i="67"/>
  <c r="D317" i="67"/>
  <c r="D332" i="67"/>
  <c r="D327" i="67"/>
  <c r="D333" i="67"/>
  <c r="D325" i="67"/>
  <c r="D319" i="67"/>
  <c r="D331" i="67" l="1"/>
  <c r="D345" i="67"/>
  <c r="D344" i="67"/>
  <c r="D318" i="67"/>
  <c r="D347" i="67"/>
  <c r="D304" i="67"/>
  <c r="D337" i="67"/>
  <c r="D339" i="67"/>
  <c r="D329" i="67"/>
  <c r="D324" i="67"/>
  <c r="D314" i="67"/>
  <c r="D310" i="67"/>
  <c r="D322" i="67" l="1"/>
  <c r="D336" i="67"/>
  <c r="D351" i="67"/>
  <c r="D316" i="67"/>
  <c r="D330" i="67"/>
  <c r="D357" i="67"/>
  <c r="D326" i="67"/>
  <c r="D341" i="67"/>
  <c r="D349" i="67"/>
  <c r="D359" i="67"/>
  <c r="D356" i="67"/>
  <c r="D343" i="67"/>
  <c r="D355" i="67" l="1"/>
  <c r="D371" i="67"/>
  <c r="D353" i="67"/>
  <c r="D369" i="67"/>
  <c r="D328" i="67"/>
  <c r="D348" i="67"/>
  <c r="D368" i="67"/>
  <c r="D361" i="67"/>
  <c r="D338" i="67"/>
  <c r="D342" i="67"/>
  <c r="D363" i="67"/>
  <c r="D334" i="67"/>
  <c r="D346" i="67" l="1"/>
  <c r="D354" i="67"/>
  <c r="D373" i="67"/>
  <c r="D360" i="67"/>
  <c r="D381" i="67"/>
  <c r="D383" i="67"/>
  <c r="D375" i="67"/>
  <c r="D350" i="67"/>
  <c r="D380" i="67"/>
  <c r="D340" i="67"/>
  <c r="D365" i="67"/>
  <c r="D367" i="67"/>
  <c r="D379" i="67" l="1"/>
  <c r="D352" i="67"/>
  <c r="D362" i="67"/>
  <c r="D395" i="67"/>
  <c r="D372" i="67"/>
  <c r="D366" i="67"/>
  <c r="D377" i="67"/>
  <c r="D392" i="67"/>
  <c r="D387" i="67"/>
  <c r="D393" i="67"/>
  <c r="D385" i="67"/>
  <c r="D358" i="67"/>
  <c r="D370" i="67" l="1"/>
  <c r="D405" i="67"/>
  <c r="D404" i="67"/>
  <c r="D378" i="67"/>
  <c r="D407" i="67"/>
  <c r="D364" i="67"/>
  <c r="D397" i="67"/>
  <c r="D399" i="67"/>
  <c r="D389" i="67"/>
  <c r="D384" i="67"/>
  <c r="D374" i="67"/>
  <c r="D391" i="67"/>
  <c r="D403" i="67" l="1"/>
  <c r="D396" i="67"/>
  <c r="D411" i="67"/>
  <c r="D376" i="67"/>
  <c r="D390" i="67"/>
  <c r="D417" i="67"/>
  <c r="D386" i="67"/>
  <c r="D401" i="67"/>
  <c r="D409" i="67"/>
  <c r="D419" i="67"/>
  <c r="D416" i="67"/>
  <c r="D382" i="67"/>
  <c r="D394" i="67" l="1"/>
  <c r="D431" i="67"/>
  <c r="D413" i="67"/>
  <c r="D429" i="67"/>
  <c r="D388" i="67"/>
  <c r="D408" i="67"/>
  <c r="D428" i="67"/>
  <c r="D421" i="67"/>
  <c r="D398" i="67"/>
  <c r="D402" i="67"/>
  <c r="D423" i="67"/>
  <c r="D415" i="67"/>
  <c r="D414" i="67" l="1"/>
  <c r="D433" i="67"/>
  <c r="D420" i="67"/>
  <c r="D441" i="67"/>
  <c r="D443" i="67"/>
  <c r="D427" i="67"/>
  <c r="D435" i="67"/>
  <c r="D410" i="67"/>
  <c r="D440" i="67"/>
  <c r="D400" i="67"/>
  <c r="D425" i="67"/>
  <c r="D406" i="67"/>
  <c r="D418" i="67" l="1"/>
  <c r="D412" i="67"/>
  <c r="D422" i="67"/>
  <c r="D439" i="67"/>
  <c r="D453" i="67"/>
  <c r="D445" i="67"/>
  <c r="D437" i="67"/>
  <c r="D452" i="67"/>
  <c r="D447" i="67"/>
  <c r="D455" i="67"/>
  <c r="D432" i="67"/>
  <c r="D426" i="67"/>
  <c r="D438" i="67" l="1"/>
  <c r="D467" i="67"/>
  <c r="D464" i="67"/>
  <c r="D457" i="67"/>
  <c r="D451" i="67"/>
  <c r="D424" i="67"/>
  <c r="D444" i="67"/>
  <c r="D459" i="67"/>
  <c r="D449" i="67"/>
  <c r="D465" i="67"/>
  <c r="D434" i="67"/>
  <c r="D430" i="67"/>
  <c r="D442" i="67" l="1"/>
  <c r="D477" i="67"/>
  <c r="D471" i="67"/>
  <c r="D436" i="67"/>
  <c r="D469" i="67"/>
  <c r="D479" i="67"/>
  <c r="D446" i="67"/>
  <c r="D461" i="67"/>
  <c r="D456" i="67"/>
  <c r="D463" i="67"/>
  <c r="D476" i="67"/>
  <c r="D450" i="67"/>
  <c r="D462" i="67" l="1"/>
  <c r="D475" i="67"/>
  <c r="D473" i="67"/>
  <c r="D491" i="67"/>
  <c r="D448" i="67"/>
  <c r="D489" i="67"/>
  <c r="D488" i="67"/>
  <c r="D468" i="67"/>
  <c r="D458" i="67"/>
  <c r="D481" i="67"/>
  <c r="D483" i="67"/>
  <c r="D454" i="67"/>
  <c r="D466" i="67" l="1"/>
  <c r="D493" i="67"/>
  <c r="D480" i="67"/>
  <c r="D501" i="67"/>
  <c r="D503" i="67"/>
  <c r="D487" i="67"/>
  <c r="D495" i="67"/>
  <c r="D470" i="67"/>
  <c r="D500" i="67"/>
  <c r="D460" i="67"/>
  <c r="D485" i="67"/>
  <c r="D474" i="67"/>
  <c r="D486" i="67" l="1"/>
  <c r="D472" i="67"/>
  <c r="D482" i="67"/>
  <c r="D499" i="67"/>
  <c r="D505" i="67"/>
  <c r="D497" i="67"/>
  <c r="D492" i="67"/>
  <c r="D478" i="67"/>
  <c r="D490" i="67" l="1"/>
  <c r="D484" i="67"/>
  <c r="D504" i="67"/>
  <c r="D494" i="67"/>
  <c r="D498" i="67"/>
  <c r="D496" i="67" l="1"/>
  <c r="D502" i="67"/>
  <c r="BD124" i="44" l="1"/>
  <c r="BD125" i="44"/>
  <c r="BD126" i="44"/>
  <c r="BD127" i="44"/>
  <c r="BD128" i="44"/>
  <c r="BD129" i="44"/>
  <c r="S41" i="44"/>
  <c r="X49" i="20"/>
  <c r="W49" i="22"/>
  <c r="S40" i="44"/>
  <c r="X48" i="20"/>
  <c r="W48" i="22"/>
  <c r="S39" i="44"/>
  <c r="X47" i="20"/>
  <c r="W47" i="22"/>
  <c r="S38" i="44"/>
  <c r="X46" i="20"/>
  <c r="W46" i="22"/>
  <c r="S37" i="44"/>
  <c r="X45" i="20"/>
  <c r="W45" i="22"/>
  <c r="S36" i="44"/>
  <c r="X44" i="20"/>
  <c r="W44" i="22"/>
  <c r="L10" i="67"/>
  <c r="M10" i="67"/>
  <c r="N10" i="67"/>
  <c r="M11" i="67"/>
  <c r="N11" i="67"/>
  <c r="M12" i="67"/>
  <c r="N12" i="67"/>
  <c r="M13" i="67"/>
  <c r="N13" i="67"/>
  <c r="L14" i="67"/>
  <c r="M14" i="67"/>
  <c r="N14" i="67"/>
  <c r="M15" i="67"/>
  <c r="N15" i="67"/>
  <c r="M16" i="67"/>
  <c r="N16" i="67"/>
  <c r="M17" i="67"/>
  <c r="N17" i="67"/>
  <c r="L18" i="67"/>
  <c r="M18" i="67"/>
  <c r="N18" i="67"/>
  <c r="M19" i="67"/>
  <c r="N19" i="67"/>
  <c r="M20" i="67"/>
  <c r="N20" i="67"/>
  <c r="M21" i="67"/>
  <c r="N21" i="67"/>
  <c r="L22" i="67"/>
  <c r="M22" i="67"/>
  <c r="N22" i="67"/>
  <c r="M23" i="67"/>
  <c r="N23" i="67"/>
  <c r="M24" i="67"/>
  <c r="N24" i="67"/>
  <c r="M25" i="67"/>
  <c r="N25" i="67"/>
  <c r="L26" i="67"/>
  <c r="M26" i="67"/>
  <c r="N26" i="67"/>
  <c r="M27" i="67"/>
  <c r="N27" i="67"/>
  <c r="M28" i="67"/>
  <c r="N28" i="67"/>
  <c r="M29" i="67"/>
  <c r="N29" i="67"/>
  <c r="L30" i="67"/>
  <c r="M30" i="67"/>
  <c r="N30" i="67"/>
  <c r="M31" i="67"/>
  <c r="N31" i="67"/>
  <c r="M32" i="67"/>
  <c r="N32" i="67"/>
  <c r="M33" i="67"/>
  <c r="N33" i="67"/>
  <c r="L34" i="67"/>
  <c r="M34" i="67"/>
  <c r="N34" i="67"/>
  <c r="M35" i="67"/>
  <c r="N35" i="67"/>
  <c r="M36" i="67"/>
  <c r="N36" i="67"/>
  <c r="M37" i="67"/>
  <c r="N37" i="67"/>
  <c r="L38" i="67"/>
  <c r="M38" i="67"/>
  <c r="N38" i="67"/>
  <c r="M39" i="67"/>
  <c r="N39" i="67"/>
  <c r="M40" i="67"/>
  <c r="N40" i="67"/>
  <c r="L41" i="67"/>
  <c r="M41" i="67"/>
  <c r="N41" i="67"/>
  <c r="L42" i="67"/>
  <c r="M42" i="67"/>
  <c r="N42" i="67"/>
  <c r="M43" i="67"/>
  <c r="N43" i="67"/>
  <c r="M44" i="67"/>
  <c r="N44" i="67"/>
  <c r="L45" i="67"/>
  <c r="M45" i="67"/>
  <c r="N45" i="67"/>
  <c r="L46" i="67"/>
  <c r="M46" i="67"/>
  <c r="N46" i="67"/>
  <c r="M47" i="67"/>
  <c r="N47" i="67"/>
  <c r="M48" i="67"/>
  <c r="N48" i="67"/>
  <c r="L49" i="67"/>
  <c r="M49" i="67"/>
  <c r="N49" i="67"/>
  <c r="L50" i="67"/>
  <c r="M50" i="67"/>
  <c r="N50" i="67"/>
  <c r="M51" i="67"/>
  <c r="N51" i="67"/>
  <c r="M52" i="67"/>
  <c r="N52" i="67"/>
  <c r="L53" i="67"/>
  <c r="M53" i="67"/>
  <c r="N53" i="67"/>
  <c r="L54" i="67"/>
  <c r="M54" i="67"/>
  <c r="N54" i="67"/>
  <c r="M55" i="67"/>
  <c r="N55" i="67"/>
  <c r="M56" i="67"/>
  <c r="N56" i="67"/>
  <c r="L57" i="67"/>
  <c r="M57" i="67"/>
  <c r="N57" i="67"/>
  <c r="L58" i="67"/>
  <c r="M58" i="67"/>
  <c r="N58" i="67"/>
  <c r="M59" i="67"/>
  <c r="N59" i="67"/>
  <c r="M60" i="67"/>
  <c r="N60" i="67"/>
  <c r="L61" i="67"/>
  <c r="M61" i="67"/>
  <c r="N61" i="67"/>
  <c r="L62" i="67"/>
  <c r="M62" i="67"/>
  <c r="N62" i="67"/>
  <c r="M63" i="67"/>
  <c r="N63" i="67"/>
  <c r="M64" i="67"/>
  <c r="N64" i="67"/>
  <c r="L65" i="67"/>
  <c r="M65" i="67"/>
  <c r="N65" i="67"/>
  <c r="L66" i="67"/>
  <c r="M66" i="67"/>
  <c r="N66" i="67"/>
  <c r="M67" i="67"/>
  <c r="N67" i="67"/>
  <c r="M68" i="67"/>
  <c r="N68" i="67"/>
  <c r="L69" i="67"/>
  <c r="M69" i="67"/>
  <c r="N69" i="67"/>
  <c r="L70" i="67"/>
  <c r="M70" i="67"/>
  <c r="N70" i="67"/>
  <c r="M71" i="67"/>
  <c r="N71" i="67"/>
  <c r="M72" i="67"/>
  <c r="N72" i="67"/>
  <c r="L73" i="67"/>
  <c r="M73" i="67"/>
  <c r="N73" i="67"/>
  <c r="L74" i="67"/>
  <c r="M74" i="67"/>
  <c r="N74" i="67"/>
  <c r="L75" i="67"/>
  <c r="M75" i="67"/>
  <c r="N75" i="67"/>
  <c r="L76" i="67"/>
  <c r="M76" i="67"/>
  <c r="N76" i="67"/>
  <c r="L77" i="67"/>
  <c r="M77" i="67"/>
  <c r="N77" i="67"/>
  <c r="L78" i="67"/>
  <c r="M78" i="67"/>
  <c r="N78" i="67"/>
  <c r="L79" i="67"/>
  <c r="M79" i="67"/>
  <c r="N79" i="67"/>
  <c r="L80" i="67"/>
  <c r="M80" i="67"/>
  <c r="N80" i="67"/>
  <c r="L81" i="67"/>
  <c r="M81" i="67"/>
  <c r="N81" i="67"/>
  <c r="L82" i="67"/>
  <c r="M82" i="67"/>
  <c r="N82" i="67"/>
  <c r="L83" i="67"/>
  <c r="M83" i="67"/>
  <c r="N83" i="67"/>
  <c r="L84" i="67"/>
  <c r="M84" i="67"/>
  <c r="N84" i="67"/>
  <c r="L85" i="67"/>
  <c r="M85" i="67"/>
  <c r="N85" i="67"/>
  <c r="L86" i="67"/>
  <c r="M86" i="67"/>
  <c r="N86" i="67"/>
  <c r="L87" i="67"/>
  <c r="M87" i="67"/>
  <c r="N87" i="67"/>
  <c r="L88" i="67"/>
  <c r="M88" i="67"/>
  <c r="N88" i="67"/>
  <c r="L89" i="67"/>
  <c r="M89" i="67"/>
  <c r="N89" i="67"/>
  <c r="L90" i="67"/>
  <c r="M90" i="67"/>
  <c r="N90" i="67"/>
  <c r="L91" i="67"/>
  <c r="M91" i="67"/>
  <c r="N91" i="67"/>
  <c r="L92" i="67"/>
  <c r="M92" i="67"/>
  <c r="N92" i="67"/>
  <c r="L93" i="67"/>
  <c r="M93" i="67"/>
  <c r="N93" i="67"/>
  <c r="L94" i="67"/>
  <c r="M94" i="67"/>
  <c r="N94" i="67"/>
  <c r="L95" i="67"/>
  <c r="M95" i="67"/>
  <c r="N95" i="67"/>
  <c r="L96" i="67"/>
  <c r="M96" i="67"/>
  <c r="N96" i="67"/>
  <c r="L97" i="67"/>
  <c r="M97" i="67"/>
  <c r="N97" i="67"/>
  <c r="L98" i="67"/>
  <c r="M98" i="67"/>
  <c r="N98" i="67"/>
  <c r="L99" i="67"/>
  <c r="M99" i="67"/>
  <c r="N99" i="67"/>
  <c r="L100" i="67"/>
  <c r="M100" i="67"/>
  <c r="N100" i="67"/>
  <c r="L101" i="67"/>
  <c r="M101" i="67"/>
  <c r="N101" i="67"/>
  <c r="L102" i="67"/>
  <c r="M102" i="67"/>
  <c r="N102" i="67"/>
  <c r="L103" i="67"/>
  <c r="M103" i="67"/>
  <c r="N103" i="67"/>
  <c r="L104" i="67"/>
  <c r="M104" i="67"/>
  <c r="N104" i="67"/>
  <c r="L105" i="67"/>
  <c r="M105" i="67"/>
  <c r="N105" i="67"/>
  <c r="L106" i="67"/>
  <c r="M106" i="67"/>
  <c r="N106" i="67"/>
  <c r="L107" i="67"/>
  <c r="M107" i="67"/>
  <c r="N107" i="67"/>
  <c r="L108" i="67"/>
  <c r="M108" i="67"/>
  <c r="N108" i="67"/>
  <c r="L109" i="67"/>
  <c r="M109" i="67"/>
  <c r="N109" i="67"/>
  <c r="L110" i="67"/>
  <c r="M110" i="67"/>
  <c r="N110" i="67"/>
  <c r="L111" i="67"/>
  <c r="M111" i="67"/>
  <c r="N111" i="67"/>
  <c r="L112" i="67"/>
  <c r="M112" i="67"/>
  <c r="N112" i="67"/>
  <c r="L113" i="67"/>
  <c r="M113" i="67"/>
  <c r="N113" i="67"/>
  <c r="L114" i="67"/>
  <c r="M114" i="67"/>
  <c r="N114" i="67"/>
  <c r="L115" i="67"/>
  <c r="M115" i="67"/>
  <c r="N115" i="67"/>
  <c r="L116" i="67"/>
  <c r="M116" i="67"/>
  <c r="N116" i="67"/>
  <c r="L117" i="67"/>
  <c r="M117" i="67"/>
  <c r="N117" i="67"/>
  <c r="L118" i="67"/>
  <c r="M118" i="67"/>
  <c r="N118" i="67"/>
  <c r="L119" i="67"/>
  <c r="M119" i="67"/>
  <c r="N119" i="67"/>
  <c r="L120" i="67"/>
  <c r="M120" i="67"/>
  <c r="N120" i="67"/>
  <c r="L121" i="67"/>
  <c r="M121" i="67"/>
  <c r="N121" i="67"/>
  <c r="L122" i="67"/>
  <c r="M122" i="67"/>
  <c r="N122" i="67"/>
  <c r="L123" i="67"/>
  <c r="M123" i="67"/>
  <c r="N123" i="67"/>
  <c r="L124" i="67"/>
  <c r="M124" i="67"/>
  <c r="N124" i="67"/>
  <c r="L125" i="67"/>
  <c r="M125" i="67"/>
  <c r="N125" i="67"/>
  <c r="L126" i="67"/>
  <c r="M126" i="67"/>
  <c r="N126" i="67"/>
  <c r="L127" i="67"/>
  <c r="M127" i="67"/>
  <c r="N127" i="67"/>
  <c r="L128" i="67"/>
  <c r="M128" i="67"/>
  <c r="N128" i="67"/>
  <c r="L129" i="67"/>
  <c r="M129" i="67"/>
  <c r="N129" i="67"/>
  <c r="L130" i="67"/>
  <c r="M130" i="67"/>
  <c r="N130" i="67"/>
  <c r="L131" i="67"/>
  <c r="M131" i="67"/>
  <c r="N131" i="67"/>
  <c r="L132" i="67"/>
  <c r="M132" i="67"/>
  <c r="N132" i="67"/>
  <c r="L133" i="67"/>
  <c r="M133" i="67"/>
  <c r="N133" i="67"/>
  <c r="L134" i="67"/>
  <c r="M134" i="67"/>
  <c r="N134" i="67"/>
  <c r="L135" i="67"/>
  <c r="M135" i="67"/>
  <c r="N135" i="67"/>
  <c r="L136" i="67"/>
  <c r="M136" i="67"/>
  <c r="N136" i="67"/>
  <c r="L137" i="67"/>
  <c r="M137" i="67"/>
  <c r="N137" i="67"/>
  <c r="L138" i="67"/>
  <c r="M138" i="67"/>
  <c r="N138" i="67"/>
  <c r="L139" i="67"/>
  <c r="M139" i="67"/>
  <c r="N139" i="67"/>
  <c r="L140" i="67"/>
  <c r="M140" i="67"/>
  <c r="N140" i="67"/>
  <c r="L141" i="67"/>
  <c r="M141" i="67"/>
  <c r="N141" i="67"/>
  <c r="L142" i="67"/>
  <c r="M142" i="67"/>
  <c r="N142" i="67"/>
  <c r="L143" i="67"/>
  <c r="M143" i="67"/>
  <c r="N143" i="67"/>
  <c r="L144" i="67"/>
  <c r="M144" i="67"/>
  <c r="N144" i="67"/>
  <c r="L145" i="67"/>
  <c r="M145" i="67"/>
  <c r="N145" i="67"/>
  <c r="L146" i="67"/>
  <c r="M146" i="67"/>
  <c r="N146" i="67"/>
  <c r="L147" i="67"/>
  <c r="M147" i="67"/>
  <c r="N147" i="67"/>
  <c r="L148" i="67"/>
  <c r="M148" i="67"/>
  <c r="N148" i="67"/>
  <c r="L149" i="67"/>
  <c r="M149" i="67"/>
  <c r="N149" i="67"/>
  <c r="L150" i="67"/>
  <c r="M150" i="67"/>
  <c r="N150" i="67"/>
  <c r="L151" i="67"/>
  <c r="M151" i="67"/>
  <c r="N151" i="67"/>
  <c r="L152" i="67"/>
  <c r="M152" i="67"/>
  <c r="N152" i="67"/>
  <c r="L153" i="67"/>
  <c r="M153" i="67"/>
  <c r="N153" i="67"/>
  <c r="L154" i="67"/>
  <c r="M154" i="67"/>
  <c r="N154" i="67"/>
  <c r="L155" i="67"/>
  <c r="M155" i="67"/>
  <c r="N155" i="67"/>
  <c r="L156" i="67"/>
  <c r="M156" i="67"/>
  <c r="N156" i="67"/>
  <c r="L157" i="67"/>
  <c r="M157" i="67"/>
  <c r="N157" i="67"/>
  <c r="L158" i="67"/>
  <c r="M158" i="67"/>
  <c r="N158" i="67"/>
  <c r="L159" i="67"/>
  <c r="M159" i="67"/>
  <c r="N159" i="67"/>
  <c r="L160" i="67"/>
  <c r="M160" i="67"/>
  <c r="N160" i="67"/>
  <c r="L161" i="67"/>
  <c r="M161" i="67"/>
  <c r="N161" i="67"/>
  <c r="L162" i="67"/>
  <c r="M162" i="67"/>
  <c r="N162" i="67"/>
  <c r="L163" i="67"/>
  <c r="M163" i="67"/>
  <c r="N163" i="67"/>
  <c r="L164" i="67"/>
  <c r="M164" i="67"/>
  <c r="N164" i="67"/>
  <c r="L165" i="67"/>
  <c r="M165" i="67"/>
  <c r="N165" i="67"/>
  <c r="L166" i="67"/>
  <c r="M166" i="67"/>
  <c r="N166" i="67"/>
  <c r="L167" i="67"/>
  <c r="M167" i="67"/>
  <c r="N167" i="67"/>
  <c r="L168" i="67"/>
  <c r="M168" i="67"/>
  <c r="N168" i="67"/>
  <c r="L169" i="67"/>
  <c r="M169" i="67"/>
  <c r="N169" i="67"/>
  <c r="E496" i="67"/>
  <c r="F496" i="67"/>
  <c r="E502" i="67"/>
  <c r="F502" i="67"/>
  <c r="G496" i="67"/>
  <c r="I496" i="66"/>
  <c r="G496" i="66"/>
  <c r="H496" i="67"/>
  <c r="J496" i="66"/>
  <c r="G502" i="67"/>
  <c r="I502" i="66" s="1"/>
  <c r="G502" i="66"/>
  <c r="H502" i="67"/>
  <c r="J502" i="66"/>
  <c r="E490" i="67"/>
  <c r="F490" i="67"/>
  <c r="G504" i="67"/>
  <c r="I504" i="66"/>
  <c r="G504" i="66"/>
  <c r="H504" i="67"/>
  <c r="J504" i="66"/>
  <c r="G498" i="67"/>
  <c r="I498" i="66" s="1"/>
  <c r="G498" i="66"/>
  <c r="H498" i="67"/>
  <c r="J498" i="66"/>
  <c r="G484" i="67"/>
  <c r="H484" i="67"/>
  <c r="J484" i="66"/>
  <c r="E494" i="67"/>
  <c r="F494" i="67"/>
  <c r="G490" i="67"/>
  <c r="H490" i="67"/>
  <c r="J490" i="66"/>
  <c r="E504" i="67"/>
  <c r="F504" i="67"/>
  <c r="E498" i="67"/>
  <c r="F498" i="67"/>
  <c r="E484" i="67"/>
  <c r="F484" i="67"/>
  <c r="H494" i="67"/>
  <c r="J494" i="66"/>
  <c r="G494" i="67"/>
  <c r="I494" i="66" s="1"/>
  <c r="G494" i="66"/>
  <c r="G486" i="67"/>
  <c r="H486" i="67"/>
  <c r="J486" i="66" s="1"/>
  <c r="G482" i="67"/>
  <c r="H482" i="67"/>
  <c r="J482" i="66" s="1"/>
  <c r="H505" i="67"/>
  <c r="J505" i="66"/>
  <c r="G505" i="67"/>
  <c r="I505" i="66" s="1"/>
  <c r="G505" i="66"/>
  <c r="G492" i="67"/>
  <c r="H492" i="67"/>
  <c r="J492" i="66" s="1"/>
  <c r="G472" i="67"/>
  <c r="H472" i="67"/>
  <c r="J472" i="66"/>
  <c r="G499" i="67"/>
  <c r="I499" i="66" s="1"/>
  <c r="G499" i="66"/>
  <c r="H499" i="67"/>
  <c r="J499" i="66" s="1"/>
  <c r="E497" i="67"/>
  <c r="H497" i="67"/>
  <c r="J497" i="66"/>
  <c r="E478" i="67"/>
  <c r="F478" i="67"/>
  <c r="E486" i="67"/>
  <c r="F486" i="67"/>
  <c r="E482" i="67"/>
  <c r="F482" i="67"/>
  <c r="E505" i="67"/>
  <c r="F505" i="67"/>
  <c r="E492" i="67"/>
  <c r="F492" i="67"/>
  <c r="E472" i="67"/>
  <c r="F472" i="67"/>
  <c r="E499" i="67"/>
  <c r="F499" i="67"/>
  <c r="G497" i="67"/>
  <c r="I497" i="66"/>
  <c r="G497" i="66"/>
  <c r="F497" i="67"/>
  <c r="G478" i="67"/>
  <c r="H478" i="67"/>
  <c r="J478" i="66" s="1"/>
  <c r="G466" i="67"/>
  <c r="H466" i="67"/>
  <c r="J466" i="66"/>
  <c r="E480" i="67"/>
  <c r="F480" i="67"/>
  <c r="G503" i="67"/>
  <c r="I503" i="66"/>
  <c r="G503" i="66"/>
  <c r="F503" i="67"/>
  <c r="E495" i="67"/>
  <c r="F495" i="67"/>
  <c r="E500" i="67"/>
  <c r="F500" i="67"/>
  <c r="F485" i="67"/>
  <c r="E485" i="67"/>
  <c r="H493" i="67"/>
  <c r="J493" i="66" s="1"/>
  <c r="G493" i="67"/>
  <c r="I493" i="66"/>
  <c r="G501" i="67"/>
  <c r="I501" i="66" s="1"/>
  <c r="G501" i="66"/>
  <c r="F501" i="67"/>
  <c r="F487" i="67"/>
  <c r="E487" i="67"/>
  <c r="E470" i="67"/>
  <c r="F470" i="67"/>
  <c r="G460" i="67"/>
  <c r="H460" i="67"/>
  <c r="J460" i="66"/>
  <c r="E474" i="67"/>
  <c r="F474" i="67"/>
  <c r="E466" i="67"/>
  <c r="F466" i="67"/>
  <c r="G480" i="67"/>
  <c r="H480" i="67"/>
  <c r="J480" i="66" s="1"/>
  <c r="E503" i="67"/>
  <c r="H503" i="67"/>
  <c r="J503" i="66" s="1"/>
  <c r="G495" i="67"/>
  <c r="I495" i="66"/>
  <c r="G495" i="66"/>
  <c r="H495" i="67"/>
  <c r="J495" i="66" s="1"/>
  <c r="G500" i="67"/>
  <c r="I500" i="66"/>
  <c r="G500" i="66"/>
  <c r="H500" i="67"/>
  <c r="J500" i="66"/>
  <c r="H485" i="67"/>
  <c r="J485" i="66" s="1"/>
  <c r="G485" i="67"/>
  <c r="I485" i="66"/>
  <c r="F493" i="67"/>
  <c r="E493" i="67"/>
  <c r="E501" i="67"/>
  <c r="H501" i="67"/>
  <c r="J501" i="66"/>
  <c r="H487" i="67"/>
  <c r="J487" i="66" s="1"/>
  <c r="G487" i="67"/>
  <c r="I487" i="66"/>
  <c r="G470" i="67"/>
  <c r="H470" i="67"/>
  <c r="J470" i="66"/>
  <c r="E460" i="67"/>
  <c r="F460" i="67"/>
  <c r="G474" i="67"/>
  <c r="H474" i="67"/>
  <c r="J474" i="66"/>
  <c r="G462" i="67"/>
  <c r="H462" i="67"/>
  <c r="J462" i="66"/>
  <c r="F473" i="67"/>
  <c r="E473" i="67"/>
  <c r="G448" i="67"/>
  <c r="H448" i="67"/>
  <c r="J448" i="66"/>
  <c r="G488" i="67"/>
  <c r="H488" i="67"/>
  <c r="J488" i="66"/>
  <c r="G458" i="67"/>
  <c r="H458" i="67"/>
  <c r="J458" i="66" s="1"/>
  <c r="H483" i="67"/>
  <c r="J483" i="66"/>
  <c r="G483" i="67"/>
  <c r="I483" i="66" s="1"/>
  <c r="H475" i="67"/>
  <c r="J475" i="66"/>
  <c r="G475" i="67"/>
  <c r="I475" i="66" s="1"/>
  <c r="H491" i="67"/>
  <c r="J491" i="66"/>
  <c r="G491" i="67"/>
  <c r="I491" i="66" s="1"/>
  <c r="F489" i="67"/>
  <c r="E489" i="67"/>
  <c r="E468" i="67"/>
  <c r="F468" i="67"/>
  <c r="H481" i="67"/>
  <c r="J481" i="66"/>
  <c r="G481" i="67"/>
  <c r="I481" i="66"/>
  <c r="E454" i="67"/>
  <c r="F454" i="67"/>
  <c r="E462" i="67"/>
  <c r="F462" i="67"/>
  <c r="H473" i="67"/>
  <c r="J473" i="66"/>
  <c r="G473" i="67"/>
  <c r="I473" i="66"/>
  <c r="E448" i="67"/>
  <c r="F448" i="67"/>
  <c r="E488" i="67"/>
  <c r="F488" i="67"/>
  <c r="E458" i="67"/>
  <c r="F458" i="67"/>
  <c r="F483" i="67"/>
  <c r="E483" i="67"/>
  <c r="F475" i="67"/>
  <c r="E475" i="67"/>
  <c r="F491" i="67"/>
  <c r="E491" i="67"/>
  <c r="H489" i="67"/>
  <c r="J489" i="66"/>
  <c r="G489" i="67"/>
  <c r="I489" i="66"/>
  <c r="G468" i="67"/>
  <c r="H468" i="67"/>
  <c r="J468" i="66" s="1"/>
  <c r="F481" i="67"/>
  <c r="E481" i="67"/>
  <c r="G454" i="67"/>
  <c r="H454" i="67"/>
  <c r="J454" i="66"/>
  <c r="G442" i="67"/>
  <c r="H442" i="67"/>
  <c r="J442" i="66" s="1"/>
  <c r="F471" i="67"/>
  <c r="E471" i="67"/>
  <c r="H469" i="67"/>
  <c r="J469" i="66" s="1"/>
  <c r="G469" i="67"/>
  <c r="I469" i="66"/>
  <c r="E446" i="67"/>
  <c r="F446" i="67"/>
  <c r="G456" i="67"/>
  <c r="H456" i="67"/>
  <c r="J456" i="66"/>
  <c r="E476" i="67"/>
  <c r="F476" i="67"/>
  <c r="H477" i="67"/>
  <c r="J477" i="66"/>
  <c r="G477" i="67"/>
  <c r="I477" i="66"/>
  <c r="E436" i="67"/>
  <c r="F436" i="67"/>
  <c r="H479" i="67"/>
  <c r="J479" i="66"/>
  <c r="G479" i="67"/>
  <c r="I479" i="66"/>
  <c r="F461" i="67"/>
  <c r="E461" i="67"/>
  <c r="H463" i="67"/>
  <c r="J463" i="66"/>
  <c r="G463" i="67"/>
  <c r="I463" i="66"/>
  <c r="E450" i="67"/>
  <c r="F450" i="67"/>
  <c r="E442" i="67"/>
  <c r="F442" i="67"/>
  <c r="H471" i="67"/>
  <c r="J471" i="66"/>
  <c r="G471" i="67"/>
  <c r="I471" i="66"/>
  <c r="F469" i="67"/>
  <c r="E469" i="67"/>
  <c r="G446" i="67"/>
  <c r="H446" i="67"/>
  <c r="J446" i="66"/>
  <c r="E456" i="67"/>
  <c r="F456" i="67"/>
  <c r="G476" i="67"/>
  <c r="H476" i="67"/>
  <c r="J476" i="66"/>
  <c r="F477" i="67"/>
  <c r="E477" i="67"/>
  <c r="G436" i="67"/>
  <c r="H436" i="67"/>
  <c r="J436" i="66" s="1"/>
  <c r="F479" i="67"/>
  <c r="E479" i="67"/>
  <c r="H461" i="67"/>
  <c r="J461" i="66" s="1"/>
  <c r="G461" i="67"/>
  <c r="I461" i="66"/>
  <c r="F463" i="67"/>
  <c r="E463" i="67"/>
  <c r="G450" i="67"/>
  <c r="H450" i="67"/>
  <c r="J450" i="66"/>
  <c r="G438" i="67"/>
  <c r="H438" i="67"/>
  <c r="J438" i="66"/>
  <c r="E464" i="67"/>
  <c r="F464" i="67"/>
  <c r="H451" i="67"/>
  <c r="J451" i="66"/>
  <c r="G451" i="67"/>
  <c r="I451" i="66" s="1"/>
  <c r="E444" i="67"/>
  <c r="F444" i="67"/>
  <c r="H449" i="67"/>
  <c r="J449" i="66" s="1"/>
  <c r="G449" i="67"/>
  <c r="I449" i="66"/>
  <c r="E434" i="67"/>
  <c r="F434" i="67"/>
  <c r="H467" i="67"/>
  <c r="J467" i="66"/>
  <c r="G467" i="67"/>
  <c r="I467" i="66" s="1"/>
  <c r="F457" i="67"/>
  <c r="E457" i="67"/>
  <c r="G424" i="67"/>
  <c r="H424" i="67"/>
  <c r="J424" i="66"/>
  <c r="F459" i="67"/>
  <c r="E459" i="67"/>
  <c r="H465" i="67"/>
  <c r="J465" i="66"/>
  <c r="G465" i="67"/>
  <c r="I465" i="66"/>
  <c r="E430" i="67"/>
  <c r="F430" i="67"/>
  <c r="E438" i="67"/>
  <c r="F438" i="67"/>
  <c r="G464" i="67"/>
  <c r="H464" i="67"/>
  <c r="J464" i="66"/>
  <c r="F451" i="67"/>
  <c r="E451" i="67"/>
  <c r="G444" i="67"/>
  <c r="H444" i="67"/>
  <c r="J444" i="66"/>
  <c r="F449" i="67"/>
  <c r="E449" i="67"/>
  <c r="G434" i="67"/>
  <c r="H434" i="67"/>
  <c r="J434" i="66" s="1"/>
  <c r="F467" i="67"/>
  <c r="E467" i="67"/>
  <c r="H457" i="67"/>
  <c r="J457" i="66" s="1"/>
  <c r="G457" i="67"/>
  <c r="I457" i="66"/>
  <c r="E424" i="67"/>
  <c r="F424" i="67"/>
  <c r="H459" i="67"/>
  <c r="J459" i="66"/>
  <c r="G459" i="67"/>
  <c r="I459" i="66" s="1"/>
  <c r="F465" i="67"/>
  <c r="E465" i="67"/>
  <c r="G430" i="67"/>
  <c r="H430" i="67"/>
  <c r="J430" i="66" s="1"/>
  <c r="G418" i="67"/>
  <c r="H418" i="67"/>
  <c r="J418" i="66" s="1"/>
  <c r="E422" i="67"/>
  <c r="F422" i="67"/>
  <c r="H453" i="67"/>
  <c r="J453" i="66" s="1"/>
  <c r="G453" i="67"/>
  <c r="I453" i="66"/>
  <c r="F437" i="67"/>
  <c r="E437" i="67"/>
  <c r="H447" i="67"/>
  <c r="J447" i="66"/>
  <c r="G447" i="67"/>
  <c r="I447" i="66" s="1"/>
  <c r="E432" i="67"/>
  <c r="F432" i="67"/>
  <c r="G412" i="67"/>
  <c r="H412" i="67"/>
  <c r="J412" i="66" s="1"/>
  <c r="F439" i="67"/>
  <c r="E439" i="67"/>
  <c r="H445" i="67"/>
  <c r="J445" i="66" s="1"/>
  <c r="G445" i="67"/>
  <c r="I445" i="66"/>
  <c r="E452" i="67"/>
  <c r="F452" i="67"/>
  <c r="H455" i="67"/>
  <c r="J455" i="66"/>
  <c r="G455" i="67"/>
  <c r="I455" i="66" s="1"/>
  <c r="E426" i="67"/>
  <c r="F426" i="67"/>
  <c r="E418" i="67"/>
  <c r="F418" i="67"/>
  <c r="G422" i="67"/>
  <c r="H422" i="67"/>
  <c r="J422" i="66" s="1"/>
  <c r="F453" i="67"/>
  <c r="E453" i="67"/>
  <c r="H437" i="67"/>
  <c r="J437" i="66" s="1"/>
  <c r="G437" i="67"/>
  <c r="I437" i="66"/>
  <c r="F447" i="67"/>
  <c r="E447" i="67"/>
  <c r="G432" i="67"/>
  <c r="H432" i="67"/>
  <c r="J432" i="66"/>
  <c r="E412" i="67"/>
  <c r="F412" i="67"/>
  <c r="H439" i="67"/>
  <c r="J439" i="66"/>
  <c r="G439" i="67"/>
  <c r="I439" i="66" s="1"/>
  <c r="F445" i="67"/>
  <c r="E445" i="67"/>
  <c r="G452" i="67"/>
  <c r="H452" i="67"/>
  <c r="J452" i="66"/>
  <c r="F455" i="67"/>
  <c r="E455" i="67"/>
  <c r="G426" i="67"/>
  <c r="H426" i="67"/>
  <c r="J426" i="66"/>
  <c r="G414" i="67"/>
  <c r="H414" i="67"/>
  <c r="J414" i="66"/>
  <c r="E420" i="67"/>
  <c r="F420" i="67"/>
  <c r="H443" i="67"/>
  <c r="J443" i="66"/>
  <c r="G443" i="67"/>
  <c r="I443" i="66" s="1"/>
  <c r="F435" i="67"/>
  <c r="E435" i="67"/>
  <c r="G440" i="67"/>
  <c r="H440" i="67"/>
  <c r="J440" i="66" s="1"/>
  <c r="F425" i="67"/>
  <c r="E425" i="67"/>
  <c r="H433" i="67"/>
  <c r="J433" i="66" s="1"/>
  <c r="G433" i="67"/>
  <c r="I433" i="66"/>
  <c r="F441" i="67"/>
  <c r="E441" i="67"/>
  <c r="H427" i="67"/>
  <c r="J427" i="66"/>
  <c r="G427" i="67"/>
  <c r="I427" i="66" s="1"/>
  <c r="E410" i="67"/>
  <c r="F410" i="67"/>
  <c r="G400" i="67"/>
  <c r="H400" i="67"/>
  <c r="J400" i="66"/>
  <c r="E406" i="67"/>
  <c r="F406" i="67"/>
  <c r="E414" i="67"/>
  <c r="F414" i="67"/>
  <c r="G420" i="67"/>
  <c r="H420" i="67"/>
  <c r="J420" i="66" s="1"/>
  <c r="F443" i="67"/>
  <c r="E443" i="67"/>
  <c r="H435" i="67"/>
  <c r="J435" i="66"/>
  <c r="G435" i="67"/>
  <c r="I435" i="66"/>
  <c r="E440" i="67"/>
  <c r="F440" i="67"/>
  <c r="H425" i="67"/>
  <c r="J425" i="66"/>
  <c r="G425" i="67"/>
  <c r="I425" i="66"/>
  <c r="F433" i="67"/>
  <c r="E433" i="67"/>
  <c r="H441" i="67"/>
  <c r="J441" i="66"/>
  <c r="G441" i="67"/>
  <c r="I441" i="66"/>
  <c r="F427" i="67"/>
  <c r="E427" i="67"/>
  <c r="G410" i="67"/>
  <c r="H410" i="67"/>
  <c r="J410" i="66" s="1"/>
  <c r="E400" i="67"/>
  <c r="F400" i="67"/>
  <c r="G406" i="67"/>
  <c r="H406" i="67"/>
  <c r="J406" i="66"/>
  <c r="G394" i="67"/>
  <c r="H394" i="67"/>
  <c r="J394" i="66" s="1"/>
  <c r="F413" i="67"/>
  <c r="E413" i="67"/>
  <c r="G388" i="67"/>
  <c r="H388" i="67"/>
  <c r="J388" i="66"/>
  <c r="E428" i="67"/>
  <c r="F428" i="67"/>
  <c r="G398" i="67"/>
  <c r="H398" i="67"/>
  <c r="J398" i="66"/>
  <c r="F423" i="67"/>
  <c r="E423" i="67"/>
  <c r="H415" i="67"/>
  <c r="J415" i="66"/>
  <c r="G415" i="67"/>
  <c r="I415" i="66" s="1"/>
  <c r="F431" i="67"/>
  <c r="E431" i="67"/>
  <c r="H429" i="67"/>
  <c r="J429" i="66" s="1"/>
  <c r="G429" i="67"/>
  <c r="I429" i="66"/>
  <c r="E408" i="67"/>
  <c r="F408" i="67"/>
  <c r="H421" i="67"/>
  <c r="J421" i="66"/>
  <c r="G421" i="67"/>
  <c r="I421" i="66" s="1"/>
  <c r="E402" i="67"/>
  <c r="F402" i="67"/>
  <c r="E394" i="67"/>
  <c r="F394" i="67"/>
  <c r="H413" i="67"/>
  <c r="J413" i="66"/>
  <c r="G413" i="67"/>
  <c r="I413" i="66" s="1"/>
  <c r="E388" i="67"/>
  <c r="F388" i="67"/>
  <c r="G428" i="67"/>
  <c r="H428" i="67"/>
  <c r="J428" i="66" s="1"/>
  <c r="E398" i="67"/>
  <c r="F398" i="67"/>
  <c r="H423" i="67"/>
  <c r="J423" i="66"/>
  <c r="G423" i="67"/>
  <c r="I423" i="66"/>
  <c r="F415" i="67"/>
  <c r="E415" i="67"/>
  <c r="H431" i="67"/>
  <c r="J431" i="66"/>
  <c r="G431" i="67"/>
  <c r="I431" i="66"/>
  <c r="F429" i="67"/>
  <c r="E429" i="67"/>
  <c r="G408" i="67"/>
  <c r="H408" i="67"/>
  <c r="J408" i="66"/>
  <c r="F421" i="67"/>
  <c r="E421" i="67"/>
  <c r="G402" i="67"/>
  <c r="H402" i="67"/>
  <c r="J402" i="66"/>
  <c r="H403" i="67"/>
  <c r="J403" i="66"/>
  <c r="G403" i="67"/>
  <c r="I403" i="66"/>
  <c r="F411" i="67"/>
  <c r="E411" i="67"/>
  <c r="G390" i="67"/>
  <c r="H390" i="67"/>
  <c r="J390" i="66" s="1"/>
  <c r="E386" i="67"/>
  <c r="F386" i="67"/>
  <c r="H409" i="67"/>
  <c r="J409" i="66" s="1"/>
  <c r="G409" i="67"/>
  <c r="I409" i="66"/>
  <c r="E416" i="67"/>
  <c r="F416" i="67"/>
  <c r="G396" i="67"/>
  <c r="H396" i="67"/>
  <c r="J396" i="66"/>
  <c r="E376" i="67"/>
  <c r="F376" i="67"/>
  <c r="H417" i="67"/>
  <c r="J417" i="66"/>
  <c r="G417" i="67"/>
  <c r="I417" i="66"/>
  <c r="F401" i="67"/>
  <c r="E401" i="67"/>
  <c r="H419" i="67"/>
  <c r="J419" i="66"/>
  <c r="G419" i="67"/>
  <c r="I419" i="66"/>
  <c r="E382" i="67"/>
  <c r="F382" i="67"/>
  <c r="F403" i="67"/>
  <c r="E403" i="67"/>
  <c r="H411" i="67"/>
  <c r="J411" i="66"/>
  <c r="G411" i="67"/>
  <c r="I411" i="66"/>
  <c r="E390" i="67"/>
  <c r="F390" i="67"/>
  <c r="G386" i="67"/>
  <c r="H386" i="67"/>
  <c r="J386" i="66" s="1"/>
  <c r="F409" i="67"/>
  <c r="E409" i="67"/>
  <c r="G416" i="67"/>
  <c r="H416" i="67"/>
  <c r="J416" i="66"/>
  <c r="E396" i="67"/>
  <c r="F396" i="67"/>
  <c r="G376" i="67"/>
  <c r="H376" i="67"/>
  <c r="J376" i="66"/>
  <c r="F417" i="67"/>
  <c r="E417" i="67"/>
  <c r="H401" i="67"/>
  <c r="J401" i="66"/>
  <c r="G401" i="67"/>
  <c r="I401" i="66" s="1"/>
  <c r="F419" i="67"/>
  <c r="E419" i="67"/>
  <c r="G382" i="67"/>
  <c r="H382" i="67"/>
  <c r="J382" i="66"/>
  <c r="G370" i="67"/>
  <c r="H370" i="67"/>
  <c r="J370" i="66" s="1"/>
  <c r="E404" i="67"/>
  <c r="F404" i="67"/>
  <c r="H407" i="67"/>
  <c r="J407" i="66" s="1"/>
  <c r="G407" i="67"/>
  <c r="I407" i="66"/>
  <c r="F397" i="67"/>
  <c r="E397" i="67"/>
  <c r="H389" i="67"/>
  <c r="J389" i="66"/>
  <c r="G389" i="67"/>
  <c r="I389" i="66" s="1"/>
  <c r="E374" i="67"/>
  <c r="F374" i="67"/>
  <c r="H405" i="67"/>
  <c r="J405" i="66" s="1"/>
  <c r="G405" i="67"/>
  <c r="I405" i="66"/>
  <c r="E378" i="67"/>
  <c r="F378" i="67"/>
  <c r="G364" i="67"/>
  <c r="H364" i="67"/>
  <c r="J364" i="66"/>
  <c r="F399" i="67"/>
  <c r="E399" i="67"/>
  <c r="G384" i="67"/>
  <c r="H384" i="67"/>
  <c r="J384" i="66" s="1"/>
  <c r="F391" i="67"/>
  <c r="E391" i="67"/>
  <c r="E370" i="67"/>
  <c r="F370" i="67"/>
  <c r="G404" i="67"/>
  <c r="H404" i="67"/>
  <c r="J404" i="66"/>
  <c r="F407" i="67"/>
  <c r="E407" i="67"/>
  <c r="H397" i="67"/>
  <c r="J397" i="66"/>
  <c r="G397" i="67"/>
  <c r="I397" i="66"/>
  <c r="F389" i="67"/>
  <c r="E389" i="67"/>
  <c r="G374" i="67"/>
  <c r="H374" i="67"/>
  <c r="J374" i="66"/>
  <c r="F405" i="67"/>
  <c r="E405" i="67"/>
  <c r="G378" i="67"/>
  <c r="H378" i="67"/>
  <c r="J378" i="66"/>
  <c r="E364" i="67"/>
  <c r="F364" i="67"/>
  <c r="H399" i="67"/>
  <c r="J399" i="66"/>
  <c r="G399" i="67"/>
  <c r="I399" i="66"/>
  <c r="E384" i="67"/>
  <c r="F384" i="67"/>
  <c r="H391" i="67"/>
  <c r="J391" i="66"/>
  <c r="G391" i="67"/>
  <c r="I391" i="66"/>
  <c r="H379" i="67"/>
  <c r="J379" i="66"/>
  <c r="G379" i="67"/>
  <c r="I379" i="66"/>
  <c r="E362" i="67"/>
  <c r="F362" i="67"/>
  <c r="G372" i="67"/>
  <c r="H372" i="67"/>
  <c r="J372" i="66" s="1"/>
  <c r="F377" i="67"/>
  <c r="E377" i="67"/>
  <c r="H387" i="67"/>
  <c r="J387" i="66" s="1"/>
  <c r="G387" i="67"/>
  <c r="I387" i="66"/>
  <c r="F385" i="67"/>
  <c r="E385" i="67"/>
  <c r="E352" i="67"/>
  <c r="H352" i="67"/>
  <c r="J352" i="66"/>
  <c r="F395" i="67"/>
  <c r="E395" i="67"/>
  <c r="G366" i="67"/>
  <c r="H366" i="67"/>
  <c r="J366" i="66" s="1"/>
  <c r="E392" i="67"/>
  <c r="F392" i="67"/>
  <c r="H393" i="67"/>
  <c r="J393" i="66" s="1"/>
  <c r="G393" i="67"/>
  <c r="I393" i="66"/>
  <c r="E358" i="67"/>
  <c r="F358" i="67"/>
  <c r="F379" i="67"/>
  <c r="E379" i="67"/>
  <c r="G362" i="67"/>
  <c r="H362" i="67"/>
  <c r="J362" i="66"/>
  <c r="E372" i="67"/>
  <c r="F372" i="67"/>
  <c r="H377" i="67"/>
  <c r="J377" i="66"/>
  <c r="G377" i="67"/>
  <c r="I377" i="66"/>
  <c r="F387" i="67"/>
  <c r="E387" i="67"/>
  <c r="H385" i="67"/>
  <c r="J385" i="66"/>
  <c r="G385" i="67"/>
  <c r="I385" i="66"/>
  <c r="G352" i="67"/>
  <c r="F352" i="67"/>
  <c r="H395" i="67"/>
  <c r="J395" i="66"/>
  <c r="G395" i="67"/>
  <c r="I395" i="66"/>
  <c r="E366" i="67"/>
  <c r="F366" i="67"/>
  <c r="G392" i="67"/>
  <c r="H392" i="67"/>
  <c r="J392" i="66" s="1"/>
  <c r="F393" i="67"/>
  <c r="E393" i="67"/>
  <c r="G358" i="67"/>
  <c r="H358" i="67"/>
  <c r="J358" i="66"/>
  <c r="E346" i="67"/>
  <c r="H346" i="67"/>
  <c r="J346" i="66" s="1"/>
  <c r="F373" i="67"/>
  <c r="E373" i="67"/>
  <c r="H381" i="67"/>
  <c r="J381" i="66" s="1"/>
  <c r="G381" i="67"/>
  <c r="I381" i="66"/>
  <c r="F375" i="67"/>
  <c r="E375" i="67"/>
  <c r="G380" i="67"/>
  <c r="H380" i="67"/>
  <c r="J380" i="66"/>
  <c r="F365" i="67"/>
  <c r="E365" i="67"/>
  <c r="G354" i="67"/>
  <c r="H354" i="67"/>
  <c r="J354" i="66" s="1"/>
  <c r="E360" i="67"/>
  <c r="F360" i="67"/>
  <c r="H383" i="67"/>
  <c r="J383" i="66" s="1"/>
  <c r="G383" i="67"/>
  <c r="I383" i="66"/>
  <c r="G350" i="67"/>
  <c r="F350" i="67"/>
  <c r="E340" i="67"/>
  <c r="H340" i="67"/>
  <c r="J340" i="66"/>
  <c r="F367" i="67"/>
  <c r="E367" i="67"/>
  <c r="G346" i="67"/>
  <c r="F346" i="67"/>
  <c r="H373" i="67"/>
  <c r="J373" i="66" s="1"/>
  <c r="G373" i="67"/>
  <c r="I373" i="66"/>
  <c r="F381" i="67"/>
  <c r="E381" i="67"/>
  <c r="H375" i="67"/>
  <c r="J375" i="66"/>
  <c r="G375" i="67"/>
  <c r="I375" i="66"/>
  <c r="E380" i="67"/>
  <c r="F380" i="67"/>
  <c r="H365" i="67"/>
  <c r="J365" i="66"/>
  <c r="G365" i="67"/>
  <c r="I365" i="66"/>
  <c r="E354" i="67"/>
  <c r="F354" i="67"/>
  <c r="G360" i="67"/>
  <c r="H360" i="67"/>
  <c r="J360" i="66" s="1"/>
  <c r="F383" i="67"/>
  <c r="E383" i="67"/>
  <c r="E350" i="67"/>
  <c r="H350" i="67"/>
  <c r="J350" i="66"/>
  <c r="G340" i="67"/>
  <c r="F340" i="67"/>
  <c r="H367" i="67"/>
  <c r="J367" i="66"/>
  <c r="G367" i="67"/>
  <c r="I367" i="66"/>
  <c r="H355" i="67"/>
  <c r="J355" i="66"/>
  <c r="G355" i="67"/>
  <c r="I355" i="66"/>
  <c r="F353" i="67"/>
  <c r="E353" i="67"/>
  <c r="G328" i="67"/>
  <c r="H328" i="67"/>
  <c r="J328" i="66" s="1"/>
  <c r="E368" i="67"/>
  <c r="F368" i="67"/>
  <c r="E338" i="67"/>
  <c r="H338" i="67"/>
  <c r="J338" i="66"/>
  <c r="F363" i="67"/>
  <c r="E363" i="67"/>
  <c r="H371" i="67"/>
  <c r="J371" i="66"/>
  <c r="G371" i="67"/>
  <c r="I371" i="66"/>
  <c r="F369" i="67"/>
  <c r="E369" i="67"/>
  <c r="E348" i="67"/>
  <c r="H348" i="67"/>
  <c r="J348" i="66" s="1"/>
  <c r="F361" i="67"/>
  <c r="E361" i="67"/>
  <c r="E342" i="67"/>
  <c r="H342" i="67"/>
  <c r="J342" i="66"/>
  <c r="E334" i="67"/>
  <c r="F334" i="67"/>
  <c r="F355" i="67"/>
  <c r="E355" i="67"/>
  <c r="H353" i="67"/>
  <c r="J353" i="66"/>
  <c r="G353" i="67"/>
  <c r="I353" i="66"/>
  <c r="E328" i="67"/>
  <c r="F328" i="67"/>
  <c r="G368" i="67"/>
  <c r="H368" i="67"/>
  <c r="J368" i="66" s="1"/>
  <c r="G338" i="67"/>
  <c r="F338" i="67"/>
  <c r="H363" i="67"/>
  <c r="J363" i="66" s="1"/>
  <c r="G363" i="67"/>
  <c r="I363" i="66" s="1"/>
  <c r="F371" i="67"/>
  <c r="E371" i="67"/>
  <c r="H369" i="67"/>
  <c r="J369" i="66" s="1"/>
  <c r="G369" i="67"/>
  <c r="I369" i="66" s="1"/>
  <c r="G348" i="67"/>
  <c r="F348" i="67"/>
  <c r="H361" i="67"/>
  <c r="J361" i="66" s="1"/>
  <c r="G361" i="67"/>
  <c r="I361" i="66" s="1"/>
  <c r="G342" i="67"/>
  <c r="F342" i="67"/>
  <c r="G334" i="67"/>
  <c r="H334" i="67"/>
  <c r="J334" i="66"/>
  <c r="G322" i="67"/>
  <c r="H322" i="67"/>
  <c r="J322" i="66" s="1"/>
  <c r="F351" i="67"/>
  <c r="E351" i="67"/>
  <c r="G330" i="67"/>
  <c r="H330" i="67"/>
  <c r="J330" i="66"/>
  <c r="E326" i="67"/>
  <c r="F326" i="67"/>
  <c r="H349" i="67"/>
  <c r="J349" i="66"/>
  <c r="G349" i="67"/>
  <c r="I349" i="66"/>
  <c r="E356" i="67"/>
  <c r="F356" i="67"/>
  <c r="E336" i="67"/>
  <c r="H336" i="67"/>
  <c r="J336" i="66" s="1"/>
  <c r="E316" i="67"/>
  <c r="F316" i="67"/>
  <c r="H357" i="67"/>
  <c r="J357" i="66" s="1"/>
  <c r="G357" i="67"/>
  <c r="I357" i="66" s="1"/>
  <c r="F341" i="67"/>
  <c r="E341" i="67"/>
  <c r="H359" i="67"/>
  <c r="J359" i="66" s="1"/>
  <c r="G359" i="67"/>
  <c r="I359" i="66" s="1"/>
  <c r="F343" i="67"/>
  <c r="E343" i="67"/>
  <c r="E322" i="67"/>
  <c r="F322" i="67"/>
  <c r="H351" i="67"/>
  <c r="J351" i="66" s="1"/>
  <c r="G351" i="67"/>
  <c r="I351" i="66" s="1"/>
  <c r="E330" i="67"/>
  <c r="F330" i="67"/>
  <c r="G326" i="67"/>
  <c r="H326" i="67"/>
  <c r="J326" i="66"/>
  <c r="F349" i="67"/>
  <c r="E349" i="67"/>
  <c r="G356" i="67"/>
  <c r="H356" i="67"/>
  <c r="J356" i="66" s="1"/>
  <c r="G336" i="67"/>
  <c r="F336" i="67"/>
  <c r="G316" i="67"/>
  <c r="H316" i="67"/>
  <c r="J316" i="66"/>
  <c r="F357" i="67"/>
  <c r="E357" i="67"/>
  <c r="H341" i="67"/>
  <c r="J341" i="66"/>
  <c r="G341" i="67"/>
  <c r="I341" i="66"/>
  <c r="F359" i="67"/>
  <c r="E359" i="67"/>
  <c r="H343" i="67"/>
  <c r="J343" i="66"/>
  <c r="G343" i="67"/>
  <c r="I343" i="66"/>
  <c r="H331" i="67"/>
  <c r="J331" i="66"/>
  <c r="G331" i="67"/>
  <c r="I331" i="66"/>
  <c r="G344" i="67"/>
  <c r="F344" i="67"/>
  <c r="H347" i="67"/>
  <c r="J347" i="66"/>
  <c r="G347" i="67"/>
  <c r="I347" i="66"/>
  <c r="F337" i="67"/>
  <c r="E337" i="67"/>
  <c r="H329" i="67"/>
  <c r="J329" i="66"/>
  <c r="G329" i="67"/>
  <c r="I329" i="66"/>
  <c r="E314" i="67"/>
  <c r="F314" i="67"/>
  <c r="H345" i="67"/>
  <c r="J345" i="66"/>
  <c r="G345" i="67"/>
  <c r="I345" i="66"/>
  <c r="E318" i="67"/>
  <c r="F318" i="67"/>
  <c r="G304" i="67"/>
  <c r="H304" i="67"/>
  <c r="J304" i="66" s="1"/>
  <c r="F339" i="67"/>
  <c r="E339" i="67"/>
  <c r="G324" i="67"/>
  <c r="H324" i="67"/>
  <c r="J324" i="66"/>
  <c r="E310" i="67"/>
  <c r="F310" i="67"/>
  <c r="F331" i="67"/>
  <c r="E331" i="67"/>
  <c r="E344" i="67"/>
  <c r="H344" i="67"/>
  <c r="J344" i="66" s="1"/>
  <c r="F347" i="67"/>
  <c r="E347" i="67"/>
  <c r="H337" i="67"/>
  <c r="J337" i="66" s="1"/>
  <c r="G337" i="67"/>
  <c r="I337" i="66" s="1"/>
  <c r="F329" i="67"/>
  <c r="E329" i="67"/>
  <c r="G314" i="67"/>
  <c r="H314" i="67"/>
  <c r="J314" i="66"/>
  <c r="F345" i="67"/>
  <c r="E345" i="67"/>
  <c r="G318" i="67"/>
  <c r="H318" i="67"/>
  <c r="J318" i="66" s="1"/>
  <c r="E304" i="67"/>
  <c r="F304" i="67"/>
  <c r="H339" i="67"/>
  <c r="J339" i="66" s="1"/>
  <c r="G339" i="67"/>
  <c r="I339" i="66" s="1"/>
  <c r="E324" i="67"/>
  <c r="F324" i="67"/>
  <c r="G310" i="67"/>
  <c r="H310" i="67"/>
  <c r="J310" i="66"/>
  <c r="G298" i="67"/>
  <c r="H298" i="67"/>
  <c r="J298" i="66" s="1"/>
  <c r="E302" i="67"/>
  <c r="F302" i="67"/>
  <c r="G312" i="67"/>
  <c r="H312" i="67"/>
  <c r="J312" i="66"/>
  <c r="F317" i="67"/>
  <c r="E317" i="67"/>
  <c r="H327" i="67"/>
  <c r="J327" i="66"/>
  <c r="G327" i="67"/>
  <c r="I327" i="66"/>
  <c r="F325" i="67"/>
  <c r="E325" i="67"/>
  <c r="G292" i="67"/>
  <c r="H292" i="67"/>
  <c r="J292" i="66" s="1"/>
  <c r="F335" i="67"/>
  <c r="H335" i="67"/>
  <c r="J335" i="66"/>
  <c r="G335" i="67"/>
  <c r="I335" i="66"/>
  <c r="G306" i="67"/>
  <c r="H306" i="67"/>
  <c r="J306" i="66" s="1"/>
  <c r="E332" i="67"/>
  <c r="F332" i="67"/>
  <c r="H333" i="67"/>
  <c r="J333" i="66" s="1"/>
  <c r="G333" i="67"/>
  <c r="I333" i="66" s="1"/>
  <c r="F319" i="67"/>
  <c r="E319" i="67"/>
  <c r="E298" i="67"/>
  <c r="F298" i="67"/>
  <c r="G302" i="67"/>
  <c r="H302" i="67"/>
  <c r="J302" i="66"/>
  <c r="E312" i="67"/>
  <c r="F312" i="67"/>
  <c r="H317" i="67"/>
  <c r="J317" i="66"/>
  <c r="G317" i="67"/>
  <c r="I317" i="66"/>
  <c r="F327" i="67"/>
  <c r="E327" i="67"/>
  <c r="H325" i="67"/>
  <c r="J325" i="66"/>
  <c r="G325" i="67"/>
  <c r="I325" i="66"/>
  <c r="E292" i="67"/>
  <c r="F292" i="67"/>
  <c r="E335" i="67"/>
  <c r="E306" i="67"/>
  <c r="F306" i="67"/>
  <c r="G332" i="67"/>
  <c r="H332" i="67"/>
  <c r="J332" i="66"/>
  <c r="F333" i="67"/>
  <c r="E333" i="67"/>
  <c r="H319" i="67"/>
  <c r="J319" i="66"/>
  <c r="G319" i="67"/>
  <c r="I319" i="66"/>
  <c r="H307" i="67"/>
  <c r="J307" i="66"/>
  <c r="G307" i="67"/>
  <c r="I307" i="66"/>
  <c r="F313" i="67"/>
  <c r="E313" i="67"/>
  <c r="H321" i="67"/>
  <c r="J321" i="66"/>
  <c r="G321" i="67"/>
  <c r="I321" i="66"/>
  <c r="F315" i="67"/>
  <c r="E315" i="67"/>
  <c r="G320" i="67"/>
  <c r="H320" i="67"/>
  <c r="J320" i="66" s="1"/>
  <c r="F305" i="67"/>
  <c r="E305" i="67"/>
  <c r="G294" i="67"/>
  <c r="H294" i="67"/>
  <c r="J294" i="66"/>
  <c r="E300" i="67"/>
  <c r="F300" i="67"/>
  <c r="H323" i="67"/>
  <c r="J323" i="66"/>
  <c r="G323" i="67"/>
  <c r="I323" i="66"/>
  <c r="E290" i="67"/>
  <c r="F290" i="67"/>
  <c r="G280" i="67"/>
  <c r="H280" i="67"/>
  <c r="J280" i="66" s="1"/>
  <c r="E286" i="67"/>
  <c r="F286" i="67"/>
  <c r="F307" i="67"/>
  <c r="E307" i="67"/>
  <c r="H313" i="67"/>
  <c r="J313" i="66" s="1"/>
  <c r="G313" i="67"/>
  <c r="I313" i="66" s="1"/>
  <c r="F321" i="67"/>
  <c r="E321" i="67"/>
  <c r="H315" i="67"/>
  <c r="J315" i="66" s="1"/>
  <c r="G315" i="67"/>
  <c r="I315" i="66" s="1"/>
  <c r="E320" i="67"/>
  <c r="F320" i="67"/>
  <c r="H305" i="67"/>
  <c r="J305" i="66" s="1"/>
  <c r="G305" i="67"/>
  <c r="I305" i="66" s="1"/>
  <c r="E294" i="67"/>
  <c r="F294" i="67"/>
  <c r="G300" i="67"/>
  <c r="H300" i="67"/>
  <c r="J300" i="66"/>
  <c r="F323" i="67"/>
  <c r="E323" i="67"/>
  <c r="G290" i="67"/>
  <c r="H290" i="67"/>
  <c r="J290" i="66" s="1"/>
  <c r="E280" i="67"/>
  <c r="F280" i="67"/>
  <c r="G286" i="67"/>
  <c r="H286" i="67"/>
  <c r="J286" i="66"/>
  <c r="G274" i="67"/>
  <c r="H274" i="67"/>
  <c r="J274" i="66" s="1"/>
  <c r="F293" i="67"/>
  <c r="E293" i="67"/>
  <c r="G268" i="67"/>
  <c r="H268" i="67"/>
  <c r="J268" i="66"/>
  <c r="E308" i="67"/>
  <c r="F308" i="67"/>
  <c r="G278" i="67"/>
  <c r="H278" i="67"/>
  <c r="J278" i="66" s="1"/>
  <c r="F303" i="67"/>
  <c r="E303" i="67"/>
  <c r="H311" i="67"/>
  <c r="J311" i="66" s="1"/>
  <c r="G311" i="67"/>
  <c r="I311" i="66" s="1"/>
  <c r="F309" i="67"/>
  <c r="E309" i="67"/>
  <c r="G288" i="67"/>
  <c r="H288" i="67"/>
  <c r="J288" i="66"/>
  <c r="F301" i="67"/>
  <c r="E301" i="67"/>
  <c r="G282" i="67"/>
  <c r="H282" i="67"/>
  <c r="J282" i="66" s="1"/>
  <c r="F295" i="67"/>
  <c r="E295" i="67"/>
  <c r="E274" i="67"/>
  <c r="F274" i="67"/>
  <c r="H293" i="67"/>
  <c r="J293" i="66" s="1"/>
  <c r="G293" i="67"/>
  <c r="I293" i="66" s="1"/>
  <c r="E268" i="67"/>
  <c r="F268" i="67"/>
  <c r="G308" i="67"/>
  <c r="H308" i="67"/>
  <c r="J308" i="66"/>
  <c r="E278" i="67"/>
  <c r="F278" i="67"/>
  <c r="H303" i="67"/>
  <c r="J303" i="66"/>
  <c r="G303" i="67"/>
  <c r="I303" i="66"/>
  <c r="F311" i="67"/>
  <c r="E311" i="67"/>
  <c r="H309" i="67"/>
  <c r="J309" i="66"/>
  <c r="G309" i="67"/>
  <c r="I309" i="66"/>
  <c r="E288" i="67"/>
  <c r="F288" i="67"/>
  <c r="H301" i="67"/>
  <c r="J301" i="66"/>
  <c r="G301" i="67"/>
  <c r="I301" i="66"/>
  <c r="E282" i="67"/>
  <c r="F282" i="67"/>
  <c r="H295" i="67"/>
  <c r="J295" i="66"/>
  <c r="G295" i="67"/>
  <c r="I295" i="66"/>
  <c r="H283" i="67"/>
  <c r="J283" i="66"/>
  <c r="G283" i="67"/>
  <c r="I283" i="66"/>
  <c r="F291" i="67"/>
  <c r="E291" i="67"/>
  <c r="G270" i="67"/>
  <c r="H270" i="67"/>
  <c r="J270" i="66" s="1"/>
  <c r="E266" i="67"/>
  <c r="F266" i="67"/>
  <c r="H289" i="67"/>
  <c r="J289" i="66" s="1"/>
  <c r="G289" i="67"/>
  <c r="I289" i="66" s="1"/>
  <c r="E296" i="67"/>
  <c r="F296" i="67"/>
  <c r="G276" i="67"/>
  <c r="H276" i="67"/>
  <c r="J276" i="66"/>
  <c r="E256" i="67"/>
  <c r="F256" i="67"/>
  <c r="H297" i="67"/>
  <c r="J297" i="66"/>
  <c r="G297" i="67"/>
  <c r="I297" i="66"/>
  <c r="F281" i="67"/>
  <c r="E281" i="67"/>
  <c r="H299" i="67"/>
  <c r="J299" i="66"/>
  <c r="G299" i="67"/>
  <c r="I299" i="66"/>
  <c r="E262" i="67"/>
  <c r="F262" i="67"/>
  <c r="F283" i="67"/>
  <c r="E283" i="67"/>
  <c r="H291" i="67"/>
  <c r="J291" i="66"/>
  <c r="G291" i="67"/>
  <c r="I291" i="66"/>
  <c r="E270" i="67"/>
  <c r="F270" i="67"/>
  <c r="G266" i="67"/>
  <c r="H266" i="67"/>
  <c r="J266" i="66" s="1"/>
  <c r="F289" i="67"/>
  <c r="E289" i="67"/>
  <c r="G296" i="67"/>
  <c r="H296" i="67"/>
  <c r="J296" i="66"/>
  <c r="E276" i="67"/>
  <c r="F276" i="67"/>
  <c r="G256" i="67"/>
  <c r="H256" i="67"/>
  <c r="J256" i="66" s="1"/>
  <c r="F297" i="67"/>
  <c r="E297" i="67"/>
  <c r="H281" i="67"/>
  <c r="J281" i="66" s="1"/>
  <c r="G281" i="67"/>
  <c r="I281" i="66" s="1"/>
  <c r="F299" i="67"/>
  <c r="E299" i="67"/>
  <c r="G262" i="67"/>
  <c r="H262" i="67"/>
  <c r="J262" i="66"/>
  <c r="G250" i="67"/>
  <c r="H250" i="67"/>
  <c r="J250" i="66" s="1"/>
  <c r="E284" i="67"/>
  <c r="F284" i="67"/>
  <c r="H287" i="67"/>
  <c r="J287" i="66" s="1"/>
  <c r="G287" i="67"/>
  <c r="I287" i="66" s="1"/>
  <c r="F277" i="67"/>
  <c r="E277" i="67"/>
  <c r="H269" i="67"/>
  <c r="J269" i="66" s="1"/>
  <c r="G269" i="67"/>
  <c r="I269" i="66" s="1"/>
  <c r="E254" i="67"/>
  <c r="F254" i="67"/>
  <c r="H285" i="67"/>
  <c r="J285" i="66" s="1"/>
  <c r="G285" i="67"/>
  <c r="I285" i="66" s="1"/>
  <c r="E258" i="67"/>
  <c r="F258" i="67"/>
  <c r="G244" i="67"/>
  <c r="H244" i="67"/>
  <c r="J244" i="66"/>
  <c r="F279" i="67"/>
  <c r="E279" i="67"/>
  <c r="G264" i="67"/>
  <c r="H264" i="67"/>
  <c r="J264" i="66" s="1"/>
  <c r="F271" i="67"/>
  <c r="E271" i="67"/>
  <c r="E250" i="67"/>
  <c r="F250" i="67"/>
  <c r="G284" i="67"/>
  <c r="H284" i="67"/>
  <c r="J284" i="66"/>
  <c r="F287" i="67"/>
  <c r="E287" i="67"/>
  <c r="H277" i="67"/>
  <c r="J277" i="66"/>
  <c r="G277" i="67"/>
  <c r="I277" i="66"/>
  <c r="F269" i="67"/>
  <c r="E269" i="67"/>
  <c r="G254" i="67"/>
  <c r="H254" i="67"/>
  <c r="J254" i="66" s="1"/>
  <c r="F285" i="67"/>
  <c r="E285" i="67"/>
  <c r="G258" i="67"/>
  <c r="H258" i="67"/>
  <c r="J258" i="66"/>
  <c r="E244" i="67"/>
  <c r="F244" i="67"/>
  <c r="H279" i="67"/>
  <c r="J279" i="66"/>
  <c r="G279" i="67"/>
  <c r="I279" i="66"/>
  <c r="E264" i="67"/>
  <c r="F264" i="67"/>
  <c r="H271" i="67"/>
  <c r="J271" i="66"/>
  <c r="G271" i="67"/>
  <c r="I271" i="66"/>
  <c r="H259" i="67"/>
  <c r="J259" i="66"/>
  <c r="G259" i="67"/>
  <c r="I259" i="66"/>
  <c r="E242" i="67"/>
  <c r="F242" i="67"/>
  <c r="G252" i="67"/>
  <c r="H252" i="67"/>
  <c r="J252" i="66" s="1"/>
  <c r="F257" i="67"/>
  <c r="E257" i="67"/>
  <c r="H267" i="67"/>
  <c r="J267" i="66" s="1"/>
  <c r="G267" i="67"/>
  <c r="I267" i="66" s="1"/>
  <c r="F265" i="67"/>
  <c r="E265" i="67"/>
  <c r="G232" i="67"/>
  <c r="H232" i="67"/>
  <c r="J232" i="66"/>
  <c r="F275" i="67"/>
  <c r="E275" i="67"/>
  <c r="G246" i="67"/>
  <c r="H246" i="67"/>
  <c r="J246" i="66" s="1"/>
  <c r="E272" i="67"/>
  <c r="F272" i="67"/>
  <c r="H273" i="67"/>
  <c r="J273" i="66"/>
  <c r="G273" i="67"/>
  <c r="I273" i="66" s="1"/>
  <c r="E238" i="67"/>
  <c r="F238" i="67"/>
  <c r="F259" i="67"/>
  <c r="E259" i="67"/>
  <c r="G242" i="67"/>
  <c r="H242" i="67"/>
  <c r="J242" i="66"/>
  <c r="E252" i="67"/>
  <c r="F252" i="67"/>
  <c r="H257" i="67"/>
  <c r="J257" i="66"/>
  <c r="G257" i="67"/>
  <c r="I257" i="66" s="1"/>
  <c r="F267" i="67"/>
  <c r="E267" i="67"/>
  <c r="H265" i="67"/>
  <c r="J265" i="66"/>
  <c r="G265" i="67"/>
  <c r="I265" i="66"/>
  <c r="E232" i="67"/>
  <c r="F232" i="67"/>
  <c r="H275" i="67"/>
  <c r="J275" i="66"/>
  <c r="G275" i="67"/>
  <c r="I275" i="66"/>
  <c r="E246" i="67"/>
  <c r="F246" i="67"/>
  <c r="G272" i="67"/>
  <c r="H272" i="67"/>
  <c r="J272" i="66"/>
  <c r="F273" i="67"/>
  <c r="E273" i="67"/>
  <c r="G238" i="67"/>
  <c r="H238" i="67"/>
  <c r="J238" i="66"/>
  <c r="G226" i="67"/>
  <c r="H226" i="67"/>
  <c r="J226" i="66"/>
  <c r="F253" i="67"/>
  <c r="E253" i="67"/>
  <c r="H261" i="67"/>
  <c r="J261" i="66"/>
  <c r="G261" i="67"/>
  <c r="I261" i="66" s="1"/>
  <c r="F255" i="67"/>
  <c r="E255" i="67"/>
  <c r="G260" i="67"/>
  <c r="H260" i="67"/>
  <c r="J260" i="66" s="1"/>
  <c r="F245" i="67"/>
  <c r="E245" i="67"/>
  <c r="G234" i="67"/>
  <c r="H234" i="67"/>
  <c r="J234" i="66"/>
  <c r="E240" i="67"/>
  <c r="F240" i="67"/>
  <c r="H263" i="67"/>
  <c r="J263" i="66"/>
  <c r="G263" i="67"/>
  <c r="I263" i="66" s="1"/>
  <c r="E230" i="67"/>
  <c r="F230" i="67"/>
  <c r="G220" i="67"/>
  <c r="H220" i="67"/>
  <c r="J220" i="66"/>
  <c r="F247" i="67"/>
  <c r="E247" i="67"/>
  <c r="E226" i="67"/>
  <c r="F226" i="67"/>
  <c r="H253" i="67"/>
  <c r="J253" i="66"/>
  <c r="G253" i="67"/>
  <c r="I253" i="66"/>
  <c r="F261" i="67"/>
  <c r="E261" i="67"/>
  <c r="H255" i="67"/>
  <c r="J255" i="66"/>
  <c r="G255" i="67"/>
  <c r="I255" i="66"/>
  <c r="E260" i="67"/>
  <c r="F260" i="67"/>
  <c r="H245" i="67"/>
  <c r="J245" i="66"/>
  <c r="G245" i="67"/>
  <c r="I245" i="66"/>
  <c r="E234" i="67"/>
  <c r="F234" i="67"/>
  <c r="G240" i="67"/>
  <c r="H240" i="67"/>
  <c r="J240" i="66"/>
  <c r="F263" i="67"/>
  <c r="E263" i="67"/>
  <c r="G230" i="67"/>
  <c r="H230" i="67"/>
  <c r="J230" i="66"/>
  <c r="E220" i="67"/>
  <c r="F220" i="67"/>
  <c r="H247" i="67"/>
  <c r="J247" i="66"/>
  <c r="G247" i="67"/>
  <c r="I247" i="66"/>
  <c r="H235" i="67"/>
  <c r="J235" i="66"/>
  <c r="G235" i="67"/>
  <c r="I235" i="66"/>
  <c r="F233" i="67"/>
  <c r="E233" i="67"/>
  <c r="G208" i="67"/>
  <c r="H208" i="67"/>
  <c r="J208" i="66"/>
  <c r="E248" i="67"/>
  <c r="F248" i="67"/>
  <c r="G218" i="67"/>
  <c r="H218" i="67"/>
  <c r="J218" i="66"/>
  <c r="F243" i="67"/>
  <c r="E243" i="67"/>
  <c r="H251" i="67"/>
  <c r="J251" i="66"/>
  <c r="G251" i="67"/>
  <c r="I251" i="66"/>
  <c r="F249" i="67"/>
  <c r="E249" i="67"/>
  <c r="G228" i="67"/>
  <c r="H228" i="67"/>
  <c r="J228" i="66"/>
  <c r="F241" i="67"/>
  <c r="E241" i="67"/>
  <c r="G222" i="67"/>
  <c r="H222" i="67"/>
  <c r="J222" i="66"/>
  <c r="E214" i="67"/>
  <c r="F214" i="67"/>
  <c r="F235" i="67"/>
  <c r="E235" i="67"/>
  <c r="H233" i="67"/>
  <c r="J233" i="66"/>
  <c r="G233" i="67"/>
  <c r="I233" i="66"/>
  <c r="E208" i="67"/>
  <c r="F208" i="67"/>
  <c r="G248" i="67"/>
  <c r="H248" i="67"/>
  <c r="J248" i="66" s="1"/>
  <c r="E218" i="67"/>
  <c r="F218" i="67"/>
  <c r="H243" i="67"/>
  <c r="J243" i="66" s="1"/>
  <c r="G243" i="67"/>
  <c r="I243" i="66"/>
  <c r="F251" i="67"/>
  <c r="E251" i="67"/>
  <c r="H249" i="67"/>
  <c r="J249" i="66"/>
  <c r="G249" i="67"/>
  <c r="I249" i="66" s="1"/>
  <c r="E228" i="67"/>
  <c r="F228" i="67"/>
  <c r="H241" i="67"/>
  <c r="J241" i="66" s="1"/>
  <c r="G241" i="67"/>
  <c r="I241" i="66"/>
  <c r="E222" i="67"/>
  <c r="F222" i="67"/>
  <c r="G214" i="67"/>
  <c r="H214" i="67"/>
  <c r="J214" i="66"/>
  <c r="G202" i="67"/>
  <c r="H202" i="67"/>
  <c r="J202" i="66"/>
  <c r="E206" i="67"/>
  <c r="F206" i="67"/>
  <c r="G210" i="67"/>
  <c r="H210" i="67"/>
  <c r="J210" i="66"/>
  <c r="H229" i="67"/>
  <c r="J229" i="66"/>
  <c r="G229" i="67"/>
  <c r="I229" i="66"/>
  <c r="E236" i="67"/>
  <c r="F236" i="67"/>
  <c r="G216" i="67"/>
  <c r="H216" i="67"/>
  <c r="J216" i="66" s="1"/>
  <c r="E196" i="67"/>
  <c r="F196" i="67"/>
  <c r="H237" i="67"/>
  <c r="J237" i="66" s="1"/>
  <c r="G237" i="67"/>
  <c r="I237" i="66"/>
  <c r="F221" i="67"/>
  <c r="E221" i="67"/>
  <c r="H239" i="67"/>
  <c r="J239" i="66"/>
  <c r="G239" i="67"/>
  <c r="I239" i="66" s="1"/>
  <c r="H231" i="67"/>
  <c r="J231" i="66"/>
  <c r="G231" i="67"/>
  <c r="I231" i="66" s="1"/>
  <c r="F223" i="67"/>
  <c r="E223" i="67"/>
  <c r="E202" i="67"/>
  <c r="F202" i="67"/>
  <c r="G206" i="67"/>
  <c r="H206" i="67"/>
  <c r="J206" i="66"/>
  <c r="E210" i="67"/>
  <c r="F210" i="67"/>
  <c r="F229" i="67"/>
  <c r="E229" i="67"/>
  <c r="G236" i="67"/>
  <c r="H236" i="67"/>
  <c r="J236" i="66"/>
  <c r="E216" i="67"/>
  <c r="F216" i="67"/>
  <c r="G196" i="67"/>
  <c r="H196" i="67"/>
  <c r="J196" i="66"/>
  <c r="F237" i="67"/>
  <c r="E237" i="67"/>
  <c r="H221" i="67"/>
  <c r="J221" i="66"/>
  <c r="G221" i="67"/>
  <c r="I221" i="66"/>
  <c r="F239" i="67"/>
  <c r="E239" i="67"/>
  <c r="F231" i="67"/>
  <c r="E231" i="67"/>
  <c r="H223" i="67"/>
  <c r="J223" i="66"/>
  <c r="G223" i="67"/>
  <c r="I223" i="66"/>
  <c r="H211" i="67"/>
  <c r="J211" i="66"/>
  <c r="G211" i="67"/>
  <c r="I211" i="66"/>
  <c r="E204" i="67"/>
  <c r="F204" i="67"/>
  <c r="H219" i="67"/>
  <c r="J219" i="66"/>
  <c r="G219" i="67"/>
  <c r="I219" i="66"/>
  <c r="E224" i="67"/>
  <c r="F224" i="67"/>
  <c r="H227" i="67"/>
  <c r="J227" i="66"/>
  <c r="G227" i="67"/>
  <c r="I227" i="66"/>
  <c r="F217" i="67"/>
  <c r="E217" i="67"/>
  <c r="H209" i="67"/>
  <c r="J209" i="66"/>
  <c r="G209" i="67"/>
  <c r="I209" i="66"/>
  <c r="E198" i="67"/>
  <c r="F198" i="67"/>
  <c r="H225" i="67"/>
  <c r="J225" i="66"/>
  <c r="G225" i="67"/>
  <c r="I225" i="66"/>
  <c r="E194" i="67"/>
  <c r="F194" i="67"/>
  <c r="G184" i="67"/>
  <c r="H184" i="67"/>
  <c r="J184" i="66"/>
  <c r="E190" i="67"/>
  <c r="F190" i="67"/>
  <c r="F211" i="67"/>
  <c r="E211" i="67"/>
  <c r="G204" i="67"/>
  <c r="H204" i="67"/>
  <c r="J204" i="66"/>
  <c r="F219" i="67"/>
  <c r="E219" i="67"/>
  <c r="G224" i="67"/>
  <c r="H224" i="67"/>
  <c r="J224" i="66"/>
  <c r="F227" i="67"/>
  <c r="E227" i="67"/>
  <c r="H217" i="67"/>
  <c r="J217" i="66"/>
  <c r="G217" i="67"/>
  <c r="I217" i="66" s="1"/>
  <c r="F209" i="67"/>
  <c r="E209" i="67"/>
  <c r="G198" i="67"/>
  <c r="H198" i="67"/>
  <c r="J198" i="66"/>
  <c r="F225" i="67"/>
  <c r="E225" i="67"/>
  <c r="G194" i="67"/>
  <c r="H194" i="67"/>
  <c r="J194" i="66"/>
  <c r="E184" i="67"/>
  <c r="F184" i="67"/>
  <c r="G190" i="67"/>
  <c r="H190" i="67"/>
  <c r="J190" i="66"/>
  <c r="G178" i="67"/>
  <c r="H178" i="67"/>
  <c r="J178" i="66"/>
  <c r="F205" i="67"/>
  <c r="E205" i="67"/>
  <c r="G172" i="67"/>
  <c r="H172" i="67"/>
  <c r="J172" i="66"/>
  <c r="F215" i="67"/>
  <c r="E215" i="67"/>
  <c r="G182" i="67"/>
  <c r="H182" i="67"/>
  <c r="J182" i="66" s="1"/>
  <c r="E212" i="67"/>
  <c r="F212" i="67"/>
  <c r="H213" i="67"/>
  <c r="J213" i="66" s="1"/>
  <c r="G213" i="67"/>
  <c r="I213" i="66"/>
  <c r="F207" i="67"/>
  <c r="E207" i="67"/>
  <c r="G186" i="67"/>
  <c r="H186" i="67"/>
  <c r="J186" i="66"/>
  <c r="E192" i="67"/>
  <c r="F192" i="67"/>
  <c r="H197" i="67"/>
  <c r="J197" i="66"/>
  <c r="G197" i="67"/>
  <c r="I197" i="66"/>
  <c r="F199" i="67"/>
  <c r="E199" i="67"/>
  <c r="E178" i="67"/>
  <c r="F178" i="67"/>
  <c r="H205" i="67"/>
  <c r="J205" i="66"/>
  <c r="G205" i="67"/>
  <c r="I205" i="66"/>
  <c r="E172" i="67"/>
  <c r="F172" i="67"/>
  <c r="H215" i="67"/>
  <c r="J215" i="66"/>
  <c r="G215" i="67"/>
  <c r="I215" i="66"/>
  <c r="E182" i="67"/>
  <c r="F182" i="67"/>
  <c r="G212" i="67"/>
  <c r="H212" i="67"/>
  <c r="J212" i="66" s="1"/>
  <c r="F213" i="67"/>
  <c r="E213" i="67"/>
  <c r="H207" i="67"/>
  <c r="J207" i="66" s="1"/>
  <c r="G207" i="67"/>
  <c r="I207" i="66"/>
  <c r="E186" i="67"/>
  <c r="F186" i="67"/>
  <c r="G192" i="67"/>
  <c r="H192" i="67"/>
  <c r="J192" i="66"/>
  <c r="F197" i="67"/>
  <c r="E197" i="67"/>
  <c r="H199" i="67"/>
  <c r="J199" i="66"/>
  <c r="G199" i="67"/>
  <c r="I199" i="66"/>
  <c r="H187" i="67"/>
  <c r="J187" i="66"/>
  <c r="G187" i="67"/>
  <c r="I187" i="66"/>
  <c r="E200" i="67"/>
  <c r="F200" i="67"/>
  <c r="H185" i="67"/>
  <c r="J185" i="66"/>
  <c r="G185" i="67"/>
  <c r="I185" i="66"/>
  <c r="E170" i="67"/>
  <c r="F170" i="67"/>
  <c r="G180" i="67"/>
  <c r="H180" i="67"/>
  <c r="J180" i="66" s="1"/>
  <c r="F203" i="67"/>
  <c r="E203" i="67"/>
  <c r="H174" i="67"/>
  <c r="J174" i="66" s="1"/>
  <c r="G174" i="67"/>
  <c r="I174" i="66"/>
  <c r="H160" i="67"/>
  <c r="J160" i="66" s="1"/>
  <c r="G160" i="67"/>
  <c r="I160" i="66"/>
  <c r="H195" i="67"/>
  <c r="J195" i="66" s="1"/>
  <c r="G195" i="67"/>
  <c r="I195" i="66"/>
  <c r="F193" i="67"/>
  <c r="E193" i="67"/>
  <c r="H201" i="67"/>
  <c r="J201" i="66"/>
  <c r="G201" i="67"/>
  <c r="I201" i="66" s="1"/>
  <c r="G166" i="67"/>
  <c r="H166" i="67"/>
  <c r="J166" i="66"/>
  <c r="F187" i="67"/>
  <c r="E187" i="67"/>
  <c r="G200" i="67"/>
  <c r="H200" i="67"/>
  <c r="J200" i="66" s="1"/>
  <c r="F185" i="67"/>
  <c r="E185" i="67"/>
  <c r="G170" i="67"/>
  <c r="H170" i="67"/>
  <c r="J170" i="66"/>
  <c r="E180" i="67"/>
  <c r="F180" i="67"/>
  <c r="H203" i="67"/>
  <c r="J203" i="66"/>
  <c r="G203" i="67"/>
  <c r="I203" i="66"/>
  <c r="F174" i="67"/>
  <c r="E174" i="67"/>
  <c r="F160" i="67"/>
  <c r="E160" i="67"/>
  <c r="F195" i="67"/>
  <c r="E195" i="67"/>
  <c r="H193" i="67"/>
  <c r="J193" i="66"/>
  <c r="G193" i="67"/>
  <c r="I193" i="66"/>
  <c r="F201" i="67"/>
  <c r="E201" i="67"/>
  <c r="E166" i="67"/>
  <c r="F166" i="67"/>
  <c r="F154" i="67"/>
  <c r="E154" i="67"/>
  <c r="F191" i="67"/>
  <c r="E191" i="67"/>
  <c r="H189" i="67"/>
  <c r="J189" i="66"/>
  <c r="G189" i="67"/>
  <c r="I189" i="66"/>
  <c r="G168" i="67"/>
  <c r="H168" i="67"/>
  <c r="J168" i="66" s="1"/>
  <c r="H181" i="67"/>
  <c r="J181" i="66"/>
  <c r="G181" i="67"/>
  <c r="I181" i="66" s="1"/>
  <c r="H158" i="67"/>
  <c r="J158" i="66"/>
  <c r="G158" i="67"/>
  <c r="I158" i="66" s="1"/>
  <c r="H183" i="67"/>
  <c r="J183" i="66"/>
  <c r="G183" i="67"/>
  <c r="I183" i="66" s="1"/>
  <c r="F173" i="67"/>
  <c r="E173" i="67"/>
  <c r="F148" i="67"/>
  <c r="E148" i="67"/>
  <c r="E188" i="67"/>
  <c r="F188" i="67"/>
  <c r="H162" i="67"/>
  <c r="J162" i="66" s="1"/>
  <c r="G162" i="67"/>
  <c r="I162" i="66"/>
  <c r="E162" i="67"/>
  <c r="F175" i="67"/>
  <c r="E175" i="67"/>
  <c r="H154" i="67"/>
  <c r="J154" i="66"/>
  <c r="G154" i="67"/>
  <c r="I154" i="66"/>
  <c r="H191" i="67"/>
  <c r="J191" i="66"/>
  <c r="G191" i="67"/>
  <c r="I191" i="66"/>
  <c r="F189" i="67"/>
  <c r="E189" i="67"/>
  <c r="E168" i="67"/>
  <c r="F168" i="67"/>
  <c r="F181" i="67"/>
  <c r="E181" i="67"/>
  <c r="F158" i="67"/>
  <c r="E158" i="67"/>
  <c r="F183" i="67"/>
  <c r="E183" i="67"/>
  <c r="H173" i="67"/>
  <c r="J173" i="66"/>
  <c r="G173" i="67"/>
  <c r="I173" i="66"/>
  <c r="H148" i="67"/>
  <c r="J148" i="66"/>
  <c r="G148" i="67"/>
  <c r="I148" i="66"/>
  <c r="G188" i="67"/>
  <c r="H188" i="67"/>
  <c r="J188" i="66"/>
  <c r="F162" i="67"/>
  <c r="H175" i="67"/>
  <c r="J175" i="66"/>
  <c r="G175" i="67"/>
  <c r="I175" i="66"/>
  <c r="H163" i="67"/>
  <c r="J163" i="66"/>
  <c r="G163" i="67"/>
  <c r="I163" i="66"/>
  <c r="E163" i="67"/>
  <c r="H146" i="67"/>
  <c r="J146" i="66"/>
  <c r="G146" i="67"/>
  <c r="I146" i="66" s="1"/>
  <c r="F150" i="67"/>
  <c r="E150" i="67"/>
  <c r="E169" i="67"/>
  <c r="F169" i="67"/>
  <c r="G176" i="67"/>
  <c r="H176" i="67"/>
  <c r="J176" i="66"/>
  <c r="H156" i="67"/>
  <c r="J156" i="66"/>
  <c r="G156" i="67"/>
  <c r="I156" i="66"/>
  <c r="F136" i="67"/>
  <c r="E136" i="67"/>
  <c r="F177" i="67"/>
  <c r="E177" i="67"/>
  <c r="F161" i="67"/>
  <c r="E161" i="67"/>
  <c r="F179" i="67"/>
  <c r="E179" i="67"/>
  <c r="H171" i="67"/>
  <c r="J171" i="66"/>
  <c r="G171" i="67"/>
  <c r="I171" i="66"/>
  <c r="G142" i="67"/>
  <c r="H142" i="67"/>
  <c r="J142" i="66"/>
  <c r="I142" i="66"/>
  <c r="F163" i="67"/>
  <c r="F146" i="67"/>
  <c r="E146" i="67"/>
  <c r="H150" i="67"/>
  <c r="J150" i="66" s="1"/>
  <c r="G150" i="67"/>
  <c r="G169" i="67"/>
  <c r="H169" i="67"/>
  <c r="J169" i="66" s="1"/>
  <c r="E176" i="67"/>
  <c r="F176" i="67"/>
  <c r="F156" i="67"/>
  <c r="E156" i="67"/>
  <c r="H136" i="67"/>
  <c r="G136" i="67"/>
  <c r="H177" i="67"/>
  <c r="J177" i="66" s="1"/>
  <c r="G177" i="67"/>
  <c r="I177" i="66"/>
  <c r="H161" i="67"/>
  <c r="J161" i="66" s="1"/>
  <c r="G161" i="67"/>
  <c r="I161" i="66"/>
  <c r="H179" i="67"/>
  <c r="J179" i="66" s="1"/>
  <c r="G179" i="67"/>
  <c r="I179" i="66"/>
  <c r="F171" i="67"/>
  <c r="E171" i="67"/>
  <c r="E142" i="67"/>
  <c r="F142" i="67"/>
  <c r="F130" i="67"/>
  <c r="H130" i="67"/>
  <c r="G130" i="67"/>
  <c r="H157" i="67"/>
  <c r="J157" i="66"/>
  <c r="G157" i="67"/>
  <c r="I157" i="66"/>
  <c r="F159" i="67"/>
  <c r="E159" i="67"/>
  <c r="E167" i="67"/>
  <c r="F149" i="67"/>
  <c r="E149" i="67"/>
  <c r="F165" i="67"/>
  <c r="F124" i="67"/>
  <c r="E124" i="67"/>
  <c r="H138" i="67"/>
  <c r="J138" i="66"/>
  <c r="G138" i="67"/>
  <c r="I138" i="66"/>
  <c r="F144" i="67"/>
  <c r="E144" i="67"/>
  <c r="H134" i="67"/>
  <c r="G134" i="67"/>
  <c r="F164" i="67"/>
  <c r="E164" i="67"/>
  <c r="H151" i="67"/>
  <c r="J151" i="66"/>
  <c r="G151" i="67"/>
  <c r="E130" i="67"/>
  <c r="F157" i="67"/>
  <c r="E157" i="67"/>
  <c r="H159" i="67"/>
  <c r="J159" i="66"/>
  <c r="G159" i="67"/>
  <c r="I159" i="66"/>
  <c r="H167" i="67"/>
  <c r="J167" i="66"/>
  <c r="F167" i="67"/>
  <c r="G167" i="67"/>
  <c r="H149" i="67"/>
  <c r="J149" i="66"/>
  <c r="G149" i="67"/>
  <c r="G165" i="67"/>
  <c r="E165" i="67"/>
  <c r="H165" i="67"/>
  <c r="J165" i="66" s="1"/>
  <c r="H124" i="67"/>
  <c r="G124" i="67"/>
  <c r="F138" i="67"/>
  <c r="E138" i="67"/>
  <c r="H144" i="67"/>
  <c r="J144" i="66"/>
  <c r="G144" i="67"/>
  <c r="F134" i="67"/>
  <c r="E134" i="67"/>
  <c r="H164" i="67"/>
  <c r="J164" i="66"/>
  <c r="G164" i="67"/>
  <c r="F151" i="67"/>
  <c r="E151" i="67"/>
  <c r="H139" i="67"/>
  <c r="J139" i="66" s="1"/>
  <c r="G139" i="67"/>
  <c r="I139" i="66"/>
  <c r="E139" i="67"/>
  <c r="H137" i="67"/>
  <c r="G137" i="67"/>
  <c r="F152" i="67"/>
  <c r="E152" i="67"/>
  <c r="H155" i="67"/>
  <c r="J155" i="66"/>
  <c r="G155" i="67"/>
  <c r="I155" i="66"/>
  <c r="E122" i="67"/>
  <c r="N122" i="66"/>
  <c r="H122" i="67"/>
  <c r="J122" i="66"/>
  <c r="G122" i="67"/>
  <c r="I122" i="66"/>
  <c r="H147" i="67"/>
  <c r="J147" i="66"/>
  <c r="G147" i="67"/>
  <c r="I147" i="66"/>
  <c r="F132" i="67"/>
  <c r="E132" i="67"/>
  <c r="H145" i="67"/>
  <c r="J145" i="66"/>
  <c r="G145" i="67"/>
  <c r="I145" i="66"/>
  <c r="H126" i="67"/>
  <c r="E126" i="67"/>
  <c r="F112" i="67"/>
  <c r="E112" i="67"/>
  <c r="H118" i="67"/>
  <c r="G118" i="67"/>
  <c r="F153" i="67"/>
  <c r="E153" i="67"/>
  <c r="F139" i="67"/>
  <c r="F137" i="67"/>
  <c r="E137" i="67"/>
  <c r="H152" i="67"/>
  <c r="J152" i="66" s="1"/>
  <c r="G152" i="67"/>
  <c r="I152" i="66"/>
  <c r="F155" i="67"/>
  <c r="E155" i="67"/>
  <c r="F122" i="67"/>
  <c r="F147" i="67"/>
  <c r="E147" i="67"/>
  <c r="H132" i="67"/>
  <c r="G132" i="67"/>
  <c r="F145" i="67"/>
  <c r="E145" i="67"/>
  <c r="F126" i="67"/>
  <c r="G126" i="67"/>
  <c r="H112" i="67"/>
  <c r="G112" i="67"/>
  <c r="F118" i="67"/>
  <c r="E118" i="67"/>
  <c r="H153" i="67"/>
  <c r="J153" i="66"/>
  <c r="G153" i="67"/>
  <c r="I153" i="66"/>
  <c r="E141" i="67"/>
  <c r="F141" i="67"/>
  <c r="E106" i="67"/>
  <c r="F106" i="67"/>
  <c r="F100" i="67"/>
  <c r="E100" i="67"/>
  <c r="H110" i="67"/>
  <c r="G110" i="67"/>
  <c r="H114" i="67"/>
  <c r="E114" i="67"/>
  <c r="F133" i="67"/>
  <c r="E133" i="67"/>
  <c r="G143" i="67"/>
  <c r="H143" i="67"/>
  <c r="J143" i="66" s="1"/>
  <c r="I143" i="66"/>
  <c r="G120" i="67"/>
  <c r="F120" i="67"/>
  <c r="H140" i="67"/>
  <c r="J140" i="66"/>
  <c r="G140" i="67"/>
  <c r="I140" i="66"/>
  <c r="F135" i="67"/>
  <c r="E135" i="67"/>
  <c r="H125" i="67"/>
  <c r="G125" i="67"/>
  <c r="H127" i="67"/>
  <c r="G127" i="67"/>
  <c r="G141" i="67"/>
  <c r="H141" i="67"/>
  <c r="J141" i="66" s="1"/>
  <c r="I141" i="66"/>
  <c r="G106" i="67"/>
  <c r="H106" i="67"/>
  <c r="H100" i="67"/>
  <c r="G100" i="67"/>
  <c r="F110" i="67"/>
  <c r="E110" i="67"/>
  <c r="N110" i="66" s="1"/>
  <c r="F114" i="67"/>
  <c r="G114" i="67"/>
  <c r="H133" i="67"/>
  <c r="G133" i="67"/>
  <c r="E143" i="67"/>
  <c r="F143" i="67"/>
  <c r="E120" i="67"/>
  <c r="H120" i="67"/>
  <c r="F140" i="67"/>
  <c r="E140" i="67"/>
  <c r="H135" i="67"/>
  <c r="G135" i="67"/>
  <c r="F125" i="67"/>
  <c r="E125" i="67"/>
  <c r="F127" i="67"/>
  <c r="E127" i="67"/>
  <c r="F115" i="67"/>
  <c r="E115" i="67"/>
  <c r="F113" i="67"/>
  <c r="E113" i="67"/>
  <c r="H98" i="67"/>
  <c r="G98" i="67"/>
  <c r="F123" i="67"/>
  <c r="E123" i="67"/>
  <c r="H88" i="67"/>
  <c r="G88" i="67"/>
  <c r="F128" i="67"/>
  <c r="E128" i="67"/>
  <c r="E108" i="67"/>
  <c r="F108" i="67"/>
  <c r="F131" i="67"/>
  <c r="E131" i="67"/>
  <c r="E94" i="67"/>
  <c r="H94" i="67"/>
  <c r="E121" i="67"/>
  <c r="F121" i="67"/>
  <c r="H129" i="67"/>
  <c r="G129" i="67"/>
  <c r="H102" i="67"/>
  <c r="E102" i="67"/>
  <c r="H115" i="67"/>
  <c r="G115" i="67"/>
  <c r="H113" i="67"/>
  <c r="G113" i="67"/>
  <c r="F98" i="67"/>
  <c r="E98" i="67"/>
  <c r="N98" i="66"/>
  <c r="H123" i="67"/>
  <c r="G123" i="67"/>
  <c r="F88" i="67"/>
  <c r="E88" i="67"/>
  <c r="H128" i="67"/>
  <c r="G128" i="67"/>
  <c r="G108" i="67"/>
  <c r="H108" i="67"/>
  <c r="H131" i="67"/>
  <c r="G131" i="67"/>
  <c r="G94" i="67"/>
  <c r="F94" i="67"/>
  <c r="G121" i="67"/>
  <c r="H121" i="67"/>
  <c r="F129" i="67"/>
  <c r="E129" i="67"/>
  <c r="F102" i="67"/>
  <c r="G102" i="67"/>
  <c r="H116" i="67"/>
  <c r="G116" i="67"/>
  <c r="H76" i="67"/>
  <c r="G76" i="67"/>
  <c r="F90" i="67"/>
  <c r="E90" i="67"/>
  <c r="F117" i="67"/>
  <c r="E117" i="67"/>
  <c r="H111" i="67"/>
  <c r="G111" i="67"/>
  <c r="H86" i="67"/>
  <c r="G86" i="67"/>
  <c r="H101" i="67"/>
  <c r="G101" i="67"/>
  <c r="G109" i="67"/>
  <c r="F109" i="67"/>
  <c r="E82" i="67"/>
  <c r="F82" i="67"/>
  <c r="E119" i="67"/>
  <c r="H119" i="67"/>
  <c r="H103" i="67"/>
  <c r="G103" i="67"/>
  <c r="E96" i="67"/>
  <c r="F96" i="67"/>
  <c r="F116" i="67"/>
  <c r="E116" i="67"/>
  <c r="F76" i="67"/>
  <c r="E76" i="67"/>
  <c r="H90" i="67"/>
  <c r="G90" i="67"/>
  <c r="H117" i="67"/>
  <c r="G117" i="67"/>
  <c r="F111" i="67"/>
  <c r="E111" i="67"/>
  <c r="F86" i="67"/>
  <c r="E86" i="67"/>
  <c r="N86" i="66" s="1"/>
  <c r="F101" i="67"/>
  <c r="E101" i="67"/>
  <c r="E109" i="67"/>
  <c r="H109" i="67"/>
  <c r="G82" i="67"/>
  <c r="H82" i="67"/>
  <c r="F119" i="67"/>
  <c r="G119" i="67"/>
  <c r="F103" i="67"/>
  <c r="E103" i="67"/>
  <c r="G96" i="67"/>
  <c r="H96" i="67"/>
  <c r="E84" i="67"/>
  <c r="F84" i="67"/>
  <c r="H74" i="67"/>
  <c r="G74" i="67"/>
  <c r="H91" i="67"/>
  <c r="E91" i="67"/>
  <c r="E107" i="67"/>
  <c r="F107" i="67"/>
  <c r="F99" i="67"/>
  <c r="G99" i="67"/>
  <c r="G105" i="67"/>
  <c r="H105" i="67"/>
  <c r="F70" i="67"/>
  <c r="E70" i="67"/>
  <c r="H78" i="67"/>
  <c r="G78" i="67"/>
  <c r="G64" i="67"/>
  <c r="H64" i="67"/>
  <c r="E97" i="67"/>
  <c r="F97" i="67"/>
  <c r="H89" i="67"/>
  <c r="E89" i="67"/>
  <c r="G104" i="67"/>
  <c r="H104" i="67"/>
  <c r="G84" i="67"/>
  <c r="H84" i="67"/>
  <c r="F74" i="67"/>
  <c r="E74" i="67"/>
  <c r="N74" i="66"/>
  <c r="F91" i="67"/>
  <c r="G91" i="67"/>
  <c r="G107" i="67"/>
  <c r="H107" i="67"/>
  <c r="H99" i="67"/>
  <c r="E99" i="67"/>
  <c r="E105" i="67"/>
  <c r="F105" i="67"/>
  <c r="H70" i="67"/>
  <c r="G70" i="67"/>
  <c r="F78" i="67"/>
  <c r="E78" i="67"/>
  <c r="F64" i="67"/>
  <c r="G97" i="67"/>
  <c r="H97" i="67"/>
  <c r="F89" i="67"/>
  <c r="G89" i="67"/>
  <c r="E104" i="67"/>
  <c r="F104" i="67"/>
  <c r="F92" i="67"/>
  <c r="E92" i="67"/>
  <c r="F77" i="67"/>
  <c r="E77" i="67"/>
  <c r="H87" i="67"/>
  <c r="G87" i="67"/>
  <c r="G85" i="67"/>
  <c r="F85" i="67"/>
  <c r="G95" i="67"/>
  <c r="H95" i="67"/>
  <c r="H52" i="67"/>
  <c r="G52" i="67"/>
  <c r="H79" i="67"/>
  <c r="G79" i="67"/>
  <c r="F66" i="67"/>
  <c r="E66" i="67"/>
  <c r="G62" i="67"/>
  <c r="H62" i="67"/>
  <c r="G58" i="67"/>
  <c r="H58" i="67"/>
  <c r="G93" i="67"/>
  <c r="F93" i="67"/>
  <c r="H72" i="67"/>
  <c r="G72" i="67"/>
  <c r="H92" i="67"/>
  <c r="G92" i="67"/>
  <c r="H77" i="67"/>
  <c r="G77" i="67"/>
  <c r="F87" i="67"/>
  <c r="E87" i="67"/>
  <c r="E85" i="67"/>
  <c r="H85" i="67"/>
  <c r="E95" i="67"/>
  <c r="F95" i="67"/>
  <c r="F52" i="67"/>
  <c r="E52" i="67"/>
  <c r="F79" i="67"/>
  <c r="E79" i="67"/>
  <c r="H66" i="67"/>
  <c r="G66" i="67"/>
  <c r="E62" i="67"/>
  <c r="F62" i="67"/>
  <c r="E58" i="67"/>
  <c r="F58" i="67"/>
  <c r="E93" i="67"/>
  <c r="H93" i="67"/>
  <c r="F72" i="67"/>
  <c r="E72" i="67"/>
  <c r="G83" i="67"/>
  <c r="H83" i="67"/>
  <c r="F60" i="67"/>
  <c r="E60" i="67"/>
  <c r="G81" i="67"/>
  <c r="F81" i="67"/>
  <c r="G73" i="67"/>
  <c r="H73" i="67"/>
  <c r="H46" i="67"/>
  <c r="G46" i="67"/>
  <c r="H75" i="67"/>
  <c r="G75" i="67"/>
  <c r="E50" i="67"/>
  <c r="N50" i="66" s="1"/>
  <c r="H50" i="67"/>
  <c r="J50" i="66" s="1"/>
  <c r="G50" i="67"/>
  <c r="I50" i="66" s="1"/>
  <c r="F50" i="67"/>
  <c r="H65" i="67"/>
  <c r="G65" i="67"/>
  <c r="G54" i="67"/>
  <c r="H54" i="67"/>
  <c r="F67" i="67"/>
  <c r="E67" i="67"/>
  <c r="E80" i="67"/>
  <c r="H80" i="67"/>
  <c r="H40" i="67"/>
  <c r="G40" i="67"/>
  <c r="E83" i="67"/>
  <c r="F83" i="67"/>
  <c r="H60" i="67"/>
  <c r="G60" i="67"/>
  <c r="E81" i="67"/>
  <c r="H81" i="67"/>
  <c r="E73" i="67"/>
  <c r="F73" i="67"/>
  <c r="F46" i="67"/>
  <c r="E46" i="67"/>
  <c r="F75" i="67"/>
  <c r="E75" i="67"/>
  <c r="F65" i="67"/>
  <c r="E65" i="67"/>
  <c r="E54" i="67"/>
  <c r="F54" i="67"/>
  <c r="H67" i="67"/>
  <c r="G67" i="67"/>
  <c r="G80" i="67"/>
  <c r="F80" i="67"/>
  <c r="F40" i="67"/>
  <c r="E40" i="67"/>
  <c r="H29" i="67"/>
  <c r="H31" i="67"/>
  <c r="J31" i="66" s="1"/>
  <c r="G37" i="67"/>
  <c r="H33" i="67"/>
  <c r="G33" i="67"/>
  <c r="G38" i="67"/>
  <c r="I38" i="66" s="1"/>
  <c r="H38" i="67"/>
  <c r="F26" i="67"/>
  <c r="F29" i="67"/>
  <c r="F31" i="67"/>
  <c r="E37" i="67"/>
  <c r="N37" i="66"/>
  <c r="H37" i="67"/>
  <c r="J37" i="66"/>
  <c r="I37" i="66"/>
  <c r="H27" i="67"/>
  <c r="G27" i="67"/>
  <c r="H35" i="67"/>
  <c r="G35" i="67"/>
  <c r="F30" i="67"/>
  <c r="E30" i="67"/>
  <c r="H45" i="67"/>
  <c r="G45" i="67"/>
  <c r="H47" i="67"/>
  <c r="G47" i="67"/>
  <c r="G28" i="67"/>
  <c r="H28" i="67"/>
  <c r="G36" i="67"/>
  <c r="H36" i="67"/>
  <c r="G41" i="67"/>
  <c r="H41" i="67"/>
  <c r="G43" i="67"/>
  <c r="H43" i="67"/>
  <c r="G51" i="67"/>
  <c r="H51" i="67"/>
  <c r="G57" i="67"/>
  <c r="H57" i="67"/>
  <c r="G59" i="67"/>
  <c r="H59" i="67"/>
  <c r="G63" i="67"/>
  <c r="H63" i="67"/>
  <c r="F32" i="67"/>
  <c r="E32" i="67"/>
  <c r="G44" i="67"/>
  <c r="H44" i="67"/>
  <c r="F49" i="67"/>
  <c r="E49" i="67"/>
  <c r="F56" i="67"/>
  <c r="E56" i="67"/>
  <c r="E34" i="67"/>
  <c r="F34" i="67"/>
  <c r="E39" i="67"/>
  <c r="F39" i="67"/>
  <c r="F61" i="67"/>
  <c r="G61" i="67"/>
  <c r="E68" i="67"/>
  <c r="F68" i="67"/>
  <c r="G55" i="67"/>
  <c r="H55" i="67"/>
  <c r="H69" i="67"/>
  <c r="G69" i="67"/>
  <c r="G42" i="67"/>
  <c r="H42" i="67"/>
  <c r="E48" i="67"/>
  <c r="F48" i="67"/>
  <c r="G53" i="67"/>
  <c r="H53" i="67"/>
  <c r="H71" i="67"/>
  <c r="G71" i="67"/>
  <c r="G26" i="67"/>
  <c r="I26" i="66" s="1"/>
  <c r="G29" i="67"/>
  <c r="G31" i="67"/>
  <c r="F33" i="67"/>
  <c r="E33" i="67"/>
  <c r="N33" i="66" s="1"/>
  <c r="E38" i="67"/>
  <c r="N38" i="66" s="1"/>
  <c r="J38" i="66"/>
  <c r="F38" i="67"/>
  <c r="E26" i="67"/>
  <c r="N26" i="66"/>
  <c r="H26" i="67"/>
  <c r="J26" i="66"/>
  <c r="E29" i="67"/>
  <c r="N29" i="66" s="1"/>
  <c r="J29" i="66"/>
  <c r="I29" i="66"/>
  <c r="E31" i="67"/>
  <c r="N31" i="66" s="1"/>
  <c r="I31" i="66"/>
  <c r="F37" i="67"/>
  <c r="F27" i="67"/>
  <c r="E27" i="67"/>
  <c r="N27" i="66" s="1"/>
  <c r="F35" i="67"/>
  <c r="E35" i="67"/>
  <c r="N35" i="66"/>
  <c r="H30" i="67"/>
  <c r="G30" i="67"/>
  <c r="F45" i="67"/>
  <c r="E45" i="67"/>
  <c r="F47" i="67"/>
  <c r="E47" i="67"/>
  <c r="E28" i="67"/>
  <c r="F28" i="67"/>
  <c r="E36" i="67"/>
  <c r="F36" i="67"/>
  <c r="E41" i="67"/>
  <c r="F41" i="67"/>
  <c r="E43" i="67"/>
  <c r="F43" i="67"/>
  <c r="E51" i="67"/>
  <c r="F51" i="67"/>
  <c r="E57" i="67"/>
  <c r="F57" i="67"/>
  <c r="E59" i="67"/>
  <c r="F59" i="67"/>
  <c r="E63" i="67"/>
  <c r="F63" i="67"/>
  <c r="H32" i="67"/>
  <c r="G32" i="67"/>
  <c r="F44" i="67"/>
  <c r="H49" i="67"/>
  <c r="G49" i="67"/>
  <c r="H56" i="67"/>
  <c r="G56" i="67"/>
  <c r="G34" i="67"/>
  <c r="H34" i="67"/>
  <c r="G39" i="67"/>
  <c r="H39" i="67"/>
  <c r="H61" i="67"/>
  <c r="G68" i="67"/>
  <c r="H68" i="67"/>
  <c r="E55" i="67"/>
  <c r="F55" i="67"/>
  <c r="F69" i="67"/>
  <c r="E69" i="67"/>
  <c r="E42" i="67"/>
  <c r="F42" i="67"/>
  <c r="G48" i="67"/>
  <c r="H48" i="67"/>
  <c r="E53" i="67"/>
  <c r="F53" i="67"/>
  <c r="F71" i="67"/>
  <c r="E71" i="67"/>
  <c r="BK5" i="44"/>
  <c r="BL5" i="44"/>
  <c r="BL26" i="44"/>
  <c r="BL28" i="44"/>
  <c r="BM8" i="44"/>
  <c r="E54" i="20" s="1"/>
  <c r="G39" i="22" s="1"/>
  <c r="BM9" i="44"/>
  <c r="F54" i="20" s="1"/>
  <c r="H3" i="22"/>
  <c r="BC124" i="44"/>
  <c r="BC125" i="44"/>
  <c r="BC126" i="44"/>
  <c r="BC127" i="44"/>
  <c r="BC128" i="44"/>
  <c r="BC129" i="44"/>
  <c r="R41" i="44"/>
  <c r="BM15" i="44"/>
  <c r="L54" i="20" s="1"/>
  <c r="N38" i="22" s="1"/>
  <c r="H46" i="64"/>
  <c r="H47" i="64"/>
  <c r="H48" i="64"/>
  <c r="H49" i="64"/>
  <c r="I49" i="64"/>
  <c r="K49" i="64"/>
  <c r="L49" i="64"/>
  <c r="O49" i="64"/>
  <c r="Q49" i="64"/>
  <c r="AL11" i="6"/>
  <c r="AL12" i="6"/>
  <c r="AN12" i="6"/>
  <c r="B12" i="6"/>
  <c r="B37" i="44"/>
  <c r="B38" i="44"/>
  <c r="B39" i="44"/>
  <c r="B40" i="44"/>
  <c r="B41" i="44"/>
  <c r="C49" i="20"/>
  <c r="AO12" i="6"/>
  <c r="D12" i="6"/>
  <c r="BM7" i="44"/>
  <c r="D54" i="20" s="1"/>
  <c r="F42" i="22"/>
  <c r="F43" i="22" s="1"/>
  <c r="F44" i="22" s="1"/>
  <c r="F45" i="22" s="1"/>
  <c r="F46" i="22" s="1"/>
  <c r="F47" i="22" s="1"/>
  <c r="F48" i="22" s="1"/>
  <c r="F49" i="22" s="1"/>
  <c r="AB124" i="44"/>
  <c r="AB125" i="44"/>
  <c r="AB126" i="44"/>
  <c r="AB127" i="44"/>
  <c r="AB128" i="44"/>
  <c r="AB129" i="44"/>
  <c r="D41" i="44"/>
  <c r="E49" i="20"/>
  <c r="BM22" i="44"/>
  <c r="S54" i="20" s="1"/>
  <c r="U32" i="22" s="1"/>
  <c r="BA124" i="44"/>
  <c r="BA125" i="44"/>
  <c r="BA126" i="44"/>
  <c r="BA127" i="44"/>
  <c r="BA128" i="44"/>
  <c r="BA129" i="44"/>
  <c r="Q41" i="44"/>
  <c r="S49" i="20"/>
  <c r="AH12" i="6"/>
  <c r="P49" i="64"/>
  <c r="R49" i="64"/>
  <c r="G36" i="44"/>
  <c r="G37" i="44"/>
  <c r="G38" i="44"/>
  <c r="G39" i="44"/>
  <c r="G40" i="44"/>
  <c r="G41" i="44"/>
  <c r="F49" i="20"/>
  <c r="E36" i="44"/>
  <c r="E37" i="44"/>
  <c r="E38" i="44"/>
  <c r="E39" i="44"/>
  <c r="E40" i="44"/>
  <c r="E41" i="44"/>
  <c r="G49" i="20"/>
  <c r="BM11" i="44"/>
  <c r="H54" i="20" s="1"/>
  <c r="J42" i="22" s="1"/>
  <c r="F36" i="44"/>
  <c r="F37" i="44"/>
  <c r="F38" i="44"/>
  <c r="F39" i="44"/>
  <c r="F40" i="44"/>
  <c r="F41" i="44"/>
  <c r="H49" i="20"/>
  <c r="H36" i="44"/>
  <c r="H37" i="44"/>
  <c r="H38" i="44"/>
  <c r="H39" i="44"/>
  <c r="H40" i="44"/>
  <c r="H41" i="44"/>
  <c r="I49" i="20"/>
  <c r="I48" i="64"/>
  <c r="K48" i="64"/>
  <c r="L48" i="64"/>
  <c r="P48" i="64"/>
  <c r="R48" i="64"/>
  <c r="F48" i="20"/>
  <c r="G48" i="20"/>
  <c r="H48" i="20"/>
  <c r="I48" i="20"/>
  <c r="I47" i="64"/>
  <c r="K47" i="64"/>
  <c r="L47" i="64"/>
  <c r="P47" i="64"/>
  <c r="R47" i="64"/>
  <c r="F47" i="20"/>
  <c r="G47" i="20"/>
  <c r="H47" i="20"/>
  <c r="I47" i="20"/>
  <c r="I36" i="44"/>
  <c r="I37" i="44"/>
  <c r="I38" i="44"/>
  <c r="I39" i="44"/>
  <c r="I40" i="44"/>
  <c r="J48" i="20"/>
  <c r="J47" i="20"/>
  <c r="BM14" i="44"/>
  <c r="K54" i="20" s="1"/>
  <c r="AQ124" i="44"/>
  <c r="AQ125" i="44"/>
  <c r="AQ126" i="44"/>
  <c r="AQ127" i="44"/>
  <c r="AQ128" i="44"/>
  <c r="L40" i="44"/>
  <c r="K48" i="20"/>
  <c r="BM16" i="44"/>
  <c r="M54" i="20" s="1"/>
  <c r="J36" i="44"/>
  <c r="J37" i="44"/>
  <c r="J38" i="44"/>
  <c r="J39" i="44"/>
  <c r="J40" i="44"/>
  <c r="L48" i="20"/>
  <c r="M48" i="20"/>
  <c r="BM17" i="44"/>
  <c r="N54" i="20" s="1"/>
  <c r="K36" i="44"/>
  <c r="K37" i="44"/>
  <c r="K38" i="44"/>
  <c r="K39" i="44"/>
  <c r="K40" i="44"/>
  <c r="N48" i="20"/>
  <c r="AM124" i="44"/>
  <c r="AM125" i="44"/>
  <c r="AM126" i="44"/>
  <c r="AM127" i="44"/>
  <c r="AM128" i="44"/>
  <c r="M40" i="44"/>
  <c r="O48" i="20"/>
  <c r="BM19" i="44"/>
  <c r="P54" i="20" s="1"/>
  <c r="AK124" i="44"/>
  <c r="AK125" i="44"/>
  <c r="AK126" i="44"/>
  <c r="AK127" i="44"/>
  <c r="AK128" i="44"/>
  <c r="N40" i="44"/>
  <c r="P48" i="20"/>
  <c r="AS124" i="44"/>
  <c r="AS125" i="44"/>
  <c r="AS126" i="44"/>
  <c r="AS127" i="44"/>
  <c r="AS128" i="44"/>
  <c r="O40" i="44"/>
  <c r="Q48" i="20"/>
  <c r="BM21" i="44"/>
  <c r="R54" i="20" s="1"/>
  <c r="T28" i="22" s="1"/>
  <c r="AY124" i="44"/>
  <c r="AY125" i="44"/>
  <c r="AY126" i="44"/>
  <c r="AY127" i="44"/>
  <c r="AY128" i="44"/>
  <c r="P40" i="44"/>
  <c r="R48" i="20"/>
  <c r="R40" i="44"/>
  <c r="F2" i="22"/>
  <c r="L39" i="44"/>
  <c r="K47" i="20"/>
  <c r="L47" i="20"/>
  <c r="M47" i="20"/>
  <c r="O47" i="22"/>
  <c r="N47" i="20"/>
  <c r="M39" i="44"/>
  <c r="O47" i="20"/>
  <c r="N39" i="44"/>
  <c r="P47" i="20"/>
  <c r="O39" i="44"/>
  <c r="Q47" i="20"/>
  <c r="P39" i="44"/>
  <c r="R47" i="20"/>
  <c r="R39" i="44"/>
  <c r="J46" i="20"/>
  <c r="L38" i="44"/>
  <c r="K46" i="20"/>
  <c r="L46" i="20"/>
  <c r="M46" i="20"/>
  <c r="N46" i="20"/>
  <c r="P46" i="22"/>
  <c r="M38" i="44"/>
  <c r="O46" i="20"/>
  <c r="N38" i="44"/>
  <c r="P46" i="20"/>
  <c r="O38" i="44"/>
  <c r="Q46" i="20"/>
  <c r="P38" i="44"/>
  <c r="R46" i="20"/>
  <c r="R38" i="44"/>
  <c r="I46" i="64"/>
  <c r="K46" i="64"/>
  <c r="L46" i="64"/>
  <c r="P46" i="64"/>
  <c r="R46" i="64"/>
  <c r="F46" i="20"/>
  <c r="H46" i="22"/>
  <c r="C46" i="22" s="1"/>
  <c r="G46" i="20"/>
  <c r="H46" i="20"/>
  <c r="I46" i="20"/>
  <c r="O47" i="64"/>
  <c r="Q47" i="64"/>
  <c r="C47" i="20"/>
  <c r="D39" i="44"/>
  <c r="E47" i="20"/>
  <c r="Q39" i="44"/>
  <c r="S47" i="20"/>
  <c r="O46" i="64"/>
  <c r="Q46" i="64"/>
  <c r="C46" i="20"/>
  <c r="D38" i="44"/>
  <c r="E46" i="20"/>
  <c r="Q38" i="44"/>
  <c r="S46" i="20"/>
  <c r="U46" i="22"/>
  <c r="J45" i="20"/>
  <c r="L37" i="44"/>
  <c r="K45" i="20"/>
  <c r="M45" i="22"/>
  <c r="L45" i="20"/>
  <c r="M45" i="20"/>
  <c r="N45" i="20"/>
  <c r="M37" i="44"/>
  <c r="O45" i="20"/>
  <c r="N37" i="44"/>
  <c r="P45" i="20"/>
  <c r="O37" i="44"/>
  <c r="Q45" i="20"/>
  <c r="P37" i="44"/>
  <c r="R45" i="20"/>
  <c r="R37" i="44"/>
  <c r="C45" i="20"/>
  <c r="D37" i="44"/>
  <c r="E45" i="20"/>
  <c r="Q37" i="44"/>
  <c r="S45" i="20"/>
  <c r="J44" i="20"/>
  <c r="L36" i="44"/>
  <c r="K44" i="20"/>
  <c r="M44" i="22"/>
  <c r="L44" i="20"/>
  <c r="M44" i="20"/>
  <c r="N44" i="20"/>
  <c r="P44" i="22"/>
  <c r="M36" i="44"/>
  <c r="O44" i="20"/>
  <c r="N36" i="44"/>
  <c r="P44" i="20"/>
  <c r="O36" i="44"/>
  <c r="Q44" i="20"/>
  <c r="P36" i="44"/>
  <c r="R44" i="20"/>
  <c r="R36" i="44"/>
  <c r="D36" i="44"/>
  <c r="E44" i="20"/>
  <c r="Q36" i="44"/>
  <c r="S44" i="20"/>
  <c r="M43" i="22"/>
  <c r="O48" i="64"/>
  <c r="Q48" i="64"/>
  <c r="C48" i="20"/>
  <c r="D40" i="44"/>
  <c r="E48" i="20"/>
  <c r="Q40" i="44"/>
  <c r="S48" i="20"/>
  <c r="G7" i="22"/>
  <c r="H6" i="22"/>
  <c r="I41" i="44"/>
  <c r="J49" i="20"/>
  <c r="AQ129" i="44"/>
  <c r="L41" i="44"/>
  <c r="K49" i="20"/>
  <c r="M49" i="22"/>
  <c r="J41" i="44"/>
  <c r="L49" i="20"/>
  <c r="M49" i="20"/>
  <c r="K41" i="44"/>
  <c r="N49" i="20"/>
  <c r="AM129" i="44"/>
  <c r="M41" i="44"/>
  <c r="O49" i="20"/>
  <c r="AK129" i="44"/>
  <c r="N41" i="44"/>
  <c r="P49" i="20"/>
  <c r="AS129" i="44"/>
  <c r="O41" i="44"/>
  <c r="Q49" i="20"/>
  <c r="AY129" i="44"/>
  <c r="P41" i="44"/>
  <c r="R49" i="20"/>
  <c r="F45" i="20"/>
  <c r="G45" i="20"/>
  <c r="H45" i="20"/>
  <c r="I45" i="20"/>
  <c r="F44" i="20"/>
  <c r="G44" i="20"/>
  <c r="H44" i="20"/>
  <c r="I44" i="20"/>
  <c r="M42" i="22"/>
  <c r="R42" i="22"/>
  <c r="M41" i="22"/>
  <c r="P41" i="22"/>
  <c r="T41" i="22"/>
  <c r="G42" i="22"/>
  <c r="H40" i="22"/>
  <c r="D40" i="17"/>
  <c r="F41" i="22"/>
  <c r="M40" i="22"/>
  <c r="M39" i="22"/>
  <c r="O39" i="22"/>
  <c r="F40" i="22"/>
  <c r="F39" i="22"/>
  <c r="M38" i="22"/>
  <c r="R38" i="22"/>
  <c r="M37" i="22"/>
  <c r="P37" i="22"/>
  <c r="F38" i="22"/>
  <c r="F37" i="22"/>
  <c r="U37" i="22"/>
  <c r="M36" i="22"/>
  <c r="P36" i="22"/>
  <c r="F36" i="22"/>
  <c r="U36" i="22"/>
  <c r="M35" i="22"/>
  <c r="M34" i="22"/>
  <c r="O34" i="22"/>
  <c r="H34" i="22"/>
  <c r="D34" i="17"/>
  <c r="F35" i="22"/>
  <c r="F34" i="22"/>
  <c r="M33" i="22"/>
  <c r="O33" i="22"/>
  <c r="P33" i="22"/>
  <c r="R33" i="22"/>
  <c r="M32" i="22"/>
  <c r="N32" i="22"/>
  <c r="O32" i="22"/>
  <c r="P32" i="22"/>
  <c r="R32" i="22"/>
  <c r="T32" i="22"/>
  <c r="F33" i="22"/>
  <c r="U33" i="22"/>
  <c r="F32" i="22"/>
  <c r="G32" i="22"/>
  <c r="M31" i="22"/>
  <c r="N31" i="22"/>
  <c r="O31" i="22"/>
  <c r="P31" i="22"/>
  <c r="R31" i="22"/>
  <c r="T31" i="22"/>
  <c r="M30" i="22"/>
  <c r="N30" i="22"/>
  <c r="O30" i="22"/>
  <c r="P30" i="22"/>
  <c r="R30" i="22"/>
  <c r="H32" i="22"/>
  <c r="C32" i="22"/>
  <c r="H31" i="22"/>
  <c r="D31" i="17"/>
  <c r="H30" i="22"/>
  <c r="J30" i="22"/>
  <c r="D30" i="17"/>
  <c r="F31" i="22"/>
  <c r="M29" i="22"/>
  <c r="O29" i="22"/>
  <c r="P29" i="22"/>
  <c r="R29" i="22"/>
  <c r="M28" i="22"/>
  <c r="N28" i="22"/>
  <c r="O28" i="22"/>
  <c r="P28" i="22"/>
  <c r="R28" i="22"/>
  <c r="F30" i="22"/>
  <c r="H29" i="22"/>
  <c r="D29" i="17"/>
  <c r="H28" i="22"/>
  <c r="D28" i="17"/>
  <c r="F29" i="22"/>
  <c r="G29" i="22"/>
  <c r="U29" i="22"/>
  <c r="M27" i="22"/>
  <c r="O27" i="22"/>
  <c r="P27" i="22"/>
  <c r="R27" i="22"/>
  <c r="M26" i="22"/>
  <c r="N26" i="22"/>
  <c r="O26" i="22"/>
  <c r="P26" i="22"/>
  <c r="R26" i="22"/>
  <c r="H27" i="22"/>
  <c r="D27" i="17"/>
  <c r="H26" i="22"/>
  <c r="D26" i="17"/>
  <c r="M24" i="22"/>
  <c r="N24" i="22"/>
  <c r="O24" i="22"/>
  <c r="P24" i="22"/>
  <c r="R24" i="22"/>
  <c r="M23" i="22"/>
  <c r="O23" i="22"/>
  <c r="P23" i="22"/>
  <c r="R23" i="22"/>
  <c r="M22" i="22"/>
  <c r="N22" i="22"/>
  <c r="O22" i="22"/>
  <c r="P22" i="22"/>
  <c r="R22" i="22"/>
  <c r="H23" i="22"/>
  <c r="D23" i="17"/>
  <c r="H22" i="22"/>
  <c r="D22" i="17"/>
  <c r="E23" i="17" s="1"/>
  <c r="F22" i="22"/>
  <c r="U22" i="22"/>
  <c r="F21" i="22"/>
  <c r="G21" i="22"/>
  <c r="U21" i="22"/>
  <c r="H19" i="22"/>
  <c r="J19" i="22"/>
  <c r="D19" i="17"/>
  <c r="H18" i="22"/>
  <c r="J18" i="22"/>
  <c r="D18" i="17"/>
  <c r="M18" i="22"/>
  <c r="N18" i="22"/>
  <c r="O18" i="22"/>
  <c r="P18" i="22"/>
  <c r="R18" i="22"/>
  <c r="T18" i="22"/>
  <c r="M17" i="22"/>
  <c r="N17" i="22"/>
  <c r="O17" i="22"/>
  <c r="P17" i="22"/>
  <c r="R17" i="22"/>
  <c r="T17" i="22"/>
  <c r="F28" i="22"/>
  <c r="U28" i="22"/>
  <c r="F27" i="22"/>
  <c r="G27" i="22"/>
  <c r="U27" i="22"/>
  <c r="M25" i="22"/>
  <c r="N25" i="22"/>
  <c r="O25" i="22"/>
  <c r="P25" i="22"/>
  <c r="R25" i="22"/>
  <c r="T25" i="22"/>
  <c r="H25" i="22"/>
  <c r="J25" i="22"/>
  <c r="D25" i="17"/>
  <c r="F26" i="22"/>
  <c r="G26" i="22"/>
  <c r="U26" i="22"/>
  <c r="F24" i="22"/>
  <c r="U24" i="22"/>
  <c r="F23" i="22"/>
  <c r="G23" i="22"/>
  <c r="U23" i="22"/>
  <c r="H24" i="22"/>
  <c r="D24" i="17"/>
  <c r="E24" i="17" s="1"/>
  <c r="F25" i="22"/>
  <c r="G25" i="22"/>
  <c r="U25" i="22"/>
  <c r="H21" i="22"/>
  <c r="C21" i="22" s="1"/>
  <c r="J21" i="22"/>
  <c r="D21" i="17"/>
  <c r="E22" i="17" s="1"/>
  <c r="F20" i="22"/>
  <c r="U20" i="22"/>
  <c r="F19" i="22"/>
  <c r="G19" i="22"/>
  <c r="U19" i="22"/>
  <c r="M21" i="22"/>
  <c r="N21" i="22"/>
  <c r="O21" i="22"/>
  <c r="P21" i="22"/>
  <c r="R21" i="22"/>
  <c r="T21" i="22"/>
  <c r="H20" i="22"/>
  <c r="D20" i="17"/>
  <c r="E20" i="17" s="1"/>
  <c r="M19" i="22"/>
  <c r="N19" i="22"/>
  <c r="O19" i="22"/>
  <c r="P19" i="22"/>
  <c r="R19" i="22"/>
  <c r="T19" i="22"/>
  <c r="H17" i="22"/>
  <c r="C17" i="22" s="1"/>
  <c r="J17" i="22"/>
  <c r="D17" i="17"/>
  <c r="F18" i="22"/>
  <c r="U18" i="22"/>
  <c r="F17" i="22"/>
  <c r="G17" i="22"/>
  <c r="U17" i="22"/>
  <c r="AZ16" i="6"/>
  <c r="BB16" i="6"/>
  <c r="T16" i="6"/>
  <c r="M16" i="22"/>
  <c r="N16" i="22"/>
  <c r="O16" i="22"/>
  <c r="BD15" i="6"/>
  <c r="BD16" i="6"/>
  <c r="Y16" i="6"/>
  <c r="P16" i="22"/>
  <c r="BF15" i="6"/>
  <c r="BF16" i="6"/>
  <c r="AA16" i="6"/>
  <c r="BH15" i="6"/>
  <c r="BH16" i="6"/>
  <c r="AC16" i="6"/>
  <c r="R16" i="22"/>
  <c r="BJ15" i="6"/>
  <c r="BJ16" i="6"/>
  <c r="AE16" i="6"/>
  <c r="AG16" i="6"/>
  <c r="T16" i="22"/>
  <c r="M15" i="22"/>
  <c r="N15" i="22"/>
  <c r="O15" i="22"/>
  <c r="Y15" i="6"/>
  <c r="AA15" i="6"/>
  <c r="AC15" i="6"/>
  <c r="R15" i="22"/>
  <c r="AE15" i="6"/>
  <c r="AG15" i="6"/>
  <c r="T15" i="22"/>
  <c r="H15" i="17"/>
  <c r="M14" i="22"/>
  <c r="N14" i="22"/>
  <c r="O14" i="22"/>
  <c r="R14" i="22"/>
  <c r="T14" i="22"/>
  <c r="H14" i="17"/>
  <c r="M13" i="22"/>
  <c r="N13" i="22"/>
  <c r="O13" i="22"/>
  <c r="R13" i="22"/>
  <c r="AG13" i="6"/>
  <c r="T13" i="22"/>
  <c r="M12" i="22"/>
  <c r="N12" i="22"/>
  <c r="O12" i="22"/>
  <c r="R12" i="22"/>
  <c r="T12" i="22"/>
  <c r="H16" i="22"/>
  <c r="J16" i="22"/>
  <c r="D16" i="17"/>
  <c r="H15" i="22"/>
  <c r="D15" i="17"/>
  <c r="AL15" i="6"/>
  <c r="AL16" i="6"/>
  <c r="AN16" i="6"/>
  <c r="B16" i="6"/>
  <c r="AO16" i="6"/>
  <c r="D16" i="6"/>
  <c r="F16" i="22"/>
  <c r="AH16" i="6"/>
  <c r="U16" i="22"/>
  <c r="AN15" i="6"/>
  <c r="B15" i="6"/>
  <c r="AO15" i="6"/>
  <c r="D15" i="6"/>
  <c r="F15" i="22"/>
  <c r="G15" i="22"/>
  <c r="AH15" i="6"/>
  <c r="U15" i="22"/>
  <c r="AL13" i="6"/>
  <c r="AN13" i="6"/>
  <c r="B13" i="6"/>
  <c r="AO13" i="6"/>
  <c r="D13" i="6"/>
  <c r="F13" i="22"/>
  <c r="AH13" i="6"/>
  <c r="U13" i="22"/>
  <c r="F12" i="22"/>
  <c r="G12" i="22"/>
  <c r="U12" i="22"/>
  <c r="M11" i="22"/>
  <c r="N11" i="22"/>
  <c r="O11" i="22"/>
  <c r="R11" i="22"/>
  <c r="M10" i="22"/>
  <c r="N10" i="22"/>
  <c r="O10" i="22"/>
  <c r="R10" i="22"/>
  <c r="T10" i="22"/>
  <c r="M9" i="22"/>
  <c r="N9" i="22"/>
  <c r="O9" i="22"/>
  <c r="R9" i="22"/>
  <c r="H10" i="22"/>
  <c r="J10" i="22"/>
  <c r="D10" i="17"/>
  <c r="H11" i="22"/>
  <c r="J11" i="22"/>
  <c r="C11" i="22"/>
  <c r="AN11" i="6"/>
  <c r="B11" i="6"/>
  <c r="AO11" i="6"/>
  <c r="D11" i="6"/>
  <c r="F11" i="22"/>
  <c r="AH3" i="6"/>
  <c r="AH4" i="6"/>
  <c r="AH5" i="6" s="1"/>
  <c r="M8" i="22"/>
  <c r="N8" i="22"/>
  <c r="O8" i="22"/>
  <c r="R8" i="22"/>
  <c r="M7" i="22"/>
  <c r="N7" i="22"/>
  <c r="O7" i="22"/>
  <c r="R7" i="22"/>
  <c r="T7" i="22"/>
  <c r="M6" i="22"/>
  <c r="N6" i="22"/>
  <c r="O6" i="22"/>
  <c r="R6" i="22"/>
  <c r="T6" i="22"/>
  <c r="M5" i="22"/>
  <c r="N5" i="22"/>
  <c r="O5" i="22"/>
  <c r="R5" i="22"/>
  <c r="T5" i="22"/>
  <c r="H13" i="22"/>
  <c r="D13" i="17" s="1"/>
  <c r="J13" i="22"/>
  <c r="C13" i="22"/>
  <c r="H14" i="22"/>
  <c r="D14" i="17" s="1"/>
  <c r="C14" i="22"/>
  <c r="F14" i="22"/>
  <c r="G14" i="22"/>
  <c r="U14" i="22"/>
  <c r="F10" i="22"/>
  <c r="G10" i="22"/>
  <c r="H9" i="22"/>
  <c r="J9" i="22"/>
  <c r="AV7" i="6"/>
  <c r="AV8" i="6"/>
  <c r="AV9" i="6" s="1"/>
  <c r="AL5" i="6"/>
  <c r="AL6" i="6"/>
  <c r="AL7" i="6" s="1"/>
  <c r="F9" i="22"/>
  <c r="G9" i="22"/>
  <c r="F8" i="22"/>
  <c r="G8" i="22"/>
  <c r="H8" i="22"/>
  <c r="J8" i="22"/>
  <c r="J7" i="22"/>
  <c r="F7" i="22"/>
  <c r="J6" i="22"/>
  <c r="AO6" i="6"/>
  <c r="D6" i="6" s="1"/>
  <c r="F6" i="22"/>
  <c r="M4" i="22"/>
  <c r="N4" i="22"/>
  <c r="O4" i="22"/>
  <c r="R4" i="22"/>
  <c r="T4" i="22"/>
  <c r="M3" i="22"/>
  <c r="N3" i="22"/>
  <c r="O3" i="22"/>
  <c r="R3" i="22"/>
  <c r="T3" i="22"/>
  <c r="AN5" i="6"/>
  <c r="B5" i="6" s="1"/>
  <c r="AO5" i="6"/>
  <c r="D5" i="6"/>
  <c r="F5" i="22"/>
  <c r="F4" i="22"/>
  <c r="U4" i="22"/>
  <c r="J5" i="22"/>
  <c r="J4" i="22"/>
  <c r="J3" i="22"/>
  <c r="M2" i="22"/>
  <c r="N2" i="22"/>
  <c r="O2" i="22"/>
  <c r="R2" i="22"/>
  <c r="T2" i="22"/>
  <c r="F3" i="22"/>
  <c r="U3" i="22"/>
  <c r="J33" i="66"/>
  <c r="I33" i="66"/>
  <c r="J62" i="66"/>
  <c r="I62" i="66"/>
  <c r="N77" i="66"/>
  <c r="J77" i="66"/>
  <c r="I77" i="66"/>
  <c r="N83" i="66"/>
  <c r="J83" i="66"/>
  <c r="I83" i="66"/>
  <c r="N85" i="66"/>
  <c r="J85" i="66"/>
  <c r="I85" i="66"/>
  <c r="N92" i="66"/>
  <c r="J92" i="66"/>
  <c r="I92" i="66"/>
  <c r="N93" i="66"/>
  <c r="J93" i="66"/>
  <c r="I93" i="66"/>
  <c r="N100" i="66"/>
  <c r="J100" i="66"/>
  <c r="I100" i="66"/>
  <c r="N101" i="66"/>
  <c r="J101" i="66"/>
  <c r="I101" i="66"/>
  <c r="N107" i="66"/>
  <c r="J107" i="66"/>
  <c r="I107" i="66"/>
  <c r="N109" i="66"/>
  <c r="J109" i="66"/>
  <c r="I109" i="66"/>
  <c r="N116" i="66"/>
  <c r="J116" i="66"/>
  <c r="I116" i="66"/>
  <c r="N119" i="66"/>
  <c r="J119" i="66"/>
  <c r="I119" i="66"/>
  <c r="N124" i="66"/>
  <c r="J124" i="66"/>
  <c r="I124" i="66"/>
  <c r="N125" i="66"/>
  <c r="J125" i="66"/>
  <c r="I125" i="66"/>
  <c r="N130" i="66"/>
  <c r="J130" i="66"/>
  <c r="I130" i="66"/>
  <c r="N133" i="66"/>
  <c r="J133" i="66"/>
  <c r="I133" i="66"/>
  <c r="N138" i="66"/>
  <c r="N141" i="66"/>
  <c r="N151" i="66"/>
  <c r="N147" i="66"/>
  <c r="I149" i="66"/>
  <c r="N158" i="66"/>
  <c r="N154" i="66"/>
  <c r="N163" i="66"/>
  <c r="I167" i="66"/>
  <c r="N165" i="66"/>
  <c r="N488" i="66"/>
  <c r="N476" i="66"/>
  <c r="N468" i="66"/>
  <c r="N460" i="66"/>
  <c r="N452" i="66"/>
  <c r="N444" i="66"/>
  <c r="N436" i="66"/>
  <c r="N428" i="66"/>
  <c r="N420" i="66"/>
  <c r="N412" i="66"/>
  <c r="N404" i="66"/>
  <c r="N396" i="66"/>
  <c r="H38" i="22"/>
  <c r="C38" i="22" s="1"/>
  <c r="J38" i="22"/>
  <c r="D38" i="17"/>
  <c r="C34" i="22"/>
  <c r="H33" i="22"/>
  <c r="J33" i="22"/>
  <c r="D33" i="17"/>
  <c r="C31" i="22"/>
  <c r="E30" i="17"/>
  <c r="C30" i="22"/>
  <c r="E28" i="17"/>
  <c r="C28" i="22"/>
  <c r="C27" i="22"/>
  <c r="M20" i="22"/>
  <c r="N20" i="22"/>
  <c r="O20" i="22"/>
  <c r="P20" i="22"/>
  <c r="R20" i="22"/>
  <c r="T20" i="22"/>
  <c r="C26" i="22"/>
  <c r="C25" i="22"/>
  <c r="C23" i="22"/>
  <c r="C22" i="22"/>
  <c r="E21" i="17"/>
  <c r="C19" i="22"/>
  <c r="C18" i="22"/>
  <c r="E17" i="17"/>
  <c r="I15" i="17"/>
  <c r="C16" i="22"/>
  <c r="H12" i="22"/>
  <c r="C12" i="22" s="1"/>
  <c r="J12" i="22"/>
  <c r="D12" i="17"/>
  <c r="E15" i="17"/>
  <c r="C15" i="22"/>
  <c r="N84" i="66"/>
  <c r="J84" i="66"/>
  <c r="I84" i="66"/>
  <c r="N80" i="66"/>
  <c r="J80" i="66"/>
  <c r="I80" i="66"/>
  <c r="N91" i="66"/>
  <c r="J91" i="66"/>
  <c r="I91" i="66"/>
  <c r="N88" i="66"/>
  <c r="J88" i="66"/>
  <c r="I88" i="66"/>
  <c r="N99" i="66"/>
  <c r="J99" i="66"/>
  <c r="I99" i="66"/>
  <c r="J98" i="66"/>
  <c r="I98" i="66"/>
  <c r="N106" i="66"/>
  <c r="J106" i="66"/>
  <c r="I106" i="66"/>
  <c r="N104" i="66"/>
  <c r="J104" i="66"/>
  <c r="I104" i="66"/>
  <c r="N115" i="66"/>
  <c r="J115" i="66"/>
  <c r="I115" i="66"/>
  <c r="N112" i="66"/>
  <c r="J112" i="66"/>
  <c r="I112" i="66"/>
  <c r="N120" i="66"/>
  <c r="J120" i="66"/>
  <c r="I120" i="66"/>
  <c r="N126" i="66"/>
  <c r="J126" i="66"/>
  <c r="I126" i="66"/>
  <c r="N129" i="66"/>
  <c r="J129" i="66"/>
  <c r="I129" i="66"/>
  <c r="N134" i="66"/>
  <c r="J134" i="66"/>
  <c r="I134" i="66"/>
  <c r="N137" i="66"/>
  <c r="J137" i="66"/>
  <c r="I137" i="66"/>
  <c r="N143" i="66"/>
  <c r="I144" i="66"/>
  <c r="N149" i="66"/>
  <c r="N145" i="66"/>
  <c r="N160" i="66"/>
  <c r="N156" i="66"/>
  <c r="N152" i="66"/>
  <c r="I164" i="66"/>
  <c r="N168" i="66"/>
  <c r="I165" i="66"/>
  <c r="N480" i="66"/>
  <c r="N472" i="66"/>
  <c r="N464" i="66"/>
  <c r="N456" i="66"/>
  <c r="N448" i="66"/>
  <c r="N440" i="66"/>
  <c r="N432" i="66"/>
  <c r="N424" i="66"/>
  <c r="N416" i="66"/>
  <c r="N408" i="66"/>
  <c r="N400" i="66"/>
  <c r="N392" i="66"/>
  <c r="BM24" i="44"/>
  <c r="N68" i="66"/>
  <c r="J68" i="66"/>
  <c r="I68" i="66"/>
  <c r="N63" i="66"/>
  <c r="J63" i="66"/>
  <c r="I63" i="66"/>
  <c r="E61" i="67"/>
  <c r="N61" i="66"/>
  <c r="J61" i="66"/>
  <c r="I61" i="66"/>
  <c r="N59" i="66"/>
  <c r="J59" i="66"/>
  <c r="I59" i="66"/>
  <c r="N58" i="66"/>
  <c r="J58" i="66"/>
  <c r="I58" i="66"/>
  <c r="N57" i="66"/>
  <c r="J57" i="66"/>
  <c r="I57" i="66"/>
  <c r="N55" i="66"/>
  <c r="J55" i="66"/>
  <c r="I55" i="66"/>
  <c r="N54" i="66"/>
  <c r="J54" i="66"/>
  <c r="I54" i="66"/>
  <c r="N53" i="66"/>
  <c r="J53" i="66"/>
  <c r="I53" i="66"/>
  <c r="N51" i="66"/>
  <c r="J51" i="66"/>
  <c r="I51" i="66"/>
  <c r="N48" i="66"/>
  <c r="J48" i="66"/>
  <c r="I48" i="66"/>
  <c r="N43" i="66"/>
  <c r="J43" i="66"/>
  <c r="I43" i="66"/>
  <c r="N42" i="66"/>
  <c r="J42" i="66"/>
  <c r="I42" i="66"/>
  <c r="N41" i="66"/>
  <c r="J41" i="66"/>
  <c r="I41" i="66"/>
  <c r="N39" i="66"/>
  <c r="J39" i="66"/>
  <c r="I39" i="66"/>
  <c r="N36" i="66"/>
  <c r="J36" i="66"/>
  <c r="I36" i="66"/>
  <c r="N34" i="66"/>
  <c r="J34" i="66"/>
  <c r="I34" i="66"/>
  <c r="N28" i="66"/>
  <c r="J28" i="66"/>
  <c r="I28" i="66"/>
  <c r="J35" i="66"/>
  <c r="I35" i="66"/>
  <c r="J27" i="66"/>
  <c r="I27" i="66"/>
  <c r="N71" i="66"/>
  <c r="J71" i="66"/>
  <c r="I71" i="66"/>
  <c r="N70" i="66"/>
  <c r="J70" i="66"/>
  <c r="I70" i="66"/>
  <c r="N69" i="66"/>
  <c r="J69" i="66"/>
  <c r="I69" i="66"/>
  <c r="N67" i="66"/>
  <c r="J67" i="66"/>
  <c r="I67" i="66"/>
  <c r="N66" i="66"/>
  <c r="J66" i="66"/>
  <c r="I66" i="66"/>
  <c r="N65" i="66"/>
  <c r="J65" i="66"/>
  <c r="I65" i="66"/>
  <c r="E64" i="67"/>
  <c r="N64" i="66"/>
  <c r="J64" i="66"/>
  <c r="I64" i="66"/>
  <c r="N60" i="66"/>
  <c r="J60" i="66"/>
  <c r="I60" i="66"/>
  <c r="N56" i="66"/>
  <c r="J56" i="66"/>
  <c r="I56" i="66"/>
  <c r="N52" i="66"/>
  <c r="J52" i="66"/>
  <c r="I52" i="66"/>
  <c r="N49" i="66"/>
  <c r="J49" i="66"/>
  <c r="I49" i="66"/>
  <c r="N47" i="66"/>
  <c r="J47" i="66"/>
  <c r="I47" i="66"/>
  <c r="N46" i="66"/>
  <c r="J46" i="66"/>
  <c r="I46" i="66"/>
  <c r="N45" i="66"/>
  <c r="J45" i="66"/>
  <c r="I45" i="66"/>
  <c r="E44" i="67"/>
  <c r="N44" i="66"/>
  <c r="J44" i="66"/>
  <c r="I44" i="66"/>
  <c r="N40" i="66"/>
  <c r="J40" i="66"/>
  <c r="I40" i="66"/>
  <c r="N32" i="66"/>
  <c r="J32" i="66"/>
  <c r="I32" i="66"/>
  <c r="N30" i="66"/>
  <c r="J30" i="66"/>
  <c r="I30" i="66"/>
  <c r="N62" i="66"/>
  <c r="J74" i="66"/>
  <c r="I74" i="66"/>
  <c r="N79" i="66"/>
  <c r="J79" i="66"/>
  <c r="I79" i="66"/>
  <c r="N78" i="66"/>
  <c r="J78" i="66"/>
  <c r="I78" i="66"/>
  <c r="N82" i="66"/>
  <c r="J82" i="66"/>
  <c r="I82" i="66"/>
  <c r="N81" i="66"/>
  <c r="J81" i="66"/>
  <c r="I81" i="66"/>
  <c r="N87" i="66"/>
  <c r="J87" i="66"/>
  <c r="I87" i="66"/>
  <c r="J86" i="66"/>
  <c r="I86" i="66"/>
  <c r="N89" i="66"/>
  <c r="J89" i="66"/>
  <c r="I89" i="66"/>
  <c r="N90" i="66"/>
  <c r="J90" i="66"/>
  <c r="I90" i="66"/>
  <c r="N95" i="66"/>
  <c r="J95" i="66"/>
  <c r="I95" i="66"/>
  <c r="N94" i="66"/>
  <c r="J94" i="66"/>
  <c r="I94" i="66"/>
  <c r="N96" i="66"/>
  <c r="J96" i="66"/>
  <c r="I96" i="66"/>
  <c r="N97" i="66"/>
  <c r="J97" i="66"/>
  <c r="I97" i="66"/>
  <c r="N103" i="66"/>
  <c r="J103" i="66"/>
  <c r="I103" i="66"/>
  <c r="N102" i="66"/>
  <c r="J102" i="66"/>
  <c r="I102" i="66"/>
  <c r="N108" i="66"/>
  <c r="J108" i="66"/>
  <c r="I108" i="66"/>
  <c r="N105" i="66"/>
  <c r="J105" i="66"/>
  <c r="I105" i="66"/>
  <c r="N111" i="66"/>
  <c r="J111" i="66"/>
  <c r="I111" i="66"/>
  <c r="J110" i="66"/>
  <c r="I110" i="66"/>
  <c r="N113" i="66"/>
  <c r="J113" i="66"/>
  <c r="I113" i="66"/>
  <c r="N114" i="66"/>
  <c r="J114" i="66"/>
  <c r="I114" i="66"/>
  <c r="N118" i="66"/>
  <c r="J118" i="66"/>
  <c r="I118" i="66"/>
  <c r="N117" i="66"/>
  <c r="J117" i="66"/>
  <c r="I117" i="66"/>
  <c r="N121" i="66"/>
  <c r="J121" i="66"/>
  <c r="I121" i="66"/>
  <c r="N123" i="66"/>
  <c r="J123" i="66"/>
  <c r="I123" i="66"/>
  <c r="N127" i="66"/>
  <c r="J127" i="66"/>
  <c r="I127" i="66"/>
  <c r="N132" i="66"/>
  <c r="J132" i="66"/>
  <c r="I132" i="66"/>
  <c r="N131" i="66"/>
  <c r="J131" i="66"/>
  <c r="I131" i="66"/>
  <c r="N128" i="66"/>
  <c r="J128" i="66"/>
  <c r="I128" i="66"/>
  <c r="N135" i="66"/>
  <c r="J135" i="66"/>
  <c r="I135" i="66"/>
  <c r="N140" i="66"/>
  <c r="N139" i="66"/>
  <c r="N136" i="66"/>
  <c r="J136" i="66"/>
  <c r="I136" i="66"/>
  <c r="N142" i="66"/>
  <c r="N144" i="66"/>
  <c r="I150" i="66"/>
  <c r="N150" i="66"/>
  <c r="N148" i="66"/>
  <c r="N146" i="66"/>
  <c r="I151" i="66"/>
  <c r="N161" i="66"/>
  <c r="N159" i="66"/>
  <c r="N157" i="66"/>
  <c r="N155" i="66"/>
  <c r="N153" i="66"/>
  <c r="N164" i="66"/>
  <c r="N162" i="66"/>
  <c r="N167" i="66"/>
  <c r="I166" i="66"/>
  <c r="N166" i="66"/>
  <c r="I168" i="66"/>
  <c r="N492" i="66"/>
  <c r="N484" i="66"/>
  <c r="N478" i="66"/>
  <c r="N474" i="66"/>
  <c r="N470" i="66"/>
  <c r="N466" i="66"/>
  <c r="N462" i="66"/>
  <c r="N458" i="66"/>
  <c r="N454" i="66"/>
  <c r="N450" i="66"/>
  <c r="N446" i="66"/>
  <c r="N442" i="66"/>
  <c r="N438" i="66"/>
  <c r="N434" i="66"/>
  <c r="N430" i="66"/>
  <c r="N426" i="66"/>
  <c r="N422" i="66"/>
  <c r="N418" i="66"/>
  <c r="N414" i="66"/>
  <c r="N410" i="66"/>
  <c r="N406" i="66"/>
  <c r="N402" i="66"/>
  <c r="N398" i="66"/>
  <c r="N394" i="66"/>
  <c r="N390" i="66"/>
  <c r="N386" i="66"/>
  <c r="N382" i="66"/>
  <c r="N378" i="66"/>
  <c r="N374" i="66"/>
  <c r="N370" i="66"/>
  <c r="N366" i="66"/>
  <c r="N362" i="66"/>
  <c r="N358" i="66"/>
  <c r="N354" i="66"/>
  <c r="N350" i="66"/>
  <c r="N346" i="66"/>
  <c r="N342" i="66"/>
  <c r="N338" i="66"/>
  <c r="N334" i="66"/>
  <c r="N330" i="66"/>
  <c r="N326" i="66"/>
  <c r="N322" i="66"/>
  <c r="N318" i="66"/>
  <c r="N314" i="66"/>
  <c r="N310" i="66"/>
  <c r="N306" i="66"/>
  <c r="N302" i="66"/>
  <c r="N298" i="66"/>
  <c r="N294" i="66"/>
  <c r="N290" i="66"/>
  <c r="N286" i="66"/>
  <c r="N282" i="66"/>
  <c r="N278" i="66"/>
  <c r="N274" i="66"/>
  <c r="N270" i="66"/>
  <c r="N266" i="66"/>
  <c r="N262" i="66"/>
  <c r="N258" i="66"/>
  <c r="N254" i="66"/>
  <c r="N250" i="66"/>
  <c r="N246" i="66"/>
  <c r="N242" i="66"/>
  <c r="N238" i="66"/>
  <c r="N234" i="66"/>
  <c r="N230" i="66"/>
  <c r="N226" i="66"/>
  <c r="N222" i="66"/>
  <c r="N218" i="66"/>
  <c r="N214" i="66"/>
  <c r="N210" i="66"/>
  <c r="N206" i="66"/>
  <c r="N202" i="66"/>
  <c r="N198" i="66"/>
  <c r="N194" i="66"/>
  <c r="N190" i="66"/>
  <c r="N186" i="66"/>
  <c r="N182" i="66"/>
  <c r="N178" i="66"/>
  <c r="N172" i="66"/>
  <c r="I488" i="66"/>
  <c r="I480" i="66"/>
  <c r="I472" i="66"/>
  <c r="I464" i="66"/>
  <c r="I456" i="66"/>
  <c r="I448" i="66"/>
  <c r="I440" i="66"/>
  <c r="I432" i="66"/>
  <c r="I424" i="66"/>
  <c r="I416" i="66"/>
  <c r="I408" i="66"/>
  <c r="I400" i="66"/>
  <c r="I392" i="66"/>
  <c r="I384" i="66"/>
  <c r="I376" i="66"/>
  <c r="I368" i="66"/>
  <c r="I360" i="66"/>
  <c r="I352" i="66"/>
  <c r="I344" i="66"/>
  <c r="I336" i="66"/>
  <c r="I328" i="66"/>
  <c r="I320" i="66"/>
  <c r="I312" i="66"/>
  <c r="I304" i="66"/>
  <c r="I296" i="66"/>
  <c r="I288" i="66"/>
  <c r="I280" i="66"/>
  <c r="I272" i="66"/>
  <c r="I264" i="66"/>
  <c r="I256" i="66"/>
  <c r="I248" i="66"/>
  <c r="I240" i="66"/>
  <c r="I232" i="66"/>
  <c r="I224" i="66"/>
  <c r="I216" i="66"/>
  <c r="I169" i="66"/>
  <c r="I208" i="66"/>
  <c r="I198" i="66"/>
  <c r="I190" i="66"/>
  <c r="I182" i="66"/>
  <c r="N490" i="66"/>
  <c r="N482" i="66"/>
  <c r="I486" i="66"/>
  <c r="I478" i="66"/>
  <c r="I470" i="66"/>
  <c r="I462" i="66"/>
  <c r="I454" i="66"/>
  <c r="I446" i="66"/>
  <c r="I438" i="66"/>
  <c r="I430" i="66"/>
  <c r="I422" i="66"/>
  <c r="I414" i="66"/>
  <c r="I406" i="66"/>
  <c r="I398" i="66"/>
  <c r="I390" i="66"/>
  <c r="I382" i="66"/>
  <c r="I374" i="66"/>
  <c r="I366" i="66"/>
  <c r="I358" i="66"/>
  <c r="I350" i="66"/>
  <c r="I342" i="66"/>
  <c r="I334" i="66"/>
  <c r="I326" i="66"/>
  <c r="I318" i="66"/>
  <c r="I310" i="66"/>
  <c r="I302" i="66"/>
  <c r="I294" i="66"/>
  <c r="I286" i="66"/>
  <c r="I278" i="66"/>
  <c r="I270" i="66"/>
  <c r="I262" i="66"/>
  <c r="I254" i="66"/>
  <c r="I246" i="66"/>
  <c r="I238" i="66"/>
  <c r="I230" i="66"/>
  <c r="I222" i="66"/>
  <c r="I204" i="66"/>
  <c r="N494" i="66"/>
  <c r="N491" i="66"/>
  <c r="N487" i="66"/>
  <c r="N483" i="66"/>
  <c r="N479" i="66"/>
  <c r="N475" i="66"/>
  <c r="N471" i="66"/>
  <c r="N467" i="66"/>
  <c r="N463" i="66"/>
  <c r="N459" i="66"/>
  <c r="N455" i="66"/>
  <c r="N451" i="66"/>
  <c r="N447" i="66"/>
  <c r="N443" i="66"/>
  <c r="N439" i="66"/>
  <c r="N435" i="66"/>
  <c r="N431" i="66"/>
  <c r="N427" i="66"/>
  <c r="N423" i="66"/>
  <c r="N419" i="66"/>
  <c r="N415" i="66"/>
  <c r="N411" i="66"/>
  <c r="N407" i="66"/>
  <c r="N403" i="66"/>
  <c r="N399" i="66"/>
  <c r="N395" i="66"/>
  <c r="N391" i="66"/>
  <c r="N387" i="66"/>
  <c r="N383" i="66"/>
  <c r="N379" i="66"/>
  <c r="N375" i="66"/>
  <c r="N371" i="66"/>
  <c r="N367" i="66"/>
  <c r="N363" i="66"/>
  <c r="N359" i="66"/>
  <c r="N355" i="66"/>
  <c r="N351" i="66"/>
  <c r="N347" i="66"/>
  <c r="N343" i="66"/>
  <c r="N339" i="66"/>
  <c r="N335" i="66"/>
  <c r="N331" i="66"/>
  <c r="N327" i="66"/>
  <c r="N323" i="66"/>
  <c r="N319" i="66"/>
  <c r="N315" i="66"/>
  <c r="N311" i="66"/>
  <c r="N307" i="66"/>
  <c r="N303" i="66"/>
  <c r="N299" i="66"/>
  <c r="N295" i="66"/>
  <c r="N291" i="66"/>
  <c r="N287" i="66"/>
  <c r="N283" i="66"/>
  <c r="N279" i="66"/>
  <c r="N275" i="66"/>
  <c r="N271" i="66"/>
  <c r="N267" i="66"/>
  <c r="N263" i="66"/>
  <c r="N259" i="66"/>
  <c r="N255" i="66"/>
  <c r="N251" i="66"/>
  <c r="N247" i="66"/>
  <c r="N243" i="66"/>
  <c r="N239" i="66"/>
  <c r="N235" i="66"/>
  <c r="N231" i="66"/>
  <c r="N227" i="66"/>
  <c r="N223" i="66"/>
  <c r="N219" i="66"/>
  <c r="N215" i="66"/>
  <c r="N211" i="66"/>
  <c r="N207" i="66"/>
  <c r="N203" i="66"/>
  <c r="N199" i="66"/>
  <c r="N195" i="66"/>
  <c r="N191" i="66"/>
  <c r="N187" i="66"/>
  <c r="N183" i="66"/>
  <c r="N179" i="66"/>
  <c r="N175" i="66"/>
  <c r="N173" i="66"/>
  <c r="N170" i="66"/>
  <c r="I214" i="66"/>
  <c r="I206" i="66"/>
  <c r="I196" i="66"/>
  <c r="I188" i="66"/>
  <c r="I180" i="66"/>
  <c r="N505" i="66"/>
  <c r="N503" i="66"/>
  <c r="N501" i="66"/>
  <c r="N499" i="66"/>
  <c r="N497" i="66"/>
  <c r="N495" i="66"/>
  <c r="O500" i="66"/>
  <c r="O503" i="66"/>
  <c r="O502" i="66"/>
  <c r="O495" i="66"/>
  <c r="O497" i="66"/>
  <c r="O505" i="66"/>
  <c r="O98" i="66"/>
  <c r="O90" i="66"/>
  <c r="O82" i="66"/>
  <c r="O72" i="66"/>
  <c r="O64" i="66"/>
  <c r="O56" i="66"/>
  <c r="O48" i="66"/>
  <c r="O40" i="66"/>
  <c r="O32" i="66"/>
  <c r="O490" i="66"/>
  <c r="O474" i="66"/>
  <c r="O458" i="66"/>
  <c r="O442" i="66"/>
  <c r="O426" i="66"/>
  <c r="O394" i="66"/>
  <c r="O100" i="66"/>
  <c r="O92" i="66"/>
  <c r="O84" i="66"/>
  <c r="O76" i="66"/>
  <c r="O70" i="66"/>
  <c r="O62" i="66"/>
  <c r="O54" i="66"/>
  <c r="O46" i="66"/>
  <c r="O38" i="66"/>
  <c r="O30" i="66"/>
  <c r="O486" i="66"/>
  <c r="O470" i="66"/>
  <c r="O454" i="66"/>
  <c r="O438" i="66"/>
  <c r="O422" i="66"/>
  <c r="O410" i="66"/>
  <c r="O402" i="66"/>
  <c r="O390" i="66"/>
  <c r="O382" i="66"/>
  <c r="O374" i="66"/>
  <c r="O366" i="66"/>
  <c r="O358" i="66"/>
  <c r="O350" i="66"/>
  <c r="O342" i="66"/>
  <c r="O334" i="66"/>
  <c r="O326" i="66"/>
  <c r="O318" i="66"/>
  <c r="O310" i="66"/>
  <c r="O302" i="66"/>
  <c r="O294" i="66"/>
  <c r="O286" i="66"/>
  <c r="O278" i="66"/>
  <c r="O270" i="66"/>
  <c r="O262" i="66"/>
  <c r="O246" i="66"/>
  <c r="O230" i="66"/>
  <c r="O214" i="66"/>
  <c r="O198" i="66"/>
  <c r="O182" i="66"/>
  <c r="O166" i="66"/>
  <c r="O150" i="66"/>
  <c r="O134" i="66"/>
  <c r="O118" i="66"/>
  <c r="O103" i="66"/>
  <c r="O99" i="66"/>
  <c r="O95" i="66"/>
  <c r="O91" i="66"/>
  <c r="O87" i="66"/>
  <c r="O83" i="66"/>
  <c r="O79" i="66"/>
  <c r="O75" i="66"/>
  <c r="O71" i="66"/>
  <c r="O67" i="66"/>
  <c r="O63" i="66"/>
  <c r="O59" i="66"/>
  <c r="O55" i="66"/>
  <c r="O51" i="66"/>
  <c r="O47" i="66"/>
  <c r="O43" i="66"/>
  <c r="O39" i="66"/>
  <c r="O35" i="66"/>
  <c r="O31" i="66"/>
  <c r="O27" i="66"/>
  <c r="O488" i="66"/>
  <c r="O480" i="66"/>
  <c r="O472" i="66"/>
  <c r="O464" i="66"/>
  <c r="O456" i="66"/>
  <c r="O448" i="66"/>
  <c r="O440" i="66"/>
  <c r="O432" i="66"/>
  <c r="O424" i="66"/>
  <c r="O416" i="66"/>
  <c r="O408" i="66"/>
  <c r="O400" i="66"/>
  <c r="O392" i="66"/>
  <c r="O384" i="66"/>
  <c r="O376" i="66"/>
  <c r="O368" i="66"/>
  <c r="O360" i="66"/>
  <c r="O352" i="66"/>
  <c r="O344" i="66"/>
  <c r="O336" i="66"/>
  <c r="O328" i="66"/>
  <c r="O320" i="66"/>
  <c r="O312" i="66"/>
  <c r="O304" i="66"/>
  <c r="O296" i="66"/>
  <c r="O288" i="66"/>
  <c r="O280" i="66"/>
  <c r="O272" i="66"/>
  <c r="O264" i="66"/>
  <c r="O250" i="66"/>
  <c r="O234" i="66"/>
  <c r="O218" i="66"/>
  <c r="O202" i="66"/>
  <c r="O186" i="66"/>
  <c r="O170" i="66"/>
  <c r="O154" i="66"/>
  <c r="O138" i="66"/>
  <c r="O122" i="66"/>
  <c r="O106" i="66"/>
  <c r="O491" i="66"/>
  <c r="O487" i="66"/>
  <c r="O483" i="66"/>
  <c r="O479" i="66"/>
  <c r="O475" i="66"/>
  <c r="O471" i="66"/>
  <c r="O467" i="66"/>
  <c r="O463" i="66"/>
  <c r="O459" i="66"/>
  <c r="O455" i="66"/>
  <c r="O451" i="66"/>
  <c r="O447" i="66"/>
  <c r="O443" i="66"/>
  <c r="O439" i="66"/>
  <c r="O435" i="66"/>
  <c r="O431" i="66"/>
  <c r="O427" i="66"/>
  <c r="O423" i="66"/>
  <c r="O419" i="66"/>
  <c r="O415" i="66"/>
  <c r="O411" i="66"/>
  <c r="O407" i="66"/>
  <c r="O403" i="66"/>
  <c r="O399" i="66"/>
  <c r="O395" i="66"/>
  <c r="O391" i="66"/>
  <c r="O387" i="66"/>
  <c r="O383" i="66"/>
  <c r="O379" i="66"/>
  <c r="O375" i="66"/>
  <c r="O371" i="66"/>
  <c r="O367" i="66"/>
  <c r="O363" i="66"/>
  <c r="O359" i="66"/>
  <c r="O355" i="66"/>
  <c r="O351" i="66"/>
  <c r="O347" i="66"/>
  <c r="O343" i="66"/>
  <c r="O339" i="66"/>
  <c r="O335" i="66"/>
  <c r="O331" i="66"/>
  <c r="O327" i="66"/>
  <c r="O323" i="66"/>
  <c r="O319" i="66"/>
  <c r="O315" i="66"/>
  <c r="O311" i="66"/>
  <c r="O307" i="66"/>
  <c r="O303" i="66"/>
  <c r="O299" i="66"/>
  <c r="O295" i="66"/>
  <c r="O291" i="66"/>
  <c r="O287" i="66"/>
  <c r="O283" i="66"/>
  <c r="O279" i="66"/>
  <c r="O275" i="66"/>
  <c r="O271" i="66"/>
  <c r="O267" i="66"/>
  <c r="O263" i="66"/>
  <c r="O256" i="66"/>
  <c r="O248" i="66"/>
  <c r="O240" i="66"/>
  <c r="O232" i="66"/>
  <c r="O224" i="66"/>
  <c r="O216" i="66"/>
  <c r="O208" i="66"/>
  <c r="O200" i="66"/>
  <c r="O192" i="66"/>
  <c r="O184" i="66"/>
  <c r="O176" i="66"/>
  <c r="O168" i="66"/>
  <c r="O160" i="66"/>
  <c r="O152" i="66"/>
  <c r="O144" i="66"/>
  <c r="O136" i="66"/>
  <c r="O128" i="66"/>
  <c r="O120" i="66"/>
  <c r="O112" i="66"/>
  <c r="O261" i="66"/>
  <c r="O257" i="66"/>
  <c r="O253" i="66"/>
  <c r="O249" i="66"/>
  <c r="O245" i="66"/>
  <c r="O241" i="66"/>
  <c r="O237" i="66"/>
  <c r="O233" i="66"/>
  <c r="O229" i="66"/>
  <c r="O225" i="66"/>
  <c r="O221" i="66"/>
  <c r="O217" i="66"/>
  <c r="O213" i="66"/>
  <c r="O209" i="66"/>
  <c r="O205" i="66"/>
  <c r="O201" i="66"/>
  <c r="O197" i="66"/>
  <c r="O193" i="66"/>
  <c r="O189" i="66"/>
  <c r="O185" i="66"/>
  <c r="O181" i="66"/>
  <c r="O177" i="66"/>
  <c r="O173" i="66"/>
  <c r="O169" i="66"/>
  <c r="O165" i="66"/>
  <c r="O161" i="66"/>
  <c r="O157" i="66"/>
  <c r="O153" i="66"/>
  <c r="O149" i="66"/>
  <c r="O145" i="66"/>
  <c r="O141" i="66"/>
  <c r="O137" i="66"/>
  <c r="O133" i="66"/>
  <c r="O129" i="66"/>
  <c r="O125" i="66"/>
  <c r="O121" i="66"/>
  <c r="O117" i="66"/>
  <c r="O113" i="66"/>
  <c r="O109" i="66"/>
  <c r="O105" i="66"/>
  <c r="N75" i="66"/>
  <c r="J75" i="66"/>
  <c r="I75" i="66"/>
  <c r="N73" i="66"/>
  <c r="J73" i="66"/>
  <c r="I73" i="66"/>
  <c r="N388" i="66"/>
  <c r="N384" i="66"/>
  <c r="N380" i="66"/>
  <c r="N376" i="66"/>
  <c r="N372" i="66"/>
  <c r="N368" i="66"/>
  <c r="N364" i="66"/>
  <c r="N360" i="66"/>
  <c r="N356" i="66"/>
  <c r="N352" i="66"/>
  <c r="N348" i="66"/>
  <c r="N344" i="66"/>
  <c r="N340" i="66"/>
  <c r="N336" i="66"/>
  <c r="N332" i="66"/>
  <c r="N328" i="66"/>
  <c r="N324" i="66"/>
  <c r="N320" i="66"/>
  <c r="N316" i="66"/>
  <c r="N312" i="66"/>
  <c r="N308" i="66"/>
  <c r="N304" i="66"/>
  <c r="N300" i="66"/>
  <c r="N296" i="66"/>
  <c r="N292" i="66"/>
  <c r="N288" i="66"/>
  <c r="N284" i="66"/>
  <c r="N280" i="66"/>
  <c r="N276" i="66"/>
  <c r="N272" i="66"/>
  <c r="N268" i="66"/>
  <c r="N264" i="66"/>
  <c r="N260" i="66"/>
  <c r="N256" i="66"/>
  <c r="N252" i="66"/>
  <c r="N248" i="66"/>
  <c r="N244" i="66"/>
  <c r="N240" i="66"/>
  <c r="N236" i="66"/>
  <c r="N232" i="66"/>
  <c r="N228" i="66"/>
  <c r="N224" i="66"/>
  <c r="N220" i="66"/>
  <c r="N216" i="66"/>
  <c r="N212" i="66"/>
  <c r="N208" i="66"/>
  <c r="N204" i="66"/>
  <c r="N200" i="66"/>
  <c r="N196" i="66"/>
  <c r="N192" i="66"/>
  <c r="N188" i="66"/>
  <c r="N184" i="66"/>
  <c r="N180" i="66"/>
  <c r="N176" i="66"/>
  <c r="I492" i="66"/>
  <c r="I484" i="66"/>
  <c r="I476" i="66"/>
  <c r="I468" i="66"/>
  <c r="I460" i="66"/>
  <c r="I452" i="66"/>
  <c r="I444" i="66"/>
  <c r="I436" i="66"/>
  <c r="I428" i="66"/>
  <c r="I420" i="66"/>
  <c r="I412" i="66"/>
  <c r="I404" i="66"/>
  <c r="I396" i="66"/>
  <c r="I388" i="66"/>
  <c r="I380" i="66"/>
  <c r="I372" i="66"/>
  <c r="I364" i="66"/>
  <c r="I356" i="66"/>
  <c r="I348" i="66"/>
  <c r="I340" i="66"/>
  <c r="I332" i="66"/>
  <c r="I324" i="66"/>
  <c r="I316" i="66"/>
  <c r="I308" i="66"/>
  <c r="I300" i="66"/>
  <c r="I292" i="66"/>
  <c r="I284" i="66"/>
  <c r="I276" i="66"/>
  <c r="I268" i="66"/>
  <c r="I260" i="66"/>
  <c r="I252" i="66"/>
  <c r="I244" i="66"/>
  <c r="I236" i="66"/>
  <c r="I228" i="66"/>
  <c r="I220" i="66"/>
  <c r="I172" i="66"/>
  <c r="I212" i="66"/>
  <c r="I202" i="66"/>
  <c r="I194" i="66"/>
  <c r="I186" i="66"/>
  <c r="I178" i="66"/>
  <c r="N486" i="66"/>
  <c r="I490" i="66"/>
  <c r="I482" i="66"/>
  <c r="I474" i="66"/>
  <c r="I466" i="66"/>
  <c r="I458" i="66"/>
  <c r="I450" i="66"/>
  <c r="I442" i="66"/>
  <c r="I434" i="66"/>
  <c r="I426" i="66"/>
  <c r="I418" i="66"/>
  <c r="I410" i="66"/>
  <c r="I402" i="66"/>
  <c r="I394" i="66"/>
  <c r="I386" i="66"/>
  <c r="I378" i="66"/>
  <c r="I370" i="66"/>
  <c r="I362" i="66"/>
  <c r="I354" i="66"/>
  <c r="I346" i="66"/>
  <c r="I338" i="66"/>
  <c r="I330" i="66"/>
  <c r="I322" i="66"/>
  <c r="I314" i="66"/>
  <c r="I306" i="66"/>
  <c r="I298" i="66"/>
  <c r="I290" i="66"/>
  <c r="I282" i="66"/>
  <c r="I274" i="66"/>
  <c r="I266" i="66"/>
  <c r="I258" i="66"/>
  <c r="I250" i="66"/>
  <c r="I242" i="66"/>
  <c r="I234" i="66"/>
  <c r="I226" i="66"/>
  <c r="I218" i="66"/>
  <c r="I170" i="66"/>
  <c r="N493" i="66"/>
  <c r="N489" i="66"/>
  <c r="N485" i="66"/>
  <c r="N481" i="66"/>
  <c r="N477" i="66"/>
  <c r="N473" i="66"/>
  <c r="N469" i="66"/>
  <c r="N465" i="66"/>
  <c r="N461" i="66"/>
  <c r="N457" i="66"/>
  <c r="N453" i="66"/>
  <c r="N449" i="66"/>
  <c r="N445" i="66"/>
  <c r="N441" i="66"/>
  <c r="N437" i="66"/>
  <c r="N433" i="66"/>
  <c r="N429" i="66"/>
  <c r="N425" i="66"/>
  <c r="N421" i="66"/>
  <c r="N417" i="66"/>
  <c r="N413" i="66"/>
  <c r="N409" i="66"/>
  <c r="N405" i="66"/>
  <c r="N401" i="66"/>
  <c r="N397" i="66"/>
  <c r="N393" i="66"/>
  <c r="N389" i="66"/>
  <c r="N385" i="66"/>
  <c r="N381" i="66"/>
  <c r="N377" i="66"/>
  <c r="N373" i="66"/>
  <c r="N369" i="66"/>
  <c r="N365" i="66"/>
  <c r="N361" i="66"/>
  <c r="N357" i="66"/>
  <c r="N353" i="66"/>
  <c r="N349" i="66"/>
  <c r="N345" i="66"/>
  <c r="N341" i="66"/>
  <c r="N337" i="66"/>
  <c r="N333" i="66"/>
  <c r="N329" i="66"/>
  <c r="N325" i="66"/>
  <c r="N321" i="66"/>
  <c r="N317" i="66"/>
  <c r="N313" i="66"/>
  <c r="N309" i="66"/>
  <c r="N305" i="66"/>
  <c r="N301" i="66"/>
  <c r="N297" i="66"/>
  <c r="N293" i="66"/>
  <c r="N289" i="66"/>
  <c r="N285" i="66"/>
  <c r="N281" i="66"/>
  <c r="N277" i="66"/>
  <c r="N273" i="66"/>
  <c r="N269" i="66"/>
  <c r="N265" i="66"/>
  <c r="N261" i="66"/>
  <c r="N257" i="66"/>
  <c r="N253" i="66"/>
  <c r="N249" i="66"/>
  <c r="N245" i="66"/>
  <c r="N241" i="66"/>
  <c r="N237" i="66"/>
  <c r="N233" i="66"/>
  <c r="N229" i="66"/>
  <c r="N225" i="66"/>
  <c r="N221" i="66"/>
  <c r="N217" i="66"/>
  <c r="N213" i="66"/>
  <c r="N209" i="66"/>
  <c r="N205" i="66"/>
  <c r="N201" i="66"/>
  <c r="N197" i="66"/>
  <c r="N193" i="66"/>
  <c r="N189" i="66"/>
  <c r="N185" i="66"/>
  <c r="N181" i="66"/>
  <c r="N177" i="66"/>
  <c r="N174" i="66"/>
  <c r="N171" i="66"/>
  <c r="N169" i="66"/>
  <c r="I210" i="66"/>
  <c r="I200" i="66"/>
  <c r="I192" i="66"/>
  <c r="I184" i="66"/>
  <c r="I176" i="66"/>
  <c r="N504" i="66"/>
  <c r="N502" i="66"/>
  <c r="N500" i="66"/>
  <c r="N498" i="66"/>
  <c r="N496" i="66"/>
  <c r="O494" i="66"/>
  <c r="O496" i="66"/>
  <c r="O499" i="66"/>
  <c r="O498" i="66"/>
  <c r="O501" i="66"/>
  <c r="O504" i="66"/>
  <c r="O102" i="66"/>
  <c r="O94" i="66"/>
  <c r="O86" i="66"/>
  <c r="O78" i="66"/>
  <c r="O68" i="66"/>
  <c r="O60" i="66"/>
  <c r="O52" i="66"/>
  <c r="O44" i="66"/>
  <c r="O36" i="66"/>
  <c r="O28" i="66"/>
  <c r="O482" i="66"/>
  <c r="O466" i="66"/>
  <c r="O450" i="66"/>
  <c r="O434" i="66"/>
  <c r="O414" i="66"/>
  <c r="O96" i="66"/>
  <c r="O88" i="66"/>
  <c r="O80" i="66"/>
  <c r="O74" i="66"/>
  <c r="O66" i="66"/>
  <c r="O58" i="66"/>
  <c r="O50" i="66"/>
  <c r="O42" i="66"/>
  <c r="O34" i="66"/>
  <c r="O26" i="66"/>
  <c r="O104" i="66"/>
  <c r="O478" i="66"/>
  <c r="O462" i="66"/>
  <c r="O446" i="66"/>
  <c r="O430" i="66"/>
  <c r="O418" i="66"/>
  <c r="O406" i="66"/>
  <c r="O398" i="66"/>
  <c r="O386" i="66"/>
  <c r="O378" i="66"/>
  <c r="O370" i="66"/>
  <c r="O362" i="66"/>
  <c r="O354" i="66"/>
  <c r="O346" i="66"/>
  <c r="O338" i="66"/>
  <c r="O330" i="66"/>
  <c r="O322" i="66"/>
  <c r="O314" i="66"/>
  <c r="O306" i="66"/>
  <c r="O298" i="66"/>
  <c r="O290" i="66"/>
  <c r="O282" i="66"/>
  <c r="O274" i="66"/>
  <c r="O266" i="66"/>
  <c r="O254" i="66"/>
  <c r="O238" i="66"/>
  <c r="O222" i="66"/>
  <c r="O206" i="66"/>
  <c r="O190" i="66"/>
  <c r="O174" i="66"/>
  <c r="O158" i="66"/>
  <c r="O142" i="66"/>
  <c r="O126" i="66"/>
  <c r="O110" i="66"/>
  <c r="O101" i="66"/>
  <c r="O97" i="66"/>
  <c r="O93" i="66"/>
  <c r="O89" i="66"/>
  <c r="O85" i="66"/>
  <c r="O81" i="66"/>
  <c r="O77" i="66"/>
  <c r="O73" i="66"/>
  <c r="O69" i="66"/>
  <c r="O65" i="66"/>
  <c r="O61" i="66"/>
  <c r="O57" i="66"/>
  <c r="O53" i="66"/>
  <c r="O49" i="66"/>
  <c r="O45" i="66"/>
  <c r="O41" i="66"/>
  <c r="O37" i="66"/>
  <c r="O33" i="66"/>
  <c r="O29" i="66"/>
  <c r="O492" i="66"/>
  <c r="O484" i="66"/>
  <c r="O476" i="66"/>
  <c r="O468" i="66"/>
  <c r="O460" i="66"/>
  <c r="O452" i="66"/>
  <c r="O444" i="66"/>
  <c r="O436" i="66"/>
  <c r="O428" i="66"/>
  <c r="O420" i="66"/>
  <c r="O412" i="66"/>
  <c r="O404" i="66"/>
  <c r="O396" i="66"/>
  <c r="O388" i="66"/>
  <c r="O380" i="66"/>
  <c r="O372" i="66"/>
  <c r="O364" i="66"/>
  <c r="O356" i="66"/>
  <c r="O348" i="66"/>
  <c r="O340" i="66"/>
  <c r="O332" i="66"/>
  <c r="O324" i="66"/>
  <c r="O316" i="66"/>
  <c r="O308" i="66"/>
  <c r="O300" i="66"/>
  <c r="O292" i="66"/>
  <c r="O284" i="66"/>
  <c r="O276" i="66"/>
  <c r="O268" i="66"/>
  <c r="O258" i="66"/>
  <c r="O242" i="66"/>
  <c r="O226" i="66"/>
  <c r="O210" i="66"/>
  <c r="O194" i="66"/>
  <c r="O178" i="66"/>
  <c r="O162" i="66"/>
  <c r="O146" i="66"/>
  <c r="O130" i="66"/>
  <c r="O114" i="66"/>
  <c r="O493" i="66"/>
  <c r="O489" i="66"/>
  <c r="O485" i="66"/>
  <c r="O481" i="66"/>
  <c r="O477" i="66"/>
  <c r="O473" i="66"/>
  <c r="O469" i="66"/>
  <c r="O465" i="66"/>
  <c r="O461" i="66"/>
  <c r="O457" i="66"/>
  <c r="O453" i="66"/>
  <c r="O449" i="66"/>
  <c r="O445" i="66"/>
  <c r="O441" i="66"/>
  <c r="O437" i="66"/>
  <c r="O433" i="66"/>
  <c r="O429" i="66"/>
  <c r="O425" i="66"/>
  <c r="O421" i="66"/>
  <c r="O417" i="66"/>
  <c r="O413" i="66"/>
  <c r="O409" i="66"/>
  <c r="O405" i="66"/>
  <c r="O401" i="66"/>
  <c r="O397" i="66"/>
  <c r="O393" i="66"/>
  <c r="O389" i="66"/>
  <c r="O385" i="66"/>
  <c r="O381" i="66"/>
  <c r="O377" i="66"/>
  <c r="O373" i="66"/>
  <c r="O369" i="66"/>
  <c r="O365" i="66"/>
  <c r="O361" i="66"/>
  <c r="O357" i="66"/>
  <c r="O353" i="66"/>
  <c r="O349" i="66"/>
  <c r="O345" i="66"/>
  <c r="O341" i="66"/>
  <c r="O337" i="66"/>
  <c r="O333" i="66"/>
  <c r="O329" i="66"/>
  <c r="O325" i="66"/>
  <c r="O321" i="66"/>
  <c r="O317" i="66"/>
  <c r="O313" i="66"/>
  <c r="O309" i="66"/>
  <c r="O305" i="66"/>
  <c r="O301" i="66"/>
  <c r="O297" i="66"/>
  <c r="O293" i="66"/>
  <c r="O289" i="66"/>
  <c r="O285" i="66"/>
  <c r="O281" i="66"/>
  <c r="O277" i="66"/>
  <c r="O273" i="66"/>
  <c r="O269" i="66"/>
  <c r="O265" i="66"/>
  <c r="O260" i="66"/>
  <c r="O252" i="66"/>
  <c r="O244" i="66"/>
  <c r="O236" i="66"/>
  <c r="O228" i="66"/>
  <c r="O220" i="66"/>
  <c r="O212" i="66"/>
  <c r="O204" i="66"/>
  <c r="O196" i="66"/>
  <c r="O188" i="66"/>
  <c r="O180" i="66"/>
  <c r="O172" i="66"/>
  <c r="O164" i="66"/>
  <c r="O156" i="66"/>
  <c r="O148" i="66"/>
  <c r="O140" i="66"/>
  <c r="O132" i="66"/>
  <c r="O124" i="66"/>
  <c r="O116" i="66"/>
  <c r="O108" i="66"/>
  <c r="O259" i="66"/>
  <c r="O255" i="66"/>
  <c r="O251" i="66"/>
  <c r="O247" i="66"/>
  <c r="O243" i="66"/>
  <c r="O239" i="66"/>
  <c r="O235" i="66"/>
  <c r="O231" i="66"/>
  <c r="O227" i="66"/>
  <c r="O223" i="66"/>
  <c r="O219" i="66"/>
  <c r="O215" i="66"/>
  <c r="O211" i="66"/>
  <c r="O207" i="66"/>
  <c r="O203" i="66"/>
  <c r="O199" i="66"/>
  <c r="O195" i="66"/>
  <c r="O191" i="66"/>
  <c r="O187" i="66"/>
  <c r="O183" i="66"/>
  <c r="O179" i="66"/>
  <c r="O175" i="66"/>
  <c r="O171" i="66"/>
  <c r="O167" i="66"/>
  <c r="O163" i="66"/>
  <c r="O159" i="66"/>
  <c r="O155" i="66"/>
  <c r="O151" i="66"/>
  <c r="O147" i="66"/>
  <c r="O143" i="66"/>
  <c r="O139" i="66"/>
  <c r="O135" i="66"/>
  <c r="O131" i="66"/>
  <c r="O127" i="66"/>
  <c r="O123" i="66"/>
  <c r="O119" i="66"/>
  <c r="O115" i="66"/>
  <c r="O111" i="66"/>
  <c r="O107" i="66"/>
  <c r="N72" i="66"/>
  <c r="J72" i="66"/>
  <c r="I72" i="66"/>
  <c r="N76" i="66"/>
  <c r="J76" i="66"/>
  <c r="I76" i="66"/>
  <c r="W27" i="17"/>
  <c r="X27" i="17"/>
  <c r="X28" i="17"/>
  <c r="W31" i="17"/>
  <c r="X32" i="17"/>
  <c r="X31" i="17"/>
  <c r="W33" i="17"/>
  <c r="X34" i="17"/>
  <c r="X33" i="17"/>
  <c r="W35" i="17"/>
  <c r="X36" i="17"/>
  <c r="X35" i="17"/>
  <c r="AR9" i="6"/>
  <c r="AR10" i="6"/>
  <c r="AR11" i="6" s="1"/>
  <c r="C37" i="44"/>
  <c r="D45" i="20"/>
  <c r="A45" i="20"/>
  <c r="A46" i="20"/>
  <c r="A37" i="44"/>
  <c r="A38" i="44"/>
  <c r="C38" i="44"/>
  <c r="C39" i="44"/>
  <c r="D47" i="20"/>
  <c r="C40" i="44"/>
  <c r="D48" i="20"/>
  <c r="A47" i="20"/>
  <c r="A48" i="20"/>
  <c r="A49" i="20"/>
  <c r="C41" i="44"/>
  <c r="D46" i="20"/>
  <c r="A39" i="44"/>
  <c r="A40" i="44"/>
  <c r="D49" i="20"/>
  <c r="Z124" i="44"/>
  <c r="Z125" i="44"/>
  <c r="X124" i="44"/>
  <c r="X125" i="44"/>
  <c r="V124" i="44"/>
  <c r="V125" i="44"/>
  <c r="AO124" i="44"/>
  <c r="AJ124" i="44"/>
  <c r="AH124" i="44"/>
  <c r="AF124" i="44"/>
  <c r="AD124" i="44"/>
  <c r="AW124" i="44"/>
  <c r="AU124" i="44"/>
  <c r="AW125" i="44"/>
  <c r="AU125" i="44"/>
  <c r="AO125" i="44"/>
  <c r="AJ125" i="44"/>
  <c r="AH125" i="44"/>
  <c r="AF125" i="44"/>
  <c r="AD125" i="44"/>
  <c r="AW126" i="44"/>
  <c r="AU126" i="44"/>
  <c r="Z126" i="44"/>
  <c r="Z127" i="44"/>
  <c r="X126" i="44"/>
  <c r="X127" i="44"/>
  <c r="V126" i="44"/>
  <c r="V127" i="44"/>
  <c r="AO126" i="44"/>
  <c r="AO127" i="44"/>
  <c r="AO128" i="44"/>
  <c r="AJ126" i="44"/>
  <c r="AJ127" i="44"/>
  <c r="AJ128" i="44"/>
  <c r="AH126" i="44"/>
  <c r="AH127" i="44"/>
  <c r="AH128" i="44"/>
  <c r="AF126" i="44"/>
  <c r="AF127" i="44"/>
  <c r="AF128" i="44"/>
  <c r="AD126" i="44"/>
  <c r="AD127" i="44"/>
  <c r="AD128" i="44"/>
  <c r="AW127" i="44"/>
  <c r="AW128" i="44"/>
  <c r="AU127" i="44"/>
  <c r="AU128" i="44"/>
  <c r="A41" i="44"/>
  <c r="Z128" i="44"/>
  <c r="X128" i="44"/>
  <c r="V128" i="44"/>
  <c r="AO129" i="44"/>
  <c r="AJ129" i="44"/>
  <c r="AH129" i="44"/>
  <c r="AF129" i="44"/>
  <c r="AD129" i="44"/>
  <c r="Z129" i="44"/>
  <c r="X129" i="44"/>
  <c r="V129" i="44"/>
  <c r="AW129" i="44"/>
  <c r="AU129" i="44"/>
  <c r="BZ86" i="44"/>
  <c r="BZ87" i="44"/>
  <c r="BZ88" i="44"/>
  <c r="BZ89" i="44"/>
  <c r="BZ90" i="44"/>
  <c r="BZ91" i="44"/>
  <c r="BZ92" i="44"/>
  <c r="BZ93" i="44"/>
  <c r="BZ94" i="44"/>
  <c r="BZ95" i="44"/>
  <c r="BZ96" i="44"/>
  <c r="BZ97" i="44"/>
  <c r="BZ98" i="44"/>
  <c r="BZ99" i="44"/>
  <c r="BZ100" i="44"/>
  <c r="BZ101" i="44"/>
  <c r="BZ102" i="44"/>
  <c r="BZ103" i="44"/>
  <c r="BZ104" i="44"/>
  <c r="BZ105" i="44"/>
  <c r="BZ106" i="44"/>
  <c r="BZ107" i="44"/>
  <c r="BZ108" i="44"/>
  <c r="BZ109" i="44"/>
  <c r="BZ110" i="44"/>
  <c r="BZ111" i="44"/>
  <c r="BZ112" i="44"/>
  <c r="BZ113" i="44"/>
  <c r="BZ114" i="44"/>
  <c r="BZ115" i="44"/>
  <c r="U48" i="20"/>
  <c r="U46" i="20"/>
  <c r="U44" i="20"/>
  <c r="U49" i="20"/>
  <c r="U47" i="20"/>
  <c r="U45" i="20"/>
  <c r="J14" i="22" l="1"/>
  <c r="T8" i="22"/>
  <c r="G11" i="22"/>
  <c r="T9" i="22"/>
  <c r="T11" i="22"/>
  <c r="G13" i="22"/>
  <c r="G16" i="22"/>
  <c r="J15" i="22"/>
  <c r="G18" i="22"/>
  <c r="E18" i="17"/>
  <c r="J20" i="22"/>
  <c r="G20" i="22"/>
  <c r="J24" i="22"/>
  <c r="G24" i="22"/>
  <c r="G28" i="22"/>
  <c r="G22" i="22"/>
  <c r="J23" i="22"/>
  <c r="T22" i="22"/>
  <c r="N23" i="22"/>
  <c r="T24" i="22"/>
  <c r="J27" i="22"/>
  <c r="T26" i="22"/>
  <c r="N27" i="22"/>
  <c r="J29" i="22"/>
  <c r="U30" i="22"/>
  <c r="N29" i="22"/>
  <c r="U31" i="22"/>
  <c r="G33" i="22"/>
  <c r="N33" i="22"/>
  <c r="R48" i="22"/>
  <c r="R44" i="22"/>
  <c r="R49" i="22"/>
  <c r="R41" i="22"/>
  <c r="R37" i="22"/>
  <c r="R36" i="22"/>
  <c r="R47" i="22"/>
  <c r="R43" i="22"/>
  <c r="R39" i="22"/>
  <c r="R34" i="22"/>
  <c r="R46" i="22"/>
  <c r="R45" i="22"/>
  <c r="R40" i="22"/>
  <c r="R35" i="22"/>
  <c r="P47" i="22"/>
  <c r="P43" i="22"/>
  <c r="P49" i="22"/>
  <c r="P42" i="22"/>
  <c r="P38" i="22"/>
  <c r="P48" i="22"/>
  <c r="P45" i="22"/>
  <c r="P40" i="22"/>
  <c r="P35" i="22"/>
  <c r="P39" i="22"/>
  <c r="P34" i="22"/>
  <c r="O46" i="22"/>
  <c r="O44" i="22"/>
  <c r="O40" i="22"/>
  <c r="O35" i="22"/>
  <c r="O48" i="22"/>
  <c r="O49" i="22"/>
  <c r="O41" i="22"/>
  <c r="O37" i="22"/>
  <c r="O36" i="22"/>
  <c r="O45" i="22"/>
  <c r="O43" i="22"/>
  <c r="O42" i="22"/>
  <c r="O38" i="22"/>
  <c r="H48" i="22"/>
  <c r="H47" i="22"/>
  <c r="H44" i="22"/>
  <c r="C44" i="22" s="1"/>
  <c r="H43" i="22"/>
  <c r="D43" i="17" s="1"/>
  <c r="H42" i="22"/>
  <c r="H37" i="22"/>
  <c r="H5" i="22"/>
  <c r="H41" i="22"/>
  <c r="H36" i="22"/>
  <c r="H35" i="22"/>
  <c r="D35" i="17" s="1"/>
  <c r="H49" i="22"/>
  <c r="D49" i="17" s="1"/>
  <c r="H2" i="22"/>
  <c r="H4" i="22"/>
  <c r="H7" i="22"/>
  <c r="H45" i="22"/>
  <c r="H39" i="22"/>
  <c r="C39" i="22" s="1"/>
  <c r="T45" i="22"/>
  <c r="T49" i="22"/>
  <c r="T42" i="22"/>
  <c r="T38" i="22"/>
  <c r="T46" i="22"/>
  <c r="T44" i="22"/>
  <c r="T40" i="22"/>
  <c r="T35" i="22"/>
  <c r="T48" i="22"/>
  <c r="T47" i="22"/>
  <c r="T43" i="22"/>
  <c r="T39" i="22"/>
  <c r="T34" i="22"/>
  <c r="J48" i="22"/>
  <c r="J2" i="22"/>
  <c r="J47" i="22"/>
  <c r="J44" i="22"/>
  <c r="J40" i="22"/>
  <c r="J34" i="22"/>
  <c r="J49" i="22"/>
  <c r="J46" i="22"/>
  <c r="J39" i="22"/>
  <c r="J45" i="22"/>
  <c r="J41" i="22"/>
  <c r="J36" i="22"/>
  <c r="J35" i="22"/>
  <c r="G3" i="22"/>
  <c r="G47" i="22"/>
  <c r="G46" i="22"/>
  <c r="G45" i="22"/>
  <c r="G49" i="22"/>
  <c r="G44" i="22"/>
  <c r="G48" i="22"/>
  <c r="G5" i="22"/>
  <c r="G40" i="22"/>
  <c r="G2" i="22"/>
  <c r="C2" i="22" s="1"/>
  <c r="G6" i="22"/>
  <c r="G37" i="22"/>
  <c r="G36" i="22"/>
  <c r="G43" i="22"/>
  <c r="G38" i="22"/>
  <c r="T23" i="22"/>
  <c r="T27" i="22"/>
  <c r="G30" i="22"/>
  <c r="T29" i="22"/>
  <c r="G31" i="22"/>
  <c r="J31" i="22"/>
  <c r="T33" i="22"/>
  <c r="G34" i="22"/>
  <c r="G35" i="22"/>
  <c r="J37" i="22"/>
  <c r="G4" i="22"/>
  <c r="E26" i="17"/>
  <c r="J22" i="22"/>
  <c r="J26" i="22"/>
  <c r="J28" i="22"/>
  <c r="J32" i="22"/>
  <c r="T30" i="22"/>
  <c r="T36" i="22"/>
  <c r="T37" i="22"/>
  <c r="G41" i="22"/>
  <c r="J43" i="22"/>
  <c r="U2" i="22"/>
  <c r="U49" i="22"/>
  <c r="U47" i="22"/>
  <c r="U43" i="22"/>
  <c r="U41" i="22"/>
  <c r="U38" i="22"/>
  <c r="U40" i="22"/>
  <c r="U34" i="22"/>
  <c r="U45" i="22"/>
  <c r="U44" i="22"/>
  <c r="U48" i="22"/>
  <c r="U42" i="22"/>
  <c r="U39" i="22"/>
  <c r="U35" i="22"/>
  <c r="N42" i="22"/>
  <c r="N43" i="22" s="1"/>
  <c r="N44" i="22" s="1"/>
  <c r="N45" i="22" s="1"/>
  <c r="N46" i="22" s="1"/>
  <c r="N47" i="22" s="1"/>
  <c r="N48" i="22" s="1"/>
  <c r="N49" i="22" s="1"/>
  <c r="N41" i="22"/>
  <c r="N37" i="22"/>
  <c r="N36" i="22"/>
  <c r="N39" i="22"/>
  <c r="N34" i="22"/>
  <c r="N40" i="22"/>
  <c r="N35" i="22"/>
  <c r="BM10" i="44"/>
  <c r="G54" i="20" s="1"/>
  <c r="BM5" i="44"/>
  <c r="BM6" i="44"/>
  <c r="C54" i="20" s="1"/>
  <c r="E5" i="22" s="1"/>
  <c r="BM12" i="44"/>
  <c r="I54" i="20" s="1"/>
  <c r="BM13" i="44"/>
  <c r="J54" i="20" s="1"/>
  <c r="BM18" i="44"/>
  <c r="O54" i="20" s="1"/>
  <c r="BM20" i="44"/>
  <c r="Q54" i="20" s="1"/>
  <c r="BM23" i="44"/>
  <c r="T54" i="20" s="1"/>
  <c r="M48" i="22"/>
  <c r="M47" i="22"/>
  <c r="M46" i="22"/>
  <c r="D32" i="17"/>
  <c r="E32" i="17" s="1"/>
  <c r="C40" i="22"/>
  <c r="C43" i="22"/>
  <c r="D44" i="17"/>
  <c r="C3" i="22"/>
  <c r="E33" i="17"/>
  <c r="C33" i="22"/>
  <c r="C20" i="22"/>
  <c r="C24" i="22"/>
  <c r="C29" i="22"/>
  <c r="C35" i="22"/>
  <c r="D39" i="17"/>
  <c r="E40" i="17" s="1"/>
  <c r="D45" i="17"/>
  <c r="D46" i="17"/>
  <c r="C49" i="22"/>
  <c r="C8" i="22"/>
  <c r="E35" i="17"/>
  <c r="C4" i="22"/>
  <c r="AN7" i="6"/>
  <c r="B7" i="6" s="1"/>
  <c r="AL8" i="6"/>
  <c r="AO7" i="6"/>
  <c r="D7" i="6" s="1"/>
  <c r="E7" i="22" s="1"/>
  <c r="U5" i="22"/>
  <c r="AH6" i="6"/>
  <c r="H2" i="17"/>
  <c r="H4" i="17"/>
  <c r="D7" i="17"/>
  <c r="H5" i="17"/>
  <c r="H7" i="17"/>
  <c r="D11" i="17"/>
  <c r="E11" i="17" s="1"/>
  <c r="D3" i="17"/>
  <c r="AN6" i="6"/>
  <c r="B6" i="6" s="1"/>
  <c r="D8" i="17"/>
  <c r="H6" i="17"/>
  <c r="H8" i="17"/>
  <c r="H9" i="17"/>
  <c r="H11" i="17"/>
  <c r="H13" i="17"/>
  <c r="I9" i="17"/>
  <c r="E39" i="17"/>
  <c r="E14" i="17"/>
  <c r="E44" i="17"/>
  <c r="E19" i="17"/>
  <c r="E27" i="17"/>
  <c r="E29" i="17"/>
  <c r="E31" i="17"/>
  <c r="E13" i="17"/>
  <c r="E16" i="17"/>
  <c r="E12" i="17"/>
  <c r="E34" i="17"/>
  <c r="C9" i="22"/>
  <c r="D2" i="17"/>
  <c r="I8" i="17"/>
  <c r="E46" i="17"/>
  <c r="E45" i="17"/>
  <c r="I5" i="17"/>
  <c r="C45" i="22"/>
  <c r="C5" i="22"/>
  <c r="C7" i="22"/>
  <c r="H3" i="17"/>
  <c r="I4" i="17" s="1"/>
  <c r="C10" i="22"/>
  <c r="E25" i="17"/>
  <c r="C6" i="22"/>
  <c r="E3" i="17"/>
  <c r="E8" i="17"/>
  <c r="I6" i="17"/>
  <c r="I7" i="17"/>
  <c r="V43" i="22" l="1"/>
  <c r="V39" i="22"/>
  <c r="V34" i="22"/>
  <c r="V47" i="22"/>
  <c r="V49" i="22"/>
  <c r="V42" i="22"/>
  <c r="V38" i="22"/>
  <c r="V46" i="22"/>
  <c r="V44" i="22"/>
  <c r="V41" i="22"/>
  <c r="V37" i="22"/>
  <c r="V36" i="22"/>
  <c r="V35" i="22"/>
  <c r="V28" i="22"/>
  <c r="V26" i="22"/>
  <c r="V24" i="22"/>
  <c r="V22" i="22"/>
  <c r="V11" i="22"/>
  <c r="V9" i="22"/>
  <c r="V8" i="22"/>
  <c r="V20" i="22"/>
  <c r="V30" i="22"/>
  <c r="V18" i="22"/>
  <c r="V21" i="22"/>
  <c r="V15" i="22"/>
  <c r="V14" i="22"/>
  <c r="V5" i="22"/>
  <c r="V4" i="22"/>
  <c r="V3" i="22"/>
  <c r="V33" i="22"/>
  <c r="V29" i="22"/>
  <c r="V27" i="22"/>
  <c r="V23" i="22"/>
  <c r="V19" i="22"/>
  <c r="V13" i="22"/>
  <c r="V6" i="22"/>
  <c r="V48" i="22"/>
  <c r="V45" i="22"/>
  <c r="V40" i="22"/>
  <c r="V32" i="22"/>
  <c r="V31" i="22"/>
  <c r="V17" i="22"/>
  <c r="V25" i="22"/>
  <c r="V16" i="22"/>
  <c r="V12" i="22"/>
  <c r="V10" i="22"/>
  <c r="V7" i="22"/>
  <c r="V2" i="22"/>
  <c r="K46" i="22"/>
  <c r="K41" i="22"/>
  <c r="K36" i="22"/>
  <c r="K35" i="22"/>
  <c r="K48" i="22"/>
  <c r="K2" i="22"/>
  <c r="K45" i="22"/>
  <c r="K40" i="22"/>
  <c r="K34" i="22"/>
  <c r="K43" i="22"/>
  <c r="K42" i="22"/>
  <c r="K37" i="22"/>
  <c r="K29" i="22"/>
  <c r="K27" i="22"/>
  <c r="K23" i="22"/>
  <c r="K24" i="22"/>
  <c r="K20" i="22"/>
  <c r="K15" i="22"/>
  <c r="K14" i="22"/>
  <c r="K5" i="22"/>
  <c r="D5" i="17" s="1"/>
  <c r="K3" i="22"/>
  <c r="K38" i="22"/>
  <c r="K39" i="22"/>
  <c r="K32" i="22"/>
  <c r="K28" i="22"/>
  <c r="K26" i="22"/>
  <c r="K22" i="22"/>
  <c r="K21" i="22"/>
  <c r="K10" i="22"/>
  <c r="K8" i="22"/>
  <c r="K33" i="22"/>
  <c r="K49" i="22"/>
  <c r="K31" i="22"/>
  <c r="K19" i="22"/>
  <c r="K17" i="22"/>
  <c r="K11" i="22"/>
  <c r="K13" i="22"/>
  <c r="K4" i="22"/>
  <c r="D4" i="17" s="1"/>
  <c r="E4" i="17" s="1"/>
  <c r="K47" i="22"/>
  <c r="K44" i="22"/>
  <c r="K30" i="22"/>
  <c r="K18" i="22"/>
  <c r="K25" i="22"/>
  <c r="K16" i="22"/>
  <c r="K7" i="22"/>
  <c r="K6" i="22"/>
  <c r="D6" i="17" s="1"/>
  <c r="K12" i="22"/>
  <c r="E6" i="22"/>
  <c r="S45" i="22"/>
  <c r="S44" i="22"/>
  <c r="S47" i="22"/>
  <c r="S49" i="22"/>
  <c r="S40" i="22"/>
  <c r="S35" i="22"/>
  <c r="S48" i="22"/>
  <c r="S41" i="22"/>
  <c r="S37" i="22"/>
  <c r="S36" i="22"/>
  <c r="S42" i="22"/>
  <c r="S38" i="22"/>
  <c r="S33" i="22"/>
  <c r="S29" i="22"/>
  <c r="S27" i="22"/>
  <c r="S23" i="22"/>
  <c r="S19" i="22"/>
  <c r="S16" i="22"/>
  <c r="S6" i="22"/>
  <c r="S43" i="22"/>
  <c r="S32" i="22"/>
  <c r="S31" i="22"/>
  <c r="S17" i="22"/>
  <c r="S25" i="22"/>
  <c r="S12" i="22"/>
  <c r="H12" i="17" s="1"/>
  <c r="I12" i="17" s="1"/>
  <c r="S10" i="22"/>
  <c r="H10" i="17" s="1"/>
  <c r="S7" i="22"/>
  <c r="S2" i="22"/>
  <c r="S46" i="22"/>
  <c r="S39" i="22"/>
  <c r="S28" i="22"/>
  <c r="S26" i="22"/>
  <c r="S24" i="22"/>
  <c r="S22" i="22"/>
  <c r="S15" i="22"/>
  <c r="S11" i="22"/>
  <c r="S9" i="22"/>
  <c r="S8" i="22"/>
  <c r="S20" i="22"/>
  <c r="S34" i="22"/>
  <c r="S30" i="22"/>
  <c r="S18" i="22"/>
  <c r="S21" i="22"/>
  <c r="S14" i="22"/>
  <c r="S13" i="22"/>
  <c r="S5" i="22"/>
  <c r="S4" i="22"/>
  <c r="S3" i="22"/>
  <c r="E49" i="22"/>
  <c r="E41" i="22"/>
  <c r="E39" i="22"/>
  <c r="E46" i="22"/>
  <c r="E44" i="22"/>
  <c r="E48" i="22"/>
  <c r="E42" i="22"/>
  <c r="E38" i="22"/>
  <c r="E2" i="22"/>
  <c r="E47" i="22"/>
  <c r="E37" i="22"/>
  <c r="E36" i="22"/>
  <c r="E43" i="22"/>
  <c r="E32" i="22"/>
  <c r="E29" i="22"/>
  <c r="E15" i="22"/>
  <c r="E12" i="22"/>
  <c r="E4" i="22"/>
  <c r="E45" i="22"/>
  <c r="E33" i="22"/>
  <c r="E22" i="22"/>
  <c r="E28" i="22"/>
  <c r="E24" i="22"/>
  <c r="E20" i="22"/>
  <c r="E18" i="22"/>
  <c r="E16" i="22"/>
  <c r="E13" i="22"/>
  <c r="E11" i="22"/>
  <c r="E3" i="22"/>
  <c r="E26" i="22"/>
  <c r="E10" i="22"/>
  <c r="E40" i="22"/>
  <c r="E35" i="22"/>
  <c r="E34" i="22"/>
  <c r="E31" i="22"/>
  <c r="E30" i="22"/>
  <c r="E21" i="22"/>
  <c r="E27" i="22"/>
  <c r="E23" i="22"/>
  <c r="E25" i="22"/>
  <c r="E19" i="22"/>
  <c r="E17" i="22"/>
  <c r="E14" i="22"/>
  <c r="D37" i="17"/>
  <c r="C37" i="22"/>
  <c r="D47" i="17"/>
  <c r="E47" i="17" s="1"/>
  <c r="C47" i="22"/>
  <c r="Q47" i="22"/>
  <c r="H47" i="17" s="1"/>
  <c r="Q46" i="22"/>
  <c r="H46" i="17" s="1"/>
  <c r="Q43" i="22"/>
  <c r="H43" i="17" s="1"/>
  <c r="Q45" i="22"/>
  <c r="H45" i="17" s="1"/>
  <c r="Q49" i="22"/>
  <c r="H49" i="17" s="1"/>
  <c r="Q39" i="22"/>
  <c r="H39" i="17" s="1"/>
  <c r="Q34" i="22"/>
  <c r="H34" i="17" s="1"/>
  <c r="Q44" i="22"/>
  <c r="H44" i="17" s="1"/>
  <c r="Q42" i="22"/>
  <c r="H42" i="17" s="1"/>
  <c r="Q38" i="22"/>
  <c r="H38" i="17" s="1"/>
  <c r="Q41" i="22"/>
  <c r="H41" i="17" s="1"/>
  <c r="Q37" i="22"/>
  <c r="H37" i="17" s="1"/>
  <c r="Q36" i="22"/>
  <c r="H36" i="17" s="1"/>
  <c r="Q28" i="22"/>
  <c r="H28" i="17" s="1"/>
  <c r="Q26" i="22"/>
  <c r="H26" i="17" s="1"/>
  <c r="M26" i="17" s="1"/>
  <c r="Q24" i="22"/>
  <c r="H24" i="17" s="1"/>
  <c r="Q22" i="22"/>
  <c r="H22" i="17" s="1"/>
  <c r="Q16" i="22"/>
  <c r="H16" i="17" s="1"/>
  <c r="I16" i="17" s="1"/>
  <c r="Q20" i="22"/>
  <c r="H20" i="17" s="1"/>
  <c r="Q30" i="22"/>
  <c r="H30" i="17" s="1"/>
  <c r="Q18" i="22"/>
  <c r="Q21" i="22"/>
  <c r="H21" i="17" s="1"/>
  <c r="Q48" i="22"/>
  <c r="H48" i="17" s="1"/>
  <c r="Q40" i="22"/>
  <c r="H40" i="17" s="1"/>
  <c r="Q33" i="22"/>
  <c r="H33" i="17" s="1"/>
  <c r="Q29" i="22"/>
  <c r="H29" i="17" s="1"/>
  <c r="Q27" i="22"/>
  <c r="H27" i="17" s="1"/>
  <c r="Q23" i="22"/>
  <c r="H23" i="17" s="1"/>
  <c r="Q19" i="22"/>
  <c r="H19" i="17" s="1"/>
  <c r="Q35" i="22"/>
  <c r="H35" i="17" s="1"/>
  <c r="Q32" i="22"/>
  <c r="H32" i="17" s="1"/>
  <c r="Q31" i="22"/>
  <c r="H31" i="17" s="1"/>
  <c r="Q17" i="22"/>
  <c r="H17" i="17" s="1"/>
  <c r="Q25" i="22"/>
  <c r="H25" i="17" s="1"/>
  <c r="B54" i="20"/>
  <c r="D7" i="22" s="1"/>
  <c r="BM26" i="44"/>
  <c r="K9" i="22"/>
  <c r="D9" i="17" s="1"/>
  <c r="C36" i="22"/>
  <c r="D36" i="17"/>
  <c r="E36" i="17" s="1"/>
  <c r="D42" i="17"/>
  <c r="C42" i="22"/>
  <c r="D48" i="17"/>
  <c r="C48" i="22"/>
  <c r="L48" i="22"/>
  <c r="F48" i="17" s="1"/>
  <c r="L43" i="22"/>
  <c r="F43" i="17" s="1"/>
  <c r="L40" i="22"/>
  <c r="F40" i="17" s="1"/>
  <c r="L45" i="22"/>
  <c r="F45" i="17" s="1"/>
  <c r="L49" i="22"/>
  <c r="F49" i="17" s="1"/>
  <c r="L42" i="22"/>
  <c r="F42" i="17" s="1"/>
  <c r="L35" i="22"/>
  <c r="F35" i="17" s="1"/>
  <c r="G35" i="17" s="1"/>
  <c r="L33" i="22"/>
  <c r="F33" i="17" s="1"/>
  <c r="L47" i="22"/>
  <c r="F47" i="17" s="1"/>
  <c r="L46" i="22"/>
  <c r="F46" i="17" s="1"/>
  <c r="G46" i="17" s="1"/>
  <c r="L39" i="22"/>
  <c r="F39" i="17" s="1"/>
  <c r="L34" i="22"/>
  <c r="F34" i="17" s="1"/>
  <c r="G34" i="17" s="1"/>
  <c r="L38" i="22"/>
  <c r="F38" i="17" s="1"/>
  <c r="L30" i="22"/>
  <c r="F30" i="17" s="1"/>
  <c r="G30" i="17" s="1"/>
  <c r="L12" i="22"/>
  <c r="F12" i="17" s="1"/>
  <c r="L10" i="22"/>
  <c r="F10" i="17" s="1"/>
  <c r="L37" i="22"/>
  <c r="F37" i="17" s="1"/>
  <c r="L36" i="22"/>
  <c r="F36" i="17" s="1"/>
  <c r="G36" i="17" s="1"/>
  <c r="L32" i="22"/>
  <c r="F32" i="17" s="1"/>
  <c r="G32" i="17" s="1"/>
  <c r="L29" i="22"/>
  <c r="F29" i="17" s="1"/>
  <c r="L27" i="22"/>
  <c r="F27" i="17" s="1"/>
  <c r="G27" i="17" s="1"/>
  <c r="L23" i="22"/>
  <c r="F23" i="17" s="1"/>
  <c r="L19" i="22"/>
  <c r="F19" i="17" s="1"/>
  <c r="L16" i="22"/>
  <c r="F16" i="17" s="1"/>
  <c r="L15" i="22"/>
  <c r="F15" i="17" s="1"/>
  <c r="L9" i="22"/>
  <c r="F9" i="17" s="1"/>
  <c r="G9" i="17" s="1"/>
  <c r="L11" i="22"/>
  <c r="F11" i="17" s="1"/>
  <c r="G11" i="17" s="1"/>
  <c r="L8" i="22"/>
  <c r="F8" i="17" s="1"/>
  <c r="L7" i="22"/>
  <c r="F7" i="17" s="1"/>
  <c r="L6" i="22"/>
  <c r="F6" i="17" s="1"/>
  <c r="G6" i="17" s="1"/>
  <c r="L2" i="22"/>
  <c r="F2" i="17" s="1"/>
  <c r="L31" i="22"/>
  <c r="F31" i="17" s="1"/>
  <c r="L18" i="22"/>
  <c r="F18" i="17" s="1"/>
  <c r="L17" i="22"/>
  <c r="F17" i="17" s="1"/>
  <c r="G17" i="17" s="1"/>
  <c r="L25" i="22"/>
  <c r="F25" i="17" s="1"/>
  <c r="L20" i="22"/>
  <c r="F20" i="17" s="1"/>
  <c r="L14" i="22"/>
  <c r="F14" i="17" s="1"/>
  <c r="G14" i="17" s="1"/>
  <c r="L4" i="22"/>
  <c r="F4" i="17" s="1"/>
  <c r="G4" i="17" s="1"/>
  <c r="L3" i="22"/>
  <c r="F3" i="17" s="1"/>
  <c r="G3" i="17" s="1"/>
  <c r="L5" i="22"/>
  <c r="F5" i="17" s="1"/>
  <c r="L44" i="22"/>
  <c r="F44" i="17" s="1"/>
  <c r="L41" i="22"/>
  <c r="F41" i="17" s="1"/>
  <c r="L28" i="22"/>
  <c r="F28" i="17" s="1"/>
  <c r="G28" i="17" s="1"/>
  <c r="L26" i="22"/>
  <c r="F26" i="17" s="1"/>
  <c r="L24" i="22"/>
  <c r="F24" i="17" s="1"/>
  <c r="L22" i="22"/>
  <c r="F22" i="17" s="1"/>
  <c r="G22" i="17" s="1"/>
  <c r="L21" i="22"/>
  <c r="F21" i="17" s="1"/>
  <c r="G21" i="17" s="1"/>
  <c r="L13" i="22"/>
  <c r="F13" i="17" s="1"/>
  <c r="I46" i="22"/>
  <c r="I3" i="22"/>
  <c r="I2" i="22"/>
  <c r="I4" i="22"/>
  <c r="I7" i="22"/>
  <c r="I39" i="22"/>
  <c r="I45" i="22"/>
  <c r="I43" i="22"/>
  <c r="I42" i="22"/>
  <c r="I37" i="22"/>
  <c r="I49" i="22"/>
  <c r="I6" i="22"/>
  <c r="I40" i="22"/>
  <c r="I34" i="22"/>
  <c r="I47" i="22"/>
  <c r="I5" i="22"/>
  <c r="I44" i="22"/>
  <c r="I41" i="22"/>
  <c r="I35" i="22"/>
  <c r="I31" i="22"/>
  <c r="I19" i="22"/>
  <c r="I17" i="22"/>
  <c r="I11" i="22"/>
  <c r="I13" i="22"/>
  <c r="I12" i="22"/>
  <c r="I30" i="22"/>
  <c r="I18" i="22"/>
  <c r="I25" i="22"/>
  <c r="I16" i="22"/>
  <c r="I48" i="22"/>
  <c r="I36" i="22"/>
  <c r="I29" i="22"/>
  <c r="I27" i="22"/>
  <c r="I23" i="22"/>
  <c r="I24" i="22"/>
  <c r="I20" i="22"/>
  <c r="I15" i="22"/>
  <c r="I14" i="22"/>
  <c r="I38" i="22"/>
  <c r="I32" i="22"/>
  <c r="I28" i="22"/>
  <c r="I26" i="22"/>
  <c r="I22" i="22"/>
  <c r="I21" i="22"/>
  <c r="I10" i="22"/>
  <c r="I9" i="22"/>
  <c r="I8" i="22"/>
  <c r="I33" i="22"/>
  <c r="D41" i="17"/>
  <c r="E41" i="17" s="1"/>
  <c r="C41" i="22"/>
  <c r="G41" i="17"/>
  <c r="G25" i="17"/>
  <c r="M19" i="17"/>
  <c r="AL9" i="6"/>
  <c r="AN8" i="6"/>
  <c r="B8" i="6" s="1"/>
  <c r="D8" i="22" s="1"/>
  <c r="AO8" i="6"/>
  <c r="D8" i="6" s="1"/>
  <c r="E8" i="22" s="1"/>
  <c r="I14" i="17"/>
  <c r="I13" i="17"/>
  <c r="M27" i="17"/>
  <c r="I27" i="17"/>
  <c r="AH7" i="6"/>
  <c r="U6" i="22"/>
  <c r="B7" i="22"/>
  <c r="I3" i="17"/>
  <c r="M28" i="17"/>
  <c r="I28" i="17"/>
  <c r="I23" i="17"/>
  <c r="M23" i="17"/>
  <c r="M24" i="17"/>
  <c r="I24" i="17"/>
  <c r="I22" i="17"/>
  <c r="M22" i="17"/>
  <c r="I26" i="17"/>
  <c r="I25" i="17"/>
  <c r="M25" i="17"/>
  <c r="G24" i="17" l="1"/>
  <c r="G44" i="17"/>
  <c r="G18" i="17"/>
  <c r="G7" i="17"/>
  <c r="G15" i="17"/>
  <c r="G37" i="17"/>
  <c r="G38" i="17"/>
  <c r="G47" i="17"/>
  <c r="G48" i="17"/>
  <c r="E10" i="17"/>
  <c r="E9" i="17"/>
  <c r="I17" i="17"/>
  <c r="M33" i="17"/>
  <c r="I33" i="17"/>
  <c r="M36" i="17"/>
  <c r="I36" i="17"/>
  <c r="I42" i="17"/>
  <c r="M42" i="17"/>
  <c r="I49" i="17"/>
  <c r="I47" i="17"/>
  <c r="M47" i="17"/>
  <c r="E37" i="17"/>
  <c r="E38" i="17"/>
  <c r="E5" i="17"/>
  <c r="G13" i="17"/>
  <c r="G26" i="17"/>
  <c r="G5" i="17"/>
  <c r="G20" i="17"/>
  <c r="G31" i="17"/>
  <c r="G8" i="17"/>
  <c r="G16" i="17"/>
  <c r="G29" i="17"/>
  <c r="G10" i="17"/>
  <c r="G33" i="17"/>
  <c r="G45" i="17"/>
  <c r="E42" i="17"/>
  <c r="E43" i="17"/>
  <c r="M31" i="17"/>
  <c r="I31" i="17"/>
  <c r="I40" i="17"/>
  <c r="M40" i="17"/>
  <c r="M30" i="17"/>
  <c r="I30" i="17"/>
  <c r="I37" i="17"/>
  <c r="M37" i="17"/>
  <c r="I44" i="17"/>
  <c r="M44" i="17"/>
  <c r="M45" i="17"/>
  <c r="I45" i="17"/>
  <c r="G19" i="17"/>
  <c r="G12" i="17"/>
  <c r="G39" i="17"/>
  <c r="G40" i="17"/>
  <c r="D2" i="22"/>
  <c r="D45" i="22"/>
  <c r="D44" i="22"/>
  <c r="D42" i="22"/>
  <c r="D38" i="22"/>
  <c r="D47" i="22"/>
  <c r="D43" i="22"/>
  <c r="D40" i="22"/>
  <c r="D34" i="22"/>
  <c r="D46" i="22"/>
  <c r="D48" i="22"/>
  <c r="D41" i="22"/>
  <c r="D39" i="22"/>
  <c r="D35" i="22"/>
  <c r="D49" i="22"/>
  <c r="D33" i="22"/>
  <c r="D22" i="22"/>
  <c r="D28" i="22"/>
  <c r="D24" i="22"/>
  <c r="D20" i="22"/>
  <c r="D18" i="22"/>
  <c r="D3" i="22"/>
  <c r="D26" i="22"/>
  <c r="D15" i="22"/>
  <c r="D10" i="22"/>
  <c r="B10" i="22" s="1"/>
  <c r="D37" i="22"/>
  <c r="D31" i="22"/>
  <c r="D30" i="22"/>
  <c r="D21" i="22"/>
  <c r="D27" i="22"/>
  <c r="D23" i="22"/>
  <c r="D25" i="22"/>
  <c r="D19" i="22"/>
  <c r="D17" i="22"/>
  <c r="D16" i="22"/>
  <c r="D13" i="22"/>
  <c r="D11" i="22"/>
  <c r="B11" i="22" s="1"/>
  <c r="D14" i="22"/>
  <c r="D36" i="22"/>
  <c r="D32" i="22"/>
  <c r="D29" i="22"/>
  <c r="D12" i="22"/>
  <c r="D4" i="22"/>
  <c r="D5" i="22"/>
  <c r="M32" i="17"/>
  <c r="I32" i="17"/>
  <c r="I48" i="17"/>
  <c r="M48" i="17"/>
  <c r="I20" i="17"/>
  <c r="M20" i="17"/>
  <c r="M41" i="17"/>
  <c r="I41" i="17"/>
  <c r="M34" i="17"/>
  <c r="I34" i="17"/>
  <c r="M43" i="17"/>
  <c r="I43" i="17"/>
  <c r="E48" i="17"/>
  <c r="H18" i="17"/>
  <c r="I11" i="17"/>
  <c r="I10" i="17"/>
  <c r="E6" i="17"/>
  <c r="E7" i="17"/>
  <c r="G23" i="17"/>
  <c r="G42" i="17"/>
  <c r="G43" i="17"/>
  <c r="I35" i="17"/>
  <c r="M35" i="17"/>
  <c r="M29" i="17"/>
  <c r="I29" i="17"/>
  <c r="M21" i="17"/>
  <c r="I21" i="17"/>
  <c r="I38" i="17"/>
  <c r="M38" i="17"/>
  <c r="M39" i="17"/>
  <c r="I39" i="17"/>
  <c r="M46" i="17"/>
  <c r="I46" i="17"/>
  <c r="D6" i="22"/>
  <c r="AH8" i="6"/>
  <c r="U7" i="22"/>
  <c r="B7" i="17" s="1"/>
  <c r="B8" i="22"/>
  <c r="AO9" i="6"/>
  <c r="D9" i="6" s="1"/>
  <c r="E9" i="22" s="1"/>
  <c r="AN9" i="6"/>
  <c r="B9" i="6" s="1"/>
  <c r="D9" i="22" s="1"/>
  <c r="B6" i="22" l="1"/>
  <c r="B6" i="17"/>
  <c r="C6" i="17" s="1"/>
  <c r="B17" i="22"/>
  <c r="B17" i="17"/>
  <c r="X17" i="22"/>
  <c r="B37" i="17"/>
  <c r="B37" i="22"/>
  <c r="X37" i="22"/>
  <c r="Z37" i="22"/>
  <c r="B29" i="17"/>
  <c r="C29" i="17" s="1"/>
  <c r="B29" i="22"/>
  <c r="X29" i="22"/>
  <c r="Z29" i="22"/>
  <c r="B19" i="17"/>
  <c r="C19" i="17" s="1"/>
  <c r="B19" i="22"/>
  <c r="X19" i="22"/>
  <c r="Z19" i="22"/>
  <c r="B22" i="17"/>
  <c r="C22" i="17" s="1"/>
  <c r="B22" i="22"/>
  <c r="X22" i="22"/>
  <c r="Z22" i="22"/>
  <c r="B39" i="17"/>
  <c r="B39" i="22"/>
  <c r="X39" i="22"/>
  <c r="Z39" i="22"/>
  <c r="B34" i="17"/>
  <c r="C34" i="17" s="1"/>
  <c r="B34" i="22"/>
  <c r="X34" i="22"/>
  <c r="Z34" i="22"/>
  <c r="B2" i="17"/>
  <c r="B2" i="22"/>
  <c r="B5" i="22"/>
  <c r="B5" i="17"/>
  <c r="B32" i="17"/>
  <c r="C32" i="17" s="1"/>
  <c r="B32" i="22"/>
  <c r="X32" i="22"/>
  <c r="Z32" i="22"/>
  <c r="B13" i="22"/>
  <c r="B13" i="17"/>
  <c r="C13" i="17" s="1"/>
  <c r="X13" i="22"/>
  <c r="B25" i="22"/>
  <c r="B25" i="17"/>
  <c r="X25" i="22"/>
  <c r="Z25" i="22"/>
  <c r="B30" i="17"/>
  <c r="B30" i="22"/>
  <c r="X30" i="22"/>
  <c r="Z30" i="22"/>
  <c r="B15" i="17"/>
  <c r="B15" i="22"/>
  <c r="X15" i="22"/>
  <c r="B20" i="17"/>
  <c r="B20" i="22"/>
  <c r="X20" i="22"/>
  <c r="Z20" i="22"/>
  <c r="B33" i="22"/>
  <c r="B33" i="17"/>
  <c r="X33" i="22"/>
  <c r="Z33" i="22"/>
  <c r="B41" i="17"/>
  <c r="B41" i="22"/>
  <c r="X41" i="22"/>
  <c r="Z41" i="22"/>
  <c r="B40" i="22"/>
  <c r="B40" i="17"/>
  <c r="X40" i="22"/>
  <c r="Z40" i="22"/>
  <c r="B42" i="17"/>
  <c r="C42" i="17" s="1"/>
  <c r="B42" i="22"/>
  <c r="X42" i="22"/>
  <c r="Z42" i="22"/>
  <c r="B4" i="22"/>
  <c r="B4" i="17"/>
  <c r="B36" i="17"/>
  <c r="B36" i="22"/>
  <c r="X36" i="22"/>
  <c r="Z36" i="22"/>
  <c r="B16" i="17"/>
  <c r="C16" i="17" s="1"/>
  <c r="B16" i="22"/>
  <c r="X16" i="22"/>
  <c r="B23" i="22"/>
  <c r="B23" i="17"/>
  <c r="C23" i="17" s="1"/>
  <c r="X23" i="22"/>
  <c r="Z23" i="22"/>
  <c r="B31" i="17"/>
  <c r="C31" i="17" s="1"/>
  <c r="B31" i="22"/>
  <c r="X31" i="22"/>
  <c r="Z31" i="22"/>
  <c r="B26" i="22"/>
  <c r="B26" i="17"/>
  <c r="C26" i="17" s="1"/>
  <c r="X26" i="22"/>
  <c r="Z26" i="22"/>
  <c r="B24" i="22"/>
  <c r="B24" i="17"/>
  <c r="C24" i="17" s="1"/>
  <c r="X24" i="22"/>
  <c r="Z24" i="22"/>
  <c r="B49" i="22"/>
  <c r="B49" i="17"/>
  <c r="X49" i="22"/>
  <c r="Z49" i="22"/>
  <c r="B48" i="17"/>
  <c r="B48" i="22"/>
  <c r="X48" i="22"/>
  <c r="Z48" i="22"/>
  <c r="B43" i="17"/>
  <c r="C43" i="17" s="1"/>
  <c r="B43" i="22"/>
  <c r="X43" i="22"/>
  <c r="Z43" i="22"/>
  <c r="B44" i="17"/>
  <c r="C44" i="17" s="1"/>
  <c r="B44" i="22"/>
  <c r="X44" i="22"/>
  <c r="Z44" i="22"/>
  <c r="B14" i="22"/>
  <c r="B14" i="17"/>
  <c r="C14" i="17" s="1"/>
  <c r="X14" i="22"/>
  <c r="B3" i="22"/>
  <c r="B3" i="17"/>
  <c r="B35" i="22"/>
  <c r="B35" i="17"/>
  <c r="C35" i="17" s="1"/>
  <c r="X35" i="22"/>
  <c r="Z35" i="22"/>
  <c r="B46" i="17"/>
  <c r="B46" i="22"/>
  <c r="X46" i="22"/>
  <c r="Z46" i="22"/>
  <c r="B47" i="17"/>
  <c r="C47" i="17" s="1"/>
  <c r="B47" i="22"/>
  <c r="X47" i="22"/>
  <c r="Z47" i="22"/>
  <c r="B45" i="17"/>
  <c r="C45" i="17" s="1"/>
  <c r="B45" i="22"/>
  <c r="X45" i="22"/>
  <c r="Z45" i="22"/>
  <c r="C7" i="17"/>
  <c r="I19" i="17"/>
  <c r="I18" i="17"/>
  <c r="B12" i="17"/>
  <c r="B12" i="22"/>
  <c r="X12" i="22"/>
  <c r="B27" i="22"/>
  <c r="B27" i="17"/>
  <c r="X27" i="22"/>
  <c r="Z27" i="22"/>
  <c r="B28" i="17"/>
  <c r="B28" i="22"/>
  <c r="X28" i="22"/>
  <c r="Z28" i="22"/>
  <c r="B21" i="22"/>
  <c r="B21" i="17"/>
  <c r="C21" i="17" s="1"/>
  <c r="X21" i="22"/>
  <c r="Z21" i="22"/>
  <c r="B18" i="22"/>
  <c r="B18" i="17"/>
  <c r="C18" i="17" s="1"/>
  <c r="X18" i="22"/>
  <c r="B38" i="17"/>
  <c r="C38" i="17" s="1"/>
  <c r="B38" i="22"/>
  <c r="X38" i="22"/>
  <c r="Z38" i="22"/>
  <c r="B9" i="22"/>
  <c r="AH9" i="6"/>
  <c r="U8" i="22"/>
  <c r="C46" i="17" l="1"/>
  <c r="C25" i="17"/>
  <c r="J2" i="75"/>
  <c r="J14" i="75"/>
  <c r="J34" i="75"/>
  <c r="J28" i="75"/>
  <c r="J22" i="75"/>
  <c r="J30" i="75"/>
  <c r="J31" i="75"/>
  <c r="J9" i="75"/>
  <c r="J38" i="75"/>
  <c r="J27" i="75"/>
  <c r="J5" i="75"/>
  <c r="J36" i="75"/>
  <c r="J41" i="75"/>
  <c r="J35" i="75"/>
  <c r="J21" i="75"/>
  <c r="J8" i="75"/>
  <c r="J16" i="75"/>
  <c r="J29" i="75"/>
  <c r="J11" i="75"/>
  <c r="J17" i="75"/>
  <c r="K17" i="75" s="1"/>
  <c r="J25" i="75"/>
  <c r="J18" i="75"/>
  <c r="J13" i="75"/>
  <c r="J43" i="75"/>
  <c r="J42" i="75"/>
  <c r="K42" i="75" s="1"/>
  <c r="J24" i="75"/>
  <c r="J3" i="75"/>
  <c r="J20" i="75"/>
  <c r="J26" i="75"/>
  <c r="K26" i="75" s="1"/>
  <c r="J12" i="75"/>
  <c r="J19" i="75"/>
  <c r="J6" i="75"/>
  <c r="J33" i="75"/>
  <c r="J7" i="75"/>
  <c r="J40" i="75"/>
  <c r="J15" i="75"/>
  <c r="J23" i="75"/>
  <c r="K23" i="75" s="1"/>
  <c r="J4" i="75"/>
  <c r="J39" i="75"/>
  <c r="K39" i="75" s="1"/>
  <c r="J32" i="75"/>
  <c r="J10" i="75"/>
  <c r="K10" i="75" s="1"/>
  <c r="J37" i="75"/>
  <c r="J44" i="75"/>
  <c r="K44" i="75" s="1"/>
  <c r="J45" i="75"/>
  <c r="J46" i="75"/>
  <c r="J47" i="75"/>
  <c r="J49" i="75"/>
  <c r="J48" i="75"/>
  <c r="J41" i="17"/>
  <c r="J22" i="17"/>
  <c r="J32" i="17"/>
  <c r="J42" i="17"/>
  <c r="J11" i="17"/>
  <c r="J38" i="17"/>
  <c r="J25" i="17"/>
  <c r="J19" i="17"/>
  <c r="J37" i="17"/>
  <c r="K38" i="17" s="1"/>
  <c r="J16" i="17"/>
  <c r="J9" i="17"/>
  <c r="J47" i="17"/>
  <c r="J30" i="17"/>
  <c r="J2" i="17"/>
  <c r="J34" i="17"/>
  <c r="J12" i="17"/>
  <c r="K12" i="17" s="1"/>
  <c r="J6" i="17"/>
  <c r="K6" i="17" s="1"/>
  <c r="J43" i="17"/>
  <c r="J26" i="17"/>
  <c r="K26" i="17" s="1"/>
  <c r="J5" i="17"/>
  <c r="J44" i="17"/>
  <c r="K44" i="17" s="1"/>
  <c r="J28" i="17"/>
  <c r="J3" i="17"/>
  <c r="K3" i="17" s="1"/>
  <c r="J23" i="17"/>
  <c r="K23" i="17" s="1"/>
  <c r="J46" i="17"/>
  <c r="J7" i="17"/>
  <c r="J8" i="17"/>
  <c r="K8" i="17" s="1"/>
  <c r="J15" i="17"/>
  <c r="J36" i="17"/>
  <c r="J10" i="17"/>
  <c r="J13" i="17"/>
  <c r="K13" i="17" s="1"/>
  <c r="J35" i="17"/>
  <c r="K35" i="17" s="1"/>
  <c r="J14" i="17"/>
  <c r="K14" i="17" s="1"/>
  <c r="J17" i="17"/>
  <c r="K17" i="17" s="1"/>
  <c r="J39" i="17"/>
  <c r="K39" i="17" s="1"/>
  <c r="J21" i="17"/>
  <c r="K21" i="17" s="1"/>
  <c r="J18" i="17"/>
  <c r="J40" i="17"/>
  <c r="J20" i="17"/>
  <c r="K20" i="17" s="1"/>
  <c r="J27" i="17"/>
  <c r="K27" i="17" s="1"/>
  <c r="J49" i="17"/>
  <c r="K49" i="17" s="1"/>
  <c r="J33" i="17"/>
  <c r="J24" i="17"/>
  <c r="K24" i="17" s="1"/>
  <c r="J48" i="17"/>
  <c r="K48" i="17" s="1"/>
  <c r="J31" i="17"/>
  <c r="K31" i="17" s="1"/>
  <c r="J45" i="17"/>
  <c r="J4" i="17"/>
  <c r="K4" i="17" s="1"/>
  <c r="J29" i="17"/>
  <c r="K29" i="17" s="1"/>
  <c r="C39" i="17"/>
  <c r="C27" i="17"/>
  <c r="C3" i="17"/>
  <c r="C48" i="17"/>
  <c r="C4" i="17"/>
  <c r="C40" i="17"/>
  <c r="C33" i="17"/>
  <c r="C15" i="17"/>
  <c r="C30" i="17"/>
  <c r="C5" i="17"/>
  <c r="C28" i="17"/>
  <c r="C41" i="17"/>
  <c r="C20" i="17"/>
  <c r="AD38" i="22"/>
  <c r="AH47" i="22"/>
  <c r="AH43" i="22"/>
  <c r="AD39" i="22"/>
  <c r="AH34" i="22"/>
  <c r="AO30" i="22"/>
  <c r="AD29" i="22"/>
  <c r="AH19" i="22"/>
  <c r="AH46" i="22"/>
  <c r="AD44" i="22"/>
  <c r="AH31" i="22"/>
  <c r="AO28" i="22"/>
  <c r="AD22" i="22"/>
  <c r="AB20" i="22"/>
  <c r="AN20" i="22"/>
  <c r="AB21" i="22"/>
  <c r="AN21" i="22"/>
  <c r="AB22" i="22"/>
  <c r="AN22" i="22"/>
  <c r="AB23" i="22"/>
  <c r="AN23" i="22"/>
  <c r="AB24" i="22"/>
  <c r="AN24" i="22"/>
  <c r="AG20" i="22"/>
  <c r="AQ20" i="22"/>
  <c r="AE21" i="22"/>
  <c r="AM21" i="22"/>
  <c r="AC22" i="22"/>
  <c r="AK22" i="22"/>
  <c r="AA23" i="22"/>
  <c r="AI23" i="22"/>
  <c r="AS23" i="22"/>
  <c r="AG24" i="22"/>
  <c r="AQ24" i="22"/>
  <c r="AE25" i="22"/>
  <c r="AM25" i="22"/>
  <c r="AC26" i="22"/>
  <c r="AK26" i="22"/>
  <c r="AA27" i="22"/>
  <c r="AI27" i="22"/>
  <c r="AS27" i="22"/>
  <c r="AG28" i="22"/>
  <c r="AL25" i="22"/>
  <c r="AP26" i="22"/>
  <c r="AS28" i="22"/>
  <c r="AG29" i="22"/>
  <c r="AQ29" i="22"/>
  <c r="AE30" i="22"/>
  <c r="AM30" i="22"/>
  <c r="AC31" i="22"/>
  <c r="AK31" i="22"/>
  <c r="AA32" i="22"/>
  <c r="AI32" i="22"/>
  <c r="AS32" i="22"/>
  <c r="AG33" i="22"/>
  <c r="AQ33" i="22"/>
  <c r="AE34" i="22"/>
  <c r="AM34" i="22"/>
  <c r="AR24" i="22"/>
  <c r="AJ26" i="22"/>
  <c r="AB28" i="22"/>
  <c r="AB29" i="22"/>
  <c r="AR29" i="22"/>
  <c r="AN30" i="22"/>
  <c r="AJ31" i="22"/>
  <c r="AF32" i="22"/>
  <c r="AB33" i="22"/>
  <c r="AR33" i="22"/>
  <c r="AN34" i="22"/>
  <c r="AJ35" i="22"/>
  <c r="AR35" i="22"/>
  <c r="AJ36" i="22"/>
  <c r="AR36" i="22"/>
  <c r="AJ37" i="22"/>
  <c r="AR37" i="22"/>
  <c r="AJ38" i="22"/>
  <c r="AR38" i="22"/>
  <c r="AJ39" i="22"/>
  <c r="AR39" i="22"/>
  <c r="AJ40" i="22"/>
  <c r="AR40" i="22"/>
  <c r="AJ41" i="22"/>
  <c r="AR41" i="22"/>
  <c r="AJ42" i="22"/>
  <c r="AR42" i="22"/>
  <c r="AJ43" i="22"/>
  <c r="AR43" i="22"/>
  <c r="AJ44" i="22"/>
  <c r="AR44" i="22"/>
  <c r="AJ45" i="22"/>
  <c r="AR45" i="22"/>
  <c r="AJ46" i="22"/>
  <c r="AR46" i="22"/>
  <c r="AJ47" i="22"/>
  <c r="AB25" i="22"/>
  <c r="AF28" i="22"/>
  <c r="AP30" i="22"/>
  <c r="AL33" i="22"/>
  <c r="AG35" i="22"/>
  <c r="AD49" i="22"/>
  <c r="AO47" i="22"/>
  <c r="AO43" i="22"/>
  <c r="AO38" i="22"/>
  <c r="AD35" i="22"/>
  <c r="AH29" i="22"/>
  <c r="AH26" i="22"/>
  <c r="AD19" i="22"/>
  <c r="AH45" i="22"/>
  <c r="AD43" i="22"/>
  <c r="AO39" i="22"/>
  <c r="AH30" i="22"/>
  <c r="AO27" i="22"/>
  <c r="AF20" i="22"/>
  <c r="AP20" i="22"/>
  <c r="AF21" i="22"/>
  <c r="AP21" i="22"/>
  <c r="AF22" i="22"/>
  <c r="AP22" i="22"/>
  <c r="AF23" i="22"/>
  <c r="AP23" i="22"/>
  <c r="AF24" i="22"/>
  <c r="AA20" i="22"/>
  <c r="AI20" i="22"/>
  <c r="AS20" i="22"/>
  <c r="AG21" i="22"/>
  <c r="AQ21" i="22"/>
  <c r="AE22" i="22"/>
  <c r="AM22" i="22"/>
  <c r="AC23" i="22"/>
  <c r="AK23" i="22"/>
  <c r="AA24" i="22"/>
  <c r="AI24" i="22"/>
  <c r="AS24" i="22"/>
  <c r="AG25" i="22"/>
  <c r="AQ25" i="22"/>
  <c r="AM26" i="22"/>
  <c r="AC27" i="22"/>
  <c r="AK27" i="22"/>
  <c r="AA28" i="22"/>
  <c r="AI28" i="22"/>
  <c r="AP25" i="22"/>
  <c r="AK28" i="22"/>
  <c r="AA29" i="22"/>
  <c r="AI29" i="22"/>
  <c r="AS29" i="22"/>
  <c r="AG30" i="22"/>
  <c r="AQ30" i="22"/>
  <c r="AE31" i="22"/>
  <c r="AM31" i="22"/>
  <c r="AC32" i="22"/>
  <c r="AK32" i="22"/>
  <c r="AA33" i="22"/>
  <c r="AI33" i="22"/>
  <c r="AS33" i="22"/>
  <c r="AG34" i="22"/>
  <c r="AQ34" i="22"/>
  <c r="AF25" i="22"/>
  <c r="AR26" i="22"/>
  <c r="AJ28" i="22"/>
  <c r="AF29" i="22"/>
  <c r="AB30" i="22"/>
  <c r="AR30" i="22"/>
  <c r="AN31" i="22"/>
  <c r="AJ32" i="22"/>
  <c r="AF33" i="22"/>
  <c r="AB34" i="22"/>
  <c r="AR34" i="22"/>
  <c r="AL35" i="22"/>
  <c r="AL36" i="22"/>
  <c r="AL37" i="22"/>
  <c r="AL38" i="22"/>
  <c r="AL39" i="22"/>
  <c r="AL40" i="22"/>
  <c r="AL41" i="22"/>
  <c r="AL42" i="22"/>
  <c r="AL43" i="22"/>
  <c r="AL44" i="22"/>
  <c r="AL45" i="22"/>
  <c r="AL46" i="22"/>
  <c r="AL47" i="22"/>
  <c r="AR25" i="22"/>
  <c r="AP28" i="22"/>
  <c r="AL31" i="22"/>
  <c r="AK35" i="22"/>
  <c r="AK36" i="22"/>
  <c r="AK37" i="22"/>
  <c r="AK38" i="22"/>
  <c r="AK39" i="22"/>
  <c r="AK40" i="22"/>
  <c r="AK41" i="22"/>
  <c r="AK42" i="22"/>
  <c r="AK43" i="22"/>
  <c r="AK44" i="22"/>
  <c r="AK45" i="22"/>
  <c r="AK46" i="22"/>
  <c r="AK47" i="22"/>
  <c r="AF48" i="22"/>
  <c r="AP48" i="22"/>
  <c r="AF49" i="22"/>
  <c r="AP49" i="22"/>
  <c r="AB27" i="22"/>
  <c r="AP29" i="22"/>
  <c r="AL32" i="22"/>
  <c r="AQ35" i="22"/>
  <c r="AM36" i="22"/>
  <c r="AI37" i="22"/>
  <c r="AE38" i="22"/>
  <c r="AA39" i="22"/>
  <c r="AQ39" i="22"/>
  <c r="AM40" i="22"/>
  <c r="AI41" i="22"/>
  <c r="AE42" i="22"/>
  <c r="AA43" i="22"/>
  <c r="AQ43" i="22"/>
  <c r="AM44" i="22"/>
  <c r="AI45" i="22"/>
  <c r="AE46" i="22"/>
  <c r="AA47" i="22"/>
  <c r="AQ47" i="22"/>
  <c r="AE48" i="22"/>
  <c r="AM48" i="22"/>
  <c r="AC49" i="22"/>
  <c r="AK49" i="22"/>
  <c r="AA19" i="22"/>
  <c r="AI19" i="22"/>
  <c r="AS19" i="22"/>
  <c r="AL19" i="22"/>
  <c r="AH49" i="22"/>
  <c r="AD41" i="22"/>
  <c r="AD31" i="22"/>
  <c r="AD23" i="22"/>
  <c r="AO48" i="22"/>
  <c r="AH38" i="22"/>
  <c r="AO34" i="22"/>
  <c r="AD28" i="22"/>
  <c r="AH25" i="22"/>
  <c r="AO20" i="22"/>
  <c r="AD48" i="22"/>
  <c r="AD46" i="22"/>
  <c r="AO41" i="22"/>
  <c r="AO36" i="22"/>
  <c r="AH32" i="22"/>
  <c r="AH28" i="22"/>
  <c r="AD27" i="22"/>
  <c r="AD24" i="22"/>
  <c r="AH44" i="22"/>
  <c r="AO35" i="22"/>
  <c r="AD32" i="22"/>
  <c r="AD26" i="22"/>
  <c r="AD21" i="22"/>
  <c r="AJ20" i="22"/>
  <c r="AR20" i="22"/>
  <c r="AJ21" i="22"/>
  <c r="AR21" i="22"/>
  <c r="AJ22" i="22"/>
  <c r="AR22" i="22"/>
  <c r="AJ23" i="22"/>
  <c r="AR23" i="22"/>
  <c r="AJ24" i="22"/>
  <c r="AC20" i="22"/>
  <c r="AK20" i="22"/>
  <c r="AA21" i="22"/>
  <c r="AI21" i="22"/>
  <c r="AS21" i="22"/>
  <c r="AG22" i="22"/>
  <c r="AQ22" i="22"/>
  <c r="AM23" i="22"/>
  <c r="AC24" i="22"/>
  <c r="AK24" i="22"/>
  <c r="AA25" i="22"/>
  <c r="AI25" i="22"/>
  <c r="AS25" i="22"/>
  <c r="AG26" i="22"/>
  <c r="AQ26" i="22"/>
  <c r="AE27" i="22"/>
  <c r="AM27" i="22"/>
  <c r="AC28" i="22"/>
  <c r="AP24" i="22"/>
  <c r="AL27" i="22"/>
  <c r="AM28" i="22"/>
  <c r="AC29" i="22"/>
  <c r="AK29" i="22"/>
  <c r="AA30" i="22"/>
  <c r="AI30" i="22"/>
  <c r="AS30" i="22"/>
  <c r="AG31" i="22"/>
  <c r="AQ31" i="22"/>
  <c r="AE32" i="22"/>
  <c r="AM32" i="22"/>
  <c r="AC33" i="22"/>
  <c r="AK33" i="22"/>
  <c r="AA34" i="22"/>
  <c r="AI34" i="22"/>
  <c r="AS34" i="22"/>
  <c r="AN25" i="22"/>
  <c r="AF27" i="22"/>
  <c r="AN28" i="22"/>
  <c r="AJ29" i="22"/>
  <c r="AF30" i="22"/>
  <c r="AB31" i="22"/>
  <c r="AR31" i="22"/>
  <c r="AN32" i="22"/>
  <c r="AJ33" i="22"/>
  <c r="AF34" i="22"/>
  <c r="AB35" i="22"/>
  <c r="AN35" i="22"/>
  <c r="AB36" i="22"/>
  <c r="AN36" i="22"/>
  <c r="AB37" i="22"/>
  <c r="AN37" i="22"/>
  <c r="AB38" i="22"/>
  <c r="AN38" i="22"/>
  <c r="AB39" i="22"/>
  <c r="AN39" i="22"/>
  <c r="AB40" i="22"/>
  <c r="AN40" i="22"/>
  <c r="AB41" i="22"/>
  <c r="AN41" i="22"/>
  <c r="AB42" i="22"/>
  <c r="AN42" i="22"/>
  <c r="AB43" i="22"/>
  <c r="AN43" i="22"/>
  <c r="AB44" i="22"/>
  <c r="AN44" i="22"/>
  <c r="AB45" i="22"/>
  <c r="AN45" i="22"/>
  <c r="AB46" i="22"/>
  <c r="AN46" i="22"/>
  <c r="AB47" i="22"/>
  <c r="AN47" i="22"/>
  <c r="AN26" i="22"/>
  <c r="AL29" i="22"/>
  <c r="AP34" i="22"/>
  <c r="AS35" i="22"/>
  <c r="AS36" i="22"/>
  <c r="AS37" i="22"/>
  <c r="AS38" i="22"/>
  <c r="AS39" i="22"/>
  <c r="AS40" i="22"/>
  <c r="AS41" i="22"/>
  <c r="AS42" i="22"/>
  <c r="AS43" i="22"/>
  <c r="AS44" i="22"/>
  <c r="AS45" i="22"/>
  <c r="AS46" i="22"/>
  <c r="AR47" i="22"/>
  <c r="AJ48" i="22"/>
  <c r="AR48" i="22"/>
  <c r="AJ49" i="22"/>
  <c r="AR49" i="22"/>
  <c r="AR27" i="22"/>
  <c r="AL30" i="22"/>
  <c r="AE35" i="22"/>
  <c r="AA36" i="22"/>
  <c r="AQ36" i="22"/>
  <c r="AM37" i="22"/>
  <c r="AI38" i="22"/>
  <c r="AE39" i="22"/>
  <c r="AA40" i="22"/>
  <c r="AQ40" i="22"/>
  <c r="AM41" i="22"/>
  <c r="AI42" i="22"/>
  <c r="AE43" i="22"/>
  <c r="AA44" i="22"/>
  <c r="AQ44" i="22"/>
  <c r="AM45" i="22"/>
  <c r="AI46" i="22"/>
  <c r="AE47" i="22"/>
  <c r="AS47" i="22"/>
  <c r="AG48" i="22"/>
  <c r="AQ48" i="22"/>
  <c r="AE49" i="22"/>
  <c r="AM49" i="22"/>
  <c r="AC19" i="22"/>
  <c r="AK19" i="22"/>
  <c r="AB19" i="22"/>
  <c r="AN19" i="22"/>
  <c r="AD47" i="22"/>
  <c r="AD45" i="22"/>
  <c r="AO37" i="22"/>
  <c r="AH24" i="22"/>
  <c r="AO25" i="22"/>
  <c r="AH40" i="22"/>
  <c r="AH37" i="22"/>
  <c r="AH33" i="22"/>
  <c r="AO26" i="22"/>
  <c r="AD25" i="22"/>
  <c r="AH48" i="22"/>
  <c r="AO45" i="22"/>
  <c r="AH39" i="22"/>
  <c r="AH35" i="22"/>
  <c r="AO32" i="22"/>
  <c r="AH27" i="22"/>
  <c r="AH21" i="22"/>
  <c r="AO21" i="22"/>
  <c r="AO49" i="22"/>
  <c r="AD42" i="22"/>
  <c r="AD34" i="22"/>
  <c r="AD30" i="22"/>
  <c r="AO23" i="22"/>
  <c r="AL20" i="22"/>
  <c r="AL21" i="22"/>
  <c r="AL22" i="22"/>
  <c r="AL23" i="22"/>
  <c r="AL24" i="22"/>
  <c r="AE20" i="22"/>
  <c r="AM20" i="22"/>
  <c r="AC21" i="22"/>
  <c r="AK21" i="22"/>
  <c r="AA22" i="22"/>
  <c r="AI22" i="22"/>
  <c r="AS22" i="22"/>
  <c r="AG23" i="22"/>
  <c r="AQ23" i="22"/>
  <c r="AE24" i="22"/>
  <c r="AM24" i="22"/>
  <c r="AC25" i="22"/>
  <c r="AK25" i="22"/>
  <c r="AA26" i="22"/>
  <c r="AI26" i="22"/>
  <c r="AS26" i="22"/>
  <c r="AG27" i="22"/>
  <c r="AQ27" i="22"/>
  <c r="AE28" i="22"/>
  <c r="AL26" i="22"/>
  <c r="AP27" i="22"/>
  <c r="AQ28" i="22"/>
  <c r="AE29" i="22"/>
  <c r="AM29" i="22"/>
  <c r="AC30" i="22"/>
  <c r="AK30" i="22"/>
  <c r="AA31" i="22"/>
  <c r="AI31" i="22"/>
  <c r="AS31" i="22"/>
  <c r="AG32" i="22"/>
  <c r="AQ32" i="22"/>
  <c r="AE33" i="22"/>
  <c r="AM33" i="22"/>
  <c r="AC34" i="22"/>
  <c r="AK34" i="22"/>
  <c r="AA35" i="22"/>
  <c r="AB26" i="22"/>
  <c r="AN27" i="22"/>
  <c r="AR28" i="22"/>
  <c r="AN29" i="22"/>
  <c r="AJ30" i="22"/>
  <c r="AF31" i="22"/>
  <c r="AB32" i="22"/>
  <c r="AR32" i="22"/>
  <c r="AN33" i="22"/>
  <c r="AJ34" i="22"/>
  <c r="AF35" i="22"/>
  <c r="AP35" i="22"/>
  <c r="AF36" i="22"/>
  <c r="AP36" i="22"/>
  <c r="AF37" i="22"/>
  <c r="AP37" i="22"/>
  <c r="AF38" i="22"/>
  <c r="AP38" i="22"/>
  <c r="AF39" i="22"/>
  <c r="AP39" i="22"/>
  <c r="AF40" i="22"/>
  <c r="AP40" i="22"/>
  <c r="AF41" i="22"/>
  <c r="AP41" i="22"/>
  <c r="AF42" i="22"/>
  <c r="AP42" i="22"/>
  <c r="AF43" i="22"/>
  <c r="AP43" i="22"/>
  <c r="AF44" i="22"/>
  <c r="AP44" i="22"/>
  <c r="AF45" i="22"/>
  <c r="AP45" i="22"/>
  <c r="AF46" i="22"/>
  <c r="AP46" i="22"/>
  <c r="AF47" i="22"/>
  <c r="AP47" i="22"/>
  <c r="AJ27" i="22"/>
  <c r="AP32" i="22"/>
  <c r="AC35" i="22"/>
  <c r="AC36" i="22"/>
  <c r="AC37" i="22"/>
  <c r="AC38" i="22"/>
  <c r="AC39" i="22"/>
  <c r="AC40" i="22"/>
  <c r="AC41" i="22"/>
  <c r="AC42" i="22"/>
  <c r="AC43" i="22"/>
  <c r="AC44" i="22"/>
  <c r="AC45" i="22"/>
  <c r="AC46" i="22"/>
  <c r="AC47" i="22"/>
  <c r="AL48" i="22"/>
  <c r="AL49" i="22"/>
  <c r="AJ25" i="22"/>
  <c r="AL28" i="22"/>
  <c r="AP33" i="22"/>
  <c r="AI35" i="22"/>
  <c r="AE36" i="22"/>
  <c r="AA37" i="22"/>
  <c r="AQ37" i="22"/>
  <c r="AM38" i="22"/>
  <c r="AI39" i="22"/>
  <c r="AE40" i="22"/>
  <c r="AA41" i="22"/>
  <c r="AQ41" i="22"/>
  <c r="AM42" i="22"/>
  <c r="AI43" i="22"/>
  <c r="AE44" i="22"/>
  <c r="AA45" i="22"/>
  <c r="AQ45" i="22"/>
  <c r="AM46" i="22"/>
  <c r="AI47" i="22"/>
  <c r="AA48" i="22"/>
  <c r="AI48" i="22"/>
  <c r="AS48" i="22"/>
  <c r="AG49" i="22"/>
  <c r="AQ49" i="22"/>
  <c r="AE19" i="22"/>
  <c r="AM19" i="22"/>
  <c r="AF19" i="22"/>
  <c r="AP19" i="22"/>
  <c r="AO46" i="22"/>
  <c r="AH42" i="22"/>
  <c r="AD36" i="22"/>
  <c r="AH23" i="22"/>
  <c r="AD20" i="22"/>
  <c r="AD40" i="22"/>
  <c r="AH36" i="22"/>
  <c r="AO33" i="22"/>
  <c r="AO24" i="22"/>
  <c r="AG44" i="22"/>
  <c r="AG37" i="22"/>
  <c r="AG41" i="22"/>
  <c r="AG45" i="22"/>
  <c r="AN48" i="22"/>
  <c r="AI36" i="22"/>
  <c r="AM39" i="22"/>
  <c r="AQ42" i="22"/>
  <c r="AA46" i="22"/>
  <c r="AK48" i="22"/>
  <c r="AG19" i="22"/>
  <c r="AO44" i="22"/>
  <c r="AD33" i="22"/>
  <c r="AO22" i="22"/>
  <c r="AG38" i="22"/>
  <c r="AG42" i="22"/>
  <c r="AG46" i="22"/>
  <c r="AB49" i="22"/>
  <c r="AP31" i="22"/>
  <c r="AE37" i="22"/>
  <c r="AI40" i="22"/>
  <c r="AM43" i="22"/>
  <c r="AQ46" i="22"/>
  <c r="AA49" i="22"/>
  <c r="AQ19" i="22"/>
  <c r="AO42" i="22"/>
  <c r="AO40" i="22"/>
  <c r="AH20" i="22"/>
  <c r="AG39" i="22"/>
  <c r="AG43" i="22"/>
  <c r="AG47" i="22"/>
  <c r="AN49" i="22"/>
  <c r="AL34" i="22"/>
  <c r="AA38" i="22"/>
  <c r="AE41" i="22"/>
  <c r="AI44" i="22"/>
  <c r="AM47" i="22"/>
  <c r="AI49" i="22"/>
  <c r="AJ19" i="22"/>
  <c r="AO31" i="22"/>
  <c r="AD37" i="22"/>
  <c r="AO19" i="22"/>
  <c r="AG36" i="22"/>
  <c r="AG40" i="22"/>
  <c r="AB48" i="22"/>
  <c r="AF26" i="22"/>
  <c r="AM35" i="22"/>
  <c r="AQ38" i="22"/>
  <c r="AA42" i="22"/>
  <c r="AE45" i="22"/>
  <c r="AC48" i="22"/>
  <c r="AS49" i="22"/>
  <c r="AR19" i="22"/>
  <c r="AH22" i="22"/>
  <c r="AO29" i="22"/>
  <c r="AE23" i="22"/>
  <c r="AH41" i="22"/>
  <c r="AE26" i="22"/>
  <c r="C17" i="17"/>
  <c r="C37" i="17"/>
  <c r="C36" i="17"/>
  <c r="AH10" i="6"/>
  <c r="U9" i="22"/>
  <c r="X8" i="22"/>
  <c r="B8" i="17"/>
  <c r="C8" i="17" s="1"/>
  <c r="K3" i="75" l="1"/>
  <c r="K19" i="75"/>
  <c r="K13" i="75"/>
  <c r="K5" i="75"/>
  <c r="K31" i="75"/>
  <c r="K46" i="75"/>
  <c r="K33" i="75"/>
  <c r="K25" i="75"/>
  <c r="K38" i="75"/>
  <c r="K48" i="75"/>
  <c r="K45" i="75"/>
  <c r="K32" i="75"/>
  <c r="K15" i="75"/>
  <c r="K6" i="75"/>
  <c r="K20" i="75"/>
  <c r="K8" i="75"/>
  <c r="K36" i="75"/>
  <c r="K28" i="75"/>
  <c r="K46" i="17"/>
  <c r="K45" i="17"/>
  <c r="K34" i="17"/>
  <c r="K33" i="17"/>
  <c r="K41" i="17"/>
  <c r="K40" i="17"/>
  <c r="K11" i="17"/>
  <c r="K10" i="17"/>
  <c r="K7" i="17"/>
  <c r="K28" i="17"/>
  <c r="K43" i="17"/>
  <c r="K22" i="17"/>
  <c r="K47" i="75"/>
  <c r="K37" i="75"/>
  <c r="K4" i="75"/>
  <c r="K7" i="75"/>
  <c r="K12" i="75"/>
  <c r="K24" i="75"/>
  <c r="K18" i="75"/>
  <c r="K29" i="75"/>
  <c r="K35" i="75"/>
  <c r="K27" i="75"/>
  <c r="K30" i="75"/>
  <c r="K14" i="75"/>
  <c r="K19" i="17"/>
  <c r="K18" i="17"/>
  <c r="K37" i="17"/>
  <c r="K36" i="17"/>
  <c r="K30" i="17"/>
  <c r="K16" i="75"/>
  <c r="K41" i="75"/>
  <c r="K22" i="75"/>
  <c r="K16" i="17"/>
  <c r="K15" i="17"/>
  <c r="K5" i="17"/>
  <c r="K47" i="17"/>
  <c r="K42" i="17"/>
  <c r="K43" i="75"/>
  <c r="K9" i="75"/>
  <c r="K9" i="17"/>
  <c r="K25" i="17"/>
  <c r="K32" i="17"/>
  <c r="K49" i="75"/>
  <c r="K40" i="75"/>
  <c r="K11" i="75"/>
  <c r="K21" i="75"/>
  <c r="K34" i="75"/>
  <c r="B9" i="17"/>
  <c r="C9" i="17" s="1"/>
  <c r="X9" i="22"/>
  <c r="AH11" i="6"/>
  <c r="U11" i="22" s="1"/>
  <c r="U10" i="22"/>
  <c r="X10" i="22" l="1"/>
  <c r="B10" i="17"/>
  <c r="C10" i="17" s="1"/>
  <c r="B11" i="17"/>
  <c r="X11" i="22"/>
  <c r="C12" i="17" l="1"/>
  <c r="C11" i="17"/>
</calcChain>
</file>

<file path=xl/sharedStrings.xml><?xml version="1.0" encoding="utf-8"?>
<sst xmlns="http://schemas.openxmlformats.org/spreadsheetml/2006/main" count="1546" uniqueCount="266">
  <si>
    <t>EFurn</t>
  </si>
  <si>
    <t>HPHeat</t>
  </si>
  <si>
    <t>CAC</t>
  </si>
  <si>
    <t>HPCool</t>
  </si>
  <si>
    <t>RAC</t>
  </si>
  <si>
    <t>EWHeat</t>
  </si>
  <si>
    <t>ECook</t>
  </si>
  <si>
    <t>Ref1</t>
  </si>
  <si>
    <t>Ref2</t>
  </si>
  <si>
    <t>Frz</t>
  </si>
  <si>
    <t>Dish</t>
  </si>
  <si>
    <t>CWash</t>
  </si>
  <si>
    <t>EDry</t>
  </si>
  <si>
    <t>Light</t>
  </si>
  <si>
    <t>Misc</t>
  </si>
  <si>
    <t>Year</t>
  </si>
  <si>
    <t>Heating</t>
  </si>
  <si>
    <t>Cooling</t>
  </si>
  <si>
    <t>Month</t>
  </si>
  <si>
    <t>NonHVAC</t>
  </si>
  <si>
    <t>Heat pump space heating</t>
  </si>
  <si>
    <t>Central air conditioning</t>
  </si>
  <si>
    <t>Heat pump space cooling</t>
  </si>
  <si>
    <t>Room air conditioners</t>
  </si>
  <si>
    <t>Electric water heating</t>
  </si>
  <si>
    <t>Electric cooking</t>
  </si>
  <si>
    <t>Refrigerator</t>
  </si>
  <si>
    <t>Second refrigerator</t>
  </si>
  <si>
    <t>Freezer</t>
  </si>
  <si>
    <t>Dishwasher</t>
  </si>
  <si>
    <t>Electric clothes washer</t>
  </si>
  <si>
    <t>Electric clothes dryer</t>
  </si>
  <si>
    <t>Lighting</t>
  </si>
  <si>
    <t>Miscellaneous electric appliances</t>
  </si>
  <si>
    <t>End Use Definitions</t>
  </si>
  <si>
    <t>UEC</t>
  </si>
  <si>
    <t>EFURN</t>
  </si>
  <si>
    <t>Units</t>
  </si>
  <si>
    <t>Energy</t>
  </si>
  <si>
    <t>EHP Spht</t>
  </si>
  <si>
    <t>EHP SPC</t>
  </si>
  <si>
    <t>CW</t>
  </si>
  <si>
    <t>DW</t>
  </si>
  <si>
    <t>Cook</t>
  </si>
  <si>
    <t>Dryers</t>
  </si>
  <si>
    <t>Ref</t>
  </si>
  <si>
    <t>Lght</t>
  </si>
  <si>
    <t>TotUnits</t>
  </si>
  <si>
    <t>Shares</t>
  </si>
  <si>
    <t>2nd Ref</t>
  </si>
  <si>
    <t>Color Scheme</t>
  </si>
  <si>
    <t>EHP SpCool</t>
  </si>
  <si>
    <t>EHP SpHeat</t>
  </si>
  <si>
    <t>Blue Cells are Calculations</t>
  </si>
  <si>
    <t>Red Cells are references to EIA Data</t>
  </si>
  <si>
    <t>Black Cells are Historical Data</t>
  </si>
  <si>
    <t>Black Cells with Yellow Background refer to User Input Data</t>
  </si>
  <si>
    <t>Definitions</t>
  </si>
  <si>
    <t>UtilityData</t>
  </si>
  <si>
    <t>Contains Residential Sales History; History and forecasts for economic and weather variables</t>
  </si>
  <si>
    <t>End-Use Intensity (Refers to EIAData Sheet)</t>
  </si>
  <si>
    <t>AnnualIndices</t>
  </si>
  <si>
    <t>ShareUEC</t>
  </si>
  <si>
    <t>Annual end-use indices reflecting efficiency and share trends</t>
  </si>
  <si>
    <t>Annual equipment indices reflecting efficiency and share trends</t>
  </si>
  <si>
    <t>Annual equipment share history and forecast</t>
  </si>
  <si>
    <t>Efficiencies</t>
  </si>
  <si>
    <t>Annual equipment efficiency history and forecast</t>
  </si>
  <si>
    <t>EIAData</t>
  </si>
  <si>
    <t>Equipment efficiency, shares forecasts from Energy Information Adminstration Annual Energy Outlook Forecast</t>
  </si>
  <si>
    <t>MonthlyMults</t>
  </si>
  <si>
    <t>Monthly multipliers to convert annual usage values to monthly values</t>
  </si>
  <si>
    <t>Equipment Definitions</t>
  </si>
  <si>
    <t>Worksheet Definitions</t>
  </si>
  <si>
    <t>AdjIntensity</t>
  </si>
  <si>
    <t>RawIntensity</t>
  </si>
  <si>
    <t>Adj Factor</t>
  </si>
  <si>
    <t>MMBtu</t>
  </si>
  <si>
    <t>Total Units:  Source Energy Information Administration</t>
  </si>
  <si>
    <t>Total Energy:  Source Energy Information Administration</t>
  </si>
  <si>
    <t>Stock Aver. Equipment Efficiency: Source Energy Information Adminstration</t>
  </si>
  <si>
    <t>New England</t>
  </si>
  <si>
    <t>Census Divisions</t>
  </si>
  <si>
    <t>NENG</t>
  </si>
  <si>
    <t>MATL</t>
  </si>
  <si>
    <t>ENC</t>
  </si>
  <si>
    <t>WNC</t>
  </si>
  <si>
    <t>SATL</t>
  </si>
  <si>
    <t>ESC</t>
  </si>
  <si>
    <t>WSC</t>
  </si>
  <si>
    <t>MNT</t>
  </si>
  <si>
    <t>PAC</t>
  </si>
  <si>
    <t>Middle Atlantic</t>
  </si>
  <si>
    <t>East North Central</t>
  </si>
  <si>
    <t>West North Central</t>
  </si>
  <si>
    <t>South Atlantic</t>
  </si>
  <si>
    <t>East South Central</t>
  </si>
  <si>
    <t>West South Central</t>
  </si>
  <si>
    <t>Mountain</t>
  </si>
  <si>
    <t>Pacific</t>
  </si>
  <si>
    <t>TV</t>
  </si>
  <si>
    <t>HSPF</t>
  </si>
  <si>
    <t>SEER</t>
  </si>
  <si>
    <t>EER</t>
  </si>
  <si>
    <t>EF</t>
  </si>
  <si>
    <t xml:space="preserve">CAC </t>
  </si>
  <si>
    <t xml:space="preserve">RAC </t>
  </si>
  <si>
    <t># of SF</t>
  </si>
  <si>
    <t># of MF</t>
  </si>
  <si>
    <t># of MH</t>
  </si>
  <si>
    <t>Tot # of HH's</t>
  </si>
  <si>
    <t>SquareFootage</t>
  </si>
  <si>
    <t>SurfaceArea</t>
  </si>
  <si>
    <t>Electric furnace and resistant room space heaters</t>
  </si>
  <si>
    <t>kWh/yr</t>
  </si>
  <si>
    <t>Electric furnace/resistant room space heating</t>
  </si>
  <si>
    <t>TV sets</t>
  </si>
  <si>
    <t>TV Sets</t>
  </si>
  <si>
    <t>StructuralVars</t>
  </si>
  <si>
    <t>Annual building structure variables reflecting square footage and shell efficiency index trends</t>
  </si>
  <si>
    <t>Space heating [kWh/Year]</t>
  </si>
  <si>
    <t>Space cooling [kWh/Year]</t>
  </si>
  <si>
    <t>Electric water heating [kWh/Year]</t>
  </si>
  <si>
    <t>Other non heating/cooling end uses  [kWh/Year]</t>
  </si>
  <si>
    <t xml:space="preserve">Total </t>
  </si>
  <si>
    <t>% Chg</t>
  </si>
  <si>
    <t xml:space="preserve">HSPF : </t>
  </si>
  <si>
    <t>Heating Seasonal Performance Factor. The total heating output of a heat pump in BTU during its normal annual usage</t>
  </si>
  <si>
    <t>period for heating divided by total electric input in watt-hours during the same period.</t>
  </si>
  <si>
    <t>SEER :</t>
  </si>
  <si>
    <t>Seasonal Energy Efficiency Ratio:  The total cooling of a central unitary air conditioner or a unitary heat pump in</t>
  </si>
  <si>
    <t>Btu during its normal annual usage period for cooling divided by the total electric energy input in watt-hours during the same period.</t>
  </si>
  <si>
    <t>EER :</t>
  </si>
  <si>
    <t>Energy Efficiency Ratio. A ratio calculated by dividing the cooling capacity in Btu per hour by the power input in</t>
  </si>
  <si>
    <t>watts at any given set of rating conditions, expressed in Btu per hour per watt.</t>
  </si>
  <si>
    <t>EF :</t>
  </si>
  <si>
    <t>Efficiency Factor. Efficiency (measured in Btu out / Btu in) of water heaters under certain test conditions specified</t>
  </si>
  <si>
    <t>by the Department of Energy.</t>
  </si>
  <si>
    <t>SF SqFt
(mill)</t>
  </si>
  <si>
    <t>MF SqFt
(mill)</t>
  </si>
  <si>
    <t>MH SqFt 
(mill)</t>
  </si>
  <si>
    <t>BSE Index Heat</t>
  </si>
  <si>
    <t>BSE Index Cool</t>
  </si>
  <si>
    <t>StrucVarHt</t>
  </si>
  <si>
    <t>StrucVarIndCl</t>
  </si>
  <si>
    <t>SecHt</t>
  </si>
  <si>
    <t>Secondary heating</t>
  </si>
  <si>
    <t>Electricity Prices Index to 2005</t>
  </si>
  <si>
    <t>Natural Gas Prices Index to 2005</t>
  </si>
  <si>
    <t xml:space="preserve">Electricity Prices (Based on 2005 Dollars per Million BTU)  </t>
  </si>
  <si>
    <t xml:space="preserve">Natural Gas Prices (Based on 2005 Dollars per Million BTU)  </t>
  </si>
  <si>
    <t>2005 Sales/HH</t>
  </si>
  <si>
    <t>2005 Intensity Calculations</t>
  </si>
  <si>
    <t>Sales</t>
  </si>
  <si>
    <t>ElecPrice</t>
  </si>
  <si>
    <t>BillingDays</t>
  </si>
  <si>
    <t>Population</t>
  </si>
  <si>
    <t>IncomePersonal</t>
  </si>
  <si>
    <t>HDD</t>
  </si>
  <si>
    <t>CDD</t>
  </si>
  <si>
    <t>AnnHDD2005</t>
  </si>
  <si>
    <t>AnnCDD2005</t>
  </si>
  <si>
    <t>Ground-source heat pump space heating</t>
  </si>
  <si>
    <t>GHPHeat</t>
  </si>
  <si>
    <t>Ground-source heat pump space cooling</t>
  </si>
  <si>
    <t>GHPCool</t>
  </si>
  <si>
    <t>GHP Spht</t>
  </si>
  <si>
    <t>GHP SPC</t>
  </si>
  <si>
    <t>COP</t>
  </si>
  <si>
    <t>GHP SpHeat</t>
  </si>
  <si>
    <t>GHP SpCool</t>
  </si>
  <si>
    <t>COP :</t>
  </si>
  <si>
    <t>Coefficient of Performance:  Energy efficiency rating measure determined, under specific testing conditions, by dividing the energy output by the energy input.</t>
  </si>
  <si>
    <t>FurnFan</t>
  </si>
  <si>
    <t>Furnace Fans</t>
  </si>
  <si>
    <t>ElecPrice2</t>
  </si>
  <si>
    <t>kpc</t>
  </si>
  <si>
    <t>Annual Forecast</t>
  </si>
  <si>
    <t>Q1</t>
  </si>
  <si>
    <t>Q2</t>
  </si>
  <si>
    <t>Q3</t>
  </si>
  <si>
    <t>Q4</t>
  </si>
  <si>
    <t>YQ</t>
  </si>
  <si>
    <t>Q</t>
  </si>
  <si>
    <t>Y</t>
  </si>
  <si>
    <t>Real Personal Income (millions)</t>
  </si>
  <si>
    <t>Households (thousands)</t>
  </si>
  <si>
    <t>Real Disposable Personal Income</t>
  </si>
  <si>
    <t>Quarter</t>
  </si>
  <si>
    <t>YM</t>
  </si>
  <si>
    <t>Population_2012MTP</t>
  </si>
  <si>
    <t>Customers_2012MTP</t>
  </si>
  <si>
    <t>Eheat</t>
  </si>
  <si>
    <t>Efurn</t>
  </si>
  <si>
    <t>EFURN_Fred</t>
  </si>
  <si>
    <t>HPHeat_Fred</t>
  </si>
  <si>
    <t>SecHt_Fred</t>
  </si>
  <si>
    <t>CAC_Fred</t>
  </si>
  <si>
    <t>HPCool_Fred</t>
  </si>
  <si>
    <t>GHPCool_Fred</t>
  </si>
  <si>
    <t>RAC_Fred</t>
  </si>
  <si>
    <t>EWHeat_Fred</t>
  </si>
  <si>
    <t>Ecook_Fred</t>
  </si>
  <si>
    <t>Micro</t>
  </si>
  <si>
    <t>Ref2_Fred</t>
  </si>
  <si>
    <t>Frz_Fred</t>
  </si>
  <si>
    <t>Dish_Fred</t>
  </si>
  <si>
    <t>Cwash_Fred</t>
  </si>
  <si>
    <t>Edry_Fred</t>
  </si>
  <si>
    <t>Fred:</t>
  </si>
  <si>
    <t>Total</t>
  </si>
  <si>
    <t>Gas Price</t>
  </si>
  <si>
    <t>Grand Total</t>
  </si>
  <si>
    <t>Sum of HPHeat</t>
  </si>
  <si>
    <t>Misc_2012MTP</t>
  </si>
  <si>
    <t>TV_Fred</t>
  </si>
  <si>
    <t>delta LT</t>
  </si>
  <si>
    <t>delta Misc</t>
  </si>
  <si>
    <t>Customers</t>
  </si>
  <si>
    <t>Lex</t>
  </si>
  <si>
    <t>KY</t>
  </si>
  <si>
    <t>MHH</t>
  </si>
  <si>
    <t>BR:[Annual Tariff Rates ($/kWh):]</t>
  </si>
  <si>
    <t>BS:[Base Energy Rate - Forecast]</t>
  </si>
  <si>
    <t>BT:[Base Demand Rate - Forecast]</t>
  </si>
  <si>
    <t>BU:[Base Customer Rate - Forecast]</t>
  </si>
  <si>
    <t>BV:[Rate Case Rate - Forecast]</t>
  </si>
  <si>
    <t>BW:[Fuel Rate - Forecast]</t>
  </si>
  <si>
    <t>BX:[FAC Rate - Forecast]</t>
  </si>
  <si>
    <t>BY:[ECR Mechanism Rate - Forecast]</t>
  </si>
  <si>
    <t>BZ:[DSM Mechanism Rate - Forecast]</t>
  </si>
  <si>
    <t>CA:[Total Annual Rate - Forecast ($/kWh)]</t>
  </si>
  <si>
    <t>KU RS  2013 BP</t>
  </si>
  <si>
    <t>KU</t>
  </si>
  <si>
    <t>Q:\Projects - LoadForecasting\0314 - 2012 MTP Electric Forecast\Inputs\2011-2020 Tariff Rates.xlsx</t>
  </si>
  <si>
    <t>source:</t>
  </si>
  <si>
    <t>Base Energy</t>
  </si>
  <si>
    <t>Base Demand</t>
  </si>
  <si>
    <t>Base Customer</t>
  </si>
  <si>
    <t>Rate Case</t>
  </si>
  <si>
    <t>Fuel</t>
  </si>
  <si>
    <t>FAC</t>
  </si>
  <si>
    <t>ECR Mechanism</t>
  </si>
  <si>
    <t>DSM</t>
  </si>
  <si>
    <t>Sum of Real Personal Income (millions)</t>
  </si>
  <si>
    <t>Real Personal Income (millions) May Update</t>
  </si>
  <si>
    <t>Sum of ElecPrice</t>
  </si>
  <si>
    <t>Real Personal Income (millions) May 2012 IHS Update</t>
  </si>
  <si>
    <t>YoY</t>
  </si>
  <si>
    <t>2012 MTP</t>
  </si>
  <si>
    <t>2013 MTP</t>
  </si>
  <si>
    <t>Values</t>
  </si>
  <si>
    <t>Average of ElecPrice</t>
  </si>
  <si>
    <t>Average of ElecPrice2</t>
  </si>
  <si>
    <t>Sales_2012MTP</t>
  </si>
  <si>
    <t>Households</t>
  </si>
  <si>
    <t>kpc_2012mtp</t>
  </si>
  <si>
    <t>kWh</t>
  </si>
  <si>
    <t>Energy Charge</t>
  </si>
  <si>
    <t>ECR</t>
  </si>
  <si>
    <t>Total Other</t>
  </si>
  <si>
    <t>ODP RS </t>
  </si>
  <si>
    <t>ElecPrice 2012 BP</t>
  </si>
  <si>
    <t>ElecPrice 2013 BP</t>
  </si>
  <si>
    <t>HH % OF POP (KY)</t>
  </si>
  <si>
    <t>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</si>
</sst>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0.0000"/>
    <numFmt numFmtId="169" formatCode="0.000"/>
    <numFmt numFmtId="170" formatCode="0.00_)"/>
    <numFmt numFmtId="171" formatCode="0_)"/>
    <numFmt numFmtId="172" formatCode="#,##0.000"/>
    <numFmt numFmtId="173" formatCode="#,##0.0000"/>
    <numFmt numFmtId="174" formatCode="#,##0.00000"/>
    <numFmt numFmtId="175" formatCode="0.000%"/>
    <numFmt numFmtId="176" formatCode="0_);\(0\)"/>
    <numFmt numFmtId="177" formatCode="_(* #,##0_);[Red]_(* \(#,##0\);_(* &quot;-&quot;??_);_(@_)"/>
    <numFmt numFmtId="178" formatCode="#,##0_);[Red]\(#,##0\);&quot; &quot;"/>
    <numFmt numFmtId="179" formatCode="#,##0.00000_);[Red]\(#,##0.00000\);&quot; &quot;"/>
    <numFmt numFmtId="180" formatCode="_(* #,##0.00000_);_(* \(#,##0.00000\);_(* &quot;-&quot;??_);_(@_)"/>
    <numFmt numFmtId="181" formatCode="_(&quot;$&quot;* #,##0.00000_);_(&quot;$&quot;* \(#,##0.00000\);_(&quot;$&quot;* &quot;-&quot;??_);_(@_)"/>
    <numFmt numFmtId="182" formatCode="0.000000000000000%"/>
    <numFmt numFmtId="183" formatCode="#,##0.0"/>
    <numFmt numFmtId="184" formatCode="_(* #,##0.0000_);_(* \(#,##0.0000\);_(* &quot;-&quot;??_);_(@_)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0"/>
      <color indexed="48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name val="MS Sans Serif"/>
      <family val="2"/>
    </font>
    <font>
      <b/>
      <sz val="10"/>
      <color indexed="12"/>
      <name val="Arial"/>
      <family val="2"/>
    </font>
    <font>
      <sz val="10"/>
      <color rgb="FFFF0000"/>
      <name val="Arial"/>
      <family val="2"/>
    </font>
    <font>
      <sz val="10"/>
      <color theme="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0000FF"/>
      <name val="Times New Roman"/>
      <family val="1"/>
    </font>
    <font>
      <sz val="10"/>
      <color rgb="FF0000FF"/>
      <name val="Times New Roman"/>
      <family val="1"/>
    </font>
    <font>
      <sz val="10"/>
      <color rgb="FF7030A0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10"/>
      <color rgb="FF00B050"/>
      <name val="Times New Roman"/>
      <family val="1"/>
    </font>
    <font>
      <sz val="10"/>
      <color rgb="FF0070C0"/>
      <name val="Times New Roman"/>
      <family val="1"/>
    </font>
    <font>
      <sz val="10"/>
      <color indexed="12"/>
      <name val="Times New Roman"/>
      <family val="1"/>
    </font>
    <font>
      <sz val="10"/>
      <color rgb="FF7030A0"/>
      <name val="Arial"/>
      <family val="2"/>
    </font>
    <font>
      <sz val="10"/>
      <color rgb="FFFF0000"/>
      <name val="Times New Roman"/>
      <family val="1"/>
    </font>
    <font>
      <sz val="10"/>
      <color rgb="FF00B050"/>
      <name val="Arial"/>
      <family val="2"/>
    </font>
    <font>
      <b/>
      <sz val="11"/>
      <color theme="1"/>
      <name val="Times New Roman"/>
      <family val="1"/>
    </font>
    <font>
      <sz val="11"/>
      <color rgb="FF7030A0"/>
      <name val="Times New Roman"/>
      <family val="1"/>
    </font>
    <font>
      <sz val="10"/>
      <color rgb="FFFF3300"/>
      <name val="Times New Roman"/>
      <family val="1"/>
    </font>
    <font>
      <b/>
      <sz val="11"/>
      <color theme="1"/>
      <name val="Calibri"/>
      <family val="2"/>
      <scheme val="minor"/>
    </font>
    <font>
      <sz val="8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6" fillId="0" borderId="0"/>
    <xf numFmtId="9" fontId="2" fillId="0" borderId="0" applyFont="0" applyFill="0" applyBorder="0" applyAlignment="0" applyProtection="0"/>
    <xf numFmtId="0" fontId="1" fillId="0" borderId="0"/>
  </cellStyleXfs>
  <cellXfs count="34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1" fontId="0" fillId="0" borderId="0" xfId="0" applyNumberFormat="1"/>
    <xf numFmtId="167" fontId="0" fillId="0" borderId="0" xfId="1" applyNumberFormat="1" applyFont="1"/>
    <xf numFmtId="0" fontId="5" fillId="0" borderId="0" xfId="0" applyFont="1"/>
    <xf numFmtId="0" fontId="7" fillId="0" borderId="0" xfId="0" applyFont="1"/>
    <xf numFmtId="0" fontId="5" fillId="0" borderId="0" xfId="0" applyFont="1" applyFill="1" applyAlignment="1">
      <alignment horizontal="center"/>
    </xf>
    <xf numFmtId="2" fontId="0" fillId="0" borderId="0" xfId="0" applyNumberFormat="1"/>
    <xf numFmtId="0" fontId="8" fillId="0" borderId="0" xfId="0" applyFont="1"/>
    <xf numFmtId="0" fontId="10" fillId="0" borderId="0" xfId="0" applyFont="1"/>
    <xf numFmtId="0" fontId="0" fillId="2" borderId="0" xfId="0" applyFill="1"/>
    <xf numFmtId="0" fontId="11" fillId="0" borderId="0" xfId="0" applyFont="1" applyFill="1"/>
    <xf numFmtId="0" fontId="0" fillId="0" borderId="0" xfId="0" applyFill="1"/>
    <xf numFmtId="167" fontId="0" fillId="0" borderId="0" xfId="1" applyNumberFormat="1" applyFont="1" applyFill="1"/>
    <xf numFmtId="3" fontId="0" fillId="0" borderId="0" xfId="0" applyNumberFormat="1" applyBorder="1"/>
    <xf numFmtId="0" fontId="0" fillId="0" borderId="0" xfId="0" applyBorder="1"/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3" fontId="0" fillId="0" borderId="0" xfId="0" applyNumberFormat="1" applyFill="1" applyBorder="1"/>
    <xf numFmtId="0" fontId="3" fillId="0" borderId="0" xfId="0" applyFont="1"/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0" fontId="5" fillId="0" borderId="0" xfId="0" applyFont="1" applyFill="1"/>
    <xf numFmtId="167" fontId="11" fillId="0" borderId="0" xfId="1" applyNumberFormat="1" applyFont="1" applyFill="1"/>
    <xf numFmtId="0" fontId="5" fillId="0" borderId="0" xfId="0" applyNumberFormat="1" applyFont="1" applyFill="1" applyAlignment="1">
      <alignment horizontal="right"/>
    </xf>
    <xf numFmtId="165" fontId="11" fillId="0" borderId="0" xfId="0" applyNumberFormat="1" applyFont="1" applyFill="1"/>
    <xf numFmtId="0" fontId="0" fillId="0" borderId="0" xfId="0" applyFill="1" applyBorder="1"/>
    <xf numFmtId="164" fontId="0" fillId="0" borderId="0" xfId="3" applyNumberFormat="1" applyFont="1" applyFill="1" applyBorder="1"/>
    <xf numFmtId="0" fontId="6" fillId="0" borderId="0" xfId="0" applyFont="1" applyFill="1" applyBorder="1"/>
    <xf numFmtId="10" fontId="6" fillId="0" borderId="0" xfId="3" applyNumberFormat="1" applyFont="1" applyFill="1" applyBorder="1"/>
    <xf numFmtId="1" fontId="6" fillId="0" borderId="0" xfId="0" applyNumberFormat="1" applyFont="1" applyFill="1" applyBorder="1"/>
    <xf numFmtId="167" fontId="5" fillId="0" borderId="0" xfId="1" applyNumberFormat="1" applyFont="1" applyBorder="1" applyAlignment="1">
      <alignment horizontal="center"/>
    </xf>
    <xf numFmtId="167" fontId="11" fillId="0" borderId="0" xfId="1" applyNumberFormat="1" applyFont="1" applyBorder="1"/>
    <xf numFmtId="3" fontId="5" fillId="0" borderId="0" xfId="0" applyNumberFormat="1" applyFont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3" fontId="4" fillId="0" borderId="0" xfId="0" applyNumberFormat="1" applyFont="1" applyBorder="1"/>
    <xf numFmtId="0" fontId="6" fillId="0" borderId="0" xfId="0" applyFont="1" applyFill="1"/>
    <xf numFmtId="2" fontId="5" fillId="0" borderId="0" xfId="0" applyNumberFormat="1" applyFont="1" applyBorder="1" applyAlignment="1">
      <alignment horizontal="center"/>
    </xf>
    <xf numFmtId="2" fontId="0" fillId="0" borderId="0" xfId="1" applyNumberFormat="1" applyFont="1"/>
    <xf numFmtId="3" fontId="0" fillId="0" borderId="0" xfId="1" applyNumberFormat="1" applyFont="1"/>
    <xf numFmtId="3" fontId="0" fillId="0" borderId="0" xfId="0" applyNumberFormat="1"/>
    <xf numFmtId="3" fontId="2" fillId="0" borderId="0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Border="1" applyAlignment="1"/>
    <xf numFmtId="3" fontId="0" fillId="0" borderId="0" xfId="3" applyNumberFormat="1" applyFont="1" applyBorder="1"/>
    <xf numFmtId="3" fontId="2" fillId="0" borderId="0" xfId="1" applyNumberFormat="1" applyBorder="1"/>
    <xf numFmtId="3" fontId="4" fillId="0" borderId="0" xfId="3" applyNumberFormat="1" applyFont="1" applyBorder="1"/>
    <xf numFmtId="172" fontId="0" fillId="0" borderId="0" xfId="0" applyNumberFormat="1" applyBorder="1" applyAlignment="1"/>
    <xf numFmtId="164" fontId="11" fillId="0" borderId="0" xfId="3" applyNumberFormat="1" applyFont="1" applyFill="1" applyAlignment="1">
      <alignment horizontal="center"/>
    </xf>
    <xf numFmtId="164" fontId="0" fillId="0" borderId="0" xfId="3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2" fillId="0" borderId="0" xfId="3" applyNumberFormat="1" applyFont="1" applyAlignment="1">
      <alignment horizontal="center"/>
    </xf>
    <xf numFmtId="0" fontId="13" fillId="0" borderId="0" xfId="0" applyFont="1" applyFill="1"/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/>
    </xf>
    <xf numFmtId="2" fontId="0" fillId="0" borderId="0" xfId="0" applyNumberFormat="1" applyFill="1"/>
    <xf numFmtId="0" fontId="12" fillId="0" borderId="0" xfId="0" applyFont="1" applyFill="1" applyAlignment="1">
      <alignment horizontal="center"/>
    </xf>
    <xf numFmtId="0" fontId="12" fillId="0" borderId="2" xfId="0" applyFont="1" applyFill="1" applyBorder="1" applyAlignment="1">
      <alignment horizontal="center"/>
    </xf>
    <xf numFmtId="167" fontId="6" fillId="0" borderId="0" xfId="1" applyNumberFormat="1" applyFont="1" applyFill="1"/>
    <xf numFmtId="169" fontId="11" fillId="0" borderId="0" xfId="0" applyNumberFormat="1" applyFont="1" applyFill="1"/>
    <xf numFmtId="167" fontId="10" fillId="0" borderId="0" xfId="1" applyNumberFormat="1" applyFont="1" applyFill="1"/>
    <xf numFmtId="167" fontId="0" fillId="0" borderId="0" xfId="1" applyNumberFormat="1" applyFont="1" applyFill="1" applyBorder="1"/>
    <xf numFmtId="10" fontId="0" fillId="0" borderId="0" xfId="3" applyNumberFormat="1" applyFont="1" applyFill="1" applyBorder="1"/>
    <xf numFmtId="164" fontId="4" fillId="0" borderId="0" xfId="3" applyNumberFormat="1" applyFont="1" applyFill="1" applyBorder="1"/>
    <xf numFmtId="0" fontId="0" fillId="0" borderId="0" xfId="0" applyFill="1" applyAlignment="1" applyProtection="1">
      <alignment horizontal="left"/>
    </xf>
    <xf numFmtId="167" fontId="6" fillId="0" borderId="0" xfId="1" applyNumberFormat="1" applyFont="1" applyFill="1" applyBorder="1"/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center"/>
    </xf>
    <xf numFmtId="1" fontId="0" fillId="0" borderId="0" xfId="0" applyNumberFormat="1" applyFill="1" applyBorder="1"/>
    <xf numFmtId="1" fontId="0" fillId="0" borderId="0" xfId="1" applyNumberFormat="1" applyFont="1" applyFill="1" applyBorder="1"/>
    <xf numFmtId="10" fontId="0" fillId="0" borderId="0" xfId="0" applyNumberFormat="1" applyFill="1" applyBorder="1"/>
    <xf numFmtId="0" fontId="12" fillId="0" borderId="0" xfId="0" applyFont="1" applyFill="1" applyAlignment="1">
      <alignment horizontal="right"/>
    </xf>
    <xf numFmtId="0" fontId="5" fillId="0" borderId="0" xfId="0" applyFont="1" applyFill="1" applyBorder="1"/>
    <xf numFmtId="165" fontId="6" fillId="0" borderId="0" xfId="0" applyNumberFormat="1" applyFont="1" applyFill="1" applyAlignment="1">
      <alignment horizontal="center"/>
    </xf>
    <xf numFmtId="164" fontId="6" fillId="0" borderId="0" xfId="3" applyNumberFormat="1" applyFont="1" applyFill="1"/>
    <xf numFmtId="164" fontId="8" fillId="0" borderId="0" xfId="3" applyNumberFormat="1" applyFont="1" applyFill="1"/>
    <xf numFmtId="10" fontId="6" fillId="0" borderId="0" xfId="3" applyNumberFormat="1" applyFont="1" applyFill="1" applyAlignment="1">
      <alignment horizontal="center"/>
    </xf>
    <xf numFmtId="165" fontId="0" fillId="0" borderId="0" xfId="3" applyNumberFormat="1" applyFont="1" applyFill="1" applyAlignment="1">
      <alignment horizontal="center"/>
    </xf>
    <xf numFmtId="165" fontId="0" fillId="0" borderId="0" xfId="3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5" fontId="0" fillId="0" borderId="0" xfId="0" applyNumberFormat="1" applyFill="1" applyBorder="1"/>
    <xf numFmtId="43" fontId="6" fillId="0" borderId="0" xfId="1" applyFont="1" applyFill="1" applyAlignment="1">
      <alignment horizontal="center"/>
    </xf>
    <xf numFmtId="3" fontId="4" fillId="0" borderId="0" xfId="0" applyNumberFormat="1" applyFont="1" applyFill="1" applyBorder="1"/>
    <xf numFmtId="167" fontId="0" fillId="0" borderId="0" xfId="1" applyNumberFormat="1" applyFont="1" applyFill="1" applyBorder="1" applyAlignment="1">
      <alignment horizontal="center"/>
    </xf>
    <xf numFmtId="10" fontId="6" fillId="0" borderId="0" xfId="0" applyNumberFormat="1" applyFont="1" applyFill="1" applyBorder="1"/>
    <xf numFmtId="164" fontId="8" fillId="0" borderId="0" xfId="3" applyNumberFormat="1" applyFont="1" applyFill="1" applyBorder="1"/>
    <xf numFmtId="3" fontId="11" fillId="0" borderId="0" xfId="0" applyNumberFormat="1" applyFont="1" applyFill="1" applyAlignment="1">
      <alignment horizontal="center"/>
    </xf>
    <xf numFmtId="3" fontId="11" fillId="0" borderId="0" xfId="1" applyNumberFormat="1" applyFont="1" applyFill="1" applyBorder="1" applyAlignment="1">
      <alignment horizontal="center"/>
    </xf>
    <xf numFmtId="3" fontId="15" fillId="0" borderId="0" xfId="1" applyNumberFormat="1" applyFont="1" applyBorder="1"/>
    <xf numFmtId="3" fontId="15" fillId="0" borderId="0" xfId="1" applyNumberFormat="1" applyFont="1" applyBorder="1" applyAlignment="1"/>
    <xf numFmtId="172" fontId="15" fillId="0" borderId="0" xfId="0" applyNumberFormat="1" applyFont="1" applyBorder="1" applyAlignment="1"/>
    <xf numFmtId="164" fontId="9" fillId="0" borderId="0" xfId="0" applyNumberFormat="1" applyFont="1" applyFill="1" applyBorder="1" applyAlignment="1">
      <alignment horizontal="center"/>
    </xf>
    <xf numFmtId="168" fontId="8" fillId="0" borderId="0" xfId="3" applyNumberFormat="1" applyFont="1" applyFill="1"/>
    <xf numFmtId="3" fontId="2" fillId="0" borderId="3" xfId="0" applyNumberFormat="1" applyFont="1" applyBorder="1" applyAlignment="1">
      <alignment horizontal="center" wrapText="1"/>
    </xf>
    <xf numFmtId="3" fontId="2" fillId="0" borderId="4" xfId="0" applyNumberFormat="1" applyFont="1" applyBorder="1" applyAlignment="1">
      <alignment horizontal="center" wrapText="1"/>
    </xf>
    <xf numFmtId="173" fontId="0" fillId="0" borderId="0" xfId="0" applyNumberFormat="1" applyBorder="1"/>
    <xf numFmtId="173" fontId="0" fillId="0" borderId="0" xfId="0" applyNumberFormat="1" applyFill="1" applyBorder="1" applyAlignment="1">
      <alignment horizontal="center"/>
    </xf>
    <xf numFmtId="167" fontId="5" fillId="0" borderId="0" xfId="1" applyNumberFormat="1" applyFont="1" applyFill="1" applyAlignment="1">
      <alignment horizontal="center"/>
    </xf>
    <xf numFmtId="43" fontId="8" fillId="0" borderId="0" xfId="1" applyFont="1" applyBorder="1"/>
    <xf numFmtId="43" fontId="0" fillId="0" borderId="0" xfId="0" applyNumberFormat="1" applyFill="1"/>
    <xf numFmtId="43" fontId="8" fillId="0" borderId="0" xfId="1" applyNumberFormat="1" applyFont="1" applyBorder="1"/>
    <xf numFmtId="169" fontId="4" fillId="0" borderId="0" xfId="0" applyNumberFormat="1" applyFont="1" applyBorder="1"/>
    <xf numFmtId="169" fontId="15" fillId="0" borderId="0" xfId="0" applyNumberFormat="1" applyFont="1" applyBorder="1"/>
    <xf numFmtId="0" fontId="4" fillId="0" borderId="0" xfId="0" applyFont="1" applyBorder="1"/>
    <xf numFmtId="0" fontId="4" fillId="0" borderId="0" xfId="0" applyNumberFormat="1" applyFont="1" applyBorder="1"/>
    <xf numFmtId="43" fontId="11" fillId="0" borderId="0" xfId="1" applyFont="1" applyBorder="1"/>
    <xf numFmtId="3" fontId="4" fillId="0" borderId="0" xfId="1" applyNumberFormat="1" applyFont="1" applyFill="1" applyBorder="1" applyAlignment="1">
      <alignment horizontal="center"/>
    </xf>
    <xf numFmtId="4" fontId="4" fillId="0" borderId="0" xfId="1" applyNumberFormat="1" applyFont="1" applyFill="1" applyBorder="1" applyAlignment="1">
      <alignment horizontal="right"/>
    </xf>
    <xf numFmtId="170" fontId="8" fillId="0" borderId="0" xfId="0" applyNumberFormat="1" applyFont="1" applyFill="1" applyAlignment="1">
      <alignment horizontal="center"/>
    </xf>
    <xf numFmtId="1" fontId="4" fillId="0" borderId="0" xfId="0" applyNumberFormat="1" applyFont="1" applyBorder="1"/>
    <xf numFmtId="43" fontId="11" fillId="0" borderId="0" xfId="1" applyNumberFormat="1" applyFont="1" applyBorder="1"/>
    <xf numFmtId="4" fontId="8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center"/>
    </xf>
    <xf numFmtId="171" fontId="8" fillId="0" borderId="0" xfId="0" applyNumberFormat="1" applyFont="1" applyFill="1" applyAlignment="1">
      <alignment horizontal="center"/>
    </xf>
    <xf numFmtId="3" fontId="6" fillId="0" borderId="0" xfId="0" applyNumberFormat="1" applyFont="1"/>
    <xf numFmtId="164" fontId="9" fillId="0" borderId="0" xfId="1" applyNumberFormat="1" applyFont="1" applyFill="1" applyBorder="1"/>
    <xf numFmtId="4" fontId="4" fillId="0" borderId="0" xfId="1" applyNumberFormat="1" applyFont="1" applyFill="1" applyBorder="1" applyAlignment="1">
      <alignment horizontal="left"/>
    </xf>
    <xf numFmtId="0" fontId="0" fillId="0" borderId="0" xfId="0" applyFont="1" applyFill="1"/>
    <xf numFmtId="3" fontId="18" fillId="0" borderId="0" xfId="0" applyNumberFormat="1" applyFont="1" applyFill="1" applyAlignment="1">
      <alignment horizontal="center"/>
    </xf>
    <xf numFmtId="3" fontId="4" fillId="0" borderId="0" xfId="0" applyNumberFormat="1" applyFont="1" applyBorder="1" applyAlignment="1">
      <alignment horizontal="center"/>
    </xf>
    <xf numFmtId="169" fontId="11" fillId="0" borderId="0" xfId="0" applyNumberFormat="1" applyFont="1" applyAlignment="1"/>
    <xf numFmtId="172" fontId="11" fillId="0" borderId="0" xfId="1" applyNumberFormat="1" applyFont="1" applyBorder="1" applyAlignment="1"/>
    <xf numFmtId="169" fontId="11" fillId="0" borderId="0" xfId="1" applyNumberFormat="1" applyFont="1" applyBorder="1" applyAlignment="1"/>
    <xf numFmtId="169" fontId="18" fillId="0" borderId="0" xfId="0" applyNumberFormat="1" applyFont="1" applyBorder="1"/>
    <xf numFmtId="169" fontId="18" fillId="0" borderId="0" xfId="0" applyNumberFormat="1" applyFont="1" applyBorder="1" applyAlignment="1"/>
    <xf numFmtId="3" fontId="18" fillId="0" borderId="0" xfId="0" applyNumberFormat="1" applyFont="1" applyBorder="1"/>
    <xf numFmtId="0" fontId="18" fillId="0" borderId="0" xfId="0" applyFont="1" applyBorder="1"/>
    <xf numFmtId="2" fontId="4" fillId="0" borderId="0" xfId="0" applyNumberFormat="1" applyFont="1" applyFill="1" applyAlignment="1">
      <alignment horizontal="center"/>
    </xf>
    <xf numFmtId="2" fontId="18" fillId="0" borderId="0" xfId="0" applyNumberFormat="1" applyFont="1" applyFill="1" applyAlignment="1">
      <alignment horizontal="center"/>
    </xf>
    <xf numFmtId="0" fontId="6" fillId="0" borderId="0" xfId="0" applyFont="1"/>
    <xf numFmtId="164" fontId="4" fillId="0" borderId="0" xfId="3" applyNumberFormat="1" applyFont="1"/>
    <xf numFmtId="167" fontId="4" fillId="0" borderId="0" xfId="0" applyNumberFormat="1" applyFont="1" applyBorder="1"/>
    <xf numFmtId="3" fontId="19" fillId="0" borderId="0" xfId="1" applyNumberFormat="1" applyFont="1"/>
    <xf numFmtId="164" fontId="11" fillId="0" borderId="0" xfId="3" applyNumberFormat="1" applyFont="1" applyFill="1" applyBorder="1"/>
    <xf numFmtId="43" fontId="4" fillId="0" borderId="0" xfId="1" applyFont="1" applyBorder="1"/>
    <xf numFmtId="164" fontId="17" fillId="0" borderId="0" xfId="3" applyNumberFormat="1" applyFont="1" applyFill="1" applyBorder="1"/>
    <xf numFmtId="0" fontId="20" fillId="0" borderId="0" xfId="2" applyFont="1" applyAlignment="1">
      <alignment horizontal="right"/>
    </xf>
    <xf numFmtId="165" fontId="20" fillId="0" borderId="0" xfId="0" applyNumberFormat="1" applyFont="1" applyFill="1" applyAlignment="1">
      <alignment horizontal="center"/>
    </xf>
    <xf numFmtId="3" fontId="20" fillId="0" borderId="0" xfId="0" applyNumberFormat="1" applyFont="1" applyAlignment="1">
      <alignment horizontal="center"/>
    </xf>
    <xf numFmtId="0" fontId="21" fillId="0" borderId="0" xfId="2" applyFont="1"/>
    <xf numFmtId="1" fontId="21" fillId="0" borderId="0" xfId="0" applyNumberFormat="1" applyFont="1" applyFill="1"/>
    <xf numFmtId="4" fontId="21" fillId="0" borderId="0" xfId="0" applyNumberFormat="1" applyFont="1" applyFill="1"/>
    <xf numFmtId="3" fontId="21" fillId="0" borderId="0" xfId="0" applyNumberFormat="1" applyFont="1" applyFill="1"/>
    <xf numFmtId="167" fontId="21" fillId="0" borderId="0" xfId="1" applyNumberFormat="1" applyFont="1"/>
    <xf numFmtId="0" fontId="21" fillId="0" borderId="0" xfId="2" applyFont="1" applyFill="1"/>
    <xf numFmtId="3" fontId="21" fillId="0" borderId="0" xfId="0" applyNumberFormat="1" applyFont="1" applyFill="1" applyBorder="1"/>
    <xf numFmtId="1" fontId="21" fillId="0" borderId="0" xfId="0" applyNumberFormat="1" applyFont="1" applyFill="1" applyBorder="1"/>
    <xf numFmtId="3" fontId="21" fillId="0" borderId="0" xfId="2" applyNumberFormat="1" applyFont="1" applyFill="1"/>
    <xf numFmtId="165" fontId="21" fillId="0" borderId="0" xfId="0" applyNumberFormat="1" applyFont="1" applyFill="1"/>
    <xf numFmtId="1" fontId="22" fillId="0" borderId="0" xfId="0" applyNumberFormat="1" applyFont="1" applyFill="1" applyAlignment="1">
      <alignment horizontal="center"/>
    </xf>
    <xf numFmtId="1" fontId="23" fillId="0" borderId="0" xfId="0" applyNumberFormat="1" applyFont="1" applyFill="1"/>
    <xf numFmtId="3" fontId="22" fillId="3" borderId="0" xfId="0" applyNumberFormat="1" applyFont="1" applyFill="1" applyAlignment="1">
      <alignment horizontal="center"/>
    </xf>
    <xf numFmtId="1" fontId="23" fillId="0" borderId="0" xfId="2" applyNumberFormat="1" applyFont="1"/>
    <xf numFmtId="1" fontId="23" fillId="0" borderId="0" xfId="2" applyNumberFormat="1" applyFont="1" applyFill="1"/>
    <xf numFmtId="3" fontId="23" fillId="0" borderId="0" xfId="0" applyNumberFormat="1" applyFont="1" applyFill="1"/>
    <xf numFmtId="3" fontId="23" fillId="0" borderId="0" xfId="2" applyNumberFormat="1" applyFont="1" applyFill="1"/>
    <xf numFmtId="1" fontId="22" fillId="3" borderId="0" xfId="2" applyNumberFormat="1" applyFont="1" applyFill="1" applyAlignment="1">
      <alignment horizontal="center"/>
    </xf>
    <xf numFmtId="1" fontId="23" fillId="4" borderId="0" xfId="2" applyNumberFormat="1" applyFont="1" applyFill="1"/>
    <xf numFmtId="4" fontId="22" fillId="0" borderId="0" xfId="0" applyNumberFormat="1" applyFont="1" applyFill="1" applyAlignment="1">
      <alignment horizontal="center"/>
    </xf>
    <xf numFmtId="4" fontId="23" fillId="0" borderId="0" xfId="0" applyNumberFormat="1" applyFont="1" applyFill="1"/>
    <xf numFmtId="4" fontId="23" fillId="0" borderId="0" xfId="2" applyNumberFormat="1" applyFont="1" applyFill="1"/>
    <xf numFmtId="3" fontId="22" fillId="0" borderId="0" xfId="2" applyNumberFormat="1" applyFont="1" applyFill="1" applyAlignment="1">
      <alignment horizontal="center"/>
    </xf>
    <xf numFmtId="3" fontId="23" fillId="0" borderId="0" xfId="0" applyNumberFormat="1" applyFont="1" applyFill="1" applyBorder="1"/>
    <xf numFmtId="0" fontId="21" fillId="0" borderId="0" xfId="0" applyFont="1"/>
    <xf numFmtId="9" fontId="21" fillId="0" borderId="0" xfId="3" applyFont="1"/>
    <xf numFmtId="164" fontId="21" fillId="0" borderId="0" xfId="3" applyNumberFormat="1" applyFont="1"/>
    <xf numFmtId="10" fontId="21" fillId="0" borderId="0" xfId="3" applyNumberFormat="1" applyFont="1"/>
    <xf numFmtId="4" fontId="21" fillId="0" borderId="0" xfId="0" applyNumberFormat="1" applyFont="1"/>
    <xf numFmtId="0" fontId="23" fillId="0" borderId="0" xfId="2" applyFont="1"/>
    <xf numFmtId="3" fontId="24" fillId="0" borderId="0" xfId="0" applyNumberFormat="1" applyFont="1" applyFill="1"/>
    <xf numFmtId="2" fontId="21" fillId="0" borderId="0" xfId="0" applyNumberFormat="1" applyFont="1" applyFill="1"/>
    <xf numFmtId="172" fontId="21" fillId="0" borderId="0" xfId="0" applyNumberFormat="1" applyFont="1" applyFill="1"/>
    <xf numFmtId="173" fontId="21" fillId="0" borderId="0" xfId="0" applyNumberFormat="1" applyFont="1" applyFill="1"/>
    <xf numFmtId="3" fontId="24" fillId="0" borderId="0" xfId="0" applyNumberFormat="1" applyFont="1" applyFill="1" applyBorder="1"/>
    <xf numFmtId="2" fontId="24" fillId="0" borderId="0" xfId="0" applyNumberFormat="1" applyFont="1" applyFill="1" applyBorder="1"/>
    <xf numFmtId="2" fontId="21" fillId="0" borderId="0" xfId="0" applyNumberFormat="1" applyFont="1"/>
    <xf numFmtId="167" fontId="24" fillId="0" borderId="0" xfId="1" applyNumberFormat="1" applyFont="1"/>
    <xf numFmtId="174" fontId="21" fillId="0" borderId="0" xfId="0" applyNumberFormat="1" applyFont="1"/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/>
    <xf numFmtId="0" fontId="25" fillId="0" borderId="0" xfId="0" applyFont="1" applyBorder="1" applyAlignment="1">
      <alignment horizontal="right"/>
    </xf>
    <xf numFmtId="164" fontId="24" fillId="0" borderId="0" xfId="3" applyNumberFormat="1" applyFont="1" applyBorder="1"/>
    <xf numFmtId="164" fontId="21" fillId="0" borderId="0" xfId="3" applyNumberFormat="1" applyFont="1" applyBorder="1"/>
    <xf numFmtId="10" fontId="24" fillId="0" borderId="0" xfId="0" applyNumberFormat="1" applyFont="1"/>
    <xf numFmtId="164" fontId="26" fillId="0" borderId="0" xfId="3" applyNumberFormat="1" applyFont="1" applyBorder="1"/>
    <xf numFmtId="164" fontId="21" fillId="0" borderId="0" xfId="3" applyNumberFormat="1" applyFont="1" applyFill="1"/>
    <xf numFmtId="164" fontId="21" fillId="0" borderId="0" xfId="3" applyNumberFormat="1" applyFont="1" applyFill="1" applyBorder="1"/>
    <xf numFmtId="10" fontId="21" fillId="0" borderId="0" xfId="0" applyNumberFormat="1" applyFont="1"/>
    <xf numFmtId="164" fontId="21" fillId="0" borderId="0" xfId="0" applyNumberFormat="1" applyFont="1"/>
    <xf numFmtId="0" fontId="27" fillId="0" borderId="0" xfId="0" applyFont="1"/>
    <xf numFmtId="164" fontId="27" fillId="0" borderId="0" xfId="3" applyNumberFormat="1" applyFont="1" applyBorder="1"/>
    <xf numFmtId="0" fontId="20" fillId="0" borderId="0" xfId="0" applyFont="1" applyBorder="1"/>
    <xf numFmtId="0" fontId="20" fillId="0" borderId="0" xfId="0" applyFont="1" applyFill="1" applyBorder="1"/>
    <xf numFmtId="0" fontId="21" fillId="0" borderId="0" xfId="0" applyFont="1" applyFill="1"/>
    <xf numFmtId="175" fontId="21" fillId="0" borderId="0" xfId="0" applyNumberFormat="1" applyFont="1"/>
    <xf numFmtId="9" fontId="21" fillId="0" borderId="0" xfId="0" applyNumberFormat="1" applyFont="1"/>
    <xf numFmtId="164" fontId="28" fillId="0" borderId="0" xfId="3" applyNumberFormat="1" applyFont="1" applyBorder="1"/>
    <xf numFmtId="164" fontId="29" fillId="0" borderId="0" xfId="3" applyNumberFormat="1" applyFont="1" applyBorder="1"/>
    <xf numFmtId="167" fontId="20" fillId="0" borderId="0" xfId="1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167" fontId="30" fillId="0" borderId="0" xfId="1" applyNumberFormat="1" applyFont="1" applyBorder="1"/>
    <xf numFmtId="0" fontId="21" fillId="0" borderId="0" xfId="0" applyFont="1" applyBorder="1"/>
    <xf numFmtId="0" fontId="0" fillId="0" borderId="0" xfId="0" pivotButton="1"/>
    <xf numFmtId="0" fontId="0" fillId="0" borderId="0" xfId="0" applyNumberFormat="1"/>
    <xf numFmtId="3" fontId="31" fillId="0" borderId="0" xfId="0" applyNumberFormat="1" applyFont="1" applyBorder="1"/>
    <xf numFmtId="172" fontId="31" fillId="0" borderId="0" xfId="0" applyNumberFormat="1" applyFont="1" applyBorder="1"/>
    <xf numFmtId="164" fontId="24" fillId="0" borderId="0" xfId="0" applyNumberFormat="1" applyFont="1"/>
    <xf numFmtId="164" fontId="0" fillId="5" borderId="0" xfId="3" applyNumberFormat="1" applyFont="1" applyFill="1" applyBorder="1" applyAlignment="1">
      <alignment horizontal="center"/>
    </xf>
    <xf numFmtId="3" fontId="11" fillId="5" borderId="0" xfId="1" applyNumberFormat="1" applyFont="1" applyFill="1" applyBorder="1" applyAlignment="1">
      <alignment horizontal="center"/>
    </xf>
    <xf numFmtId="0" fontId="32" fillId="0" borderId="0" xfId="0" applyFont="1" applyBorder="1"/>
    <xf numFmtId="3" fontId="5" fillId="0" borderId="0" xfId="0" applyNumberFormat="1" applyFont="1" applyAlignment="1">
      <alignment horizontal="center"/>
    </xf>
    <xf numFmtId="43" fontId="0" fillId="0" borderId="0" xfId="0" applyNumberFormat="1"/>
    <xf numFmtId="43" fontId="11" fillId="0" borderId="0" xfId="3" applyNumberFormat="1" applyFont="1" applyFill="1" applyBorder="1"/>
    <xf numFmtId="164" fontId="31" fillId="0" borderId="0" xfId="3" applyNumberFormat="1" applyFont="1" applyFill="1" applyAlignment="1">
      <alignment horizontal="center"/>
    </xf>
    <xf numFmtId="164" fontId="33" fillId="0" borderId="0" xfId="3" applyNumberFormat="1" applyFont="1" applyFill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/>
    <xf numFmtId="43" fontId="2" fillId="0" borderId="0" xfId="1" applyFont="1" applyBorder="1"/>
    <xf numFmtId="2" fontId="2" fillId="0" borderId="0" xfId="1" applyNumberFormat="1" applyFont="1"/>
    <xf numFmtId="3" fontId="2" fillId="0" borderId="0" xfId="1" applyNumberFormat="1" applyFont="1"/>
    <xf numFmtId="3" fontId="2" fillId="0" borderId="0" xfId="0" applyNumberFormat="1" applyFont="1"/>
    <xf numFmtId="43" fontId="18" fillId="0" borderId="0" xfId="3" applyNumberFormat="1" applyFont="1" applyFill="1" applyBorder="1"/>
    <xf numFmtId="3" fontId="20" fillId="0" borderId="0" xfId="0" applyNumberFormat="1" applyFont="1" applyFill="1" applyBorder="1" applyAlignment="1">
      <alignment horizontal="center"/>
    </xf>
    <xf numFmtId="0" fontId="21" fillId="0" borderId="0" xfId="0" applyFont="1" applyFill="1" applyBorder="1"/>
    <xf numFmtId="0" fontId="20" fillId="0" borderId="0" xfId="0" applyFont="1" applyFill="1" applyBorder="1" applyAlignment="1">
      <alignment horizontal="right"/>
    </xf>
    <xf numFmtId="3" fontId="20" fillId="0" borderId="0" xfId="0" applyNumberFormat="1" applyFont="1" applyFill="1" applyBorder="1" applyAlignment="1">
      <alignment horizontal="right"/>
    </xf>
    <xf numFmtId="3" fontId="30" fillId="0" borderId="0" xfId="1" applyNumberFormat="1" applyFont="1" applyFill="1" applyBorder="1"/>
    <xf numFmtId="167" fontId="21" fillId="0" borderId="0" xfId="0" applyNumberFormat="1" applyFont="1" applyFill="1" applyBorder="1"/>
    <xf numFmtId="3" fontId="30" fillId="5" borderId="0" xfId="1" applyNumberFormat="1" applyFont="1" applyFill="1" applyBorder="1"/>
    <xf numFmtId="164" fontId="24" fillId="5" borderId="0" xfId="3" applyNumberFormat="1" applyFont="1" applyFill="1" applyBorder="1"/>
    <xf numFmtId="176" fontId="23" fillId="0" borderId="0" xfId="0" applyNumberFormat="1" applyFont="1" applyFill="1"/>
    <xf numFmtId="176" fontId="23" fillId="0" borderId="0" xfId="2" applyNumberFormat="1" applyFont="1" applyFill="1"/>
    <xf numFmtId="38" fontId="24" fillId="0" borderId="0" xfId="2" applyNumberFormat="1" applyFont="1"/>
    <xf numFmtId="1" fontId="23" fillId="0" borderId="0" xfId="0" applyNumberFormat="1" applyFont="1" applyFill="1" applyBorder="1"/>
    <xf numFmtId="177" fontId="23" fillId="0" borderId="0" xfId="0" applyNumberFormat="1" applyFont="1" applyFill="1"/>
    <xf numFmtId="2" fontId="23" fillId="0" borderId="0" xfId="0" applyNumberFormat="1" applyFont="1" applyFill="1"/>
    <xf numFmtId="2" fontId="23" fillId="0" borderId="0" xfId="0" applyNumberFormat="1" applyFont="1" applyFill="1" applyBorder="1"/>
    <xf numFmtId="2" fontId="24" fillId="0" borderId="0" xfId="0" applyNumberFormat="1" applyFont="1"/>
    <xf numFmtId="164" fontId="24" fillId="6" borderId="0" xfId="3" applyNumberFormat="1" applyFont="1" applyFill="1" applyBorder="1"/>
    <xf numFmtId="3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38" fontId="23" fillId="0" borderId="0" xfId="1" applyNumberFormat="1" applyFont="1" applyBorder="1" applyAlignment="1">
      <alignment horizontal="center"/>
    </xf>
    <xf numFmtId="37" fontId="23" fillId="0" borderId="0" xfId="0" applyNumberFormat="1" applyFont="1" applyAlignment="1">
      <alignment horizontal="center"/>
    </xf>
    <xf numFmtId="167" fontId="23" fillId="0" borderId="0" xfId="1" applyNumberFormat="1" applyFont="1" applyAlignment="1">
      <alignment horizontal="center"/>
    </xf>
    <xf numFmtId="37" fontId="23" fillId="0" borderId="0" xfId="2" applyNumberFormat="1" applyFont="1"/>
    <xf numFmtId="37" fontId="23" fillId="0" borderId="0" xfId="2" applyNumberFormat="1" applyFont="1" applyFill="1"/>
    <xf numFmtId="38" fontId="23" fillId="0" borderId="0" xfId="2" applyNumberFormat="1" applyFont="1" applyFill="1"/>
    <xf numFmtId="38" fontId="23" fillId="0" borderId="0" xfId="0" applyNumberFormat="1" applyFont="1" applyFill="1"/>
    <xf numFmtId="1" fontId="24" fillId="0" borderId="0" xfId="0" applyNumberFormat="1" applyFont="1" applyFill="1"/>
    <xf numFmtId="167" fontId="23" fillId="0" borderId="0" xfId="0" applyNumberFormat="1" applyFont="1" applyFill="1"/>
    <xf numFmtId="178" fontId="34" fillId="0" borderId="0" xfId="0" applyNumberFormat="1" applyFont="1" applyAlignment="1">
      <alignment horizontal="left"/>
    </xf>
    <xf numFmtId="178" fontId="21" fillId="0" borderId="0" xfId="0" applyNumberFormat="1" applyFont="1" applyAlignment="1">
      <alignment horizontal="right"/>
    </xf>
    <xf numFmtId="9" fontId="35" fillId="0" borderId="0" xfId="3" applyFont="1" applyAlignment="1">
      <alignment horizontal="right"/>
    </xf>
    <xf numFmtId="179" fontId="21" fillId="0" borderId="0" xfId="0" applyNumberFormat="1" applyFont="1" applyAlignment="1">
      <alignment horizontal="left"/>
    </xf>
    <xf numFmtId="179" fontId="21" fillId="0" borderId="0" xfId="0" applyNumberFormat="1" applyFont="1" applyAlignment="1">
      <alignment horizontal="right"/>
    </xf>
    <xf numFmtId="0" fontId="23" fillId="0" borderId="0" xfId="0" applyFont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right" wrapText="1"/>
    </xf>
    <xf numFmtId="180" fontId="21" fillId="0" borderId="0" xfId="0" applyNumberFormat="1" applyFont="1"/>
    <xf numFmtId="181" fontId="21" fillId="0" borderId="0" xfId="0" applyNumberFormat="1" applyFont="1"/>
    <xf numFmtId="0" fontId="21" fillId="0" borderId="0" xfId="0" applyFont="1" applyFill="1" applyAlignment="1">
      <alignment horizontal="left"/>
    </xf>
    <xf numFmtId="180" fontId="24" fillId="0" borderId="0" xfId="0" applyNumberFormat="1" applyFont="1"/>
    <xf numFmtId="164" fontId="24" fillId="0" borderId="0" xfId="3" applyNumberFormat="1" applyFont="1"/>
    <xf numFmtId="4" fontId="24" fillId="0" borderId="0" xfId="0" applyNumberFormat="1" applyFont="1" applyFill="1"/>
    <xf numFmtId="4" fontId="28" fillId="0" borderId="0" xfId="0" applyNumberFormat="1" applyFont="1" applyFill="1"/>
    <xf numFmtId="4" fontId="36" fillId="0" borderId="0" xfId="0" applyNumberFormat="1" applyFont="1" applyFill="1"/>
    <xf numFmtId="2" fontId="21" fillId="0" borderId="0" xfId="3" applyNumberFormat="1" applyFont="1" applyFill="1"/>
    <xf numFmtId="0" fontId="21" fillId="0" borderId="0" xfId="0" pivotButton="1" applyFont="1"/>
    <xf numFmtId="0" fontId="21" fillId="0" borderId="0" xfId="0" applyNumberFormat="1" applyFont="1"/>
    <xf numFmtId="182" fontId="21" fillId="0" borderId="0" xfId="0" applyNumberFormat="1" applyFont="1"/>
    <xf numFmtId="164" fontId="21" fillId="5" borderId="0" xfId="3" applyNumberFormat="1" applyFont="1" applyFill="1" applyBorder="1"/>
    <xf numFmtId="9" fontId="0" fillId="0" borderId="0" xfId="3" applyFont="1"/>
    <xf numFmtId="43" fontId="31" fillId="0" borderId="0" xfId="3" applyNumberFormat="1" applyFont="1" applyFill="1" applyBorder="1"/>
    <xf numFmtId="183" fontId="30" fillId="0" borderId="0" xfId="1" applyNumberFormat="1" applyFont="1" applyFill="1" applyBorder="1"/>
    <xf numFmtId="2" fontId="21" fillId="0" borderId="0" xfId="2" applyNumberFormat="1" applyFont="1"/>
    <xf numFmtId="38" fontId="21" fillId="0" borderId="0" xfId="2" applyNumberFormat="1" applyFont="1"/>
    <xf numFmtId="3" fontId="21" fillId="0" borderId="0" xfId="2" applyNumberFormat="1" applyFont="1"/>
    <xf numFmtId="0" fontId="23" fillId="0" borderId="0" xfId="2" applyFont="1" applyFill="1"/>
    <xf numFmtId="38" fontId="21" fillId="5" borderId="0" xfId="2" applyNumberFormat="1" applyFont="1" applyFill="1"/>
    <xf numFmtId="3" fontId="21" fillId="5" borderId="0" xfId="2" applyNumberFormat="1" applyFont="1" applyFill="1"/>
    <xf numFmtId="0" fontId="23" fillId="0" borderId="0" xfId="0" applyFont="1" applyFill="1"/>
    <xf numFmtId="43" fontId="38" fillId="7" borderId="5" xfId="1" applyFont="1" applyFill="1" applyBorder="1" applyAlignment="1">
      <alignment horizontal="right" vertical="center"/>
    </xf>
    <xf numFmtId="43" fontId="21" fillId="0" borderId="0" xfId="2" applyNumberFormat="1" applyFont="1"/>
    <xf numFmtId="1" fontId="24" fillId="0" borderId="0" xfId="2" applyNumberFormat="1" applyFont="1"/>
    <xf numFmtId="164" fontId="23" fillId="0" borderId="0" xfId="3" applyNumberFormat="1" applyFont="1" applyFill="1" applyBorder="1"/>
    <xf numFmtId="1" fontId="21" fillId="0" borderId="0" xfId="2" applyNumberFormat="1" applyFont="1" applyFill="1"/>
    <xf numFmtId="4" fontId="24" fillId="0" borderId="0" xfId="2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170" fontId="4" fillId="0" borderId="0" xfId="0" applyNumberFormat="1" applyFont="1" applyFill="1" applyAlignment="1">
      <alignment horizontal="center"/>
    </xf>
    <xf numFmtId="171" fontId="4" fillId="0" borderId="0" xfId="0" applyNumberFormat="1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3" fontId="4" fillId="0" borderId="0" xfId="0" applyNumberFormat="1" applyFont="1" applyFill="1" applyAlignment="1">
      <alignment horizontal="center"/>
    </xf>
    <xf numFmtId="0" fontId="2" fillId="0" borderId="0" xfId="0" applyFont="1" applyFill="1"/>
    <xf numFmtId="167" fontId="2" fillId="0" borderId="0" xfId="1" applyNumberFormat="1" applyFont="1" applyFill="1"/>
    <xf numFmtId="167" fontId="2" fillId="0" borderId="0" xfId="1" applyNumberFormat="1" applyFont="1" applyFill="1" applyBorder="1"/>
    <xf numFmtId="0" fontId="2" fillId="0" borderId="0" xfId="0" applyFont="1" applyFill="1" applyBorder="1"/>
    <xf numFmtId="0" fontId="2" fillId="0" borderId="0" xfId="0" applyFont="1"/>
    <xf numFmtId="10" fontId="2" fillId="0" borderId="0" xfId="3" applyNumberFormat="1" applyFont="1" applyFill="1" applyBorder="1"/>
    <xf numFmtId="1" fontId="2" fillId="0" borderId="0" xfId="0" applyNumberFormat="1" applyFont="1" applyFill="1" applyBorder="1"/>
    <xf numFmtId="165" fontId="2" fillId="0" borderId="0" xfId="0" applyNumberFormat="1" applyFont="1" applyFill="1" applyAlignment="1">
      <alignment horizontal="center"/>
    </xf>
    <xf numFmtId="164" fontId="2" fillId="0" borderId="0" xfId="3" applyNumberFormat="1" applyFont="1" applyFill="1"/>
    <xf numFmtId="164" fontId="4" fillId="0" borderId="0" xfId="3" applyNumberFormat="1" applyFont="1" applyFill="1"/>
    <xf numFmtId="10" fontId="2" fillId="0" borderId="0" xfId="3" applyNumberFormat="1" applyFont="1" applyFill="1" applyAlignment="1">
      <alignment horizontal="center"/>
    </xf>
    <xf numFmtId="168" fontId="4" fillId="0" borderId="0" xfId="3" applyNumberFormat="1" applyFont="1" applyFill="1"/>
    <xf numFmtId="167" fontId="2" fillId="0" borderId="0" xfId="1" applyNumberFormat="1" applyFont="1" applyFill="1" applyAlignment="1">
      <alignment horizontal="center"/>
    </xf>
    <xf numFmtId="166" fontId="2" fillId="0" borderId="0" xfId="1" applyNumberFormat="1" applyFont="1" applyFill="1" applyAlignment="1">
      <alignment horizontal="center"/>
    </xf>
    <xf numFmtId="43" fontId="2" fillId="0" borderId="0" xfId="1" applyFont="1" applyFill="1" applyAlignment="1">
      <alignment horizontal="center"/>
    </xf>
    <xf numFmtId="10" fontId="2" fillId="0" borderId="0" xfId="0" applyNumberFormat="1" applyFont="1" applyFill="1" applyBorder="1"/>
    <xf numFmtId="43" fontId="4" fillId="0" borderId="0" xfId="1" applyNumberFormat="1" applyFont="1" applyBorder="1"/>
    <xf numFmtId="184" fontId="4" fillId="0" borderId="0" xfId="1" applyNumberFormat="1" applyFont="1" applyBorder="1"/>
    <xf numFmtId="43" fontId="31" fillId="0" borderId="0" xfId="1" applyFont="1" applyBorder="1"/>
    <xf numFmtId="10" fontId="0" fillId="0" borderId="0" xfId="3" applyNumberFormat="1" applyFont="1" applyBorder="1" applyAlignment="1">
      <alignment horizontal="center"/>
    </xf>
    <xf numFmtId="10" fontId="0" fillId="0" borderId="0" xfId="3" applyNumberFormat="1" applyFont="1" applyBorder="1"/>
    <xf numFmtId="3" fontId="11" fillId="0" borderId="0" xfId="1" applyNumberFormat="1" applyFont="1" applyBorder="1" applyAlignment="1"/>
    <xf numFmtId="172" fontId="11" fillId="0" borderId="0" xfId="0" applyNumberFormat="1" applyFont="1" applyBorder="1" applyAlignment="1"/>
    <xf numFmtId="169" fontId="11" fillId="0" borderId="0" xfId="0" applyNumberFormat="1" applyFont="1" applyBorder="1"/>
    <xf numFmtId="3" fontId="11" fillId="0" borderId="0" xfId="1" applyNumberFormat="1" applyFont="1" applyBorder="1"/>
    <xf numFmtId="0" fontId="0" fillId="0" borderId="0" xfId="0" applyAlignment="1">
      <alignment horizontal="right" wrapText="1"/>
    </xf>
    <xf numFmtId="178" fontId="37" fillId="0" borderId="0" xfId="0" applyNumberFormat="1" applyFont="1" applyAlignment="1">
      <alignment horizontal="left"/>
    </xf>
    <xf numFmtId="178" fontId="0" fillId="0" borderId="0" xfId="0" applyNumberFormat="1" applyFont="1" applyAlignment="1">
      <alignment horizontal="right"/>
    </xf>
    <xf numFmtId="179" fontId="0" fillId="0" borderId="0" xfId="0" applyNumberFormat="1" applyFont="1" applyAlignment="1">
      <alignment horizontal="left"/>
    </xf>
    <xf numFmtId="179" fontId="0" fillId="0" borderId="0" xfId="0" applyNumberFormat="1" applyFont="1" applyAlignment="1">
      <alignment horizontal="right"/>
    </xf>
    <xf numFmtId="9" fontId="23" fillId="0" borderId="0" xfId="3" applyFont="1"/>
    <xf numFmtId="38" fontId="23" fillId="0" borderId="0" xfId="0" applyNumberFormat="1" applyFont="1"/>
    <xf numFmtId="9" fontId="24" fillId="0" borderId="0" xfId="3" applyFont="1"/>
    <xf numFmtId="43" fontId="31" fillId="5" borderId="0" xfId="1" applyFont="1" applyFill="1" applyBorder="1"/>
    <xf numFmtId="43" fontId="4" fillId="5" borderId="0" xfId="1" applyFont="1" applyFill="1" applyBorder="1"/>
    <xf numFmtId="164" fontId="9" fillId="5" borderId="0" xfId="1" applyNumberFormat="1" applyFont="1" applyFill="1" applyBorder="1"/>
    <xf numFmtId="0" fontId="30" fillId="0" borderId="0" xfId="1" applyNumberFormat="1" applyFont="1" applyFill="1" applyBorder="1"/>
  </cellXfs>
  <cellStyles count="5">
    <cellStyle name="Comma" xfId="1" builtinId="3"/>
    <cellStyle name="Normal" xfId="0" builtinId="0"/>
    <cellStyle name="Normal 8 7" xfId="4"/>
    <cellStyle name="Normal_ElectricSales_NENG" xfId="2"/>
    <cellStyle name="Percent" xfId="3" builtinId="5"/>
  </cellStyles>
  <dxfs count="4">
    <dxf>
      <numFmt numFmtId="2" formatCode="0.00"/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9" defaultPivotStyle="PivotStyleLight16"/>
  <colors>
    <mruColors>
      <color rgb="FFFF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1.xml"/><Relationship Id="rId40" Type="http://schemas.openxmlformats.org/officeDocument/2006/relationships/pivotCacheDefinition" Target="pivotCache/pivotCacheDefinition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Change in dincome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Series1</c:v>
          </c:tx>
          <c:marker>
            <c:symbol val="none"/>
          </c:marker>
          <c:cat>
            <c:numLit>
              <c:formatCode>General</c:formatCode>
              <c:ptCount val="11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</c:numLit>
          </c:cat>
          <c:val>
            <c:numLit>
              <c:formatCode>General</c:formatCode>
              <c:ptCount val="11"/>
              <c:pt idx="0">
                <c:v>0.17591193184414067</c:v>
              </c:pt>
              <c:pt idx="1">
                <c:v>-0.11095381280411409</c:v>
              </c:pt>
              <c:pt idx="2">
                <c:v>1.9243936190252997E-2</c:v>
              </c:pt>
              <c:pt idx="3">
                <c:v>0.1696611625634159</c:v>
              </c:pt>
              <c:pt idx="4">
                <c:v>0.11048291689149226</c:v>
              </c:pt>
              <c:pt idx="5">
                <c:v>0.17720957805502469</c:v>
              </c:pt>
              <c:pt idx="6">
                <c:v>0.19016445262883619</c:v>
              </c:pt>
              <c:pt idx="7">
                <c:v>0.14159777659030426</c:v>
              </c:pt>
              <c:pt idx="8">
                <c:v>0.13070480827541209</c:v>
              </c:pt>
              <c:pt idx="9">
                <c:v>9.7832092700139484E-2</c:v>
              </c:pt>
              <c:pt idx="10">
                <c:v>0.10673865060265397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395840"/>
        <c:axId val="353397376"/>
      </c:lineChart>
      <c:catAx>
        <c:axId val="35339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53397376"/>
        <c:crosses val="autoZero"/>
        <c:auto val="1"/>
        <c:lblAlgn val="ctr"/>
        <c:lblOffset val="100"/>
        <c:noMultiLvlLbl val="0"/>
      </c:catAx>
      <c:valAx>
        <c:axId val="3533973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35339584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Cwash_Fred</c:v>
          </c:tx>
          <c:marker>
            <c:symbol val="none"/>
          </c:marker>
          <c:cat>
            <c:numLit>
              <c:formatCode>General</c:formatCode>
              <c:ptCount val="41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  <c:pt idx="20">
                <c:v>2015</c:v>
              </c:pt>
              <c:pt idx="21">
                <c:v>2016</c:v>
              </c:pt>
              <c:pt idx="22">
                <c:v>2017</c:v>
              </c:pt>
              <c:pt idx="23">
                <c:v>2018</c:v>
              </c:pt>
              <c:pt idx="24">
                <c:v>2019</c:v>
              </c:pt>
              <c:pt idx="25">
                <c:v>2020</c:v>
              </c:pt>
              <c:pt idx="26">
                <c:v>2021</c:v>
              </c:pt>
              <c:pt idx="27">
                <c:v>2022</c:v>
              </c:pt>
              <c:pt idx="28">
                <c:v>2023</c:v>
              </c:pt>
              <c:pt idx="29">
                <c:v>2024</c:v>
              </c:pt>
              <c:pt idx="30">
                <c:v>2025</c:v>
              </c:pt>
              <c:pt idx="31">
                <c:v>2026</c:v>
              </c:pt>
              <c:pt idx="32">
                <c:v>2027</c:v>
              </c:pt>
              <c:pt idx="33">
                <c:v>2028</c:v>
              </c:pt>
              <c:pt idx="34">
                <c:v>2029</c:v>
              </c:pt>
              <c:pt idx="35">
                <c:v>2030</c:v>
              </c:pt>
              <c:pt idx="36">
                <c:v>2031</c:v>
              </c:pt>
              <c:pt idx="37">
                <c:v>2032</c:v>
              </c:pt>
              <c:pt idx="38">
                <c:v>2033</c:v>
              </c:pt>
              <c:pt idx="39">
                <c:v>2034</c:v>
              </c:pt>
              <c:pt idx="40">
                <c:v>2035</c:v>
              </c:pt>
            </c:numLit>
          </c:cat>
          <c:val>
            <c:numLit>
              <c:formatCode>General</c:formatCode>
              <c:ptCount val="41"/>
              <c:pt idx="0">
                <c:v>0.98</c:v>
              </c:pt>
              <c:pt idx="1">
                <c:v>0.98</c:v>
              </c:pt>
              <c:pt idx="2">
                <c:v>0.98</c:v>
              </c:pt>
              <c:pt idx="3">
                <c:v>0.98</c:v>
              </c:pt>
              <c:pt idx="4">
                <c:v>0.98</c:v>
              </c:pt>
              <c:pt idx="5">
                <c:v>0.98</c:v>
              </c:pt>
              <c:pt idx="6">
                <c:v>0.98</c:v>
              </c:pt>
              <c:pt idx="7">
                <c:v>0.98</c:v>
              </c:pt>
              <c:pt idx="8">
                <c:v>0.98</c:v>
              </c:pt>
              <c:pt idx="9">
                <c:v>0.98</c:v>
              </c:pt>
              <c:pt idx="10">
                <c:v>0.98</c:v>
              </c:pt>
              <c:pt idx="11">
                <c:v>0.98</c:v>
              </c:pt>
              <c:pt idx="12">
                <c:v>0.98</c:v>
              </c:pt>
              <c:pt idx="13">
                <c:v>0.98</c:v>
              </c:pt>
              <c:pt idx="14">
                <c:v>0.98</c:v>
              </c:pt>
              <c:pt idx="15">
                <c:v>0.98</c:v>
              </c:pt>
              <c:pt idx="16">
                <c:v>0.98</c:v>
              </c:pt>
              <c:pt idx="17">
                <c:v>0.98</c:v>
              </c:pt>
              <c:pt idx="18">
                <c:v>0.98</c:v>
              </c:pt>
              <c:pt idx="19">
                <c:v>0.98</c:v>
              </c:pt>
              <c:pt idx="20">
                <c:v>0.98</c:v>
              </c:pt>
              <c:pt idx="21">
                <c:v>0.98</c:v>
              </c:pt>
              <c:pt idx="22">
                <c:v>0.98</c:v>
              </c:pt>
              <c:pt idx="23">
                <c:v>0.98</c:v>
              </c:pt>
              <c:pt idx="24">
                <c:v>0.98</c:v>
              </c:pt>
              <c:pt idx="25">
                <c:v>0.98</c:v>
              </c:pt>
              <c:pt idx="26">
                <c:v>0.98</c:v>
              </c:pt>
              <c:pt idx="27">
                <c:v>0.98</c:v>
              </c:pt>
              <c:pt idx="28">
                <c:v>0.98</c:v>
              </c:pt>
              <c:pt idx="29">
                <c:v>0.98</c:v>
              </c:pt>
              <c:pt idx="30">
                <c:v>0.98</c:v>
              </c:pt>
              <c:pt idx="31">
                <c:v>0.98</c:v>
              </c:pt>
              <c:pt idx="32">
                <c:v>0.98</c:v>
              </c:pt>
              <c:pt idx="33">
                <c:v>0.98</c:v>
              </c:pt>
              <c:pt idx="34">
                <c:v>0.98</c:v>
              </c:pt>
              <c:pt idx="35">
                <c:v>0.98</c:v>
              </c:pt>
              <c:pt idx="36">
                <c:v>0.98</c:v>
              </c:pt>
              <c:pt idx="37">
                <c:v>0.98</c:v>
              </c:pt>
              <c:pt idx="38">
                <c:v>0.98</c:v>
              </c:pt>
              <c:pt idx="39">
                <c:v>0.98</c:v>
              </c:pt>
              <c:pt idx="40">
                <c:v>0.98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36448"/>
        <c:axId val="418546432"/>
      </c:lineChart>
      <c:catAx>
        <c:axId val="4185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8546432"/>
        <c:crosses val="autoZero"/>
        <c:auto val="1"/>
        <c:lblAlgn val="ctr"/>
        <c:lblOffset val="100"/>
        <c:tickLblSkip val="3"/>
        <c:noMultiLvlLbl val="0"/>
      </c:catAx>
      <c:valAx>
        <c:axId val="418546432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85364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Total</c:v>
          </c:tx>
          <c:marker>
            <c:symbol val="none"/>
          </c:marker>
          <c:cat>
            <c:strLit>
              <c:ptCount val="18"/>
              <c:pt idx="0">
                <c:v>2025</c:v>
              </c:pt>
              <c:pt idx="1">
                <c:v>2026</c:v>
              </c:pt>
              <c:pt idx="2">
                <c:v>2027</c:v>
              </c:pt>
              <c:pt idx="3">
                <c:v>2028</c:v>
              </c:pt>
              <c:pt idx="4">
                <c:v>2029</c:v>
              </c:pt>
              <c:pt idx="5">
                <c:v>2030</c:v>
              </c:pt>
              <c:pt idx="6">
                <c:v>2031</c:v>
              </c:pt>
              <c:pt idx="7">
                <c:v>2032</c:v>
              </c:pt>
              <c:pt idx="8">
                <c:v>2033</c:v>
              </c:pt>
              <c:pt idx="9">
                <c:v>2034</c:v>
              </c:pt>
              <c:pt idx="10">
                <c:v>2035</c:v>
              </c:pt>
              <c:pt idx="11">
                <c:v>2036</c:v>
              </c:pt>
              <c:pt idx="12">
                <c:v>2037</c:v>
              </c:pt>
              <c:pt idx="13">
                <c:v>2038</c:v>
              </c:pt>
              <c:pt idx="14">
                <c:v>2039</c:v>
              </c:pt>
              <c:pt idx="15">
                <c:v>2040</c:v>
              </c:pt>
              <c:pt idx="16">
                <c:v>2041</c:v>
              </c:pt>
              <c:pt idx="17">
                <c:v>2042</c:v>
              </c:pt>
            </c:strLit>
          </c:cat>
          <c:val>
            <c:numLit>
              <c:formatCode>General</c:formatCode>
              <c:ptCount val="18"/>
              <c:pt idx="0">
                <c:v>8.3275989943828534</c:v>
              </c:pt>
              <c:pt idx="1">
                <c:v>8.3494125211931092</c:v>
              </c:pt>
              <c:pt idx="2">
                <c:v>8.3668992443359684</c:v>
              </c:pt>
              <c:pt idx="3">
                <c:v>8.3820133515158552</c:v>
              </c:pt>
              <c:pt idx="4">
                <c:v>8.3945062409389717</c:v>
              </c:pt>
              <c:pt idx="5">
                <c:v>8.405648247040185</c:v>
              </c:pt>
              <c:pt idx="6">
                <c:v>8.4157941304593287</c:v>
              </c:pt>
              <c:pt idx="7">
                <c:v>8.4249576911533275</c:v>
              </c:pt>
              <c:pt idx="8">
                <c:v>8.4317027270645557</c:v>
              </c:pt>
              <c:pt idx="9">
                <c:v>8.436276245805697</c:v>
              </c:pt>
              <c:pt idx="10">
                <c:v>8.4384683863519196</c:v>
              </c:pt>
              <c:pt idx="11">
                <c:v>8.4406605268981423</c:v>
              </c:pt>
              <c:pt idx="12">
                <c:v>8.4428526674443649</c:v>
              </c:pt>
              <c:pt idx="13">
                <c:v>8.4450448079905875</c:v>
              </c:pt>
              <c:pt idx="14">
                <c:v>8.4472369485368102</c:v>
              </c:pt>
              <c:pt idx="15">
                <c:v>8.4494290890830328</c:v>
              </c:pt>
              <c:pt idx="16">
                <c:v>8.4516212296292554</c:v>
              </c:pt>
              <c:pt idx="17">
                <c:v>8.4538133701754781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436032"/>
        <c:axId val="419437568"/>
      </c:lineChart>
      <c:catAx>
        <c:axId val="41943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419437568"/>
        <c:crosses val="autoZero"/>
        <c:auto val="1"/>
        <c:lblAlgn val="ctr"/>
        <c:lblOffset val="100"/>
        <c:noMultiLvlLbl val="0"/>
      </c:catAx>
      <c:valAx>
        <c:axId val="41943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194360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75017881800958E-2"/>
          <c:y val="5.2344514929364323E-2"/>
          <c:w val="0.76967679587673143"/>
          <c:h val="0.87731164432743924"/>
        </c:manualLayout>
      </c:layout>
      <c:lineChart>
        <c:grouping val="standard"/>
        <c:varyColors val="0"/>
        <c:ser>
          <c:idx val="0"/>
          <c:order val="0"/>
          <c:tx>
            <c:strRef>
              <c:f>'OD AnnualIndices'!$B$1</c:f>
              <c:strCache>
                <c:ptCount val="1"/>
                <c:pt idx="0">
                  <c:v>Heating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'OD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AnnualIndices'!$B$2:$B$42</c:f>
              <c:numCache>
                <c:formatCode>_(* #,##0_);_(* \(#,##0\);_(* "-"??_);_(@_)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'OD AnnualIndices'!$D$1</c:f>
              <c:strCache>
                <c:ptCount val="1"/>
                <c:pt idx="0">
                  <c:v>Cooling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'OD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AnnualIndices'!$D$2:$D$42</c:f>
              <c:numCache>
                <c:formatCode>_(* #,##0_);_(* \(#,##0\);_(* "-"??_);_(@_)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'OD AnnualIndices'!$F$1</c:f>
              <c:strCache>
                <c:ptCount val="1"/>
                <c:pt idx="0">
                  <c:v>EWHeat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'OD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AnnualIndices'!$F$2:$F$42</c:f>
              <c:numCache>
                <c:formatCode>_(* #,##0_);_(* \(#,##0\);_(* "-"??_);_(@_)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'OD AnnualIndices'!$H$1</c:f>
              <c:strCache>
                <c:ptCount val="1"/>
                <c:pt idx="0">
                  <c:v>NonHVAC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'OD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AnnualIndices'!$H$2:$H$42</c:f>
              <c:numCache>
                <c:formatCode>_(* #,##0_);_(* \(#,##0\);_(* "-"??_);_(@_)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565760"/>
        <c:axId val="420567296"/>
      </c:lineChart>
      <c:catAx>
        <c:axId val="42056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056729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20567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0565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615837950811926"/>
          <c:y val="0.41008438651050982"/>
          <c:w val="0.11458345484592203"/>
          <c:h val="0.149580008381305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'OD AnnualIndices'!$O$1</c:f>
              <c:strCache>
                <c:ptCount val="1"/>
                <c:pt idx="0">
                  <c:v>Heating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AnnualIndices'!$O$2:$O$48</c:f>
              <c:numCache>
                <c:formatCode>_(* #,##0_);_(* \(#,##0\);_(* "-"??_);_(@_)</c:formatCode>
                <c:ptCount val="47"/>
                <c:pt idx="0">
                  <c:v>2034.8380717866903</c:v>
                </c:pt>
                <c:pt idx="1">
                  <c:v>2037.4236620591901</c:v>
                </c:pt>
                <c:pt idx="2">
                  <c:v>2039.0906980198602</c:v>
                </c:pt>
                <c:pt idx="3">
                  <c:v>2039.8649495481538</c:v>
                </c:pt>
                <c:pt idx="4">
                  <c:v>2039.7914590634546</c:v>
                </c:pt>
                <c:pt idx="5">
                  <c:v>2038.9351673918052</c:v>
                </c:pt>
                <c:pt idx="6">
                  <c:v>2037.380615703898</c:v>
                </c:pt>
                <c:pt idx="7">
                  <c:v>2035.9537869557148</c:v>
                </c:pt>
                <c:pt idx="8">
                  <c:v>2032.6068855658739</c:v>
                </c:pt>
                <c:pt idx="9">
                  <c:v>2028.8939634529845</c:v>
                </c:pt>
                <c:pt idx="10">
                  <c:v>2025.026994301161</c:v>
                </c:pt>
                <c:pt idx="11">
                  <c:v>2005.3707023884558</c:v>
                </c:pt>
                <c:pt idx="12">
                  <c:v>2007.0480929212758</c:v>
                </c:pt>
                <c:pt idx="13">
                  <c:v>2028.5180136888566</c:v>
                </c:pt>
                <c:pt idx="14">
                  <c:v>2014.8343189548841</c:v>
                </c:pt>
                <c:pt idx="15">
                  <c:v>2006.782096665122</c:v>
                </c:pt>
                <c:pt idx="16">
                  <c:v>1993.9756887009096</c:v>
                </c:pt>
                <c:pt idx="17">
                  <c:v>1990.7295037371453</c:v>
                </c:pt>
                <c:pt idx="18">
                  <c:v>1986.6489102383609</c:v>
                </c:pt>
                <c:pt idx="19">
                  <c:v>1982.7201739317659</c:v>
                </c:pt>
                <c:pt idx="20">
                  <c:v>1978.6271387593506</c:v>
                </c:pt>
                <c:pt idx="21">
                  <c:v>1974.672571347922</c:v>
                </c:pt>
                <c:pt idx="22">
                  <c:v>1968.5457864142468</c:v>
                </c:pt>
                <c:pt idx="23">
                  <c:v>1963.111550305829</c:v>
                </c:pt>
                <c:pt idx="24">
                  <c:v>1957.8215555222866</c:v>
                </c:pt>
                <c:pt idx="25">
                  <c:v>1953.3852729782675</c:v>
                </c:pt>
                <c:pt idx="26">
                  <c:v>1948.7486984424272</c:v>
                </c:pt>
                <c:pt idx="27">
                  <c:v>1944.1710838374672</c:v>
                </c:pt>
                <c:pt idx="28">
                  <c:v>1938.834858063228</c:v>
                </c:pt>
                <c:pt idx="29">
                  <c:v>1933.6831884859146</c:v>
                </c:pt>
                <c:pt idx="30">
                  <c:v>1927.9210980596517</c:v>
                </c:pt>
                <c:pt idx="31">
                  <c:v>1922.5071557232845</c:v>
                </c:pt>
                <c:pt idx="32">
                  <c:v>1917.0430921945101</c:v>
                </c:pt>
                <c:pt idx="33">
                  <c:v>1911.6031433475573</c:v>
                </c:pt>
                <c:pt idx="34">
                  <c:v>1905.3657538206155</c:v>
                </c:pt>
                <c:pt idx="35">
                  <c:v>1899.7737050270516</c:v>
                </c:pt>
                <c:pt idx="36">
                  <c:v>1894.6948225140775</c:v>
                </c:pt>
                <c:pt idx="37">
                  <c:v>1889.5130919486996</c:v>
                </c:pt>
                <c:pt idx="38">
                  <c:v>1884.2310447558564</c:v>
                </c:pt>
                <c:pt idx="39">
                  <c:v>1878.8511373278736</c:v>
                </c:pt>
                <c:pt idx="40">
                  <c:v>1873.3757536701899</c:v>
                </c:pt>
                <c:pt idx="41">
                  <c:v>1867.807207937253</c:v>
                </c:pt>
                <c:pt idx="42">
                  <c:v>1862.1477468638532</c:v>
                </c:pt>
                <c:pt idx="43">
                  <c:v>1856.9042713280946</c:v>
                </c:pt>
                <c:pt idx="44">
                  <c:v>1851.5671081146734</c:v>
                </c:pt>
                <c:pt idx="45">
                  <c:v>1846.1383016455788</c:v>
                </c:pt>
                <c:pt idx="46">
                  <c:v>1840.6198406709434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'OD AnnualIndices'!$Q$1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AnnualIndices'!$Q$2:$Q$48</c:f>
              <c:numCache>
                <c:formatCode>_(* #,##0_);_(* \(#,##0\);_(* "-"??_);_(@_)</c:formatCode>
                <c:ptCount val="47"/>
                <c:pt idx="14">
                  <c:v>5129.4674626857532</c:v>
                </c:pt>
                <c:pt idx="15">
                  <c:v>5077.858445727511</c:v>
                </c:pt>
                <c:pt idx="16">
                  <c:v>5034.7004327750356</c:v>
                </c:pt>
                <c:pt idx="17">
                  <c:v>4997.2997162838565</c:v>
                </c:pt>
                <c:pt idx="18">
                  <c:v>4965.0345364997675</c:v>
                </c:pt>
                <c:pt idx="19">
                  <c:v>4938.0375063148003</c:v>
                </c:pt>
                <c:pt idx="20">
                  <c:v>4916.3352471240632</c:v>
                </c:pt>
                <c:pt idx="21">
                  <c:v>4900.0201657203625</c:v>
                </c:pt>
                <c:pt idx="22">
                  <c:v>4886.5455793401779</c:v>
                </c:pt>
                <c:pt idx="23">
                  <c:v>4878.1645917719979</c:v>
                </c:pt>
                <c:pt idx="24">
                  <c:v>4873.298349325345</c:v>
                </c:pt>
                <c:pt idx="25">
                  <c:v>4865.6272040982458</c:v>
                </c:pt>
                <c:pt idx="26">
                  <c:v>4862.2516137244002</c:v>
                </c:pt>
                <c:pt idx="27">
                  <c:v>4862.2729248005489</c:v>
                </c:pt>
                <c:pt idx="28">
                  <c:v>4858.9228808965872</c:v>
                </c:pt>
                <c:pt idx="29">
                  <c:v>4858.1049645441708</c:v>
                </c:pt>
                <c:pt idx="30">
                  <c:v>4859.3253490362831</c:v>
                </c:pt>
                <c:pt idx="31">
                  <c:v>4862.2226227333122</c:v>
                </c:pt>
                <c:pt idx="32">
                  <c:v>4866.3591496913677</c:v>
                </c:pt>
                <c:pt idx="33">
                  <c:v>4870.0650018911319</c:v>
                </c:pt>
                <c:pt idx="34">
                  <c:v>4873.5761685073776</c:v>
                </c:pt>
                <c:pt idx="35">
                  <c:v>4877.2605215163239</c:v>
                </c:pt>
                <c:pt idx="36">
                  <c:v>4880.7328642833818</c:v>
                </c:pt>
                <c:pt idx="37">
                  <c:v>4883.9981666667682</c:v>
                </c:pt>
                <c:pt idx="38">
                  <c:v>4887.0612567138587</c:v>
                </c:pt>
                <c:pt idx="39">
                  <c:v>4889.926825631359</c:v>
                </c:pt>
                <c:pt idx="40">
                  <c:v>4892.5994325482425</c:v>
                </c:pt>
                <c:pt idx="41">
                  <c:v>4895.0835090814835</c:v>
                </c:pt>
                <c:pt idx="42">
                  <c:v>4897.3833637140115</c:v>
                </c:pt>
                <c:pt idx="43">
                  <c:v>4899.503185993859</c:v>
                </c:pt>
                <c:pt idx="44">
                  <c:v>4901.4470505629597</c:v>
                </c:pt>
                <c:pt idx="45">
                  <c:v>4903.2189210235829</c:v>
                </c:pt>
                <c:pt idx="46">
                  <c:v>4904.8226536500069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'OD AnnualIndices'!$S$1</c:f>
              <c:strCache>
                <c:ptCount val="1"/>
                <c:pt idx="0">
                  <c:v>EWHeat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AnnualIndices'!$S$2:$S$48</c:f>
              <c:numCache>
                <c:formatCode>_(* #,##0_);_(* \(#,##0\);_(* "-"??_);_(@_)</c:formatCode>
                <c:ptCount val="47"/>
                <c:pt idx="0">
                  <c:v>1631.1981150194601</c:v>
                </c:pt>
                <c:pt idx="1">
                  <c:v>1626.819404112329</c:v>
                </c:pt>
                <c:pt idx="2">
                  <c:v>1622.464138278403</c:v>
                </c:pt>
                <c:pt idx="3">
                  <c:v>1618.1321297213753</c:v>
                </c:pt>
                <c:pt idx="4">
                  <c:v>1613.8231926452761</c:v>
                </c:pt>
                <c:pt idx="5">
                  <c:v>1609.5371432279101</c:v>
                </c:pt>
                <c:pt idx="6">
                  <c:v>1605.2737995947157</c:v>
                </c:pt>
                <c:pt idx="7">
                  <c:v>1601.0329817930383</c:v>
                </c:pt>
                <c:pt idx="8">
                  <c:v>1596.8145117668116</c:v>
                </c:pt>
                <c:pt idx="9">
                  <c:v>1592.6182133316365</c:v>
                </c:pt>
                <c:pt idx="10">
                  <c:v>1588.4439121502512</c:v>
                </c:pt>
                <c:pt idx="11">
                  <c:v>1582.7976197631328</c:v>
                </c:pt>
                <c:pt idx="12">
                  <c:v>1577.9442429946798</c:v>
                </c:pt>
                <c:pt idx="13">
                  <c:v>1574.3637768153478</c:v>
                </c:pt>
                <c:pt idx="14">
                  <c:v>1571.1398391676419</c:v>
                </c:pt>
                <c:pt idx="15">
                  <c:v>1567.4914286226908</c:v>
                </c:pt>
                <c:pt idx="16">
                  <c:v>1564.1645759217611</c:v>
                </c:pt>
                <c:pt idx="17">
                  <c:v>1561.2201676733225</c:v>
                </c:pt>
                <c:pt idx="18">
                  <c:v>1558.6181475961234</c:v>
                </c:pt>
                <c:pt idx="19">
                  <c:v>1556.2912958753395</c:v>
                </c:pt>
                <c:pt idx="20">
                  <c:v>1554.1602424595378</c:v>
                </c:pt>
                <c:pt idx="21">
                  <c:v>1552.307694852826</c:v>
                </c:pt>
                <c:pt idx="22">
                  <c:v>1550.7032367264324</c:v>
                </c:pt>
                <c:pt idx="23">
                  <c:v>1549.3319572397072</c:v>
                </c:pt>
                <c:pt idx="24">
                  <c:v>1548.1725786032853</c:v>
                </c:pt>
                <c:pt idx="25">
                  <c:v>1544.7217659276209</c:v>
                </c:pt>
                <c:pt idx="26">
                  <c:v>1541.7437823699952</c:v>
                </c:pt>
                <c:pt idx="27">
                  <c:v>1538.8730977350931</c:v>
                </c:pt>
                <c:pt idx="28">
                  <c:v>1536.1594206962407</c:v>
                </c:pt>
                <c:pt idx="29">
                  <c:v>1533.5514680981323</c:v>
                </c:pt>
                <c:pt idx="30">
                  <c:v>1531.0328626860733</c:v>
                </c:pt>
                <c:pt idx="31">
                  <c:v>1528.7267653660033</c:v>
                </c:pt>
                <c:pt idx="32">
                  <c:v>1526.6880098458441</c:v>
                </c:pt>
                <c:pt idx="33">
                  <c:v>1524.745826097268</c:v>
                </c:pt>
                <c:pt idx="34">
                  <c:v>1522.8912678016768</c:v>
                </c:pt>
                <c:pt idx="35">
                  <c:v>1521.1369104900377</c:v>
                </c:pt>
                <c:pt idx="36">
                  <c:v>1519.3865905357047</c:v>
                </c:pt>
                <c:pt idx="37">
                  <c:v>1517.6402940177511</c:v>
                </c:pt>
                <c:pt idx="38">
                  <c:v>1515.898007079177</c:v>
                </c:pt>
                <c:pt idx="39">
                  <c:v>1514.1597159265416</c:v>
                </c:pt>
                <c:pt idx="40">
                  <c:v>1512.4254068296004</c:v>
                </c:pt>
                <c:pt idx="41">
                  <c:v>1510.6950661209421</c:v>
                </c:pt>
                <c:pt idx="42">
                  <c:v>1508.9686801956316</c:v>
                </c:pt>
                <c:pt idx="43">
                  <c:v>1507.2462355108519</c:v>
                </c:pt>
                <c:pt idx="44">
                  <c:v>1505.5277185855498</c:v>
                </c:pt>
                <c:pt idx="45">
                  <c:v>1503.8131160000864</c:v>
                </c:pt>
                <c:pt idx="46">
                  <c:v>1502.1024143958848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'OD AnnualIndices'!$U$1</c:f>
              <c:strCache>
                <c:ptCount val="1"/>
                <c:pt idx="0">
                  <c:v>NonHVAC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AnnualIndices'!$U$2:$U$48</c:f>
              <c:numCache>
                <c:formatCode>_(* #,##0_);_(* \(#,##0\);_(* "-"??_);_(@_)</c:formatCode>
                <c:ptCount val="47"/>
                <c:pt idx="0">
                  <c:v>6930.0325397880333</c:v>
                </c:pt>
                <c:pt idx="1">
                  <c:v>7006.9672616898661</c:v>
                </c:pt>
                <c:pt idx="2">
                  <c:v>7081.4165912800563</c:v>
                </c:pt>
                <c:pt idx="3">
                  <c:v>7156.1212056055683</c:v>
                </c:pt>
                <c:pt idx="4">
                  <c:v>7231.0811046664021</c:v>
                </c:pt>
                <c:pt idx="5">
                  <c:v>7306.2962884625576</c:v>
                </c:pt>
                <c:pt idx="6">
                  <c:v>7381.7667569940359</c:v>
                </c:pt>
                <c:pt idx="7">
                  <c:v>7460.760859227209</c:v>
                </c:pt>
                <c:pt idx="8">
                  <c:v>7542.8155147000052</c:v>
                </c:pt>
                <c:pt idx="9">
                  <c:v>7625.6966950052056</c:v>
                </c:pt>
                <c:pt idx="10">
                  <c:v>7709.3717418777042</c:v>
                </c:pt>
                <c:pt idx="11">
                  <c:v>7679.8865647264538</c:v>
                </c:pt>
                <c:pt idx="12">
                  <c:v>7754.9599434618221</c:v>
                </c:pt>
                <c:pt idx="13">
                  <c:v>7773.3190685685859</c:v>
                </c:pt>
                <c:pt idx="14">
                  <c:v>7745.0894046735284</c:v>
                </c:pt>
                <c:pt idx="15">
                  <c:v>7639.6178440684562</c:v>
                </c:pt>
                <c:pt idx="16">
                  <c:v>7589.7637323676845</c:v>
                </c:pt>
                <c:pt idx="17">
                  <c:v>7573.7812473659496</c:v>
                </c:pt>
                <c:pt idx="18">
                  <c:v>7565.6619581383866</c:v>
                </c:pt>
                <c:pt idx="19">
                  <c:v>7598.0108205387196</c:v>
                </c:pt>
                <c:pt idx="20">
                  <c:v>7630.5971256797475</c:v>
                </c:pt>
                <c:pt idx="21">
                  <c:v>7670.8932739730499</c:v>
                </c:pt>
                <c:pt idx="22">
                  <c:v>7687.0924467186978</c:v>
                </c:pt>
                <c:pt idx="23">
                  <c:v>7726.4553192846288</c:v>
                </c:pt>
                <c:pt idx="24">
                  <c:v>7781.6372117057144</c:v>
                </c:pt>
                <c:pt idx="25">
                  <c:v>7855.5480694401831</c:v>
                </c:pt>
                <c:pt idx="26">
                  <c:v>7906.1199072072832</c:v>
                </c:pt>
                <c:pt idx="27">
                  <c:v>7969.8458097321927</c:v>
                </c:pt>
                <c:pt idx="28">
                  <c:v>8042.9444058437657</c:v>
                </c:pt>
                <c:pt idx="29">
                  <c:v>8129.4625154793403</c:v>
                </c:pt>
                <c:pt idx="30">
                  <c:v>8193.3968339822313</c:v>
                </c:pt>
                <c:pt idx="31">
                  <c:v>8267.9786854927333</c:v>
                </c:pt>
                <c:pt idx="32">
                  <c:v>8337.6240006482403</c:v>
                </c:pt>
                <c:pt idx="33">
                  <c:v>8410.9310187332376</c:v>
                </c:pt>
                <c:pt idx="34">
                  <c:v>8453.3982082685616</c:v>
                </c:pt>
                <c:pt idx="35">
                  <c:v>8573.1773255815096</c:v>
                </c:pt>
                <c:pt idx="36">
                  <c:v>8639.2324745392616</c:v>
                </c:pt>
                <c:pt idx="37">
                  <c:v>8706.1585813910642</c:v>
                </c:pt>
                <c:pt idx="38">
                  <c:v>8773.9668524517874</c:v>
                </c:pt>
                <c:pt idx="39">
                  <c:v>8842.66863903583</c:v>
                </c:pt>
                <c:pt idx="40">
                  <c:v>8912.2754393354226</c:v>
                </c:pt>
                <c:pt idx="41">
                  <c:v>8982.7989003232306</c:v>
                </c:pt>
                <c:pt idx="42">
                  <c:v>9054.2508196797244</c:v>
                </c:pt>
                <c:pt idx="43">
                  <c:v>9126.6075669938928</c:v>
                </c:pt>
                <c:pt idx="44">
                  <c:v>9199.9168326678409</c:v>
                </c:pt>
                <c:pt idx="45">
                  <c:v>9274.1908783210492</c:v>
                </c:pt>
                <c:pt idx="46">
                  <c:v>9349.442124243431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'OD AnnualIndices'!$W$1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'OD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'OD AnnualIndices'!$W$2:$W$48</c:f>
              <c:numCache>
                <c:formatCode>_(* #,##0_);_(* \(#,##0\);_(* "-"??_);_(@_)</c:formatCode>
                <c:ptCount val="47"/>
                <c:pt idx="0">
                  <c:v>10596.068726594183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16291.733435190943</c:v>
                </c:pt>
                <c:pt idx="16">
                  <c:v>16182.587426541091</c:v>
                </c:pt>
                <c:pt idx="17">
                  <c:v>16123.019696059873</c:v>
                </c:pt>
                <c:pt idx="18">
                  <c:v>16075.953379493723</c:v>
                </c:pt>
                <c:pt idx="19">
                  <c:v>16075.0508887666</c:v>
                </c:pt>
                <c:pt idx="20">
                  <c:v>16079.711925438194</c:v>
                </c:pt>
                <c:pt idx="21">
                  <c:v>16097.887196714106</c:v>
                </c:pt>
                <c:pt idx="22">
                  <c:v>16092.880163015892</c:v>
                </c:pt>
                <c:pt idx="23">
                  <c:v>16117.05805865868</c:v>
                </c:pt>
                <c:pt idx="24">
                  <c:v>16160.925254592854</c:v>
                </c:pt>
                <c:pt idx="25">
                  <c:v>16219.276243440019</c:v>
                </c:pt>
                <c:pt idx="26">
                  <c:v>16258.859006526984</c:v>
                </c:pt>
                <c:pt idx="27">
                  <c:v>16315.158709513687</c:v>
                </c:pt>
                <c:pt idx="28">
                  <c:v>16376.856368363713</c:v>
                </c:pt>
                <c:pt idx="29">
                  <c:v>16454.797613469498</c:v>
                </c:pt>
                <c:pt idx="30">
                  <c:v>16511.67177278264</c:v>
                </c:pt>
                <c:pt idx="31">
                  <c:v>16581.431511132323</c:v>
                </c:pt>
                <c:pt idx="32">
                  <c:v>16647.710927343251</c:v>
                </c:pt>
                <c:pt idx="33">
                  <c:v>16717.341641761945</c:v>
                </c:pt>
                <c:pt idx="34">
                  <c:v>16755.227640150588</c:v>
                </c:pt>
                <c:pt idx="35">
                  <c:v>16871.345131714064</c:v>
                </c:pt>
                <c:pt idx="36">
                  <c:v>16934.043639737643</c:v>
                </c:pt>
                <c:pt idx="37">
                  <c:v>16997.306918837145</c:v>
                </c:pt>
                <c:pt idx="38">
                  <c:v>17061.153844691449</c:v>
                </c:pt>
                <c:pt idx="39">
                  <c:v>17125.602902345665</c:v>
                </c:pt>
                <c:pt idx="40">
                  <c:v>17190.672519324267</c:v>
                </c:pt>
                <c:pt idx="41">
                  <c:v>17256.381074634788</c:v>
                </c:pt>
                <c:pt idx="42">
                  <c:v>17322.74690750401</c:v>
                </c:pt>
                <c:pt idx="43">
                  <c:v>17390.25773538174</c:v>
                </c:pt>
                <c:pt idx="44">
                  <c:v>17458.455092281947</c:v>
                </c:pt>
                <c:pt idx="45">
                  <c:v>17527.357507611952</c:v>
                </c:pt>
                <c:pt idx="46">
                  <c:v>17596.983233270315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38880"/>
        <c:axId val="420940416"/>
      </c:lineChart>
      <c:catAx>
        <c:axId val="42093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0940416"/>
        <c:crosses val="autoZero"/>
        <c:auto val="1"/>
        <c:lblAlgn val="ctr"/>
        <c:lblOffset val="100"/>
        <c:noMultiLvlLbl val="0"/>
      </c:catAx>
      <c:valAx>
        <c:axId val="42094041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42093888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'OD ShareUEC'!$U$1</c:f>
              <c:strCache>
                <c:ptCount val="1"/>
                <c:pt idx="0">
                  <c:v>FurnFan</c:v>
                </c:pt>
              </c:strCache>
            </c:strRef>
          </c:tx>
          <c:marker>
            <c:symbol val="none"/>
          </c:marker>
          <c:cat>
            <c:numRef>
              <c:f>'OD ShareUEC'!$A$2:$A$42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ShareUEC'!$U$2:$U$42</c:f>
              <c:numCache>
                <c:formatCode>#,##0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273984"/>
        <c:axId val="421275520"/>
      </c:lineChart>
      <c:catAx>
        <c:axId val="4212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275520"/>
        <c:crosses val="autoZero"/>
        <c:auto val="1"/>
        <c:lblAlgn val="ctr"/>
        <c:lblOffset val="100"/>
        <c:tickLblSkip val="3"/>
        <c:noMultiLvlLbl val="0"/>
      </c:catAx>
      <c:valAx>
        <c:axId val="421275520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27398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'OD Shares'!$AB$1</c:f>
              <c:strCache>
                <c:ptCount val="1"/>
                <c:pt idx="0">
                  <c:v>Cwash_Fred</c:v>
                </c:pt>
              </c:strCache>
            </c:strRef>
          </c:tx>
          <c:marker>
            <c:symbol val="none"/>
          </c:marker>
          <c:cat>
            <c:numRef>
              <c:f>'OD Shares'!$A$2:$A$42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Shares'!$AB$2:$AB$42</c:f>
              <c:numCache>
                <c:formatCode>0.0%</c:formatCode>
                <c:ptCount val="41"/>
                <c:pt idx="0">
                  <c:v>0.99</c:v>
                </c:pt>
                <c:pt idx="1">
                  <c:v>0.99</c:v>
                </c:pt>
                <c:pt idx="2">
                  <c:v>0.99</c:v>
                </c:pt>
                <c:pt idx="3">
                  <c:v>0.99</c:v>
                </c:pt>
                <c:pt idx="4">
                  <c:v>0.99</c:v>
                </c:pt>
                <c:pt idx="5">
                  <c:v>0.99</c:v>
                </c:pt>
                <c:pt idx="6">
                  <c:v>0.99</c:v>
                </c:pt>
                <c:pt idx="7">
                  <c:v>0.99</c:v>
                </c:pt>
                <c:pt idx="8">
                  <c:v>0.99</c:v>
                </c:pt>
                <c:pt idx="9">
                  <c:v>0.99</c:v>
                </c:pt>
                <c:pt idx="10">
                  <c:v>0.99</c:v>
                </c:pt>
                <c:pt idx="11">
                  <c:v>0.99</c:v>
                </c:pt>
                <c:pt idx="12">
                  <c:v>0.99</c:v>
                </c:pt>
                <c:pt idx="13">
                  <c:v>0.99</c:v>
                </c:pt>
                <c:pt idx="14">
                  <c:v>0.99</c:v>
                </c:pt>
                <c:pt idx="15">
                  <c:v>0.99</c:v>
                </c:pt>
                <c:pt idx="16">
                  <c:v>0.99</c:v>
                </c:pt>
                <c:pt idx="17">
                  <c:v>0.99</c:v>
                </c:pt>
                <c:pt idx="18">
                  <c:v>0.99</c:v>
                </c:pt>
                <c:pt idx="19">
                  <c:v>0.99</c:v>
                </c:pt>
                <c:pt idx="20">
                  <c:v>0.99</c:v>
                </c:pt>
                <c:pt idx="21">
                  <c:v>0.99</c:v>
                </c:pt>
                <c:pt idx="22">
                  <c:v>0.99</c:v>
                </c:pt>
                <c:pt idx="23">
                  <c:v>0.99</c:v>
                </c:pt>
                <c:pt idx="24">
                  <c:v>0.99</c:v>
                </c:pt>
                <c:pt idx="25">
                  <c:v>0.99</c:v>
                </c:pt>
                <c:pt idx="26">
                  <c:v>0.99</c:v>
                </c:pt>
                <c:pt idx="27">
                  <c:v>0.99</c:v>
                </c:pt>
                <c:pt idx="28">
                  <c:v>0.99</c:v>
                </c:pt>
                <c:pt idx="29">
                  <c:v>0.99</c:v>
                </c:pt>
                <c:pt idx="30">
                  <c:v>0.99</c:v>
                </c:pt>
                <c:pt idx="31">
                  <c:v>0.99</c:v>
                </c:pt>
                <c:pt idx="32">
                  <c:v>0.99</c:v>
                </c:pt>
                <c:pt idx="33">
                  <c:v>0.99</c:v>
                </c:pt>
                <c:pt idx="34">
                  <c:v>0.99</c:v>
                </c:pt>
                <c:pt idx="35">
                  <c:v>0.99</c:v>
                </c:pt>
                <c:pt idx="36">
                  <c:v>0.99</c:v>
                </c:pt>
                <c:pt idx="37">
                  <c:v>0.99</c:v>
                </c:pt>
                <c:pt idx="38">
                  <c:v>0.99</c:v>
                </c:pt>
                <c:pt idx="39">
                  <c:v>0.99</c:v>
                </c:pt>
                <c:pt idx="40">
                  <c:v>0.99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50016"/>
        <c:axId val="421380480"/>
      </c:lineChart>
      <c:catAx>
        <c:axId val="4213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380480"/>
        <c:crosses val="autoZero"/>
        <c:auto val="1"/>
        <c:lblAlgn val="ctr"/>
        <c:lblOffset val="100"/>
        <c:tickLblSkip val="3"/>
        <c:noMultiLvlLbl val="0"/>
      </c:catAx>
      <c:valAx>
        <c:axId val="421380480"/>
        <c:scaling>
          <c:orientation val="minMax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3500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Total</c:v>
          </c:tx>
          <c:marker>
            <c:symbol val="none"/>
          </c:marker>
          <c:cat>
            <c:strLit>
              <c:ptCount val="18"/>
              <c:pt idx="0">
                <c:v>2025</c:v>
              </c:pt>
              <c:pt idx="1">
                <c:v>2026</c:v>
              </c:pt>
              <c:pt idx="2">
                <c:v>2027</c:v>
              </c:pt>
              <c:pt idx="3">
                <c:v>2028</c:v>
              </c:pt>
              <c:pt idx="4">
                <c:v>2029</c:v>
              </c:pt>
              <c:pt idx="5">
                <c:v>2030</c:v>
              </c:pt>
              <c:pt idx="6">
                <c:v>2031</c:v>
              </c:pt>
              <c:pt idx="7">
                <c:v>2032</c:v>
              </c:pt>
              <c:pt idx="8">
                <c:v>2033</c:v>
              </c:pt>
              <c:pt idx="9">
                <c:v>2034</c:v>
              </c:pt>
              <c:pt idx="10">
                <c:v>2035</c:v>
              </c:pt>
              <c:pt idx="11">
                <c:v>2036</c:v>
              </c:pt>
              <c:pt idx="12">
                <c:v>2037</c:v>
              </c:pt>
              <c:pt idx="13">
                <c:v>2038</c:v>
              </c:pt>
              <c:pt idx="14">
                <c:v>2039</c:v>
              </c:pt>
              <c:pt idx="15">
                <c:v>2040</c:v>
              </c:pt>
              <c:pt idx="16">
                <c:v>2041</c:v>
              </c:pt>
              <c:pt idx="17">
                <c:v>2042</c:v>
              </c:pt>
            </c:strLit>
          </c:cat>
          <c:val>
            <c:numLit>
              <c:formatCode>General</c:formatCode>
              <c:ptCount val="18"/>
              <c:pt idx="0">
                <c:v>8.3275989943828534</c:v>
              </c:pt>
              <c:pt idx="1">
                <c:v>8.3494125211931092</c:v>
              </c:pt>
              <c:pt idx="2">
                <c:v>8.3668992443359684</c:v>
              </c:pt>
              <c:pt idx="3">
                <c:v>8.3820133515158552</c:v>
              </c:pt>
              <c:pt idx="4">
                <c:v>8.3945062409389717</c:v>
              </c:pt>
              <c:pt idx="5">
                <c:v>8.405648247040185</c:v>
              </c:pt>
              <c:pt idx="6">
                <c:v>8.4157941304593287</c:v>
              </c:pt>
              <c:pt idx="7">
                <c:v>8.4249576911533275</c:v>
              </c:pt>
              <c:pt idx="8">
                <c:v>8.4317027270645557</c:v>
              </c:pt>
              <c:pt idx="9">
                <c:v>8.436276245805697</c:v>
              </c:pt>
              <c:pt idx="10">
                <c:v>8.4384683863519196</c:v>
              </c:pt>
              <c:pt idx="11">
                <c:v>8.4406605268981423</c:v>
              </c:pt>
              <c:pt idx="12">
                <c:v>8.4428526674443649</c:v>
              </c:pt>
              <c:pt idx="13">
                <c:v>8.4450448079905875</c:v>
              </c:pt>
              <c:pt idx="14">
                <c:v>8.4472369485368102</c:v>
              </c:pt>
              <c:pt idx="15">
                <c:v>8.4494290890830328</c:v>
              </c:pt>
              <c:pt idx="16">
                <c:v>8.4516212296292554</c:v>
              </c:pt>
              <c:pt idx="17">
                <c:v>8.4538133701754781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42304"/>
        <c:axId val="421443840"/>
      </c:lineChart>
      <c:catAx>
        <c:axId val="42144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421443840"/>
        <c:crosses val="autoZero"/>
        <c:auto val="1"/>
        <c:lblAlgn val="ctr"/>
        <c:lblOffset val="100"/>
        <c:noMultiLvlLbl val="0"/>
      </c:catAx>
      <c:valAx>
        <c:axId val="421443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1442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  <c:extLst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'OD Efficiencies'!$N$1</c:f>
              <c:strCache>
                <c:ptCount val="1"/>
                <c:pt idx="0">
                  <c:v>Frz</c:v>
                </c:pt>
              </c:strCache>
            </c:strRef>
          </c:tx>
          <c:marker>
            <c:symbol val="none"/>
          </c:marker>
          <c:cat>
            <c:numRef>
              <c:f>'OD Efficiencies'!$A$2:$A$42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'OD Efficiencies'!$N$2:$N$42</c:f>
              <c:numCache>
                <c:formatCode>_(* #,##0.00_);_(* \(#,##0.00\);_(* "-"??_);_(@_)</c:formatCode>
                <c:ptCount val="41"/>
                <c:pt idx="0">
                  <c:v>597.8861696134619</c:v>
                </c:pt>
                <c:pt idx="1">
                  <c:v>591.15569892400902</c:v>
                </c:pt>
                <c:pt idx="2">
                  <c:v>584.42522823455613</c:v>
                </c:pt>
                <c:pt idx="3">
                  <c:v>577.69475754510324</c:v>
                </c:pt>
                <c:pt idx="4">
                  <c:v>570.96428685565036</c:v>
                </c:pt>
                <c:pt idx="5">
                  <c:v>564.23381616619747</c:v>
                </c:pt>
                <c:pt idx="6">
                  <c:v>557.50334547674458</c:v>
                </c:pt>
                <c:pt idx="7">
                  <c:v>550.7728747872917</c:v>
                </c:pt>
                <c:pt idx="8">
                  <c:v>544.04240409783881</c:v>
                </c:pt>
                <c:pt idx="9">
                  <c:v>537.31193340838593</c:v>
                </c:pt>
                <c:pt idx="10">
                  <c:v>530.58146271893293</c:v>
                </c:pt>
                <c:pt idx="11">
                  <c:v>518.47639290197708</c:v>
                </c:pt>
                <c:pt idx="12">
                  <c:v>506.64749691612809</c:v>
                </c:pt>
                <c:pt idx="13">
                  <c:v>497.00853788104638</c:v>
                </c:pt>
                <c:pt idx="14">
                  <c:v>487.85587729521859</c:v>
                </c:pt>
                <c:pt idx="15">
                  <c:v>479.45148196275602</c:v>
                </c:pt>
                <c:pt idx="16">
                  <c:v>472.68560384871955</c:v>
                </c:pt>
                <c:pt idx="17">
                  <c:v>467.14811296909187</c:v>
                </c:pt>
                <c:pt idx="18">
                  <c:v>462.02771229636926</c:v>
                </c:pt>
                <c:pt idx="19">
                  <c:v>454.11836854776146</c:v>
                </c:pt>
                <c:pt idx="20">
                  <c:v>448.55981214949412</c:v>
                </c:pt>
                <c:pt idx="21">
                  <c:v>443.56034491393473</c:v>
                </c:pt>
                <c:pt idx="22">
                  <c:v>439.13899391397274</c:v>
                </c:pt>
                <c:pt idx="23">
                  <c:v>435.22116351054132</c:v>
                </c:pt>
                <c:pt idx="24">
                  <c:v>431.67782190624621</c:v>
                </c:pt>
                <c:pt idx="25">
                  <c:v>428.54515812200174</c:v>
                </c:pt>
                <c:pt idx="26">
                  <c:v>425.67586007042604</c:v>
                </c:pt>
                <c:pt idx="27">
                  <c:v>423.01941682911723</c:v>
                </c:pt>
                <c:pt idx="28">
                  <c:v>420.62805703977875</c:v>
                </c:pt>
                <c:pt idx="29">
                  <c:v>418.50725969556311</c:v>
                </c:pt>
                <c:pt idx="30">
                  <c:v>416.42666994176869</c:v>
                </c:pt>
                <c:pt idx="31">
                  <c:v>414.52127371504622</c:v>
                </c:pt>
                <c:pt idx="32">
                  <c:v>412.76444890663794</c:v>
                </c:pt>
                <c:pt idx="33">
                  <c:v>411.15410932159227</c:v>
                </c:pt>
                <c:pt idx="34">
                  <c:v>409.68696562672051</c:v>
                </c:pt>
                <c:pt idx="35">
                  <c:v>408.35116049756937</c:v>
                </c:pt>
                <c:pt idx="36">
                  <c:v>407.18001880876142</c:v>
                </c:pt>
                <c:pt idx="37">
                  <c:v>406.16617227636692</c:v>
                </c:pt>
                <c:pt idx="38">
                  <c:v>405.24884432213236</c:v>
                </c:pt>
                <c:pt idx="39">
                  <c:v>404.44344892440404</c:v>
                </c:pt>
                <c:pt idx="40">
                  <c:v>403.74965954711087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02336"/>
        <c:axId val="421524608"/>
      </c:lineChart>
      <c:catAx>
        <c:axId val="4215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524608"/>
        <c:crosses val="autoZero"/>
        <c:auto val="1"/>
        <c:lblAlgn val="ctr"/>
        <c:lblOffset val="100"/>
        <c:tickLblSkip val="3"/>
        <c:noMultiLvlLbl val="0"/>
      </c:catAx>
      <c:valAx>
        <c:axId val="421524608"/>
        <c:scaling>
          <c:orientation val="minMax"/>
          <c:min val="0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15023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Change in dincome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Series1</c:v>
          </c:tx>
          <c:marker>
            <c:symbol val="none"/>
          </c:marker>
          <c:cat>
            <c:numLit>
              <c:formatCode>General</c:formatCode>
              <c:ptCount val="11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</c:numLit>
          </c:cat>
          <c:val>
            <c:numLit>
              <c:formatCode>General</c:formatCode>
              <c:ptCount val="11"/>
              <c:pt idx="0">
                <c:v>0.17591193184414067</c:v>
              </c:pt>
              <c:pt idx="1">
                <c:v>-0.11095381280411409</c:v>
              </c:pt>
              <c:pt idx="2">
                <c:v>1.9243936190252997E-2</c:v>
              </c:pt>
              <c:pt idx="3">
                <c:v>0.1696611625634159</c:v>
              </c:pt>
              <c:pt idx="4">
                <c:v>0.11048291689149226</c:v>
              </c:pt>
              <c:pt idx="5">
                <c:v>0.17720957805502469</c:v>
              </c:pt>
              <c:pt idx="6">
                <c:v>0.19016445262883619</c:v>
              </c:pt>
              <c:pt idx="7">
                <c:v>0.14159777659030426</c:v>
              </c:pt>
              <c:pt idx="8">
                <c:v>0.13070480827541209</c:v>
              </c:pt>
              <c:pt idx="9">
                <c:v>9.7832092700139484E-2</c:v>
              </c:pt>
              <c:pt idx="10">
                <c:v>0.10673865060265397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04384"/>
        <c:axId val="418306304"/>
      </c:lineChart>
      <c:catAx>
        <c:axId val="4183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8306304"/>
        <c:crosses val="autoZero"/>
        <c:auto val="1"/>
        <c:lblAlgn val="ctr"/>
        <c:lblOffset val="100"/>
        <c:noMultiLvlLbl val="0"/>
      </c:catAx>
      <c:valAx>
        <c:axId val="4183063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41830438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750178818009691E-2"/>
          <c:y val="5.2344514929364323E-2"/>
          <c:w val="0.76967679587673143"/>
          <c:h val="0.87731164432743924"/>
        </c:manualLayout>
      </c:layout>
      <c:lineChart>
        <c:grouping val="standard"/>
        <c:varyColors val="0"/>
        <c:ser>
          <c:idx val="0"/>
          <c:order val="0"/>
          <c:tx>
            <c:strRef>
              <c:f>'KU AnnualIndices'!$B$1</c:f>
              <c:strCache>
                <c:ptCount val="1"/>
                <c:pt idx="0">
                  <c:v>Heating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'KU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'KU AnnualIndices'!$B$2:$B$42</c:f>
              <c:numCache>
                <c:formatCode>_(* #,##0_);_(* \(#,##0\);_(* "-"??_);_(@_)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'KU AnnualIndices'!$D$1</c:f>
              <c:strCache>
                <c:ptCount val="1"/>
                <c:pt idx="0">
                  <c:v>Cooling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'KU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'KU AnnualIndices'!$D$2:$D$42</c:f>
              <c:numCache>
                <c:formatCode>_(* #,##0_);_(* \(#,##0\);_(* "-"??_);_(@_)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'KU AnnualIndices'!$F$1</c:f>
              <c:strCache>
                <c:ptCount val="1"/>
                <c:pt idx="0">
                  <c:v>EWHeat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'KU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'KU AnnualIndices'!$F$2:$F$42</c:f>
              <c:numCache>
                <c:formatCode>_(* #,##0_);_(* \(#,##0\);_(* "-"??_);_(@_)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'KU AnnualIndices'!$H$1</c:f>
              <c:strCache>
                <c:ptCount val="1"/>
                <c:pt idx="0">
                  <c:v>NonHVAC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'KU AnnualIndices'!$A$2:$A$42</c:f>
              <c:numCache>
                <c:formatCode>General</c:formatCod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numCache>
            </c:numRef>
          </c:cat>
          <c:val>
            <c:numRef>
              <c:f>'KU AnnualIndices'!$H$2:$H$42</c:f>
              <c:numCache>
                <c:formatCode>_(* #,##0_);_(* \(#,##0\);_(* "-"??_);_(@_)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28064"/>
        <c:axId val="425804160"/>
      </c:lineChart>
      <c:catAx>
        <c:axId val="4211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80416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25804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1280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615837950811981"/>
          <c:y val="0.41008438651050982"/>
          <c:w val="0.11458345484592203"/>
          <c:h val="0.204165708550834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'KU AnnualIndices'!$O$1</c:f>
              <c:strCache>
                <c:ptCount val="1"/>
                <c:pt idx="0">
                  <c:v>Heating</c:v>
                </c:pt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'KU AnnualIndices'!$O$2:$O$48</c:f>
              <c:numCache>
                <c:formatCode>_(* #,##0_);_(* \(#,##0\);_(* "-"??_);_(@_)</c:formatCode>
                <c:ptCount val="47"/>
                <c:pt idx="0">
                  <c:v>2002.9223597788509</c:v>
                </c:pt>
                <c:pt idx="1">
                  <c:v>2009.3100473403258</c:v>
                </c:pt>
                <c:pt idx="2">
                  <c:v>2014.7040561624535</c:v>
                </c:pt>
                <c:pt idx="3">
                  <c:v>2019.1274255478602</c:v>
                </c:pt>
                <c:pt idx="4">
                  <c:v>2022.6226422935026</c:v>
                </c:pt>
                <c:pt idx="5">
                  <c:v>2025.2524074293528</c:v>
                </c:pt>
                <c:pt idx="6">
                  <c:v>2027.0994789800723</c:v>
                </c:pt>
                <c:pt idx="7">
                  <c:v>2028.9886442315426</c:v>
                </c:pt>
                <c:pt idx="8">
                  <c:v>2028.0258283578421</c:v>
                </c:pt>
                <c:pt idx="9">
                  <c:v>2026.6343969204711</c:v>
                </c:pt>
                <c:pt idx="10">
                  <c:v>2025.026994301161</c:v>
                </c:pt>
                <c:pt idx="11">
                  <c:v>1956.8318133735866</c:v>
                </c:pt>
                <c:pt idx="12">
                  <c:v>1964.5326816710487</c:v>
                </c:pt>
                <c:pt idx="13">
                  <c:v>1973.017177478926</c:v>
                </c:pt>
                <c:pt idx="14">
                  <c:v>1983.3114814237804</c:v>
                </c:pt>
                <c:pt idx="15">
                  <c:v>1994.5232862409969</c:v>
                </c:pt>
                <c:pt idx="16">
                  <c:v>2006.4102091370355</c:v>
                </c:pt>
                <c:pt idx="17">
                  <c:v>2018.5426973510087</c:v>
                </c:pt>
                <c:pt idx="18">
                  <c:v>2030.5553179634626</c:v>
                </c:pt>
                <c:pt idx="19">
                  <c:v>2042.2289374516122</c:v>
                </c:pt>
                <c:pt idx="20">
                  <c:v>2053.6118182007085</c:v>
                </c:pt>
                <c:pt idx="21">
                  <c:v>2063.9105758149603</c:v>
                </c:pt>
                <c:pt idx="22">
                  <c:v>2071.5106181357182</c:v>
                </c:pt>
                <c:pt idx="23">
                  <c:v>2079.3717030417456</c:v>
                </c:pt>
                <c:pt idx="24">
                  <c:v>2087.2243925248708</c:v>
                </c:pt>
                <c:pt idx="25">
                  <c:v>2095.4493507898892</c:v>
                </c:pt>
                <c:pt idx="26">
                  <c:v>2104.1032872329761</c:v>
                </c:pt>
                <c:pt idx="27">
                  <c:v>2112.3443140567929</c:v>
                </c:pt>
                <c:pt idx="28">
                  <c:v>2120.0261220470361</c:v>
                </c:pt>
                <c:pt idx="29">
                  <c:v>2127.4872628817329</c:v>
                </c:pt>
                <c:pt idx="30">
                  <c:v>2134.8752394853454</c:v>
                </c:pt>
                <c:pt idx="31">
                  <c:v>2142.2831302331006</c:v>
                </c:pt>
                <c:pt idx="32">
                  <c:v>2149.6589622453212</c:v>
                </c:pt>
                <c:pt idx="33">
                  <c:v>2156.7322818829894</c:v>
                </c:pt>
                <c:pt idx="34">
                  <c:v>2163.5942287014377</c:v>
                </c:pt>
                <c:pt idx="35">
                  <c:v>2205.8377453837747</c:v>
                </c:pt>
                <c:pt idx="36">
                  <c:v>2212.7544453569626</c:v>
                </c:pt>
                <c:pt idx="37">
                  <c:v>2219.4933062016048</c:v>
                </c:pt>
                <c:pt idx="38">
                  <c:v>2226.0550257651657</c:v>
                </c:pt>
                <c:pt idx="39">
                  <c:v>2232.4402793782801</c:v>
                </c:pt>
                <c:pt idx="40">
                  <c:v>2238.6497206736299</c:v>
                </c:pt>
                <c:pt idx="41">
                  <c:v>2244.6839823706168</c:v>
                </c:pt>
                <c:pt idx="42">
                  <c:v>2250.5436770274673</c:v>
                </c:pt>
                <c:pt idx="43">
                  <c:v>2256.734116993533</c:v>
                </c:pt>
                <c:pt idx="44">
                  <c:v>2262.7440846272293</c:v>
                </c:pt>
                <c:pt idx="45">
                  <c:v>2268.5741225436423</c:v>
                </c:pt>
                <c:pt idx="46">
                  <c:v>2274.2247588816294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'KU AnnualIndices'!$Q$1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'KU AnnualIndices'!$Q$2:$Q$48</c:f>
              <c:numCache>
                <c:formatCode>_(* #,##0_);_(* \(#,##0\);_(* "-"??_);_(@_)</c:formatCode>
                <c:ptCount val="47"/>
                <c:pt idx="14">
                  <c:v>5081.2974308779067</c:v>
                </c:pt>
                <c:pt idx="15">
                  <c:v>5028.805615165169</c:v>
                </c:pt>
                <c:pt idx="16">
                  <c:v>4984.7265885924271</c:v>
                </c:pt>
                <c:pt idx="17">
                  <c:v>4946.3972958268778</c:v>
                </c:pt>
                <c:pt idx="18">
                  <c:v>4913.1880537329907</c:v>
                </c:pt>
                <c:pt idx="19">
                  <c:v>4885.2406830944792</c:v>
                </c:pt>
                <c:pt idx="20">
                  <c:v>4862.5739598788841</c:v>
                </c:pt>
                <c:pt idx="21">
                  <c:v>4846.8142897610051</c:v>
                </c:pt>
                <c:pt idx="22">
                  <c:v>4833.8738099989214</c:v>
                </c:pt>
                <c:pt idx="23">
                  <c:v>4825.9741515284395</c:v>
                </c:pt>
                <c:pt idx="24">
                  <c:v>4821.5577278621549</c:v>
                </c:pt>
                <c:pt idx="25">
                  <c:v>4814.4727622953169</c:v>
                </c:pt>
                <c:pt idx="26">
                  <c:v>4811.6185759646742</c:v>
                </c:pt>
                <c:pt idx="27">
                  <c:v>4812.0993723315169</c:v>
                </c:pt>
                <c:pt idx="28">
                  <c:v>4814.6688601366941</c:v>
                </c:pt>
                <c:pt idx="29">
                  <c:v>4819.7270221422068</c:v>
                </c:pt>
                <c:pt idx="30">
                  <c:v>4826.8123475138527</c:v>
                </c:pt>
                <c:pt idx="31">
                  <c:v>4835.5790687535446</c:v>
                </c:pt>
                <c:pt idx="32">
                  <c:v>4845.5957853870977</c:v>
                </c:pt>
                <c:pt idx="33">
                  <c:v>4855.1961034463548</c:v>
                </c:pt>
                <c:pt idx="34">
                  <c:v>4864.6001030096613</c:v>
                </c:pt>
                <c:pt idx="35">
                  <c:v>4874.0534759805805</c:v>
                </c:pt>
                <c:pt idx="36">
                  <c:v>4883.305459795557</c:v>
                </c:pt>
                <c:pt idx="37">
                  <c:v>4892.3603084447268</c:v>
                </c:pt>
                <c:pt idx="38">
                  <c:v>4901.2221568203904</c:v>
                </c:pt>
                <c:pt idx="39">
                  <c:v>4909.8950248772444</c:v>
                </c:pt>
                <c:pt idx="40">
                  <c:v>4918.3828216192433</c:v>
                </c:pt>
                <c:pt idx="41">
                  <c:v>4926.6893489214817</c:v>
                </c:pt>
                <c:pt idx="42">
                  <c:v>4934.81830519499</c:v>
                </c:pt>
                <c:pt idx="43">
                  <c:v>4937.7500300293177</c:v>
                </c:pt>
                <c:pt idx="44">
                  <c:v>4940.5145587152483</c:v>
                </c:pt>
                <c:pt idx="45">
                  <c:v>4943.1158020154162</c:v>
                </c:pt>
                <c:pt idx="46">
                  <c:v>4945.5575632255868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'KU AnnualIndices'!$S$1</c:f>
              <c:strCache>
                <c:ptCount val="1"/>
                <c:pt idx="0">
                  <c:v>EWHeat</c:v>
                </c:pt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'KU AnnualIndices'!$S$2:$S$48</c:f>
              <c:numCache>
                <c:formatCode>_(* #,##0_);_(* \(#,##0\);_(* "-"??_);_(@_)</c:formatCode>
                <c:ptCount val="47"/>
                <c:pt idx="0">
                  <c:v>1528.5730680480369</c:v>
                </c:pt>
                <c:pt idx="1">
                  <c:v>1535.2434773907739</c:v>
                </c:pt>
                <c:pt idx="2">
                  <c:v>1541.8781711453696</c:v>
                </c:pt>
                <c:pt idx="3">
                  <c:v>1548.4774353956204</c:v>
                </c:pt>
                <c:pt idx="4">
                  <c:v>1555.0415531780639</c:v>
                </c:pt>
                <c:pt idx="5">
                  <c:v>1561.5708045224426</c:v>
                </c:pt>
                <c:pt idx="6">
                  <c:v>1568.0654664915266</c:v>
                </c:pt>
                <c:pt idx="7">
                  <c:v>1574.5258132203057</c:v>
                </c:pt>
                <c:pt idx="8">
                  <c:v>1580.9521159545584</c:v>
                </c:pt>
                <c:pt idx="9">
                  <c:v>1584.707857967406</c:v>
                </c:pt>
                <c:pt idx="10">
                  <c:v>1588.4439121502512</c:v>
                </c:pt>
                <c:pt idx="11">
                  <c:v>1590.659197344738</c:v>
                </c:pt>
                <c:pt idx="12">
                  <c:v>1593.6191858058853</c:v>
                </c:pt>
                <c:pt idx="13">
                  <c:v>1597.8228397149139</c:v>
                </c:pt>
                <c:pt idx="14">
                  <c:v>1602.3545379590519</c:v>
                </c:pt>
                <c:pt idx="15">
                  <c:v>1606.4191958898102</c:v>
                </c:pt>
                <c:pt idx="16">
                  <c:v>1610.7787520253896</c:v>
                </c:pt>
                <c:pt idx="17">
                  <c:v>1615.5010013175936</c:v>
                </c:pt>
                <c:pt idx="18">
                  <c:v>1620.5499945204726</c:v>
                </c:pt>
                <c:pt idx="19">
                  <c:v>1625.8606087704291</c:v>
                </c:pt>
                <c:pt idx="20">
                  <c:v>1631.3536319856737</c:v>
                </c:pt>
                <c:pt idx="21">
                  <c:v>1637.1192079822022</c:v>
                </c:pt>
                <c:pt idx="22">
                  <c:v>1643.1292574584711</c:v>
                </c:pt>
                <c:pt idx="23">
                  <c:v>1649.3716034853178</c:v>
                </c:pt>
                <c:pt idx="24">
                  <c:v>1655.8269632081497</c:v>
                </c:pt>
                <c:pt idx="25">
                  <c:v>1659.8086524619637</c:v>
                </c:pt>
                <c:pt idx="26">
                  <c:v>1664.2664670616505</c:v>
                </c:pt>
                <c:pt idx="27">
                  <c:v>1668.8110579743147</c:v>
                </c:pt>
                <c:pt idx="28">
                  <c:v>1673.4981768512027</c:v>
                </c:pt>
                <c:pt idx="29">
                  <c:v>1678.2740404186516</c:v>
                </c:pt>
                <c:pt idx="30">
                  <c:v>1683.1222199065442</c:v>
                </c:pt>
                <c:pt idx="31">
                  <c:v>1688.180053806497</c:v>
                </c:pt>
                <c:pt idx="32">
                  <c:v>1693.5115341005226</c:v>
                </c:pt>
                <c:pt idx="33">
                  <c:v>1698.9303658335457</c:v>
                </c:pt>
                <c:pt idx="34">
                  <c:v>1704.4279752217444</c:v>
                </c:pt>
                <c:pt idx="35">
                  <c:v>1710.0198050045292</c:v>
                </c:pt>
                <c:pt idx="36">
                  <c:v>1715.5987661346862</c:v>
                </c:pt>
                <c:pt idx="37">
                  <c:v>1721.1649029837079</c:v>
                </c:pt>
                <c:pt idx="38">
                  <c:v>1726.7182597193275</c:v>
                </c:pt>
                <c:pt idx="39">
                  <c:v>1732.2588803066894</c:v>
                </c:pt>
                <c:pt idx="40">
                  <c:v>1737.7868085095079</c:v>
                </c:pt>
                <c:pt idx="41">
                  <c:v>1743.30208789122</c:v>
                </c:pt>
                <c:pt idx="42">
                  <c:v>1748.8047618161293</c:v>
                </c:pt>
                <c:pt idx="43">
                  <c:v>1746.8085510887352</c:v>
                </c:pt>
                <c:pt idx="44">
                  <c:v>1744.8168924004717</c:v>
                </c:pt>
                <c:pt idx="45">
                  <c:v>1742.8297701987753</c:v>
                </c:pt>
                <c:pt idx="46">
                  <c:v>1740.8471690018534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'KU AnnualIndices'!$U$1</c:f>
              <c:strCache>
                <c:ptCount val="1"/>
                <c:pt idx="0">
                  <c:v>NonHVAC</c:v>
                </c:pt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'KU AnnualIndices'!$U$2:$U$48</c:f>
              <c:numCache>
                <c:formatCode>_(* #,##0_);_(* \(#,##0\);_(* "-"??_);_(@_)</c:formatCode>
                <c:ptCount val="47"/>
                <c:pt idx="0">
                  <c:v>6916.523153421088</c:v>
                </c:pt>
                <c:pt idx="1">
                  <c:v>6994.8559845185046</c:v>
                </c:pt>
                <c:pt idx="2">
                  <c:v>7070.6929409578588</c:v>
                </c:pt>
                <c:pt idx="3">
                  <c:v>7146.7746997861159</c:v>
                </c:pt>
                <c:pt idx="4">
                  <c:v>7223.101261003274</c:v>
                </c:pt>
                <c:pt idx="5">
                  <c:v>7299.672624609334</c:v>
                </c:pt>
                <c:pt idx="6">
                  <c:v>7376.4887906042968</c:v>
                </c:pt>
                <c:pt idx="7">
                  <c:v>7456.8181079545348</c:v>
                </c:pt>
                <c:pt idx="8">
                  <c:v>7540.197496197974</c:v>
                </c:pt>
                <c:pt idx="9">
                  <c:v>7624.3929269274004</c:v>
                </c:pt>
                <c:pt idx="10">
                  <c:v>7709.3717418777042</c:v>
                </c:pt>
                <c:pt idx="11">
                  <c:v>7972.8076985169009</c:v>
                </c:pt>
                <c:pt idx="12">
                  <c:v>7983.1130168144773</c:v>
                </c:pt>
                <c:pt idx="13">
                  <c:v>8001.4011454258853</c:v>
                </c:pt>
                <c:pt idx="14">
                  <c:v>8004.4367384083744</c:v>
                </c:pt>
                <c:pt idx="15">
                  <c:v>7981.4136028054099</c:v>
                </c:pt>
                <c:pt idx="16">
                  <c:v>7985.3501830083014</c:v>
                </c:pt>
                <c:pt idx="17">
                  <c:v>7998.3617184118884</c:v>
                </c:pt>
                <c:pt idx="18">
                  <c:v>8042.5220382627995</c:v>
                </c:pt>
                <c:pt idx="19">
                  <c:v>8091.2953700315511</c:v>
                </c:pt>
                <c:pt idx="20">
                  <c:v>8142.9312866834844</c:v>
                </c:pt>
                <c:pt idx="21">
                  <c:v>8195.0053435104201</c:v>
                </c:pt>
                <c:pt idx="22">
                  <c:v>8243.1269889182749</c:v>
                </c:pt>
                <c:pt idx="23">
                  <c:v>8296.0994213262493</c:v>
                </c:pt>
                <c:pt idx="24">
                  <c:v>8352.8880195276652</c:v>
                </c:pt>
                <c:pt idx="25">
                  <c:v>8414.0365703083553</c:v>
                </c:pt>
                <c:pt idx="26">
                  <c:v>8472.8477108339721</c:v>
                </c:pt>
                <c:pt idx="27">
                  <c:v>8536.7629654148404</c:v>
                </c:pt>
                <c:pt idx="28">
                  <c:v>8603.7849763653212</c:v>
                </c:pt>
                <c:pt idx="29">
                  <c:v>8675.4421242752251</c:v>
                </c:pt>
                <c:pt idx="30">
                  <c:v>8744.4062131115952</c:v>
                </c:pt>
                <c:pt idx="31">
                  <c:v>8814.4517091792804</c:v>
                </c:pt>
                <c:pt idx="32">
                  <c:v>8885.426277726674</c:v>
                </c:pt>
                <c:pt idx="33">
                  <c:v>8959.2394996598996</c:v>
                </c:pt>
                <c:pt idx="34">
                  <c:v>9028.9295212705911</c:v>
                </c:pt>
                <c:pt idx="35">
                  <c:v>8600.8745930905789</c:v>
                </c:pt>
                <c:pt idx="36">
                  <c:v>8667.9631741314224</c:v>
                </c:pt>
                <c:pt idx="37">
                  <c:v>8735.9194352274681</c:v>
                </c:pt>
                <c:pt idx="38">
                  <c:v>8804.754590855784</c:v>
                </c:pt>
                <c:pt idx="39">
                  <c:v>8874.4800004742501</c:v>
                </c:pt>
                <c:pt idx="40">
                  <c:v>8945.1071703998896</c:v>
                </c:pt>
                <c:pt idx="41">
                  <c:v>9016.6477557115486</c:v>
                </c:pt>
                <c:pt idx="42">
                  <c:v>9089.1135621772628</c:v>
                </c:pt>
                <c:pt idx="43">
                  <c:v>9161.4165406675893</c:v>
                </c:pt>
                <c:pt idx="44">
                  <c:v>9234.6721256673263</c:v>
                </c:pt>
                <c:pt idx="45">
                  <c:v>9308.8925786454402</c:v>
                </c:pt>
                <c:pt idx="46">
                  <c:v>9384.0903197415864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'KU AnnualIndices'!$W$1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'KU AnnualIndices'!$N$2:$N$49</c:f>
              <c:numCache>
                <c:formatCode>General</c:formatCode>
                <c:ptCount val="4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  <c:pt idx="41">
                  <c:v>2036</c:v>
                </c:pt>
                <c:pt idx="42">
                  <c:v>2037</c:v>
                </c:pt>
                <c:pt idx="43">
                  <c:v>2038</c:v>
                </c:pt>
                <c:pt idx="44">
                  <c:v>2039</c:v>
                </c:pt>
                <c:pt idx="45">
                  <c:v>2040</c:v>
                </c:pt>
                <c:pt idx="46">
                  <c:v>2041</c:v>
                </c:pt>
              </c:numCache>
            </c:numRef>
          </c:cat>
          <c:val>
            <c:numRef>
              <c:f>'KU AnnualIndices'!$W$2:$W$48</c:f>
              <c:numCache>
                <c:formatCode>_(* #,##0_);_(* \(#,##0\);_(* "-"??_);_(@_)</c:formatCode>
                <c:ptCount val="47"/>
                <c:pt idx="0">
                  <c:v>10448.018581247976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16611.159559456562</c:v>
                </c:pt>
                <c:pt idx="16">
                  <c:v>16587.265641071997</c:v>
                </c:pt>
                <c:pt idx="17">
                  <c:v>16578.804002079643</c:v>
                </c:pt>
                <c:pt idx="18">
                  <c:v>16606.817767132779</c:v>
                </c:pt>
                <c:pt idx="19">
                  <c:v>16644.628937135771</c:v>
                </c:pt>
                <c:pt idx="20">
                  <c:v>16690.475009197406</c:v>
                </c:pt>
                <c:pt idx="21">
                  <c:v>16742.854725231366</c:v>
                </c:pt>
                <c:pt idx="22">
                  <c:v>16791.645358081019</c:v>
                </c:pt>
                <c:pt idx="23">
                  <c:v>16850.822839068223</c:v>
                </c:pt>
                <c:pt idx="24">
                  <c:v>16917.503878288655</c:v>
                </c:pt>
                <c:pt idx="25">
                  <c:v>16983.772211693573</c:v>
                </c:pt>
                <c:pt idx="26">
                  <c:v>17052.842263870123</c:v>
                </c:pt>
                <c:pt idx="27">
                  <c:v>17130.024457034138</c:v>
                </c:pt>
                <c:pt idx="28">
                  <c:v>17211.985114648684</c:v>
                </c:pt>
                <c:pt idx="29">
                  <c:v>17300.93787347429</c:v>
                </c:pt>
                <c:pt idx="30">
                  <c:v>17389.223851504292</c:v>
                </c:pt>
                <c:pt idx="31">
                  <c:v>17480.502253198749</c:v>
                </c:pt>
                <c:pt idx="32">
                  <c:v>17574.201232021514</c:v>
                </c:pt>
                <c:pt idx="33">
                  <c:v>17670.106722267748</c:v>
                </c:pt>
                <c:pt idx="34">
                  <c:v>17761.560182661731</c:v>
                </c:pt>
                <c:pt idx="35">
                  <c:v>17390.810368219471</c:v>
                </c:pt>
                <c:pt idx="36">
                  <c:v>17479.630141776663</c:v>
                </c:pt>
                <c:pt idx="37">
                  <c:v>17568.946096993983</c:v>
                </c:pt>
                <c:pt idx="38">
                  <c:v>17658.758027440155</c:v>
                </c:pt>
                <c:pt idx="39">
                  <c:v>17749.082031742713</c:v>
                </c:pt>
                <c:pt idx="40">
                  <c:v>17839.934222541298</c:v>
                </c:pt>
                <c:pt idx="41">
                  <c:v>17931.330732997856</c:v>
                </c:pt>
                <c:pt idx="42">
                  <c:v>18023.287723141912</c:v>
                </c:pt>
                <c:pt idx="43">
                  <c:v>18102.711442039439</c:v>
                </c:pt>
                <c:pt idx="44">
                  <c:v>18182.749744242625</c:v>
                </c:pt>
                <c:pt idx="45">
                  <c:v>18263.414237578792</c:v>
                </c:pt>
                <c:pt idx="46">
                  <c:v>18344.72165807851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63456"/>
        <c:axId val="442965376"/>
      </c:lineChart>
      <c:catAx>
        <c:axId val="44296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2965376"/>
        <c:crosses val="autoZero"/>
        <c:auto val="1"/>
        <c:lblAlgn val="ctr"/>
        <c:lblOffset val="100"/>
        <c:noMultiLvlLbl val="0"/>
      </c:catAx>
      <c:valAx>
        <c:axId val="44296537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44296345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'KU Shares'!$AB$1</c:f>
              <c:strCache>
                <c:ptCount val="1"/>
                <c:pt idx="0">
                  <c:v>Cwash_Fred</c:v>
                </c:pt>
              </c:strCache>
            </c:strRef>
          </c:tx>
          <c:marker>
            <c:symbol val="none"/>
          </c:marker>
          <c:cat>
            <c:numRef>
              <c:f>'KU Shares'!$A$2:$A$42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'KU Shares'!$AB$2:$AB$42</c:f>
              <c:numCache>
                <c:formatCode>0.0%</c:formatCode>
                <c:ptCount val="35"/>
                <c:pt idx="0">
                  <c:v>0.98499999999999999</c:v>
                </c:pt>
                <c:pt idx="1">
                  <c:v>0.98499999999999999</c:v>
                </c:pt>
                <c:pt idx="2">
                  <c:v>0.98499999999999999</c:v>
                </c:pt>
                <c:pt idx="3">
                  <c:v>0.98499999999999999</c:v>
                </c:pt>
                <c:pt idx="4">
                  <c:v>0.98499999999999999</c:v>
                </c:pt>
                <c:pt idx="5">
                  <c:v>0.98499999999999999</c:v>
                </c:pt>
                <c:pt idx="6">
                  <c:v>0.98499999999999999</c:v>
                </c:pt>
                <c:pt idx="7">
                  <c:v>0.98499999999999999</c:v>
                </c:pt>
                <c:pt idx="8">
                  <c:v>0.98499999999999999</c:v>
                </c:pt>
                <c:pt idx="9">
                  <c:v>0.98499999999999999</c:v>
                </c:pt>
                <c:pt idx="10">
                  <c:v>0.98499999999999999</c:v>
                </c:pt>
                <c:pt idx="11">
                  <c:v>0.98499999999999999</c:v>
                </c:pt>
                <c:pt idx="12">
                  <c:v>0.98499999999999999</c:v>
                </c:pt>
                <c:pt idx="13">
                  <c:v>0.98499999999999999</c:v>
                </c:pt>
                <c:pt idx="14">
                  <c:v>0.98499999999999999</c:v>
                </c:pt>
                <c:pt idx="15">
                  <c:v>0.98499999999999999</c:v>
                </c:pt>
                <c:pt idx="16">
                  <c:v>0.98499999999999999</c:v>
                </c:pt>
                <c:pt idx="17">
                  <c:v>0.98499999999999999</c:v>
                </c:pt>
                <c:pt idx="18">
                  <c:v>0.98499999999999999</c:v>
                </c:pt>
                <c:pt idx="19">
                  <c:v>0.98499999999999999</c:v>
                </c:pt>
                <c:pt idx="20">
                  <c:v>0.98499999999999999</c:v>
                </c:pt>
                <c:pt idx="21">
                  <c:v>0.98499999999999999</c:v>
                </c:pt>
                <c:pt idx="22">
                  <c:v>0.98499999999999999</c:v>
                </c:pt>
                <c:pt idx="23">
                  <c:v>0.98499999999999999</c:v>
                </c:pt>
                <c:pt idx="24">
                  <c:v>0.98499999999999999</c:v>
                </c:pt>
                <c:pt idx="25">
                  <c:v>0.98499999999999999</c:v>
                </c:pt>
                <c:pt idx="26">
                  <c:v>0.98499999999999999</c:v>
                </c:pt>
                <c:pt idx="27">
                  <c:v>0.98499999999999999</c:v>
                </c:pt>
                <c:pt idx="28">
                  <c:v>0.98499999999999999</c:v>
                </c:pt>
                <c:pt idx="29">
                  <c:v>0.98499999999999999</c:v>
                </c:pt>
                <c:pt idx="30">
                  <c:v>0.98499999999999999</c:v>
                </c:pt>
                <c:pt idx="31">
                  <c:v>0.98499999999999999</c:v>
                </c:pt>
                <c:pt idx="32">
                  <c:v>0.98499999999999999</c:v>
                </c:pt>
                <c:pt idx="33">
                  <c:v>0.98499999999999999</c:v>
                </c:pt>
                <c:pt idx="34">
                  <c:v>0.98499999999999999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483328"/>
        <c:axId val="386484864"/>
      </c:lineChart>
      <c:catAx>
        <c:axId val="3864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6484864"/>
        <c:crosses val="autoZero"/>
        <c:auto val="1"/>
        <c:lblAlgn val="ctr"/>
        <c:lblOffset val="100"/>
        <c:tickLblSkip val="3"/>
        <c:noMultiLvlLbl val="0"/>
      </c:catAx>
      <c:valAx>
        <c:axId val="386484864"/>
        <c:scaling>
          <c:orientation val="minMax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64833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[Attachment to AG 1-13-#11 Residential SAE Inputs.xlsx]PVT efficiencies!PivotTable1</c:name>
    <c:fmtId val="0"/>
  </c:pivotSource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'PVT efficiencies'!$B$3:$B$4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'PVT efficiencies'!$A$5:$A$23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</c:strCache>
            </c:strRef>
          </c:cat>
          <c:val>
            <c:numRef>
              <c:f>'PVT efficiencies'!$B$5:$B$23</c:f>
              <c:numCache>
                <c:formatCode>General</c:formatCode>
                <c:ptCount val="18"/>
                <c:pt idx="0">
                  <c:v>8.3275989943828534</c:v>
                </c:pt>
                <c:pt idx="1">
                  <c:v>8.3494125211931092</c:v>
                </c:pt>
                <c:pt idx="2">
                  <c:v>8.3668992443359684</c:v>
                </c:pt>
                <c:pt idx="3">
                  <c:v>8.3820133515158552</c:v>
                </c:pt>
                <c:pt idx="4">
                  <c:v>8.3945062409389717</c:v>
                </c:pt>
                <c:pt idx="5">
                  <c:v>8.405648247040185</c:v>
                </c:pt>
                <c:pt idx="6">
                  <c:v>8.4157941304593287</c:v>
                </c:pt>
                <c:pt idx="7">
                  <c:v>8.4249576911533275</c:v>
                </c:pt>
                <c:pt idx="8">
                  <c:v>8.4317027270645557</c:v>
                </c:pt>
                <c:pt idx="9">
                  <c:v>8.436276245805697</c:v>
                </c:pt>
                <c:pt idx="10">
                  <c:v>8.4384683863519196</c:v>
                </c:pt>
                <c:pt idx="11">
                  <c:v>8.4406605268981423</c:v>
                </c:pt>
                <c:pt idx="12">
                  <c:v>8.4428526674443649</c:v>
                </c:pt>
                <c:pt idx="13">
                  <c:v>8.4450448079905875</c:v>
                </c:pt>
                <c:pt idx="14">
                  <c:v>8.4472369485368102</c:v>
                </c:pt>
                <c:pt idx="15">
                  <c:v>8.4494290890830328</c:v>
                </c:pt>
                <c:pt idx="16">
                  <c:v>8.4516212296292554</c:v>
                </c:pt>
                <c:pt idx="17">
                  <c:v>8.4538133701754781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669568"/>
        <c:axId val="386687744"/>
      </c:lineChart>
      <c:catAx>
        <c:axId val="38666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386687744"/>
        <c:crosses val="autoZero"/>
        <c:auto val="1"/>
        <c:lblAlgn val="ctr"/>
        <c:lblOffset val="100"/>
        <c:noMultiLvlLbl val="0"/>
      </c:catAx>
      <c:valAx>
        <c:axId val="386687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866695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'KU Efficiencies'!$X$1</c:f>
              <c:strCache>
                <c:ptCount val="1"/>
                <c:pt idx="0">
                  <c:v>Misc</c:v>
                </c:pt>
              </c:strCache>
            </c:strRef>
          </c:tx>
          <c:marker>
            <c:symbol val="none"/>
          </c:marker>
          <c:cat>
            <c:numRef>
              <c:f>'KU Efficiencies'!$A$12:$A$49</c:f>
              <c:numCache>
                <c:formatCode>General</c:formatCode>
                <c:ptCount val="3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</c:numCache>
            </c:numRef>
          </c:cat>
          <c:val>
            <c:numRef>
              <c:f>'KU Efficiencies'!$X$12:$X$49</c:f>
              <c:numCache>
                <c:formatCode>_(* #,##0.00_);_(* \(#,##0.00\);_(* "-"??_);_(@_)</c:formatCode>
                <c:ptCount val="38"/>
                <c:pt idx="0">
                  <c:v>3922.4950399098643</c:v>
                </c:pt>
                <c:pt idx="1">
                  <c:v>4189.9485003693344</c:v>
                </c:pt>
                <c:pt idx="2">
                  <c:v>4512.1743147094294</c:v>
                </c:pt>
                <c:pt idx="3">
                  <c:v>4735.3504576439354</c:v>
                </c:pt>
                <c:pt idx="4">
                  <c:v>4693.5828928706769</c:v>
                </c:pt>
                <c:pt idx="5">
                  <c:v>4831.6574697068691</c:v>
                </c:pt>
                <c:pt idx="6">
                  <c:v>4727.7771386018567</c:v>
                </c:pt>
                <c:pt idx="7">
                  <c:v>4854.3600022852979</c:v>
                </c:pt>
                <c:pt idx="8">
                  <c:v>4868.6296664538995</c:v>
                </c:pt>
                <c:pt idx="9">
                  <c:v>4963.2621415882741</c:v>
                </c:pt>
                <c:pt idx="10">
                  <c:v>5048.8818390060842</c:v>
                </c:pt>
                <c:pt idx="11">
                  <c:v>5166.1868630040572</c:v>
                </c:pt>
                <c:pt idx="12">
                  <c:v>5221.8571740841071</c:v>
                </c:pt>
                <c:pt idx="13">
                  <c:v>5287.8620929867147</c:v>
                </c:pt>
                <c:pt idx="14">
                  <c:v>5356.4103957635853</c:v>
                </c:pt>
                <c:pt idx="15">
                  <c:v>5460.8604459210665</c:v>
                </c:pt>
                <c:pt idx="16">
                  <c:v>5539.0529985668145</c:v>
                </c:pt>
                <c:pt idx="17">
                  <c:v>5649.0095827592913</c:v>
                </c:pt>
                <c:pt idx="18">
                  <c:v>5759.1814045754709</c:v>
                </c:pt>
                <c:pt idx="19">
                  <c:v>5889.7412465591842</c:v>
                </c:pt>
                <c:pt idx="20">
                  <c:v>5991.41585105992</c:v>
                </c:pt>
                <c:pt idx="21">
                  <c:v>6091.6870853659957</c:v>
                </c:pt>
                <c:pt idx="22">
                  <c:v>6194.6977557610198</c:v>
                </c:pt>
                <c:pt idx="23">
                  <c:v>6317.2391123234102</c:v>
                </c:pt>
                <c:pt idx="24">
                  <c:v>6396.5913263988132</c:v>
                </c:pt>
                <c:pt idx="25">
                  <c:v>6512.5928463861974</c:v>
                </c:pt>
                <c:pt idx="26">
                  <c:v>6610.9367706067169</c:v>
                </c:pt>
                <c:pt idx="27">
                  <c:v>6731.9791840402013</c:v>
                </c:pt>
                <c:pt idx="28">
                  <c:v>6806.7880342934886</c:v>
                </c:pt>
                <c:pt idx="29">
                  <c:v>6899.8315882134048</c:v>
                </c:pt>
                <c:pt idx="30">
                  <c:v>7007.5833776881846</c:v>
                </c:pt>
                <c:pt idx="31">
                  <c:v>7117.0178818765871</c:v>
                </c:pt>
                <c:pt idx="32">
                  <c:v>7228.1613790318224</c:v>
                </c:pt>
                <c:pt idx="33">
                  <c:v>7341.0405577836091</c:v>
                </c:pt>
                <c:pt idx="34">
                  <c:v>7455.6825235468532</c:v>
                </c:pt>
                <c:pt idx="35">
                  <c:v>7572.1148050304091</c:v>
                </c:pt>
                <c:pt idx="36">
                  <c:v>7690.3653608474915</c:v>
                </c:pt>
                <c:pt idx="37">
                  <c:v>7810.4625862292987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827392"/>
        <c:axId val="386828928"/>
      </c:lineChart>
      <c:catAx>
        <c:axId val="38682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6828928"/>
        <c:crosses val="autoZero"/>
        <c:auto val="1"/>
        <c:lblAlgn val="ctr"/>
        <c:lblOffset val="100"/>
        <c:tickLblSkip val="3"/>
        <c:noMultiLvlLbl val="0"/>
      </c:catAx>
      <c:valAx>
        <c:axId val="386828928"/>
        <c:scaling>
          <c:orientation val="minMax"/>
          <c:min val="0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68273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'KU Efficiencies'!$T$20:$T$49</c:f>
              <c:numCache>
                <c:formatCode>_(* #,##0.00_);_(* \(#,##0.00\);_(* "-"??_);_(@_)</c:formatCode>
                <c:ptCount val="30"/>
                <c:pt idx="0">
                  <c:v>1573.9481557582549</c:v>
                </c:pt>
                <c:pt idx="1">
                  <c:v>1484.1432935859859</c:v>
                </c:pt>
                <c:pt idx="2">
                  <c:v>1432.8602460861189</c:v>
                </c:pt>
                <c:pt idx="3">
                  <c:v>1400.0557484766291</c:v>
                </c:pt>
                <c:pt idx="4">
                  <c:v>1365.1062828763347</c:v>
                </c:pt>
                <c:pt idx="5">
                  <c:v>1340.8743680735377</c:v>
                </c:pt>
                <c:pt idx="6">
                  <c:v>1321.9903250769321</c:v>
                </c:pt>
                <c:pt idx="7">
                  <c:v>1269.755719250777</c:v>
                </c:pt>
                <c:pt idx="8">
                  <c:v>1238.8641198064383</c:v>
                </c:pt>
                <c:pt idx="9">
                  <c:v>1219.4333830649186</c:v>
                </c:pt>
                <c:pt idx="10">
                  <c:v>1205.6044323480062</c:v>
                </c:pt>
                <c:pt idx="11">
                  <c:v>1198.4258865858853</c:v>
                </c:pt>
                <c:pt idx="12">
                  <c:v>1185.1242283098265</c:v>
                </c:pt>
                <c:pt idx="13">
                  <c:v>1174.6918590547461</c:v>
                </c:pt>
                <c:pt idx="14">
                  <c:v>1165.1227952647812</c:v>
                </c:pt>
                <c:pt idx="15">
                  <c:v>1159.4596184884074</c:v>
                </c:pt>
                <c:pt idx="16">
                  <c:v>1148.3961477918631</c:v>
                </c:pt>
                <c:pt idx="17">
                  <c:v>1142.7026533663559</c:v>
                </c:pt>
                <c:pt idx="18">
                  <c:v>1138.2527795901376</c:v>
                </c:pt>
                <c:pt idx="19">
                  <c:v>1139.0083511970365</c:v>
                </c:pt>
                <c:pt idx="20">
                  <c:v>1133.2958452543965</c:v>
                </c:pt>
                <c:pt idx="21">
                  <c:v>1130.9268049418979</c:v>
                </c:pt>
                <c:pt idx="22">
                  <c:v>1131.8971653838944</c:v>
                </c:pt>
                <c:pt idx="23">
                  <c:v>1132.8683584168095</c:v>
                </c:pt>
                <c:pt idx="24">
                  <c:v>1133.8403847550246</c:v>
                </c:pt>
                <c:pt idx="25">
                  <c:v>1134.813245113535</c:v>
                </c:pt>
                <c:pt idx="26">
                  <c:v>1135.7869402079475</c:v>
                </c:pt>
                <c:pt idx="27">
                  <c:v>1136.7614707544849</c:v>
                </c:pt>
                <c:pt idx="28">
                  <c:v>1137.7368374699838</c:v>
                </c:pt>
                <c:pt idx="29">
                  <c:v>1138.7130410718958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844544"/>
        <c:axId val="386846080"/>
      </c:lineChart>
      <c:catAx>
        <c:axId val="386844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86846080"/>
        <c:crosses val="autoZero"/>
        <c:auto val="1"/>
        <c:lblAlgn val="ctr"/>
        <c:lblOffset val="100"/>
        <c:noMultiLvlLbl val="0"/>
      </c:catAx>
      <c:valAx>
        <c:axId val="38684608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3868445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Average of ElecPrice</c:v>
          </c:tx>
          <c:marker>
            <c:symbol val="none"/>
          </c:marker>
          <c:cat>
            <c:strLit>
              <c:ptCount val="13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</c:strLit>
          </c:cat>
          <c:val>
            <c:numLit>
              <c:formatCode>General</c:formatCode>
              <c:ptCount val="13"/>
              <c:pt idx="0">
                <c:v>6.4065135612233277</c:v>
              </c:pt>
              <c:pt idx="1">
                <c:v>6.6378619567564625</c:v>
              </c:pt>
              <c:pt idx="2">
                <c:v>6.8778619567564609</c:v>
              </c:pt>
              <c:pt idx="3">
                <c:v>7.1562642176594835</c:v>
              </c:pt>
              <c:pt idx="4">
                <c:v>7.2900558232403219</c:v>
              </c:pt>
              <c:pt idx="5">
                <c:v>7.4759202235333779</c:v>
              </c:pt>
              <c:pt idx="6">
                <c:v>8.2894638037513477</c:v>
              </c:pt>
              <c:pt idx="7">
                <c:v>8.8999885401544248</c:v>
              </c:pt>
              <c:pt idx="8">
                <c:v>9.7259169494704008</c:v>
              </c:pt>
              <c:pt idx="9">
                <c:v>11.003830034113447</c:v>
              </c:pt>
              <c:pt idx="10">
                <c:v>12.063906523553113</c:v>
              </c:pt>
              <c:pt idx="11">
                <c:v>12.772604561174989</c:v>
              </c:pt>
              <c:pt idx="12">
                <c:v>13.276189156742456</c:v>
              </c:pt>
            </c:numLit>
          </c:val>
          <c:smooth val="0"/>
        </c:ser>
        <c:ser>
          <c:idx val="1"/>
          <c:order val="1"/>
          <c:tx>
            <c:v>Average of ElecPrice2</c:v>
          </c:tx>
          <c:marker>
            <c:symbol val="none"/>
          </c:marker>
          <c:cat>
            <c:strLit>
              <c:ptCount val="13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</c:strLit>
          </c:cat>
          <c:val>
            <c:numLit>
              <c:formatCode>General</c:formatCode>
              <c:ptCount val="13"/>
              <c:pt idx="0">
                <c:v>6.4065135612233277</c:v>
              </c:pt>
              <c:pt idx="1">
                <c:v>6.6378619567564625</c:v>
              </c:pt>
              <c:pt idx="2">
                <c:v>6.8778619567564609</c:v>
              </c:pt>
              <c:pt idx="3">
                <c:v>7.1562642176594835</c:v>
              </c:pt>
              <c:pt idx="4">
                <c:v>7.2900558232403219</c:v>
              </c:pt>
              <c:pt idx="5">
                <c:v>7.4759202235333779</c:v>
              </c:pt>
              <c:pt idx="6">
                <c:v>8.2894638037513477</c:v>
              </c:pt>
              <c:pt idx="7">
                <c:v>8.5772101877244911</c:v>
              </c:pt>
              <c:pt idx="8">
                <c:v>9.5861743542818498</c:v>
              </c:pt>
              <c:pt idx="9">
                <c:v>10.291964184589402</c:v>
              </c:pt>
              <c:pt idx="10">
                <c:v>11.410251224331203</c:v>
              </c:pt>
              <c:pt idx="11">
                <c:v>12.3600856287173</c:v>
              </c:pt>
              <c:pt idx="12">
                <c:v>12.60728734129165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39776"/>
        <c:axId val="388941312"/>
      </c:lineChart>
      <c:catAx>
        <c:axId val="388939776"/>
        <c:scaling>
          <c:orientation val="minMax"/>
        </c:scaling>
        <c:delete val="0"/>
        <c:axPos val="b"/>
        <c:majorTickMark val="none"/>
        <c:minorTickMark val="none"/>
        <c:tickLblPos val="nextTo"/>
        <c:crossAx val="388941312"/>
        <c:crosses val="autoZero"/>
        <c:auto val="1"/>
        <c:lblAlgn val="ctr"/>
        <c:lblOffset val="100"/>
        <c:noMultiLvlLbl val="0"/>
      </c:catAx>
      <c:valAx>
        <c:axId val="3889413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38893977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  <c:extLst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8</xdr:row>
      <xdr:rowOff>114300</xdr:rowOff>
    </xdr:from>
    <xdr:to>
      <xdr:col>12</xdr:col>
      <xdr:colOff>28575</xdr:colOff>
      <xdr:row>25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68580</xdr:colOff>
      <xdr:row>20</xdr:row>
      <xdr:rowOff>87630</xdr:rowOff>
    </xdr:from>
    <xdr:to>
      <xdr:col>34</xdr:col>
      <xdr:colOff>461010</xdr:colOff>
      <xdr:row>41</xdr:row>
      <xdr:rowOff>53340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487680</xdr:colOff>
      <xdr:row>0</xdr:row>
      <xdr:rowOff>60960</xdr:rowOff>
    </xdr:from>
    <xdr:to>
      <xdr:col>32</xdr:col>
      <xdr:colOff>60960</xdr:colOff>
      <xdr:row>16</xdr:row>
      <xdr:rowOff>7620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60960</xdr:colOff>
      <xdr:row>23</xdr:row>
      <xdr:rowOff>15240</xdr:rowOff>
    </xdr:from>
    <xdr:to>
      <xdr:col>29</xdr:col>
      <xdr:colOff>228600</xdr:colOff>
      <xdr:row>25</xdr:row>
      <xdr:rowOff>160020</xdr:rowOff>
    </xdr:to>
    <xdr:sp macro="" textlink="">
      <xdr:nvSpPr>
        <xdr:cNvPr id="4" name="Rectangle 3"/>
        <xdr:cNvSpPr/>
      </xdr:nvSpPr>
      <xdr:spPr bwMode="auto">
        <a:xfrm>
          <a:off x="16082010" y="3739515"/>
          <a:ext cx="777240" cy="46863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0000"/>
              </a:solidFill>
            </a:rPr>
            <a:t>lighting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601980</xdr:colOff>
      <xdr:row>23</xdr:row>
      <xdr:rowOff>66675</xdr:rowOff>
    </xdr:from>
    <xdr:to>
      <xdr:col>36</xdr:col>
      <xdr:colOff>346710</xdr:colOff>
      <xdr:row>42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300990</xdr:colOff>
      <xdr:row>35</xdr:row>
      <xdr:rowOff>15240</xdr:rowOff>
    </xdr:from>
    <xdr:to>
      <xdr:col>76</xdr:col>
      <xdr:colOff>270510</xdr:colOff>
      <xdr:row>54</xdr:row>
      <xdr:rowOff>68580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525780</xdr:colOff>
      <xdr:row>0</xdr:row>
      <xdr:rowOff>30480</xdr:rowOff>
    </xdr:from>
    <xdr:to>
      <xdr:col>10</xdr:col>
      <xdr:colOff>220980</xdr:colOff>
      <xdr:row>16</xdr:row>
      <xdr:rowOff>91440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438150</xdr:colOff>
      <xdr:row>8</xdr:row>
      <xdr:rowOff>158115</xdr:rowOff>
    </xdr:from>
    <xdr:to>
      <xdr:col>32</xdr:col>
      <xdr:colOff>457200</xdr:colOff>
      <xdr:row>26</xdr:row>
      <xdr:rowOff>49530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8</xdr:row>
      <xdr:rowOff>114300</xdr:rowOff>
    </xdr:from>
    <xdr:to>
      <xdr:col>12</xdr:col>
      <xdr:colOff>28575</xdr:colOff>
      <xdr:row>25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68580</xdr:colOff>
      <xdr:row>20</xdr:row>
      <xdr:rowOff>87630</xdr:rowOff>
    </xdr:from>
    <xdr:to>
      <xdr:col>34</xdr:col>
      <xdr:colOff>461010</xdr:colOff>
      <xdr:row>41</xdr:row>
      <xdr:rowOff>53340</xdr:rowOff>
    </xdr:to>
    <xdr:graphicFrame macro="">
      <xdr:nvGraphicFramePr>
        <xdr:cNvPr id="928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487680</xdr:colOff>
      <xdr:row>0</xdr:row>
      <xdr:rowOff>60960</xdr:rowOff>
    </xdr:from>
    <xdr:to>
      <xdr:col>32</xdr:col>
      <xdr:colOff>60960</xdr:colOff>
      <xdr:row>16</xdr:row>
      <xdr:rowOff>7620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60960</xdr:colOff>
      <xdr:row>23</xdr:row>
      <xdr:rowOff>15240</xdr:rowOff>
    </xdr:from>
    <xdr:to>
      <xdr:col>29</xdr:col>
      <xdr:colOff>228600</xdr:colOff>
      <xdr:row>25</xdr:row>
      <xdr:rowOff>160020</xdr:rowOff>
    </xdr:to>
    <xdr:sp macro="" textlink="">
      <xdr:nvSpPr>
        <xdr:cNvPr id="4" name="Rectangle 3"/>
        <xdr:cNvSpPr/>
      </xdr:nvSpPr>
      <xdr:spPr bwMode="auto">
        <a:xfrm>
          <a:off x="12230100" y="4038600"/>
          <a:ext cx="792480" cy="49530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0000"/>
              </a:solidFill>
            </a:rPr>
            <a:t>lighting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300990</xdr:colOff>
      <xdr:row>35</xdr:row>
      <xdr:rowOff>15240</xdr:rowOff>
    </xdr:from>
    <xdr:to>
      <xdr:col>76</xdr:col>
      <xdr:colOff>270510</xdr:colOff>
      <xdr:row>54</xdr:row>
      <xdr:rowOff>68580</xdr:rowOff>
    </xdr:to>
    <xdr:graphicFrame macro="">
      <xdr:nvGraphicFramePr>
        <xdr:cNvPr id="82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525780</xdr:colOff>
      <xdr:row>0</xdr:row>
      <xdr:rowOff>30480</xdr:rowOff>
    </xdr:from>
    <xdr:to>
      <xdr:col>10</xdr:col>
      <xdr:colOff>220980</xdr:colOff>
      <xdr:row>16</xdr:row>
      <xdr:rowOff>91440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319087</xdr:colOff>
      <xdr:row>12</xdr:row>
      <xdr:rowOff>140075</xdr:rowOff>
    </xdr:from>
    <xdr:to>
      <xdr:col>32</xdr:col>
      <xdr:colOff>338137</xdr:colOff>
      <xdr:row>28</xdr:row>
      <xdr:rowOff>28520</xdr:rowOff>
    </xdr:to>
    <xdr:graphicFrame macro="">
      <xdr:nvGraphicFramePr>
        <xdr:cNvPr id="12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309002</xdr:colOff>
      <xdr:row>13</xdr:row>
      <xdr:rowOff>84605</xdr:rowOff>
    </xdr:from>
    <xdr:to>
      <xdr:col>11</xdr:col>
      <xdr:colOff>577383</xdr:colOff>
      <xdr:row>30</xdr:row>
      <xdr:rowOff>75080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6</xdr:row>
      <xdr:rowOff>76200</xdr:rowOff>
    </xdr:from>
    <xdr:to>
      <xdr:col>13</xdr:col>
      <xdr:colOff>476250</xdr:colOff>
      <xdr:row>23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300990</xdr:colOff>
      <xdr:row>35</xdr:row>
      <xdr:rowOff>15240</xdr:rowOff>
    </xdr:from>
    <xdr:to>
      <xdr:col>76</xdr:col>
      <xdr:colOff>270510</xdr:colOff>
      <xdr:row>54</xdr:row>
      <xdr:rowOff>68580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525780</xdr:colOff>
      <xdr:row>0</xdr:row>
      <xdr:rowOff>30480</xdr:rowOff>
    </xdr:from>
    <xdr:to>
      <xdr:col>10</xdr:col>
      <xdr:colOff>220980</xdr:colOff>
      <xdr:row>16</xdr:row>
      <xdr:rowOff>91440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Projects%20-%20LoadForecasting\0334%20-%202013%20CCN%20Filing\Data%20Requests\AG\2013BP%20LE%20Res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Projects%20-%20LoadForecasting\0334%20-%202013%20CCN%20Filing\Data%20Requests\AG\2013BP%20LE%20Res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Projects%20-%20LoadForecasting\0334%20-%202013%20CCN%20Filing\Data%20Requests\AG\2013BP%20OD%20Res.xlsx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0998.440491898145" createdVersion="3" refreshedVersion="3" minRefreshableVersion="3" recordCount="48">
  <cacheSource type="worksheet">
    <worksheetSource ref="A1:V49" sheet="KU Efficiencies"/>
  </cacheSource>
  <cacheFields count="22">
    <cacheField name="Year" numFmtId="0">
      <sharedItems containsSemiMixedTypes="0" containsString="0" containsNumber="1" containsInteger="1" minValue="1995" maxValue="2042" count="4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</sharedItems>
    </cacheField>
    <cacheField name="EFurn" numFmtId="43">
      <sharedItems containsSemiMixedTypes="0" containsString="0" containsNumber="1" minValue="3.4119999999999999" maxValue="3.4119999999999999"/>
    </cacheField>
    <cacheField name="HPHeat" numFmtId="0">
      <sharedItems containsSemiMixedTypes="0" containsString="0" containsNumber="1" minValue="6.6145431549056699" maxValue="8.4538133701754781"/>
    </cacheField>
    <cacheField name="GHPHeat" numFmtId="43">
      <sharedItems containsSemiMixedTypes="0" containsString="0" containsNumber="1" minValue="3.22" maxValue="3.8794320000000004"/>
    </cacheField>
    <cacheField name="SecHt" numFmtId="43">
      <sharedItems containsSemiMixedTypes="0" containsString="0" containsNumber="1" minValue="226.00513259657671" maxValue="672.80825918693779"/>
    </cacheField>
    <cacheField name="CAC" numFmtId="43">
      <sharedItems containsSemiMixedTypes="0" containsString="0" containsNumber="1" minValue="9.0326946012654545" maxValue="14.544586519591396"/>
    </cacheField>
    <cacheField name="HPCool" numFmtId="43">
      <sharedItems containsSemiMixedTypes="0" containsString="0" containsNumber="1" minValue="10.100210866762" maxValue="14.496620194401077"/>
    </cacheField>
    <cacheField name="GHPCool" numFmtId="43">
      <sharedItems containsSemiMixedTypes="0" containsString="0" containsNumber="1" minValue="12.759999999999987" maxValue="18.681554000000006"/>
    </cacheField>
    <cacheField name="RAC" numFmtId="43">
      <sharedItems containsSemiMixedTypes="0" containsString="0" containsNumber="1" minValue="8.2767889420950311" maxValue="11.06150710486053"/>
    </cacheField>
    <cacheField name="EWHeat" numFmtId="43">
      <sharedItems containsSemiMixedTypes="0" containsString="0" containsNumber="1" minValue="0.86162231376373388" maxValue="1.0082054730380194"/>
    </cacheField>
    <cacheField name="ECook" numFmtId="43">
      <sharedItems containsSemiMixedTypes="0" containsString="0" containsNumber="1" minValue="328.55904780990846" maxValue="332.28448403002676"/>
    </cacheField>
    <cacheField name="Ref1" numFmtId="43">
      <sharedItems containsSemiMixedTypes="0" containsString="0" containsNumber="1" minValue="431.74364938506972" maxValue="785.42382844601207"/>
    </cacheField>
    <cacheField name="Ref2" numFmtId="43">
      <sharedItems containsSemiMixedTypes="0" containsString="0" containsNumber="1" minValue="388.56928444656273" maxValue="706.88144560141018"/>
    </cacheField>
    <cacheField name="Frz" numFmtId="43">
      <sharedItems containsSemiMixedTypes="0" containsString="0" containsNumber="1" minValue="398.89313390605867" maxValue="597.8861696134619"/>
    </cacheField>
    <cacheField name="Dish" numFmtId="43">
      <sharedItems containsSemiMixedTypes="0" containsString="0" containsNumber="1" minValue="315.35039504397855" maxValue="516.35370934786215"/>
    </cacheField>
    <cacheField name="CWash" numFmtId="43">
      <sharedItems containsSemiMixedTypes="0" containsString="0" containsNumber="1" minValue="69.088351765119057" maxValue="121.61550489098488"/>
    </cacheField>
    <cacheField name="EDry" numFmtId="43">
      <sharedItems containsSemiMixedTypes="0" containsString="0" containsNumber="1" minValue="673.74294545438158" maxValue="974.17608841809999"/>
    </cacheField>
    <cacheField name="TV" numFmtId="43">
      <sharedItems containsSemiMixedTypes="0" containsString="0" containsNumber="1" minValue="192.30104310978115" maxValue="226.60685190050145"/>
    </cacheField>
    <cacheField name="FurnFan" numFmtId="43">
      <sharedItems containsSemiMixedTypes="0" containsString="0" containsNumber="1" minValue="417.63542342875638" maxValue="664.09491960269349"/>
    </cacheField>
    <cacheField name="Light" numFmtId="43">
      <sharedItems containsSemiMixedTypes="0" containsString="0" containsNumber="1" minValue="1130.9268049418979" maxValue="2009.4019042164659"/>
    </cacheField>
    <cacheField name="delta LT" numFmtId="0">
      <sharedItems containsString="0" containsBlank="1" containsNumber="1" minValue="-3.9512093874904397E-2" maxValue="8.5802232094622788E-4"/>
    </cacheField>
    <cacheField name="Misc_2012MTP" numFmtId="43">
      <sharedItems containsSemiMixedTypes="0" containsString="0" containsNumber="1" minValue="2926.6635745911367" maxValue="6409.2899815614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1046.45050752315" createdVersion="3" refreshedVersion="3" minRefreshableVersion="3" recordCount="504">
  <cacheSource type="worksheet">
    <worksheetSource ref="A1:T505" sheet="KU UtilityData"/>
  </cacheSource>
  <cacheFields count="19">
    <cacheField name="Year" numFmtId="0">
      <sharedItems containsSemiMixedTypes="0" containsString="0" containsNumber="1" containsInteger="1" minValue="2001" maxValue="2042" count="42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</sharedItems>
    </cacheField>
    <cacheField name="Month" numFmtId="0">
      <sharedItems containsSemiMixedTypes="0" containsString="0" containsNumber="1" containsInteger="1" minValue="1" maxValue="12"/>
    </cacheField>
    <cacheField name="Sales" numFmtId="0">
      <sharedItems containsString="0" containsBlank="1" containsNumber="1" minValue="325728.20699999999" maxValue="850990.94400000002"/>
    </cacheField>
    <cacheField name="ElecPrice" numFmtId="4">
      <sharedItems containsSemiMixedTypes="0" containsString="0" containsNumber="1" minValue="4.2694402357305536" maxValue="17.502190575908205"/>
    </cacheField>
    <cacheField name="ElecPrice2" numFmtId="4">
      <sharedItems containsString="0" containsBlank="1" containsNumber="1" minValue="4.2694402357305536" maxValue="19.41"/>
    </cacheField>
    <cacheField name="Gas Price" numFmtId="4">
      <sharedItems containsNonDate="0" containsString="0" containsBlank="1"/>
    </cacheField>
    <cacheField name="BillingDays" numFmtId="4">
      <sharedItems containsSemiMixedTypes="0" containsString="0" containsNumber="1" minValue="28" maxValue="33.35"/>
    </cacheField>
    <cacheField name="Population_2012MTP" numFmtId="0">
      <sharedItems containsString="0" containsBlank="1" containsNumber="1" minValue="0" maxValue="4379.0649160901758"/>
    </cacheField>
    <cacheField name="Population" numFmtId="167">
      <sharedItems containsSemiMixedTypes="0" containsString="0" containsNumber="1" minValue="4063346" maxValue="5312945" count="168">
        <n v="4063346"/>
        <n v="4068132"/>
        <n v="4073557"/>
        <n v="4078989"/>
        <n v="4084428"/>
        <n v="4089875"/>
        <n v="4096682"/>
        <n v="4103500"/>
        <n v="4110328.9999999995"/>
        <n v="4117170"/>
        <n v="4124384"/>
        <n v="4131609.9999999995"/>
        <n v="4138849"/>
        <n v="4146100.9999999995"/>
        <n v="4155231"/>
        <n v="4164381.0000000005"/>
        <n v="4173551.9999999995"/>
        <n v="4182742"/>
        <n v="4191837.0000000005"/>
        <n v="4200951"/>
        <n v="4210085"/>
        <n v="4219239"/>
        <n v="4228566"/>
        <n v="4237914"/>
        <n v="4247283"/>
        <n v="4256672"/>
        <n v="4264949"/>
        <n v="4273243"/>
        <n v="4281552"/>
        <n v="4289878"/>
        <n v="4296661"/>
        <n v="4303455"/>
        <n v="4310259"/>
        <n v="4317074"/>
        <n v="4324505"/>
        <n v="4331936"/>
        <n v="4339367"/>
        <n v="4347223"/>
        <n v="4352756"/>
        <n v="4358290"/>
        <n v="4363823"/>
        <n v="4369356"/>
        <n v="4375233"/>
        <n v="4381482"/>
        <n v="4387829"/>
        <n v="4394317"/>
        <n v="4400950"/>
        <n v="4407728"/>
        <n v="4414694"/>
        <n v="4421845"/>
        <n v="4429177"/>
        <n v="4436708"/>
        <n v="4444359"/>
        <n v="4452112"/>
        <n v="4459964"/>
        <n v="4467912"/>
        <n v="4475968"/>
        <n v="4484131"/>
        <n v="4492400"/>
        <n v="4500777"/>
        <n v="4509174"/>
        <n v="4517592"/>
        <n v="4526031"/>
        <n v="4534489"/>
        <n v="4542939"/>
        <n v="4551380"/>
        <n v="4559813"/>
        <n v="4568225"/>
        <n v="4576630"/>
        <n v="4585030"/>
        <n v="4593423"/>
        <n v="4601809"/>
        <n v="4610188"/>
        <n v="4618558"/>
        <n v="4626907"/>
        <n v="4635247"/>
        <n v="4643577"/>
        <n v="4651897"/>
        <n v="4660206"/>
        <n v="4668504"/>
        <n v="4676790"/>
        <n v="4685051"/>
        <n v="4693299"/>
        <n v="4701533"/>
        <n v="4709753"/>
        <n v="4717958"/>
        <n v="4726133"/>
        <n v="4734292"/>
        <n v="4742434"/>
        <n v="4750558"/>
        <n v="4758649"/>
        <n v="4766709"/>
        <n v="4774749"/>
        <n v="4782770"/>
        <n v="4790758"/>
        <n v="4798725"/>
        <n v="4806673"/>
        <n v="4814601"/>
        <n v="4822495"/>
        <n v="4830368"/>
        <n v="4838222"/>
        <n v="4846054"/>
        <n v="4853840"/>
        <n v="4861604"/>
        <n v="4869349"/>
        <n v="4877072"/>
        <n v="4884762"/>
        <n v="4892430"/>
        <n v="4900099"/>
        <n v="4907734"/>
        <n v="4915322"/>
        <n v="4922876"/>
        <n v="4930397"/>
        <n v="4937885"/>
        <n v="4945340"/>
        <n v="4952749"/>
        <n v="4960126"/>
        <n v="4967471"/>
        <n v="4974784"/>
        <n v="4982053"/>
        <n v="4989290"/>
        <n v="4996497"/>
        <n v="5003686"/>
        <n v="5010833"/>
        <n v="5017950"/>
        <n v="5025037"/>
        <n v="5032096"/>
        <n v="5039113"/>
        <n v="5046103"/>
        <n v="5053065"/>
        <n v="5060000"/>
        <n v="5066896"/>
        <n v="5073765"/>
        <n v="5080609"/>
        <n v="5087441"/>
        <n v="5094236"/>
        <n v="5101006"/>
        <n v="5107751"/>
        <n v="5114472"/>
        <n v="5121157"/>
        <n v="5127834"/>
        <n v="5134516"/>
        <n v="5141193"/>
        <n v="5147851"/>
        <n v="5154503"/>
        <n v="5161152"/>
        <n v="5167811"/>
        <n v="5174454"/>
        <n v="5181100"/>
        <n v="5187749"/>
        <n v="5194402"/>
        <n v="5201086"/>
        <n v="5207762"/>
        <n v="5214432"/>
        <n v="5221097"/>
        <n v="5227756"/>
        <n v="5234410"/>
        <n v="5241061"/>
        <n v="5247709"/>
        <n v="5254354"/>
        <n v="5261000"/>
        <n v="5267646"/>
        <n v="5274295"/>
        <n v="5280945"/>
        <n v="5288945"/>
        <n v="5296945"/>
        <n v="5304945"/>
        <n v="5312945"/>
      </sharedItems>
    </cacheField>
    <cacheField name="Households (thousands)" numFmtId="167">
      <sharedItems containsSemiMixedTypes="0" containsString="0" containsNumber="1" minValue="1603592" maxValue="2147792.5300000003"/>
    </cacheField>
    <cacheField name="Customers_2012MTP" numFmtId="0">
      <sharedItems containsString="0" containsBlank="1" containsNumber="1" minValue="384372" maxValue="539422.38425061083"/>
    </cacheField>
    <cacheField name="Customers" numFmtId="0">
      <sharedItems containsSemiMixedTypes="0" containsString="0" containsNumber="1" minValue="391327" maxValue="512363.59"/>
    </cacheField>
    <cacheField name="IncomePersonal" numFmtId="0">
      <sharedItems containsSemiMixedTypes="0" containsString="0" containsNumber="1" minValue="65423.339614173405" maxValue="161696.7386808439"/>
    </cacheField>
    <cacheField name="Real Personal Income (millions)" numFmtId="167">
      <sharedItems containsSemiMixedTypes="0" containsString="0" containsNumber="1" minValue="112373.137" maxValue="256144.82551"/>
    </cacheField>
    <cacheField name="HDD" numFmtId="0">
      <sharedItems containsSemiMixedTypes="0" containsString="0" containsNumber="1" minValue="0" maxValue="1283.4000000000001"/>
    </cacheField>
    <cacheField name="CDD" numFmtId="0">
      <sharedItems containsSemiMixedTypes="0" containsString="0" containsNumber="1" minValue="0" maxValue="435.95000000000005"/>
    </cacheField>
    <cacheField name="AnnHDD2005" numFmtId="1">
      <sharedItems containsSemiMixedTypes="0" containsString="0" containsNumber="1" containsInteger="1" minValue="4124" maxValue="4512"/>
    </cacheField>
    <cacheField name="AnnCDD2005" numFmtId="1">
      <sharedItems containsSemiMixedTypes="0" containsString="0" containsNumber="1" containsInteger="1" minValue="1455" maxValue="1696"/>
    </cacheField>
    <cacheField name="kpc" numFmtId="0">
      <sharedItems containsSemiMixedTypes="0" containsString="0" containsNumber="1" minValue="0" maxValue="2016.05981435942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1045.396280555557" createdVersion="3" refreshedVersion="4" minRefreshableVersion="3" recordCount="504">
  <cacheSource type="worksheet">
    <worksheetSource ref="A1:F505" sheet="UtilityData" r:id="rId2"/>
  </cacheSource>
  <cacheFields count="6">
    <cacheField name="Year" numFmtId="0">
      <sharedItems containsSemiMixedTypes="0" containsString="0" containsNumber="1" containsInteger="1" minValue="2001" maxValue="2042" count="42"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</sharedItems>
    </cacheField>
    <cacheField name="Month" numFmtId="0">
      <sharedItems containsSemiMixedTypes="0" containsString="0" containsNumber="1" containsInteger="1" minValue="1" maxValue="12"/>
    </cacheField>
    <cacheField name="Sales_2012MTP" numFmtId="0">
      <sharedItems containsString="0" containsBlank="1" containsNumber="1" minValue="222305.33499999999" maxValue="561920.38600000006"/>
    </cacheField>
    <cacheField name="Sales" numFmtId="0">
      <sharedItems containsString="0" containsBlank="1" containsNumber="1" minValue="222305.33499999999" maxValue="580187.17200000002"/>
    </cacheField>
    <cacheField name="ElecPrice" numFmtId="4">
      <sharedItems containsSemiMixedTypes="0" containsString="0" containsNumber="1" minValue="5.6" maxValue="23.111012635783954"/>
    </cacheField>
    <cacheField name="ElecPrice2" numFmtId="4">
      <sharedItems containsSemiMixedTypes="0" containsString="0" containsNumber="1" minValue="5.6" maxValue="20.6835911860623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0995.620970370372" createdVersion="3" refreshedVersion="4" minRefreshableVersion="3" recordCount="48">
  <cacheSource type="worksheet">
    <worksheetSource ref="A1:V49" sheet="Efficiencies" r:id="rId2"/>
  </cacheSource>
  <cacheFields count="22">
    <cacheField name="Year" numFmtId="0">
      <sharedItems containsSemiMixedTypes="0" containsString="0" containsNumber="1" containsInteger="1" minValue="1995" maxValue="2042" count="4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</sharedItems>
    </cacheField>
    <cacheField name="EFurn" numFmtId="43">
      <sharedItems containsSemiMixedTypes="0" containsString="0" containsNumber="1" minValue="3.4119999999999999" maxValue="3.4119999999999999"/>
    </cacheField>
    <cacheField name="HPHeat" numFmtId="0">
      <sharedItems containsSemiMixedTypes="0" containsString="0" containsNumber="1" minValue="6.6145431549056699" maxValue="8.4538133701754781"/>
    </cacheField>
    <cacheField name="GHPHeat" numFmtId="43">
      <sharedItems containsSemiMixedTypes="0" containsString="0" containsNumber="1" minValue="3.22" maxValue="3.8794320000000004"/>
    </cacheField>
    <cacheField name="SecHt" numFmtId="43">
      <sharedItems containsSemiMixedTypes="0" containsString="0" containsNumber="1" minValue="226.00513259657671" maxValue="672.80825918693779"/>
    </cacheField>
    <cacheField name="CAC" numFmtId="43">
      <sharedItems containsSemiMixedTypes="0" containsString="0" containsNumber="1" minValue="9.0326946012654545" maxValue="14.544586519591396"/>
    </cacheField>
    <cacheField name="HPCool" numFmtId="43">
      <sharedItems containsSemiMixedTypes="0" containsString="0" containsNumber="1" minValue="10.100210866762" maxValue="14.496620194401077"/>
    </cacheField>
    <cacheField name="GHPCool" numFmtId="43">
      <sharedItems containsSemiMixedTypes="0" containsString="0" containsNumber="1" minValue="12.759999999999987" maxValue="18.681554000000006"/>
    </cacheField>
    <cacheField name="RAC" numFmtId="43">
      <sharedItems containsSemiMixedTypes="0" containsString="0" containsNumber="1" minValue="8.2767889420950311" maxValue="11.06150710486053"/>
    </cacheField>
    <cacheField name="EWHeat" numFmtId="43">
      <sharedItems containsSemiMixedTypes="0" containsString="0" containsNumber="1" minValue="0.86162231376373388" maxValue="1.0082054730380194"/>
    </cacheField>
    <cacheField name="ECook" numFmtId="43">
      <sharedItems containsSemiMixedTypes="0" containsString="0" containsNumber="1" minValue="328.55904780990846" maxValue="332.28448403002676"/>
    </cacheField>
    <cacheField name="Ref1" numFmtId="43">
      <sharedItems containsSemiMixedTypes="0" containsString="0" containsNumber="1" minValue="431.74364938506972" maxValue="785.42382844601207"/>
    </cacheField>
    <cacheField name="Ref2" numFmtId="43">
      <sharedItems containsSemiMixedTypes="0" containsString="0" containsNumber="1" minValue="388.56928444656273" maxValue="706.88144560141018"/>
    </cacheField>
    <cacheField name="Frz" numFmtId="43">
      <sharedItems containsSemiMixedTypes="0" containsString="0" containsNumber="1" minValue="398.89313390605867" maxValue="597.8861696134619"/>
    </cacheField>
    <cacheField name="Dish" numFmtId="43">
      <sharedItems containsSemiMixedTypes="0" containsString="0" containsNumber="1" minValue="315.35039504397855" maxValue="516.35370934786215"/>
    </cacheField>
    <cacheField name="CWash" numFmtId="43">
      <sharedItems containsSemiMixedTypes="0" containsString="0" containsNumber="1" minValue="69.088351765119057" maxValue="121.61550489098488"/>
    </cacheField>
    <cacheField name="EDry" numFmtId="43">
      <sharedItems containsSemiMixedTypes="0" containsString="0" containsNumber="1" minValue="673.74294545438158" maxValue="974.17608841809999"/>
    </cacheField>
    <cacheField name="TV" numFmtId="43">
      <sharedItems containsSemiMixedTypes="0" containsString="0" containsNumber="1" minValue="192.30104310978115" maxValue="226.60685190050145"/>
    </cacheField>
    <cacheField name="FurnFan" numFmtId="43">
      <sharedItems containsSemiMixedTypes="0" containsString="0" containsNumber="1" minValue="417.63542342875638" maxValue="664.09491960269349"/>
    </cacheField>
    <cacheField name="Light" numFmtId="43">
      <sharedItems containsSemiMixedTypes="0" containsString="0" containsNumber="1" minValue="1130.9268049418979" maxValue="2009.4019042164659"/>
    </cacheField>
    <cacheField name="delta LT" numFmtId="0">
      <sharedItems containsString="0" containsBlank="1" containsNumber="1" minValue="-3.9512093874904397E-2" maxValue="8.5802232094622788E-4"/>
    </cacheField>
    <cacheField name="Misc_2012MTP" numFmtId="43">
      <sharedItems containsSemiMixedTypes="0" containsString="0" containsNumber="1" minValue="2926.6635745911367" maxValue="6409.2899815614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40998.440491898145" createdVersion="3" refreshedVersion="4" minRefreshableVersion="3" recordCount="48">
  <cacheSource type="worksheet">
    <worksheetSource ref="A1:V49" sheet="Efficiencies" r:id="rId2"/>
  </cacheSource>
  <cacheFields count="22">
    <cacheField name="Year" numFmtId="0">
      <sharedItems containsSemiMixedTypes="0" containsString="0" containsNumber="1" containsInteger="1" minValue="1995" maxValue="2042" count="4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</sharedItems>
    </cacheField>
    <cacheField name="EFurn" numFmtId="43">
      <sharedItems containsSemiMixedTypes="0" containsString="0" containsNumber="1" minValue="3.4119999999999999" maxValue="3.4119999999999999"/>
    </cacheField>
    <cacheField name="HPHeat" numFmtId="0">
      <sharedItems containsSemiMixedTypes="0" containsString="0" containsNumber="1" minValue="6.6145431549056699" maxValue="8.4538133701754781"/>
    </cacheField>
    <cacheField name="GHPHeat" numFmtId="43">
      <sharedItems containsSemiMixedTypes="0" containsString="0" containsNumber="1" minValue="3.22" maxValue="3.8794320000000004"/>
    </cacheField>
    <cacheField name="SecHt" numFmtId="43">
      <sharedItems containsSemiMixedTypes="0" containsString="0" containsNumber="1" minValue="226.00513259657671" maxValue="672.80825918693779"/>
    </cacheField>
    <cacheField name="CAC" numFmtId="43">
      <sharedItems containsSemiMixedTypes="0" containsString="0" containsNumber="1" minValue="9.0326946012654545" maxValue="14.544586519591396"/>
    </cacheField>
    <cacheField name="HPCool" numFmtId="43">
      <sharedItems containsSemiMixedTypes="0" containsString="0" containsNumber="1" minValue="10.100210866762" maxValue="14.496620194401077"/>
    </cacheField>
    <cacheField name="GHPCool" numFmtId="43">
      <sharedItems containsSemiMixedTypes="0" containsString="0" containsNumber="1" minValue="12.759999999999987" maxValue="18.681554000000006"/>
    </cacheField>
    <cacheField name="RAC" numFmtId="43">
      <sharedItems containsSemiMixedTypes="0" containsString="0" containsNumber="1" minValue="8.2767889420950311" maxValue="11.06150710486053"/>
    </cacheField>
    <cacheField name="EWHeat" numFmtId="43">
      <sharedItems containsSemiMixedTypes="0" containsString="0" containsNumber="1" minValue="0.86162231376373388" maxValue="1.0082054730380194"/>
    </cacheField>
    <cacheField name="ECook" numFmtId="43">
      <sharedItems containsSemiMixedTypes="0" containsString="0" containsNumber="1" minValue="328.55904780990846" maxValue="332.28448403002676"/>
    </cacheField>
    <cacheField name="Ref1" numFmtId="43">
      <sharedItems containsSemiMixedTypes="0" containsString="0" containsNumber="1" minValue="431.74364938506972" maxValue="785.42382844601207"/>
    </cacheField>
    <cacheField name="Ref2" numFmtId="43">
      <sharedItems containsSemiMixedTypes="0" containsString="0" containsNumber="1" minValue="388.56928444656273" maxValue="706.88144560141018"/>
    </cacheField>
    <cacheField name="Frz" numFmtId="43">
      <sharedItems containsSemiMixedTypes="0" containsString="0" containsNumber="1" minValue="398.89313390605867" maxValue="597.8861696134619"/>
    </cacheField>
    <cacheField name="Dish" numFmtId="43">
      <sharedItems containsSemiMixedTypes="0" containsString="0" containsNumber="1" minValue="315.35039504397855" maxValue="516.35370934786215"/>
    </cacheField>
    <cacheField name="CWash" numFmtId="43">
      <sharedItems containsSemiMixedTypes="0" containsString="0" containsNumber="1" minValue="69.088351765119057" maxValue="121.61550489098488"/>
    </cacheField>
    <cacheField name="EDry" numFmtId="43">
      <sharedItems containsSemiMixedTypes="0" containsString="0" containsNumber="1" minValue="673.74294545438158" maxValue="974.17608841809999"/>
    </cacheField>
    <cacheField name="TV" numFmtId="43">
      <sharedItems containsSemiMixedTypes="0" containsString="0" containsNumber="1" minValue="192.30104310978115" maxValue="226.60685190050145"/>
    </cacheField>
    <cacheField name="FurnFan" numFmtId="43">
      <sharedItems containsSemiMixedTypes="0" containsString="0" containsNumber="1" minValue="417.63542342875638" maxValue="664.09491960269349"/>
    </cacheField>
    <cacheField name="Light" numFmtId="43">
      <sharedItems containsSemiMixedTypes="0" containsString="0" containsNumber="1" minValue="1130.9268049418979" maxValue="2009.4019042164659"/>
    </cacheField>
    <cacheField name="delta LT" numFmtId="0">
      <sharedItems containsString="0" containsBlank="1" containsNumber="1" minValue="-3.9512093874904397E-2" maxValue="8.5802232094622788E-4"/>
    </cacheField>
    <cacheField name="Misc_2012MTP" numFmtId="43">
      <sharedItems containsSemiMixedTypes="0" containsString="0" containsNumber="1" minValue="2926.6635745911367" maxValue="6409.2899815614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">
  <r>
    <x v="0"/>
    <n v="3.4119999999999999"/>
    <n v="6.6145431549056699"/>
    <n v="3.22"/>
    <n v="672.80825918693779"/>
    <n v="9.0326946012654545"/>
    <n v="10.100210866762"/>
    <n v="12.759999999999987"/>
    <n v="8.2767889420950311"/>
    <n v="0.86162231376373388"/>
    <n v="332.28448403002676"/>
    <n v="785.42382844601207"/>
    <n v="706.88144560141018"/>
    <n v="597.8861696134619"/>
    <n v="516.35370934786215"/>
    <n v="121.61550489098488"/>
    <n v="974.17608841809999"/>
    <n v="192.30104310978115"/>
    <n v="417.63542342875638"/>
    <n v="1994.4411425298797"/>
    <m/>
    <n v="2926.6635745911367"/>
  </r>
  <r>
    <x v="1"/>
    <n v="3.4119999999999999"/>
    <n v="6.65948938012379"/>
    <n v="3.2280000000000002"/>
    <n v="668.07399668742369"/>
    <n v="9.2484880402426786"/>
    <n v="10.242073513409206"/>
    <n v="12.863999999999988"/>
    <n v="8.3952412804142877"/>
    <n v="0.86373287526832121"/>
    <n v="332.19678296536182"/>
    <n v="773.24932431927755"/>
    <n v="695.9243918873492"/>
    <n v="591.15569892400902"/>
    <n v="508.12395663771969"/>
    <n v="120.50651716030856"/>
    <n v="969.00782764597238"/>
    <n v="195.52111265043322"/>
    <n v="424.14445165734008"/>
    <n v="1995.9372186985383"/>
    <m/>
    <n v="3033.7744795638791"/>
  </r>
  <r>
    <x v="2"/>
    <n v="3.4119999999999999"/>
    <n v="6.7044356053419101"/>
    <n v="3.2360000000000002"/>
    <n v="663.33973418790958"/>
    <n v="9.4642814792199026"/>
    <n v="10.383936160056413"/>
    <n v="12.967999999999989"/>
    <n v="8.5136936187335444"/>
    <n v="0.86584343677290854"/>
    <n v="332.10908190069688"/>
    <n v="761.07482019254303"/>
    <n v="684.96733817328823"/>
    <n v="584.42522823455613"/>
    <n v="499.89420392757722"/>
    <n v="119.39752942963224"/>
    <n v="963.83956687384477"/>
    <n v="198.7411821910853"/>
    <n v="430.65347988592379"/>
    <n v="1997.433294867197"/>
    <m/>
    <n v="3140.8853845366216"/>
  </r>
  <r>
    <x v="3"/>
    <n v="3.4119999999999999"/>
    <n v="6.7493818305600302"/>
    <n v="3.2440000000000002"/>
    <n v="658.60547168839548"/>
    <n v="9.6800749181971266"/>
    <n v="10.525798806703619"/>
    <n v="13.07199999999999"/>
    <n v="8.632145957052801"/>
    <n v="0.86795399827749586"/>
    <n v="332.02138083603194"/>
    <n v="748.90031606580851"/>
    <n v="674.01028445922725"/>
    <n v="577.69475754510324"/>
    <n v="491.66445121743476"/>
    <n v="118.28854169895592"/>
    <n v="958.67130610171716"/>
    <n v="201.96125173173738"/>
    <n v="437.16250811450749"/>
    <n v="1998.9293710358556"/>
    <m/>
    <n v="3247.996289509364"/>
  </r>
  <r>
    <x v="4"/>
    <n v="3.4119999999999999"/>
    <n v="6.7943280557781502"/>
    <n v="3.2520000000000002"/>
    <n v="653.87120918888138"/>
    <n v="9.8958683571743506"/>
    <n v="10.667661453350826"/>
    <n v="13.175999999999991"/>
    <n v="8.7505982953720576"/>
    <n v="0.87006455978208319"/>
    <n v="331.933679771367"/>
    <n v="736.72581193907399"/>
    <n v="663.05323074516627"/>
    <n v="570.96428685565036"/>
    <n v="483.4346985072923"/>
    <n v="117.17955396827961"/>
    <n v="953.50304532958955"/>
    <n v="205.18132127238945"/>
    <n v="443.67153634309119"/>
    <n v="2000.4254472045143"/>
    <m/>
    <n v="3355.1071944821065"/>
  </r>
  <r>
    <x v="5"/>
    <n v="3.4119999999999999"/>
    <n v="6.8392742809962703"/>
    <n v="3.2600000000000002"/>
    <n v="649.13694668936728"/>
    <n v="10.111661796151575"/>
    <n v="10.809524099998033"/>
    <n v="13.279999999999992"/>
    <n v="8.8690506336913142"/>
    <n v="0.87217512128667052"/>
    <n v="331.84597870670206"/>
    <n v="724.55130781233947"/>
    <n v="652.0961770311053"/>
    <n v="564.23381616619747"/>
    <n v="475.20494579714983"/>
    <n v="116.07056623760329"/>
    <n v="948.33478455746194"/>
    <n v="208.40139081304153"/>
    <n v="450.18056457167489"/>
    <n v="2001.9215233731729"/>
    <m/>
    <n v="3462.2180994548489"/>
  </r>
  <r>
    <x v="6"/>
    <n v="3.4119999999999999"/>
    <n v="6.8842205062143904"/>
    <n v="3.2680000000000002"/>
    <n v="644.40268418985318"/>
    <n v="10.327455235128799"/>
    <n v="10.951386746645239"/>
    <n v="13.383999999999993"/>
    <n v="8.9875029720105708"/>
    <n v="0.87428568279125785"/>
    <n v="331.75827764203711"/>
    <n v="712.37680368560495"/>
    <n v="641.13912331704432"/>
    <n v="557.50334547674458"/>
    <n v="466.97519308700737"/>
    <n v="114.96157850692697"/>
    <n v="943.16652378533433"/>
    <n v="211.62146035369361"/>
    <n v="456.68959280025859"/>
    <n v="2003.4175995418316"/>
    <m/>
    <n v="3569.3290044275914"/>
  </r>
  <r>
    <x v="7"/>
    <n v="3.4119999999999999"/>
    <n v="6.9291667314325105"/>
    <n v="3.2760000000000002"/>
    <n v="639.66842169033907"/>
    <n v="10.543248674106023"/>
    <n v="11.093249393292446"/>
    <n v="13.487999999999994"/>
    <n v="9.1059553103298274"/>
    <n v="0.87639624429584517"/>
    <n v="331.67057657737217"/>
    <n v="700.20229955887044"/>
    <n v="630.18206960298335"/>
    <n v="550.7728747872917"/>
    <n v="458.74544037686491"/>
    <n v="113.85259077625065"/>
    <n v="937.99826301320672"/>
    <n v="214.84152989434568"/>
    <n v="463.1986210288423"/>
    <n v="2004.9136757104902"/>
    <m/>
    <n v="3676.4399094003338"/>
  </r>
  <r>
    <x v="8"/>
    <n v="3.4119999999999999"/>
    <n v="6.9741129566506306"/>
    <n v="3.2840000000000003"/>
    <n v="634.93415919082497"/>
    <n v="10.759042113083247"/>
    <n v="11.235112039939652"/>
    <n v="13.591999999999995"/>
    <n v="9.224407648649084"/>
    <n v="0.8785068058004325"/>
    <n v="331.58287551270723"/>
    <n v="688.02779543213592"/>
    <n v="619.22501588892237"/>
    <n v="544.04240409783881"/>
    <n v="450.51568766672244"/>
    <n v="112.74360304557433"/>
    <n v="932.83000224107911"/>
    <n v="218.06159943499776"/>
    <n v="469.707649257426"/>
    <n v="2006.4097518791489"/>
    <m/>
    <n v="3783.5508143730763"/>
  </r>
  <r>
    <x v="9"/>
    <n v="3.4119999999999999"/>
    <n v="7.0190591818687507"/>
    <n v="3.2920000000000003"/>
    <n v="630.19989669131087"/>
    <n v="10.974835552060471"/>
    <n v="11.376974686586859"/>
    <n v="13.695999999999996"/>
    <n v="9.3428599869683406"/>
    <n v="0.88061736730501983"/>
    <n v="331.49517444804229"/>
    <n v="675.8532913054014"/>
    <n v="608.2679621748614"/>
    <n v="537.31193340838593"/>
    <n v="442.28593495657998"/>
    <n v="111.63461531489801"/>
    <n v="927.6617414689515"/>
    <n v="221.28166897564984"/>
    <n v="476.2166774860097"/>
    <n v="2007.9058280478075"/>
    <m/>
    <n v="3890.6617193458187"/>
  </r>
  <r>
    <x v="10"/>
    <n v="3.4119999999999999"/>
    <n v="7.0640054070868681"/>
    <n v="3.3"/>
    <n v="625.46563419179665"/>
    <n v="11.190628991037693"/>
    <n v="11.518837333234069"/>
    <n v="13.8"/>
    <n v="9.4613123252875919"/>
    <n v="0.88272792880960704"/>
    <n v="331.40747338337758"/>
    <n v="663.67878717866665"/>
    <n v="597.31090846079996"/>
    <n v="530.58146271893293"/>
    <n v="434.05618224643769"/>
    <n v="110.52562758422165"/>
    <n v="922.49348069682435"/>
    <n v="224.50173851630203"/>
    <n v="482.72570571459363"/>
    <n v="2009.4019042164659"/>
    <m/>
    <n v="3997.7726243185602"/>
  </r>
  <r>
    <x v="11"/>
    <n v="3.4119999999999999"/>
    <n v="7.1509267544549466"/>
    <n v="3.3015590000000001"/>
    <n v="608.1527330872525"/>
    <n v="11.401529818829824"/>
    <n v="11.725685088053469"/>
    <n v="13.886512"/>
    <n v="9.5224392825295894"/>
    <n v="0.88500750520619786"/>
    <n v="331.11625407322299"/>
    <n v="647.46748751540326"/>
    <n v="582.72073876386298"/>
    <n v="518.47639290197708"/>
    <n v="423.37992276068093"/>
    <n v="108.28898047912446"/>
    <n v="908.94754083650048"/>
    <n v="224.21212322543218"/>
    <n v="494.96475916607523"/>
    <n v="1994.2060049955637"/>
    <m/>
    <n v="4071.1647895096144"/>
  </r>
  <r>
    <x v="12"/>
    <n v="3.4119999999999999"/>
    <n v="7.2389176537546671"/>
    <n v="3.30253"/>
    <n v="590.83983198270835"/>
    <n v="11.616405325721676"/>
    <n v="11.93624727970673"/>
    <n v="13.954171000000001"/>
    <n v="9.5839611643627212"/>
    <n v="0.88729296843198968"/>
    <n v="330.9257571682009"/>
    <n v="631.65217193638227"/>
    <n v="568.48695474274405"/>
    <n v="506.64749691612809"/>
    <n v="413.03471971289258"/>
    <n v="106.05233337402728"/>
    <n v="895.40160097617661"/>
    <n v="223.92250793456233"/>
    <n v="507.20381261755682"/>
    <n v="1962.1164142451546"/>
    <m/>
    <n v="4217.4901363808576"/>
  </r>
  <r>
    <x v="13"/>
    <n v="3.4119999999999999"/>
    <n v="7.302377720492446"/>
    <n v="3.3036409999999998"/>
    <n v="573.52693087816419"/>
    <n v="11.802056259305916"/>
    <n v="12.08833891284468"/>
    <n v="13.997324000000001"/>
    <n v="9.6531179818082791"/>
    <n v="0.88925478972545646"/>
    <n v="331.30107414508501"/>
    <n v="617.91187523118072"/>
    <n v="556.12068770806263"/>
    <n v="497.00853788104638"/>
    <n v="404.74184677448062"/>
    <n v="103.81568626893011"/>
    <n v="881.85566111585274"/>
    <n v="223.63289264369249"/>
    <n v="519.44286606903836"/>
    <n v="1932.8784015467093"/>
    <m/>
    <n v="4282.0119933923825"/>
  </r>
  <r>
    <x v="14"/>
    <n v="3.4119999999999999"/>
    <n v="7.4469618234936279"/>
    <n v="3.3131979999999999"/>
    <n v="556.21402977362004"/>
    <n v="12.111568890511583"/>
    <n v="12.357536678854581"/>
    <n v="14.100529"/>
    <n v="9.7274060500263637"/>
    <n v="0.8924520000414683"/>
    <n v="330.07754356289564"/>
    <n v="604.50392112234965"/>
    <n v="544.05352901011474"/>
    <n v="487.85587729521859"/>
    <n v="394.81578406430697"/>
    <n v="101.57903916383293"/>
    <n v="868.30972125552887"/>
    <n v="223.34327735282264"/>
    <n v="531.68191952051995"/>
    <n v="1889.2139181923412"/>
    <m/>
    <n v="4307.3495057401396"/>
  </r>
  <r>
    <x v="15"/>
    <n v="3.4119999999999999"/>
    <n v="7.5579488575039955"/>
    <n v="3.3880159999999999"/>
    <n v="538.90112866907589"/>
    <n v="12.378665525149154"/>
    <n v="12.614787706568169"/>
    <n v="14.824436"/>
    <n v="9.8066675844966884"/>
    <n v="0.89494059863781383"/>
    <n v="330.26058639828216"/>
    <n v="591.85248951264384"/>
    <n v="532.66724056137946"/>
    <n v="479.45148196275602"/>
    <n v="386.25915595615032"/>
    <n v="99.342392058735754"/>
    <n v="854.763781395205"/>
    <n v="223.05366206195279"/>
    <n v="543.92097297200155"/>
    <n v="1865.6788210078303"/>
    <m/>
    <n v="4268.1226930839966"/>
  </r>
  <r>
    <x v="16"/>
    <n v="3.4119999999999999"/>
    <n v="7.5714163701222743"/>
    <n v="3.4313090000000002"/>
    <n v="521.58822756453208"/>
    <n v="12.463080238937028"/>
    <n v="12.680915008767705"/>
    <n v="15.217358000000001"/>
    <n v="9.8741992696547687"/>
    <n v="0.89628488788144389"/>
    <n v="329.85134261423076"/>
    <n v="581.11669764603766"/>
    <n v="523.00502788143388"/>
    <n v="472.68560384871955"/>
    <n v="378.4903821942803"/>
    <n v="97.105744953638549"/>
    <n v="841.21784153488113"/>
    <n v="222.76404677108295"/>
    <n v="556.16002642348315"/>
    <n v="1818.8624107485023"/>
    <m/>
    <n v="4266.4474007373328"/>
  </r>
  <r>
    <x v="17"/>
    <n v="3.4119999999999999"/>
    <n v="7.6178553973680234"/>
    <n v="3.4590559999999999"/>
    <n v="499.45843221443903"/>
    <n v="12.610954691482007"/>
    <n v="12.790951865091673"/>
    <n v="15.475415999999999"/>
    <n v="9.9418246440066174"/>
    <n v="0.8979712989076909"/>
    <n v="331.36141135862437"/>
    <n v="572.006354242724"/>
    <n v="514.80571881845162"/>
    <n v="467.14811296909187"/>
    <n v="372.63790918317289"/>
    <n v="94.708031475446276"/>
    <n v="827.67190167455692"/>
    <n v="222.47443148021304"/>
    <n v="568.39907987496463"/>
    <n v="1797.2757481829826"/>
    <m/>
    <n v="4297.3542156431349"/>
  </r>
  <r>
    <x v="18"/>
    <n v="3.4119999999999999"/>
    <n v="7.6654421259684886"/>
    <n v="3.4801530000000001"/>
    <n v="488.51412650213001"/>
    <n v="12.751851183406297"/>
    <n v="12.901668223589098"/>
    <n v="15.677279"/>
    <n v="10.005839215101393"/>
    <n v="0.89972220862440766"/>
    <n v="330.64722634540823"/>
    <n v="563.91505667829995"/>
    <n v="507.52355101046999"/>
    <n v="462.02771229636926"/>
    <n v="363.84300670541199"/>
    <n v="91.878092906421344"/>
    <n v="815.86445548581162"/>
    <n v="221.84023210125414"/>
    <n v="576.46895799881497"/>
    <n v="1573.9481557582549"/>
    <m/>
    <n v="4299.3780605789443"/>
  </r>
  <r>
    <x v="19"/>
    <n v="3.4119999999999999"/>
    <n v="7.7059003345348707"/>
    <n v="3.495698"/>
    <n v="478.76667382776276"/>
    <n v="12.878074814699044"/>
    <n v="12.996027578247961"/>
    <n v="15.826098999999999"/>
    <n v="10.211785920877965"/>
    <n v="0.90140245620864856"/>
    <n v="330.67242878060813"/>
    <n v="545.67366719453264"/>
    <n v="491.10630047507937"/>
    <n v="454.11836854776146"/>
    <n v="356.5337535473372"/>
    <n v="89.320606806414332"/>
    <n v="804.44644550360329"/>
    <n v="221.47803551729379"/>
    <n v="585.63411049743127"/>
    <n v="1484.1432935859859"/>
    <m/>
    <n v="4348.1333795286018"/>
  </r>
  <r>
    <x v="20"/>
    <n v="3.4119999999999999"/>
    <n v="7.8387325465471704"/>
    <n v="3.50861"/>
    <n v="469.20530508386429"/>
    <n v="13.138373175403679"/>
    <n v="13.247079244027672"/>
    <n v="15.950364"/>
    <n v="10.324847527955672"/>
    <n v="0.91536854940737056"/>
    <n v="330.71056486493057"/>
    <n v="534.21468321252462"/>
    <n v="480.79321489127216"/>
    <n v="448.55981214949412"/>
    <n v="349.621366750763"/>
    <n v="86.671267163192766"/>
    <n v="789.97207818690231"/>
    <n v="221.23286660026929"/>
    <n v="593.78906159250687"/>
    <n v="1432.8602460861189"/>
    <m/>
    <n v="4394.4722488570169"/>
  </r>
  <r>
    <x v="21"/>
    <n v="3.4119999999999999"/>
    <n v="7.9123995670631304"/>
    <n v="3.5193159999999999"/>
    <n v="460.80141953108614"/>
    <n v="13.311284566269569"/>
    <n v="13.392730273524553"/>
    <n v="16.053467000000001"/>
    <n v="10.422133705949232"/>
    <n v="0.92228773719655299"/>
    <n v="331.7408410556875"/>
    <n v="523.74696086204528"/>
    <n v="471.37226477584079"/>
    <n v="443.56034491393473"/>
    <n v="344.27768549243234"/>
    <n v="84.077648389412488"/>
    <n v="776.50114529808343"/>
    <n v="221.16242480581636"/>
    <n v="603.54902549531459"/>
    <n v="1400.0557484766291"/>
    <m/>
    <n v="4451.0655384659776"/>
  </r>
  <r>
    <x v="22"/>
    <n v="3.4119999999999999"/>
    <n v="7.9798498222430796"/>
    <n v="3.5227819999999999"/>
    <n v="448.9680588574933"/>
    <n v="13.467351130942429"/>
    <n v="13.526187078456436"/>
    <n v="16.093312999999998"/>
    <n v="10.509140481611231"/>
    <n v="0.92886814738333401"/>
    <n v="330.71991389870954"/>
    <n v="514.24394680031855"/>
    <n v="462.81955212028669"/>
    <n v="439.13899391397274"/>
    <n v="337.58189096149357"/>
    <n v="81.013387467327419"/>
    <n v="756.07411269173133"/>
    <n v="219.01356061798984"/>
    <n v="609.77760735319009"/>
    <n v="1365.1062828763347"/>
    <n v="-2.4962909968636704E-2"/>
    <n v="4482.8025509059607"/>
  </r>
  <r>
    <x v="23"/>
    <n v="3.4119999999999999"/>
    <n v="8.0406899700096481"/>
    <n v="3.5268039999999998"/>
    <n v="438.64933343630025"/>
    <n v="13.60481137872558"/>
    <n v="13.645944257636755"/>
    <n v="16.138203000000001"/>
    <n v="10.592155525540097"/>
    <n v="0.93537774623941372"/>
    <n v="330.60680978363189"/>
    <n v="505.45953644476799"/>
    <n v="454.91358280029118"/>
    <n v="435.22116351054132"/>
    <n v="332.74292029568323"/>
    <n v="78.092325966999098"/>
    <n v="738.97511995197067"/>
    <n v="217.5062407325257"/>
    <n v="617.5355605659513"/>
    <n v="1340.8743680735377"/>
    <n v="-1.7750936397230133E-2"/>
    <n v="4538.935816731233"/>
  </r>
  <r>
    <x v="24"/>
    <n v="3.4119999999999999"/>
    <n v="8.097919671547853"/>
    <n v="3.5309159999999999"/>
    <n v="428.49068464517916"/>
    <n v="13.730995849146662"/>
    <n v="13.757258943764725"/>
    <n v="16.182312"/>
    <n v="10.669701489609984"/>
    <n v="0.94157686041445254"/>
    <n v="330.55294722110727"/>
    <n v="497.34026418637325"/>
    <n v="447.60623776773593"/>
    <n v="431.67782190624621"/>
    <n v="328.78692724967812"/>
    <n v="75.547186339676443"/>
    <n v="724.24061724552689"/>
    <n v="216.24502078549645"/>
    <n v="624.34485359478913"/>
    <n v="1321.9903250769321"/>
    <n v="-1.4083379805176377E-2"/>
    <n v="4611.419753530774"/>
  </r>
  <r>
    <x v="25"/>
    <n v="3.4119999999999999"/>
    <n v="8.1442056963501859"/>
    <n v="3.5525690000000001"/>
    <n v="419.96632373958204"/>
    <n v="13.856800920134059"/>
    <n v="13.854035504868611"/>
    <n v="16.343616000000001"/>
    <n v="10.73640826694389"/>
    <n v="0.9476431484775153"/>
    <n v="331.47817747684871"/>
    <n v="489.66660590760102"/>
    <n v="440.69994531684091"/>
    <n v="428.54515812200174"/>
    <n v="326.45875537598249"/>
    <n v="73.557104440479094"/>
    <n v="714.10506721254205"/>
    <n v="215.98241467192588"/>
    <n v="632.1738356474624"/>
    <n v="1269.755719250777"/>
    <n v="-3.9512093874904397E-2"/>
    <n v="4703.31521126594"/>
  </r>
  <r>
    <x v="26"/>
    <n v="3.4119999999999999"/>
    <n v="8.190389842037554"/>
    <n v="3.571126"/>
    <n v="409.20794973943828"/>
    <n v="13.962350937101309"/>
    <n v="13.945349522989035"/>
    <n v="16.477599999999999"/>
    <n v="10.794933364893012"/>
    <n v="0.95346645711965128"/>
    <n v="330.49955641127411"/>
    <n v="482.48162171628343"/>
    <n v="434.23345954465509"/>
    <n v="425.67586007042604"/>
    <n v="323.00687117341255"/>
    <n v="71.580049523243872"/>
    <n v="702.11188868464501"/>
    <n v="214.87369112535382"/>
    <n v="635.68338378535623"/>
    <n v="1238.8641198064383"/>
    <n v="-2.4328773618414012E-2"/>
    <n v="4769.3422936381139"/>
  </r>
  <r>
    <x v="27"/>
    <n v="3.4119999999999999"/>
    <n v="8.2332268822196752"/>
    <n v="3.5890789999999999"/>
    <n v="399.99777718645038"/>
    <n v="14.056521674320575"/>
    <n v="14.029313704122087"/>
    <n v="16.606939000000001"/>
    <n v="10.848665500903758"/>
    <n v="0.95919143200787138"/>
    <n v="330.49845894926551"/>
    <n v="475.9490726916689"/>
    <n v="428.35416542250204"/>
    <n v="423.01941682911723"/>
    <n v="321.08715964599293"/>
    <n v="70.269077300066343"/>
    <n v="694.36081355544411"/>
    <n v="214.64096812911305"/>
    <n v="640.46196297382551"/>
    <n v="1219.4333830649186"/>
    <n v="-1.5684316327246317E-2"/>
    <n v="4846.6956681214724"/>
  </r>
  <r>
    <x v="28"/>
    <n v="3.4119999999999999"/>
    <n v="8.2697894035397219"/>
    <n v="3.6062970000000001"/>
    <n v="390.91180449753591"/>
    <n v="14.136098504584176"/>
    <n v="14.101060796918411"/>
    <n v="16.730574000000001"/>
    <n v="10.899056144516432"/>
    <n v="0.9646849986418109"/>
    <n v="330.55121730146027"/>
    <n v="470.13786233879659"/>
    <n v="423.12407610491692"/>
    <n v="420.62805703977875"/>
    <n v="319.55444708637162"/>
    <n v="69.492706259570554"/>
    <n v="688.81210476729075"/>
    <n v="214.80559204893063"/>
    <n v="644.3605745394625"/>
    <n v="1205.6044323480062"/>
    <n v="-1.1340472475958374E-2"/>
    <n v="4933.1468940860677"/>
  </r>
  <r>
    <x v="29"/>
    <n v="3.4119999999999999"/>
    <n v="8.3010546150143298"/>
    <n v="3.623122"/>
    <n v="383.06877552965955"/>
    <n v="14.202269064005705"/>
    <n v="14.162568346324433"/>
    <n v="16.850977"/>
    <n v="10.943632750534501"/>
    <n v="0.97012409558935375"/>
    <n v="331.51235626754573"/>
    <n v="465.03036657069157"/>
    <n v="418.5273299136224"/>
    <n v="418.50725969556311"/>
    <n v="319.29192758826025"/>
    <n v="69.270346446215157"/>
    <n v="686.87307163244111"/>
    <n v="215.76662123037423"/>
    <n v="649.73602395822979"/>
    <n v="1198.4258865858853"/>
    <n v="-5.9543126829254556E-3"/>
    <n v="5031.9627347048136"/>
  </r>
  <r>
    <x v="30"/>
    <n v="3.4119999999999999"/>
    <n v="8.3275989943828534"/>
    <n v="3.6397010000000001"/>
    <n v="372.89261827547023"/>
    <n v="14.257660809486611"/>
    <n v="14.214877761536375"/>
    <n v="16.969263000000002"/>
    <n v="10.981582822701254"/>
    <n v="0.97538625690068848"/>
    <n v="330.5724525297955"/>
    <n v="460.59611535548845"/>
    <n v="414.53650381993964"/>
    <n v="416.42666994176869"/>
    <n v="317.48873805314884"/>
    <n v="69.088351765119057"/>
    <n v="681.83158310216493"/>
    <n v="215.3838096456148"/>
    <n v="651.11539399671483"/>
    <n v="1185.1242283098265"/>
    <n v="-1.109927482787687E-2"/>
    <n v="5106.3784194892005"/>
  </r>
  <r>
    <x v="31"/>
    <n v="3.4119999999999999"/>
    <n v="8.3494125211931092"/>
    <n v="3.6560069999999998"/>
    <n v="363.40195405575997"/>
    <n v="14.30328424720304"/>
    <n v="14.258012834356226"/>
    <n v="17.085235999999998"/>
    <n v="11.012506139039157"/>
    <n v="0.98007867816816163"/>
    <n v="330.42019434888834"/>
    <n v="456.87448998397741"/>
    <n v="411.1870409855797"/>
    <n v="414.52127371504622"/>
    <n v="316.75906844902772"/>
    <n v="69.096914198654005"/>
    <n v="679.14419471165479"/>
    <n v="215.32643186869478"/>
    <n v="653.82267965171081"/>
    <n v="1174.6918590547461"/>
    <n v="-8.8027643059483962E-3"/>
    <n v="5194.1820392811978"/>
  </r>
  <r>
    <x v="32"/>
    <n v="3.4119999999999999"/>
    <n v="8.3668992443359684"/>
    <n v="3.6720199999999998"/>
    <n v="354.01670363087203"/>
    <n v="14.33977331883257"/>
    <n v="14.292741239117538"/>
    <n v="17.198823999999998"/>
    <n v="11.0365098007554"/>
    <n v="0.98429763655557467"/>
    <n v="330.22830310790187"/>
    <n v="453.87905072495818"/>
    <n v="408.49114565246236"/>
    <n v="412.76444890663794"/>
    <n v="316.18866387824568"/>
    <n v="69.102726492425504"/>
    <n v="677.29312871746174"/>
    <n v="215.32191801218977"/>
    <n v="656.22281892092496"/>
    <n v="1165.1227952647812"/>
    <n v="-8.1460203509582385E-3"/>
    <n v="5275.6032530634193"/>
  </r>
  <r>
    <x v="33"/>
    <n v="3.4119999999999999"/>
    <n v="8.3820133515158552"/>
    <n v="3.6878350000000002"/>
    <n v="345.61365104914455"/>
    <n v="14.371698710856524"/>
    <n v="14.322822084287804"/>
    <n v="17.310966000000001"/>
    <n v="11.053065298474133"/>
    <n v="0.98810952618150916"/>
    <n v="330.93029938973899"/>
    <n v="451.27329007356576"/>
    <n v="406.14596106620917"/>
    <n v="411.15410932159227"/>
    <n v="316.62927262134241"/>
    <n v="69.292832204904883"/>
    <n v="677.47048870015078"/>
    <n v="215.97685260711106"/>
    <n v="660.42299242267268"/>
    <n v="1159.4596184884074"/>
    <n v="-4.8605836220780851E-3"/>
    <n v="5359.256897805185"/>
  </r>
  <r>
    <x v="34"/>
    <n v="3.4119999999999999"/>
    <n v="8.3945062409389717"/>
    <n v="3.7035469999999999"/>
    <n v="335.31520701696746"/>
    <n v="14.398754962505095"/>
    <n v="14.347722981616645"/>
    <n v="17.422353999999999"/>
    <n v="11.06150710486053"/>
    <n v="0.99146862554272841"/>
    <n v="329.81921028319863"/>
    <n v="448.92414645913277"/>
    <n v="404.03173181321949"/>
    <n v="409.68696562672051"/>
    <n v="315.48431158699367"/>
    <n v="69.10064719926315"/>
    <n v="674.29231234221595"/>
    <n v="215.54449635579306"/>
    <n v="660.41878387762711"/>
    <n v="1148.3961477918631"/>
    <n v="-9.5419198048206644E-3"/>
    <n v="5409.8047095777374"/>
  </r>
  <r>
    <x v="35"/>
    <n v="3.4119999999999999"/>
    <n v="8.405648247040185"/>
    <n v="3.7192210000000001"/>
    <n v="326.32083832269967"/>
    <n v="14.421297347885083"/>
    <n v="14.374589757458491"/>
    <n v="17.533472"/>
    <n v="11.061324610560973"/>
    <n v="0.99435966112915053"/>
    <n v="329.70775549960115"/>
    <n v="446.81914432469313"/>
    <n v="402.13722989222384"/>
    <n v="408.35116049756937"/>
    <n v="315.35039504397855"/>
    <n v="69.099013800494049"/>
    <n v="674.08999057112578"/>
    <n v="216.09082431746859"/>
    <n v="661.87033342277857"/>
    <n v="1142.7026533663559"/>
    <n v="-4.9577791047581421E-3"/>
    <n v="5480.87412810562"/>
  </r>
  <r>
    <x v="36"/>
    <n v="3.4119999999999999"/>
    <n v="8.4157941304593287"/>
    <n v="3.7342439999999999"/>
    <n v="317.27929729435795"/>
    <n v="14.442716324292093"/>
    <n v="14.396076002539097"/>
    <n v="17.640267999999999"/>
    <n v="11.061161808558927"/>
    <n v="0.99678594057528325"/>
    <n v="329.59197692239553"/>
    <n v="444.93363732543077"/>
    <n v="400.44027359288771"/>
    <n v="407.18001880876142"/>
    <n v="315.35075649430536"/>
    <n v="69.098269733041036"/>
    <n v="673.74294545438158"/>
    <n v="216.56805681692848"/>
    <n v="662.45367395940343"/>
    <n v="1138.2527795901376"/>
    <n v="-3.8941659609428303E-3"/>
    <n v="5552.877196279107"/>
  </r>
  <r>
    <x v="37"/>
    <n v="3.4119999999999999"/>
    <n v="8.4249576911533275"/>
    <n v="3.7486199999999998"/>
    <n v="309.0327885386979"/>
    <n v="14.463387768104882"/>
    <n v="14.415573627853872"/>
    <n v="17.742751999999999"/>
    <n v="11.060984269870238"/>
    <n v="0.99883765299838911"/>
    <n v="330.38425668389834"/>
    <n v="443.23224032927942"/>
    <n v="398.90901629635147"/>
    <n v="406.16617227636692"/>
    <n v="316.21501157090557"/>
    <n v="69.287929119915759"/>
    <n v="676.01698519000036"/>
    <n v="217.86563789678891"/>
    <n v="664.09491960269349"/>
    <n v="1139.0083511970365"/>
    <n v="6.6379948324923888E-4"/>
    <n v="5625.826179594088"/>
  </r>
  <r>
    <x v="38"/>
    <n v="3.4119999999999999"/>
    <n v="8.4317027270645557"/>
    <n v="3.7624629999999999"/>
    <n v="299.08207866584496"/>
    <n v="14.479360058071141"/>
    <n v="14.430632056057418"/>
    <n v="17.841685999999999"/>
    <n v="11.060819877644116"/>
    <n v="1.000515791422204"/>
    <n v="329.30082876880681"/>
    <n v="441.72625620838903"/>
    <n v="397.55363058755012"/>
    <n v="405.24884432213236"/>
    <n v="315.35133277187407"/>
    <n v="69.099841707048881"/>
    <n v="674.18015291632946"/>
    <n v="217.82135298035433"/>
    <n v="662.19985842912183"/>
    <n v="1133.2958452543965"/>
    <n v="-5.0153327994799657E-3"/>
    <n v="5699.7335046801154"/>
  </r>
  <r>
    <x v="39"/>
    <n v="3.4119999999999999"/>
    <n v="8.436276245805697"/>
    <n v="3.7758560000000001"/>
    <n v="289.94106646626875"/>
    <n v="14.490826281137791"/>
    <n v="14.441786791770996"/>
    <n v="17.937657999999999"/>
    <n v="11.060728336680551"/>
    <n v="1.0017630316729063"/>
    <n v="329.08521921166783"/>
    <n v="440.43760058613827"/>
    <n v="396.39384052752445"/>
    <n v="404.44344892440404"/>
    <n v="315.35172316890521"/>
    <n v="69.101084056966499"/>
    <n v="674.11916095875756"/>
    <n v="218.30877179722594"/>
    <n v="662.10923900502735"/>
    <n v="1130.9268049418979"/>
    <n v="-2.0903988331191226E-3"/>
    <n v="5774.6117614172472"/>
  </r>
  <r>
    <x v="40"/>
    <n v="3.4119999999999999"/>
    <n v="8.4384683863519196"/>
    <n v="3.7888030000000001"/>
    <n v="281.05143254228147"/>
    <n v="14.497546310944491"/>
    <n v="14.448640967099756"/>
    <n v="18.030645"/>
    <n v="11.060691187179341"/>
    <n v="1.0025683368435454"/>
    <n v="329.01940173233208"/>
    <n v="439.3508566860047"/>
    <n v="395.41577101740427"/>
    <n v="403.74965954711087"/>
    <n v="315.35202464956387"/>
    <n v="69.102773757170596"/>
    <n v="675.82131711470868"/>
    <n v="219.32918139597865"/>
    <n v="661.47069408085599"/>
    <n v="1131.8971653838944"/>
    <n v="8.5802232094622788E-4"/>
    <n v="5850.4737050806871"/>
  </r>
  <r>
    <x v="41"/>
    <n v="3.4119999999999999"/>
    <n v="8.4406605268981423"/>
    <n v="3.8017500000000002"/>
    <n v="272.43435604613853"/>
    <n v="14.504266340751192"/>
    <n v="14.455495142428516"/>
    <n v="18.123632000000001"/>
    <n v="11.06065403767813"/>
    <n v="1.0033736420141846"/>
    <n v="328.95359741657933"/>
    <n v="438.26411278587113"/>
    <n v="394.43770150728403"/>
    <n v="403.05587016981769"/>
    <n v="315.35232613051073"/>
    <n v="69.104463498692226"/>
    <n v="677.52777122827206"/>
    <n v="220.35436054998397"/>
    <n v="660.83276497594238"/>
    <n v="1132.8683584168095"/>
    <m/>
    <n v="5927.3322585136057"/>
  </r>
  <r>
    <x v="42"/>
    <n v="3.4119999999999999"/>
    <n v="8.4428526674443649"/>
    <n v="3.8146970000000002"/>
    <n v="264.08148032872396"/>
    <n v="14.510986370557893"/>
    <n v="14.462349317757276"/>
    <n v="18.216619000000001"/>
    <n v="11.06061688817692"/>
    <n v="1.0041789471848237"/>
    <n v="328.88780626177669"/>
    <n v="437.17736888573756"/>
    <n v="393.4596319971638"/>
    <n v="402.36208079252452"/>
    <n v="315.35262761174585"/>
    <n v="69.106153281532414"/>
    <n v="679.23853415182384"/>
    <n v="221.38433155289479"/>
    <n v="660.19545109638432"/>
    <n v="1133.8403847550246"/>
    <m/>
    <n v="6005.2005143285196"/>
  </r>
  <r>
    <x v="43"/>
    <n v="3.4119999999999999"/>
    <n v="8.4450448079905875"/>
    <n v="3.8276440000000003"/>
    <n v="255.98470495696014"/>
    <n v="14.517706400364593"/>
    <n v="14.469203493086036"/>
    <n v="18.309606000000002"/>
    <n v="11.06057973867571"/>
    <n v="1.0049842523554628"/>
    <n v="328.8220282652922"/>
    <n v="436.09062498560399"/>
    <n v="392.48156248704362"/>
    <n v="401.66829141523135"/>
    <n v="315.35292909326915"/>
    <n v="69.107843105692154"/>
    <n v="680.95361676514312"/>
    <n v="222.41911680256794"/>
    <n v="659.55875184885201"/>
    <n v="1134.813245113535"/>
    <m/>
    <n v="6084.0917371375544"/>
  </r>
  <r>
    <x v="44"/>
    <n v="3.4119999999999999"/>
    <n v="8.4472369485368102"/>
    <n v="3.8405910000000003"/>
    <n v="248.13617785818846"/>
    <n v="14.524426430171294"/>
    <n v="14.476057668414796"/>
    <n v="18.402593000000003"/>
    <n v="11.060542589174499"/>
    <n v="1.005789557526102"/>
    <n v="328.75626342449397"/>
    <n v="435.00388108547043"/>
    <n v="391.50349297692338"/>
    <n v="400.97450203793818"/>
    <n v="315.35323057508066"/>
    <n v="69.10953297117247"/>
    <n v="682.67302997548063"/>
    <n v="223.45873880155131"/>
    <n v="658.9226666405882"/>
    <n v="1135.7869402079475"/>
    <m/>
    <n v="6164.0193658120461"/>
  </r>
  <r>
    <x v="45"/>
    <n v="3.4119999999999999"/>
    <n v="8.4494290890830328"/>
    <n v="3.8535380000000004"/>
    <n v="240.52828770540347"/>
    <n v="14.531146459977995"/>
    <n v="14.482911843743556"/>
    <n v="18.495580000000004"/>
    <n v="11.060505439673289"/>
    <n v="1.0065948626967411"/>
    <n v="328.69051173675098"/>
    <n v="433.91713718533686"/>
    <n v="390.5254234668032"/>
    <n v="400.28071266064501"/>
    <n v="315.35353205718042"/>
    <n v="69.111222877974356"/>
    <n v="684.39678471762738"/>
    <n v="224.50322015757334"/>
    <n v="658.28719487940702"/>
    <n v="1136.7614707544849"/>
    <m/>
    <n v="6244.9970157718099"/>
  </r>
  <r>
    <x v="46"/>
    <n v="3.4119999999999999"/>
    <n v="8.4516212296292554"/>
    <n v="3.8664850000000004"/>
    <n v="233.15365653595757"/>
    <n v="14.537866489784696"/>
    <n v="14.489766019072317"/>
    <n v="18.588567000000005"/>
    <n v="11.060468290172079"/>
    <n v="1.0074001678673803"/>
    <n v="328.62477319943252"/>
    <n v="432.83039328520329"/>
    <n v="389.54735395668297"/>
    <n v="399.58692328335184"/>
    <n v="315.35383353956837"/>
    <n v="69.112912826098835"/>
    <n v="686.12489195398507"/>
    <n v="225.55258358403458"/>
    <n v="657.65233597369388"/>
    <n v="1137.7368374699838"/>
    <m/>
    <n v="6327.0384813044739"/>
  </r>
  <r>
    <x v="47"/>
    <n v="3.4119999999999999"/>
    <n v="8.4538133701754781"/>
    <n v="3.8794320000000004"/>
    <n v="226.00513259657671"/>
    <n v="14.544586519591396"/>
    <n v="14.496620194401077"/>
    <n v="18.681554000000006"/>
    <n v="11.060431140670868"/>
    <n v="1.0082054730380194"/>
    <n v="328.55904780990846"/>
    <n v="431.74364938506972"/>
    <n v="388.56928444656273"/>
    <n v="398.89313390605867"/>
    <n v="315.35413502224458"/>
    <n v="69.114602815546931"/>
    <n v="687.85736267463608"/>
    <n v="226.60685190050145"/>
    <n v="657.01808933240477"/>
    <n v="1138.7130410718958"/>
    <m/>
    <n v="6409.28998156143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4">
  <r>
    <x v="0"/>
    <n v="1"/>
    <n v="735535.00800000003"/>
    <n v="4.2694402357305536"/>
    <n v="4.2694402357305536"/>
    <m/>
    <n v="32.33"/>
    <n v="0"/>
    <x v="0"/>
    <n v="1603592"/>
    <n v="386121"/>
    <n v="393204"/>
    <n v="65851.988599585893"/>
    <n v="113069.322"/>
    <n v="1283.4000000000001"/>
    <n v="0"/>
    <n v="4512"/>
    <n v="1455"/>
    <n v="1904.9339662955397"/>
  </r>
  <r>
    <x v="0"/>
    <n v="2"/>
    <n v="530191.82200000004"/>
    <n v="4.2694402357305536"/>
    <n v="4.2694402357305536"/>
    <m/>
    <n v="29.81"/>
    <n v="0"/>
    <x v="0"/>
    <n v="1603592"/>
    <n v="384372"/>
    <n v="391327"/>
    <n v="65851.988599585893"/>
    <n v="113069.322"/>
    <n v="842.3"/>
    <n v="0"/>
    <n v="4512"/>
    <n v="1455"/>
    <n v="1379.3716035507271"/>
  </r>
  <r>
    <x v="0"/>
    <n v="3"/>
    <n v="466800.62599999999"/>
    <n v="4.2694402357305536"/>
    <n v="4.2694402357305536"/>
    <m/>
    <n v="30.29"/>
    <n v="0"/>
    <x v="0"/>
    <n v="1603592"/>
    <n v="385021"/>
    <n v="392005"/>
    <n v="65851.988599585893"/>
    <n v="113069.322"/>
    <n v="721.85"/>
    <n v="0"/>
    <n v="4512"/>
    <n v="1455"/>
    <n v="1212.4030273673384"/>
  </r>
  <r>
    <x v="0"/>
    <n v="4"/>
    <n v="397306.68400000001"/>
    <n v="4.2694402357305536"/>
    <n v="4.2694402357305536"/>
    <m/>
    <n v="30.29"/>
    <n v="0"/>
    <x v="1"/>
    <n v="1606740"/>
    <n v="385295"/>
    <n v="392162"/>
    <n v="65503.892155562608"/>
    <n v="112494.27"/>
    <n v="472.3"/>
    <n v="46.55"/>
    <n v="4512"/>
    <n v="1455"/>
    <n v="1031.1752916596374"/>
  </r>
  <r>
    <x v="0"/>
    <n v="5"/>
    <n v="333455.40399999998"/>
    <n v="4.2694402357305536"/>
    <n v="4.2694402357305536"/>
    <m/>
    <n v="30.05"/>
    <n v="0"/>
    <x v="1"/>
    <n v="1606740"/>
    <n v="384748"/>
    <n v="391549"/>
    <n v="65503.892155562608"/>
    <n v="112494.27"/>
    <n v="119.3"/>
    <n v="98.55"/>
    <n v="4512"/>
    <n v="1455"/>
    <n v="866.68521733706211"/>
  </r>
  <r>
    <x v="0"/>
    <n v="6"/>
    <n v="370035.22499999998"/>
    <n v="4.2694402357305536"/>
    <n v="4.2694402357305536"/>
    <m/>
    <n v="30.62"/>
    <n v="0"/>
    <x v="1"/>
    <n v="1606740"/>
    <n v="384604"/>
    <n v="391331"/>
    <n v="65503.892155562608"/>
    <n v="112494.27"/>
    <n v="56.1"/>
    <n v="136.6"/>
    <n v="4512"/>
    <n v="1455"/>
    <n v="962.12006375388705"/>
  </r>
  <r>
    <x v="0"/>
    <n v="7"/>
    <n v="476322.60200000001"/>
    <n v="4.2694402357305536"/>
    <n v="4.2694402357305536"/>
    <m/>
    <n v="30.76"/>
    <n v="0"/>
    <x v="2"/>
    <n v="1609894"/>
    <n v="385225"/>
    <n v="391916"/>
    <n v="65423.339614173405"/>
    <n v="112373.137"/>
    <n v="2.1"/>
    <n v="262.60000000000002"/>
    <n v="4512"/>
    <n v="1455"/>
    <n v="1236.4789460704783"/>
  </r>
  <r>
    <x v="0"/>
    <n v="8"/>
    <n v="531500.745"/>
    <n v="4.2694402357305536"/>
    <n v="4.2694402357305536"/>
    <m/>
    <n v="29.48"/>
    <n v="0"/>
    <x v="2"/>
    <n v="1609894"/>
    <n v="384832"/>
    <n v="391486"/>
    <n v="65423.339614173405"/>
    <n v="112373.137"/>
    <n v="0"/>
    <n v="356"/>
    <n v="4512"/>
    <n v="1455"/>
    <n v="1381.1240879136869"/>
  </r>
  <r>
    <x v="0"/>
    <n v="9"/>
    <n v="467764.255"/>
    <n v="4.2694402357305536"/>
    <n v="4.2694402357305536"/>
    <m/>
    <n v="30.62"/>
    <n v="0"/>
    <x v="2"/>
    <n v="1609894"/>
    <n v="385113"/>
    <n v="391681"/>
    <n v="65423.339614173405"/>
    <n v="112373.137"/>
    <n v="11.15"/>
    <n v="262.14999999999998"/>
    <n v="4512"/>
    <n v="1455"/>
    <n v="1214.6155933453297"/>
  </r>
  <r>
    <x v="0"/>
    <n v="10"/>
    <n v="325728.20699999999"/>
    <n v="4.2694402357305536"/>
    <n v="4.2694402357305536"/>
    <m/>
    <n v="29.67"/>
    <n v="0"/>
    <x v="3"/>
    <n v="1613055"/>
    <n v="386152"/>
    <n v="392693"/>
    <n v="65757.301662036203"/>
    <n v="112983.58500000001"/>
    <n v="155.94999999999999"/>
    <n v="50.85"/>
    <n v="4512"/>
    <n v="1455"/>
    <n v="843.52329393606658"/>
  </r>
  <r>
    <x v="0"/>
    <n v="11"/>
    <n v="341927.77500000002"/>
    <n v="4.2694402357305536"/>
    <n v="4.2694402357305536"/>
    <m/>
    <n v="30"/>
    <n v="0"/>
    <x v="3"/>
    <n v="1613055"/>
    <n v="386390"/>
    <n v="392884"/>
    <n v="65757.301662036203"/>
    <n v="112983.58500000001"/>
    <n v="350.9"/>
    <n v="12.4"/>
    <n v="4512"/>
    <n v="1455"/>
    <n v="884.929151893165"/>
  </r>
  <r>
    <x v="0"/>
    <n v="12"/>
    <n v="411043.07199999999"/>
    <n v="4.2694402357305536"/>
    <n v="4.2694402357305536"/>
    <m/>
    <n v="31.43"/>
    <n v="0"/>
    <x v="3"/>
    <n v="1613055"/>
    <n v="386971"/>
    <n v="393409"/>
    <n v="65757.301662036203"/>
    <n v="112983.58500000001"/>
    <n v="465.95"/>
    <n v="0.3"/>
    <n v="4512"/>
    <n v="1455"/>
    <n v="1062.2063978954495"/>
  </r>
  <r>
    <x v="1"/>
    <n v="1"/>
    <n v="629385.50399999996"/>
    <n v="4.457008293679027"/>
    <n v="4.457008293679027"/>
    <m/>
    <n v="32.380000000000003"/>
    <n v="3399.819"/>
    <x v="4"/>
    <n v="1616222"/>
    <n v="389225"/>
    <n v="395618"/>
    <n v="65839.3861803287"/>
    <n v="113421.694"/>
    <n v="1001"/>
    <n v="0"/>
    <n v="4512"/>
    <n v="1455"/>
    <n v="1617.0222981565933"/>
  </r>
  <r>
    <x v="1"/>
    <n v="2"/>
    <n v="497877.69300000003"/>
    <n v="4.457008293679027"/>
    <n v="4.457008293679027"/>
    <m/>
    <n v="29.9"/>
    <n v="3402.067"/>
    <x v="4"/>
    <n v="1616222"/>
    <n v="388299"/>
    <n v="394645"/>
    <n v="65839.3861803287"/>
    <n v="113421.694"/>
    <n v="746.35"/>
    <n v="0"/>
    <n v="4512"/>
    <n v="1455"/>
    <n v="1282.2018418795826"/>
  </r>
  <r>
    <x v="1"/>
    <n v="3"/>
    <n v="478100.77100000001"/>
    <n v="4.457008293679027"/>
    <n v="4.457008293679027"/>
    <m/>
    <n v="30.52"/>
    <n v="3404.3150000000001"/>
    <x v="4"/>
    <n v="1616222"/>
    <n v="388776"/>
    <n v="395080"/>
    <n v="65839.3861803287"/>
    <n v="113421.694"/>
    <n v="672.1"/>
    <n v="0"/>
    <n v="4512"/>
    <n v="1455"/>
    <n v="1229.7589640307015"/>
  </r>
  <r>
    <x v="1"/>
    <n v="4"/>
    <n v="398085.96500000003"/>
    <n v="4.457008293679027"/>
    <n v="4.457008293679027"/>
    <m/>
    <n v="30.57"/>
    <n v="3406.5630000000001"/>
    <x v="5"/>
    <n v="1619394"/>
    <n v="389456"/>
    <n v="395723"/>
    <n v="66279.735393823503"/>
    <n v="114074.546"/>
    <n v="452.65"/>
    <n v="20.350000000000001"/>
    <n v="4512"/>
    <n v="1455"/>
    <n v="1022.1590243827287"/>
  </r>
  <r>
    <x v="1"/>
    <n v="5"/>
    <n v="337871.52899999998"/>
    <n v="4.457008293679027"/>
    <n v="4.457008293679027"/>
    <m/>
    <n v="29.57"/>
    <n v="3408.8110000000001"/>
    <x v="5"/>
    <n v="1619394"/>
    <n v="389595"/>
    <n v="395741"/>
    <n v="66279.735393823503"/>
    <n v="114074.546"/>
    <n v="198.55"/>
    <n v="45.7"/>
    <n v="4512"/>
    <n v="1455"/>
    <n v="867.23784699495616"/>
  </r>
  <r>
    <x v="1"/>
    <n v="6"/>
    <n v="430108.217"/>
    <n v="4.457008293679027"/>
    <n v="4.457008293679027"/>
    <m/>
    <n v="30.67"/>
    <n v="3411.0590000000002"/>
    <x v="5"/>
    <n v="1619394"/>
    <n v="388113"/>
    <n v="394223"/>
    <n v="66279.735393823503"/>
    <n v="114074.546"/>
    <n v="80.900000000000006"/>
    <n v="194.75"/>
    <n v="4512"/>
    <n v="1455"/>
    <n v="1108.2035824618088"/>
  </r>
  <r>
    <x v="1"/>
    <n v="7"/>
    <n v="551654.24800000002"/>
    <n v="4.457008293679027"/>
    <n v="4.457008293679027"/>
    <m/>
    <n v="30.67"/>
    <n v="3413.3069166666664"/>
    <x v="6"/>
    <n v="1622574"/>
    <n v="390353"/>
    <n v="396306"/>
    <n v="66283.449737166302"/>
    <n v="114002.70699999999"/>
    <n v="0.5"/>
    <n v="377.2"/>
    <n v="4512"/>
    <n v="1455"/>
    <n v="1413.2189274835853"/>
  </r>
  <r>
    <x v="1"/>
    <n v="8"/>
    <n v="567815.27"/>
    <n v="4.457008293679027"/>
    <n v="4.457008293679027"/>
    <m/>
    <n v="29.48"/>
    <n v="3415.5548333333331"/>
    <x v="6"/>
    <n v="1622574"/>
    <n v="389691"/>
    <n v="395621"/>
    <n v="66283.449737166302"/>
    <n v="114002.70699999999"/>
    <n v="0"/>
    <n v="428.9"/>
    <n v="4512"/>
    <n v="1455"/>
    <n v="1457.0910541942205"/>
  </r>
  <r>
    <x v="1"/>
    <n v="9"/>
    <n v="521406.56300000002"/>
    <n v="4.457008293679027"/>
    <n v="4.457008293679027"/>
    <m/>
    <n v="30.76"/>
    <n v="3417.8027499999994"/>
    <x v="6"/>
    <n v="1622574"/>
    <n v="389845"/>
    <n v="395714"/>
    <n v="66283.449737166302"/>
    <n v="114002.70699999999"/>
    <n v="2.95"/>
    <n v="354.7"/>
    <n v="4512"/>
    <n v="1455"/>
    <n v="1337.4714642999143"/>
  </r>
  <r>
    <x v="1"/>
    <n v="10"/>
    <n v="375349.815"/>
    <n v="4.457008293679027"/>
    <n v="4.457008293679027"/>
    <m/>
    <n v="29.52"/>
    <n v="3420.0506666666661"/>
    <x v="7"/>
    <n v="1625759"/>
    <n v="390384"/>
    <n v="396205"/>
    <n v="66552.690652383608"/>
    <n v="114407.613"/>
    <n v="107.05"/>
    <n v="119.2"/>
    <n v="4512"/>
    <n v="1455"/>
    <n v="961.48872648469194"/>
  </r>
  <r>
    <x v="1"/>
    <n v="11"/>
    <n v="371218.49"/>
    <n v="4.457008293679027"/>
    <n v="4.457008293679027"/>
    <m/>
    <n v="29.43"/>
    <n v="3422.2985833333328"/>
    <x v="7"/>
    <n v="1625759"/>
    <n v="390656"/>
    <n v="396445"/>
    <n v="66552.690652383608"/>
    <n v="114407.613"/>
    <n v="464.25"/>
    <n v="5.8"/>
    <n v="4512"/>
    <n v="1455"/>
    <n v="950.2439230422674"/>
  </r>
  <r>
    <x v="1"/>
    <n v="12"/>
    <n v="570626.49800000002"/>
    <n v="4.457008293679027"/>
    <n v="4.457008293679027"/>
    <m/>
    <n v="32.049999999999997"/>
    <n v="3424.546499999999"/>
    <x v="7"/>
    <n v="1625759"/>
    <n v="392466"/>
    <n v="398222"/>
    <n v="66552.690652383608"/>
    <n v="114407.613"/>
    <n v="864.3"/>
    <n v="0.4"/>
    <n v="4512"/>
    <n v="1455"/>
    <n v="1453.9514199956177"/>
  </r>
  <r>
    <x v="2"/>
    <n v="1"/>
    <n v="664533.50600000005"/>
    <n v="4.5960275764781944"/>
    <n v="4.5960275764781944"/>
    <m/>
    <n v="33.33"/>
    <n v="3426.7944166666657"/>
    <x v="8"/>
    <n v="1628951"/>
    <n v="394347"/>
    <n v="400053"/>
    <n v="66300.956284864485"/>
    <n v="113801.59699999999"/>
    <n v="1027.9000000000001"/>
    <n v="0"/>
    <n v="4512"/>
    <n v="1455"/>
    <n v="1685.1491351525433"/>
  </r>
  <r>
    <x v="2"/>
    <n v="2"/>
    <n v="678837.00199999998"/>
    <n v="4.5960275764781944"/>
    <n v="4.5960275764781944"/>
    <m/>
    <n v="31"/>
    <n v="3429.042333333332"/>
    <x v="8"/>
    <n v="1628951"/>
    <n v="392292"/>
    <n v="397920"/>
    <n v="66300.956284864485"/>
    <n v="113801.59699999999"/>
    <n v="1138.75"/>
    <n v="0"/>
    <n v="4512"/>
    <n v="1455"/>
    <n v="1730.438046149297"/>
  </r>
  <r>
    <x v="2"/>
    <n v="3"/>
    <n v="526324.24100000004"/>
    <n v="4.5960275764781944"/>
    <n v="4.5960275764781944"/>
    <m/>
    <n v="31.19"/>
    <n v="3431.2902499999987"/>
    <x v="8"/>
    <n v="1628951"/>
    <n v="393286"/>
    <n v="398788"/>
    <n v="66300.956284864485"/>
    <n v="113801.59699999999"/>
    <n v="743.75"/>
    <n v="0"/>
    <n v="4512"/>
    <n v="1455"/>
    <n v="1338.2735235935172"/>
  </r>
  <r>
    <x v="2"/>
    <n v="4"/>
    <n v="360442.18900000001"/>
    <n v="4.5960275764781944"/>
    <n v="4.5960275764781944"/>
    <m/>
    <n v="31"/>
    <n v="3433.5381666666649"/>
    <x v="9"/>
    <n v="1632148"/>
    <n v="391988"/>
    <n v="397434"/>
    <n v="66556.010647029296"/>
    <n v="114321.784"/>
    <n v="335.05"/>
    <n v="7.5"/>
    <n v="4512"/>
    <n v="1455"/>
    <n v="919.52352878149338"/>
  </r>
  <r>
    <x v="2"/>
    <n v="5"/>
    <n v="336675.74900000001"/>
    <n v="4.5960275764781944"/>
    <n v="4.5960275764781944"/>
    <m/>
    <n v="31.48"/>
    <n v="3435.7860833333316"/>
    <x v="9"/>
    <n v="1632148"/>
    <n v="392542"/>
    <n v="397954"/>
    <n v="66556.010647029296"/>
    <n v="114321.784"/>
    <n v="147.44999999999999"/>
    <n v="49.15"/>
    <n v="4512"/>
    <n v="1455"/>
    <n v="857.68083160528056"/>
  </r>
  <r>
    <x v="2"/>
    <n v="6"/>
    <n v="345184.80699999997"/>
    <n v="4.5960275764781944"/>
    <n v="4.5960275764781944"/>
    <m/>
    <n v="31.52"/>
    <n v="3438.0340000000006"/>
    <x v="9"/>
    <n v="1632148"/>
    <n v="392198"/>
    <n v="397537"/>
    <n v="66556.010647029296"/>
    <n v="114321.784"/>
    <n v="71.55"/>
    <n v="75.5"/>
    <n v="4512"/>
    <n v="1455"/>
    <n v="880.12893232499903"/>
  </r>
  <r>
    <x v="2"/>
    <n v="7"/>
    <n v="500726.78399999999"/>
    <n v="4.5960275764781944"/>
    <n v="4.5960275764781944"/>
    <m/>
    <n v="31.67"/>
    <n v="3440.5087500000004"/>
    <x v="10"/>
    <n v="1635353"/>
    <n v="393572"/>
    <n v="398838"/>
    <n v="66588.485110844194"/>
    <n v="114399.553"/>
    <n v="4"/>
    <n v="284.05"/>
    <n v="4512"/>
    <n v="1455"/>
    <n v="1272.2622137753701"/>
  </r>
  <r>
    <x v="2"/>
    <n v="8"/>
    <n v="500182.27"/>
    <n v="4.5960275764781944"/>
    <n v="4.5960275764781944"/>
    <m/>
    <n v="30.48"/>
    <n v="3442.9835000000003"/>
    <x v="10"/>
    <n v="1635353"/>
    <n v="392665"/>
    <n v="397899"/>
    <n v="66588.485110844194"/>
    <n v="114399.553"/>
    <n v="0"/>
    <n v="280.2"/>
    <n v="4512"/>
    <n v="1455"/>
    <n v="1273.8142436937339"/>
  </r>
  <r>
    <x v="2"/>
    <n v="9"/>
    <n v="493363.09499999997"/>
    <n v="4.5960275764781944"/>
    <n v="4.5960275764781944"/>
    <m/>
    <n v="31.86"/>
    <n v="3445.4582500000006"/>
    <x v="10"/>
    <n v="1635353"/>
    <n v="393979"/>
    <n v="399116"/>
    <n v="66588.485110844194"/>
    <n v="114399.553"/>
    <n v="7.3"/>
    <n v="243.15"/>
    <n v="4512"/>
    <n v="1455"/>
    <n v="1252.2573411273188"/>
  </r>
  <r>
    <x v="2"/>
    <n v="10"/>
    <n v="334700.14600000001"/>
    <n v="4.5960275764781944"/>
    <n v="4.5960275764781944"/>
    <m/>
    <n v="30.38"/>
    <n v="3447.9330000000004"/>
    <x v="11"/>
    <n v="1638563"/>
    <n v="394197"/>
    <n v="399289"/>
    <n v="67377.964886805799"/>
    <n v="115855.962"/>
    <n v="173.2"/>
    <n v="20.45"/>
    <n v="4512"/>
    <n v="1455"/>
    <n v="849.06822223406061"/>
  </r>
  <r>
    <x v="2"/>
    <n v="11"/>
    <n v="341222.022"/>
    <n v="4.5960275764781944"/>
    <n v="4.5960275764781944"/>
    <m/>
    <n v="30.62"/>
    <n v="3450.4077500000003"/>
    <x v="11"/>
    <n v="1638563"/>
    <n v="393779"/>
    <n v="398826"/>
    <n v="67377.964886805799"/>
    <n v="115855.962"/>
    <n v="303.8"/>
    <n v="6.55"/>
    <n v="4512"/>
    <n v="1455"/>
    <n v="866.53179067446467"/>
  </r>
  <r>
    <x v="2"/>
    <n v="12"/>
    <n v="530946.74800000002"/>
    <n v="4.5960275764781944"/>
    <n v="4.5960275764781944"/>
    <m/>
    <n v="32.81"/>
    <n v="3452.8825000000006"/>
    <x v="11"/>
    <n v="1638563"/>
    <n v="396152"/>
    <n v="401162"/>
    <n v="67377.964886805799"/>
    <n v="115855.962"/>
    <n v="714.95"/>
    <n v="0.45"/>
    <n v="4512"/>
    <n v="1455"/>
    <n v="1340.2601728629415"/>
  </r>
  <r>
    <x v="3"/>
    <n v="1"/>
    <n v="682257.12"/>
    <n v="5"/>
    <n v="5"/>
    <m/>
    <n v="32.450000000000003"/>
    <n v="3455.3572500000005"/>
    <x v="12"/>
    <n v="1641780"/>
    <n v="398151"/>
    <n v="403119"/>
    <n v="67602.005679945403"/>
    <n v="116263.073"/>
    <n v="995.05"/>
    <n v="0"/>
    <n v="4512"/>
    <n v="1455"/>
    <n v="1713.5637484271042"/>
  </r>
  <r>
    <x v="3"/>
    <n v="2"/>
    <n v="654596.57200000004"/>
    <n v="5"/>
    <n v="5"/>
    <m/>
    <n v="30.15"/>
    <n v="3457.8320000000003"/>
    <x v="12"/>
    <n v="1641780"/>
    <n v="397261"/>
    <n v="402126"/>
    <n v="67602.005679945403"/>
    <n v="116263.073"/>
    <n v="1026.55"/>
    <n v="0"/>
    <n v="4512"/>
    <n v="1455"/>
    <n v="1647.7745663430342"/>
  </r>
  <r>
    <x v="3"/>
    <n v="3"/>
    <n v="488775.788"/>
    <n v="5"/>
    <n v="5"/>
    <m/>
    <n v="30.05"/>
    <n v="3460.3067500000006"/>
    <x v="12"/>
    <n v="1641780"/>
    <n v="397405"/>
    <n v="402171"/>
    <n v="67602.005679945403"/>
    <n v="116263.073"/>
    <n v="662.6"/>
    <n v="0.4"/>
    <n v="4512"/>
    <n v="1455"/>
    <n v="1229.9185667014758"/>
  </r>
  <r>
    <x v="3"/>
    <n v="4"/>
    <n v="424797.68599999999"/>
    <n v="5"/>
    <n v="5"/>
    <m/>
    <n v="30.45"/>
    <n v="3462.7815000000005"/>
    <x v="13"/>
    <n v="1645002"/>
    <n v="398079"/>
    <n v="402767"/>
    <n v="67861.087139863899"/>
    <n v="116694.558"/>
    <n v="449.2"/>
    <n v="7.55"/>
    <n v="4512"/>
    <n v="1455"/>
    <n v="1067.1190542580744"/>
  </r>
  <r>
    <x v="3"/>
    <n v="5"/>
    <n v="365898.78200000001"/>
    <n v="5"/>
    <n v="5"/>
    <m/>
    <n v="29.8"/>
    <n v="3465.2562500000004"/>
    <x v="13"/>
    <n v="1645002"/>
    <n v="396693"/>
    <n v="401362"/>
    <n v="67861.087139863899"/>
    <n v="116694.558"/>
    <n v="149.94999999999999"/>
    <n v="80.400000000000006"/>
    <n v="4512"/>
    <n v="1455"/>
    <n v="922.37267105797184"/>
  </r>
  <r>
    <x v="3"/>
    <n v="6"/>
    <n v="447174.71100000001"/>
    <n v="5"/>
    <n v="5"/>
    <m/>
    <n v="30.75"/>
    <n v="3467.7310000000007"/>
    <x v="13"/>
    <n v="1645002"/>
    <n v="397881"/>
    <n v="402477"/>
    <n v="67861.087139863899"/>
    <n v="116694.558"/>
    <n v="4.8"/>
    <n v="195.7"/>
    <n v="4512"/>
    <n v="1455"/>
    <n v="1123.890587889344"/>
  </r>
  <r>
    <x v="3"/>
    <n v="7"/>
    <n v="521545.85499999998"/>
    <n v="5"/>
    <n v="5"/>
    <m/>
    <n v="30.65"/>
    <n v="3470.6730000000007"/>
    <x v="14"/>
    <n v="1648232"/>
    <n v="399016"/>
    <n v="403573"/>
    <n v="68434.917046964692"/>
    <n v="117551.33500000001"/>
    <n v="0.6"/>
    <n v="262.64999999999998"/>
    <n v="4512"/>
    <n v="1455"/>
    <n v="1307.0800544339074"/>
  </r>
  <r>
    <x v="3"/>
    <n v="8"/>
    <n v="473871.16600000003"/>
    <n v="5"/>
    <n v="5"/>
    <m/>
    <n v="29.55"/>
    <n v="3473.6150000000007"/>
    <x v="14"/>
    <n v="1648232"/>
    <n v="397797"/>
    <n v="401757"/>
    <n v="68434.917046964692"/>
    <n v="117551.33500000001"/>
    <n v="7.6"/>
    <n v="196.55"/>
    <n v="4512"/>
    <n v="1455"/>
    <n v="1191.2386619305828"/>
  </r>
  <r>
    <x v="3"/>
    <n v="9"/>
    <n v="456567.098"/>
    <n v="5"/>
    <n v="5"/>
    <m/>
    <n v="30.55"/>
    <n v="3476.5570000000002"/>
    <x v="14"/>
    <n v="1648232"/>
    <n v="398158"/>
    <n v="400716"/>
    <n v="68434.917046964692"/>
    <n v="117551.33500000001"/>
    <n v="10.1"/>
    <n v="192.55"/>
    <n v="4512"/>
    <n v="1455"/>
    <n v="1146.6982906283436"/>
  </r>
  <r>
    <x v="3"/>
    <n v="10"/>
    <n v="355424.22700000001"/>
    <n v="5"/>
    <n v="5"/>
    <m/>
    <n v="29.65"/>
    <n v="3479.4990000000003"/>
    <x v="15"/>
    <n v="1651467"/>
    <n v="399637"/>
    <n v="401100"/>
    <n v="69307.734943339397"/>
    <n v="118914.68"/>
    <n v="119.1"/>
    <n v="50.2"/>
    <n v="4512"/>
    <n v="1455"/>
    <n v="889.36766865930838"/>
  </r>
  <r>
    <x v="3"/>
    <n v="11"/>
    <n v="344393.125"/>
    <n v="5"/>
    <n v="5"/>
    <m/>
    <n v="29.8"/>
    <n v="3482.4410000000003"/>
    <x v="15"/>
    <n v="1651467"/>
    <n v="399577"/>
    <n v="400268"/>
    <n v="69307.734943339397"/>
    <n v="118914.68"/>
    <n v="266.45"/>
    <n v="8.85"/>
    <n v="4512"/>
    <n v="1455"/>
    <n v="861.89426568596298"/>
  </r>
  <r>
    <x v="3"/>
    <n v="12"/>
    <n v="521174.141"/>
    <n v="5"/>
    <n v="5"/>
    <m/>
    <n v="31.5"/>
    <n v="3485.3830000000003"/>
    <x v="15"/>
    <n v="1651467"/>
    <n v="400941"/>
    <n v="400971"/>
    <n v="69307.734943339397"/>
    <n v="118914.68"/>
    <n v="652.20000000000005"/>
    <n v="0.15"/>
    <n v="4512"/>
    <n v="1455"/>
    <n v="1299.8773909378187"/>
  </r>
  <r>
    <x v="4"/>
    <n v="1"/>
    <n v="652167.62399999995"/>
    <n v="5.1824420638157411"/>
    <n v="5.1824420638157411"/>
    <m/>
    <n v="32.5"/>
    <n v="3488.3250000000003"/>
    <x v="16"/>
    <n v="1654709"/>
    <n v="403590"/>
    <n v="402833"/>
    <n v="69321.409113322501"/>
    <n v="118334.43"/>
    <n v="869.65"/>
    <n v="0"/>
    <n v="4512"/>
    <n v="1455"/>
    <n v="1615.9162119973239"/>
  </r>
  <r>
    <x v="4"/>
    <n v="2"/>
    <n v="601921.18799999997"/>
    <n v="5.1824420638157411"/>
    <n v="5.1824420638157411"/>
    <m/>
    <n v="29.4"/>
    <n v="3491.2670000000003"/>
    <x v="16"/>
    <n v="1654709"/>
    <n v="402020"/>
    <n v="400431"/>
    <n v="69321.409113322501"/>
    <n v="118334.43"/>
    <n v="856.3"/>
    <n v="0"/>
    <n v="4512"/>
    <n v="1455"/>
    <n v="1497.2418984130143"/>
  </r>
  <r>
    <x v="4"/>
    <n v="3"/>
    <n v="557602.72"/>
    <n v="5.1824420638157411"/>
    <n v="5.1824420638157411"/>
    <m/>
    <n v="29.7"/>
    <n v="3494.2090000000003"/>
    <x v="16"/>
    <n v="1654709"/>
    <n v="402944"/>
    <n v="401220"/>
    <n v="69321.409113322501"/>
    <n v="118334.43"/>
    <n v="793.35"/>
    <n v="0"/>
    <n v="4512"/>
    <n v="1455"/>
    <n v="1383.8218710292249"/>
  </r>
  <r>
    <x v="4"/>
    <n v="4"/>
    <n v="430368.53600000002"/>
    <n v="5.1824420638157411"/>
    <n v="5.1824420638157411"/>
    <m/>
    <n v="30.5"/>
    <n v="3497.1510000000003"/>
    <x v="17"/>
    <n v="1657957"/>
    <n v="402741"/>
    <n v="400997"/>
    <n v="69780.777624331997"/>
    <n v="119333.414"/>
    <n v="429.25"/>
    <n v="5.85"/>
    <n v="4512"/>
    <n v="1455"/>
    <n v="1068.5987669494787"/>
  </r>
  <r>
    <x v="4"/>
    <n v="5"/>
    <n v="361076.33"/>
    <n v="5.1824420638157411"/>
    <n v="5.1824420638157411"/>
    <m/>
    <n v="28"/>
    <n v="3500.0930000000003"/>
    <x v="17"/>
    <n v="1657957"/>
    <n v="402471"/>
    <n v="400723"/>
    <n v="69780.777624331997"/>
    <n v="119333.414"/>
    <n v="249.4"/>
    <n v="25.3"/>
    <n v="4512"/>
    <n v="1455"/>
    <n v="897.14868897386407"/>
  </r>
  <r>
    <x v="4"/>
    <n v="6"/>
    <n v="424942.36200000002"/>
    <n v="5.1824420638157411"/>
    <n v="5.1824420638157411"/>
    <m/>
    <n v="30.8"/>
    <n v="3503.0349999999999"/>
    <x v="17"/>
    <n v="1657957"/>
    <n v="402987"/>
    <n v="401251"/>
    <n v="69780.777624331997"/>
    <n v="119333.414"/>
    <n v="39.6"/>
    <n v="153.44999999999999"/>
    <n v="4512"/>
    <n v="1455"/>
    <n v="1054.4815639214169"/>
  </r>
  <r>
    <x v="4"/>
    <n v="7"/>
    <n v="585237.576"/>
    <n v="5.1824420638157411"/>
    <n v="5.1824420638157411"/>
    <m/>
    <n v="30.6"/>
    <n v="3504.9511666666667"/>
    <x v="18"/>
    <n v="1657652"/>
    <n v="403765"/>
    <n v="402025"/>
    <n v="69690.554847379302"/>
    <n v="119379.652"/>
    <n v="0"/>
    <n v="379"/>
    <n v="4512"/>
    <n v="1455"/>
    <n v="1449.4509826260326"/>
  </r>
  <r>
    <x v="4"/>
    <n v="8"/>
    <n v="583771.62"/>
    <n v="5.1824420638157411"/>
    <n v="5.1824420638157411"/>
    <m/>
    <n v="29.6"/>
    <n v="3506.8673333333331"/>
    <x v="18"/>
    <n v="1657652"/>
    <n v="404660"/>
    <n v="401556"/>
    <n v="69690.554847379302"/>
    <n v="119379.652"/>
    <n v="0"/>
    <n v="407.1"/>
    <n v="4512"/>
    <n v="1455"/>
    <n v="1442.622497899471"/>
  </r>
  <r>
    <x v="4"/>
    <n v="9"/>
    <n v="552628"/>
    <n v="5.1824420638157411"/>
    <n v="5.1824420638157411"/>
    <m/>
    <n v="30.55"/>
    <n v="3508.7834999999995"/>
    <x v="18"/>
    <n v="1657652"/>
    <n v="405191"/>
    <n v="403062"/>
    <n v="69690.554847379302"/>
    <n v="119379.652"/>
    <n v="0"/>
    <n v="326"/>
    <n v="4512"/>
    <n v="1455"/>
    <n v="1363.870372244201"/>
  </r>
  <r>
    <x v="4"/>
    <n v="10"/>
    <n v="409184.223"/>
    <n v="5.1824420638157411"/>
    <n v="5.1824420638157411"/>
    <m/>
    <n v="29.75"/>
    <n v="3510.699666666666"/>
    <x v="19"/>
    <n v="1657348"/>
    <n v="406028"/>
    <n v="402703"/>
    <n v="69671.995471132497"/>
    <n v="119542.07799999999"/>
    <n v="67.2"/>
    <n v="150.94999999999999"/>
    <n v="4512"/>
    <n v="1455"/>
    <n v="1007.7734121784705"/>
  </r>
  <r>
    <x v="4"/>
    <n v="11"/>
    <n v="381632.25799999997"/>
    <n v="5.1824420638157411"/>
    <n v="5.1824420638157411"/>
    <m/>
    <n v="29.75"/>
    <n v="3512.6158333333324"/>
    <x v="19"/>
    <n v="1657348"/>
    <n v="407133"/>
    <n v="403470"/>
    <n v="69671.995471132497"/>
    <n v="119542.07799999999"/>
    <n v="374.1"/>
    <n v="8.35"/>
    <n v="4512"/>
    <n v="1455"/>
    <n v="937.36508217216488"/>
  </r>
  <r>
    <x v="4"/>
    <n v="12"/>
    <n v="608430.19700000004"/>
    <n v="5.1824420638157411"/>
    <n v="5.1824420638157411"/>
    <m/>
    <n v="32.4"/>
    <n v="3514.5319999999992"/>
    <x v="19"/>
    <n v="1657348"/>
    <n v="407961"/>
    <n v="405006"/>
    <n v="69671.995471132497"/>
    <n v="119542.07799999999"/>
    <n v="833.75"/>
    <n v="0"/>
    <n v="4512"/>
    <n v="1455"/>
    <n v="1491.3930424721973"/>
  </r>
  <r>
    <x v="5"/>
    <n v="1"/>
    <n v="676286.88199999998"/>
    <n v="5.7326028990148874"/>
    <n v="5.7326028990148874"/>
    <m/>
    <n v="33.25"/>
    <n v="3516.4481666666657"/>
    <x v="20"/>
    <n v="1657043"/>
    <n v="408008"/>
    <n v="407135"/>
    <n v="70786.727443908807"/>
    <n v="121891.27099999999"/>
    <n v="874.05"/>
    <n v="0"/>
    <n v="4512"/>
    <n v="1455"/>
    <n v="1657.5333866002627"/>
  </r>
  <r>
    <x v="5"/>
    <n v="2"/>
    <n v="578669.86499999999"/>
    <n v="5.7326028990148874"/>
    <n v="5.7326028990148874"/>
    <m/>
    <n v="29.35"/>
    <n v="3518.3643333333321"/>
    <x v="20"/>
    <n v="1657043"/>
    <n v="408625"/>
    <n v="405353"/>
    <n v="70786.727443908807"/>
    <n v="121891.27099999999"/>
    <n v="777.9"/>
    <n v="0"/>
    <n v="4512"/>
    <n v="1455"/>
    <n v="1416.1391618231876"/>
  </r>
  <r>
    <x v="5"/>
    <n v="3"/>
    <n v="540729.00600000005"/>
    <n v="5.7326028990148874"/>
    <n v="5.7326028990148874"/>
    <m/>
    <n v="29.45"/>
    <n v="3520.2804999999985"/>
    <x v="20"/>
    <n v="1657043"/>
    <n v="408786"/>
    <n v="406594"/>
    <n v="70786.727443908807"/>
    <n v="121891.27099999999"/>
    <n v="713.9"/>
    <n v="0"/>
    <n v="4512"/>
    <n v="1455"/>
    <n v="1322.7679176879835"/>
  </r>
  <r>
    <x v="5"/>
    <n v="4"/>
    <n v="433400.75699999998"/>
    <n v="5.7326028990148874"/>
    <n v="5.7326028990148874"/>
    <m/>
    <n v="30"/>
    <n v="3522.1966666666649"/>
    <x v="21"/>
    <n v="1656738"/>
    <n v="408747"/>
    <n v="406329"/>
    <n v="71408.611096027889"/>
    <n v="123006.787"/>
    <n v="437.55"/>
    <n v="14.7"/>
    <n v="4512"/>
    <n v="1455"/>
    <n v="1060.3154445170239"/>
  </r>
  <r>
    <x v="5"/>
    <n v="5"/>
    <n v="346852.65600000002"/>
    <n v="5.7326028990148874"/>
    <n v="5.7326028990148874"/>
    <m/>
    <n v="30.95"/>
    <n v="3524.1128333333318"/>
    <x v="21"/>
    <n v="1656738"/>
    <n v="408906"/>
    <n v="407533"/>
    <n v="71408.611096027889"/>
    <n v="123006.787"/>
    <n v="166.95"/>
    <n v="24.1"/>
    <n v="4512"/>
    <n v="1455"/>
    <n v="848.24545494563552"/>
  </r>
  <r>
    <x v="5"/>
    <n v="6"/>
    <n v="431787.72200000001"/>
    <n v="5.7326028990148874"/>
    <n v="5.7326028990148874"/>
    <m/>
    <n v="31.35"/>
    <n v="3526.029"/>
    <x v="21"/>
    <n v="1656738"/>
    <n v="409618"/>
    <n v="407620"/>
    <n v="71408.611096027889"/>
    <n v="123006.787"/>
    <n v="64.25"/>
    <n v="140.35"/>
    <n v="4512"/>
    <n v="1455"/>
    <n v="1054.1229194029561"/>
  </r>
  <r>
    <x v="5"/>
    <n v="7"/>
    <n v="535597.69299999997"/>
    <n v="5.7326028990148874"/>
    <n v="5.7326028990148874"/>
    <m/>
    <n v="30.75"/>
    <n v="3528.4263333333333"/>
    <x v="22"/>
    <n v="1657897"/>
    <n v="410075"/>
    <n v="407855"/>
    <n v="71677.002331526397"/>
    <n v="123530.77899999999"/>
    <n v="0.35"/>
    <n v="299.35000000000002"/>
    <n v="4512"/>
    <n v="1455"/>
    <n v="1306.0969164177284"/>
  </r>
  <r>
    <x v="5"/>
    <n v="8"/>
    <n v="600834.49399999995"/>
    <n v="5.7326028990148874"/>
    <n v="5.7326028990148874"/>
    <m/>
    <n v="29.5"/>
    <n v="3530.8236666666671"/>
    <x v="22"/>
    <n v="1657897"/>
    <n v="410580"/>
    <n v="407129"/>
    <n v="71677.002331526397"/>
    <n v="123530.77899999999"/>
    <n v="0"/>
    <n v="393.4"/>
    <n v="4512"/>
    <n v="1455"/>
    <n v="1463.3798382775585"/>
  </r>
  <r>
    <x v="5"/>
    <n v="9"/>
    <n v="482079.32699999999"/>
    <n v="5.7326028990148874"/>
    <n v="5.7326028990148874"/>
    <m/>
    <n v="30.55"/>
    <n v="3533.2210000000005"/>
    <x v="22"/>
    <n v="1657897"/>
    <n v="410788"/>
    <n v="408424"/>
    <n v="71677.002331526397"/>
    <n v="123530.77899999999"/>
    <n v="20.25"/>
    <n v="216.8"/>
    <n v="4512"/>
    <n v="1455"/>
    <n v="1173.5477350847639"/>
  </r>
  <r>
    <x v="5"/>
    <n v="10"/>
    <n v="359332.43699999998"/>
    <n v="5.7326028990148874"/>
    <n v="5.7326028990148874"/>
    <m/>
    <n v="29.75"/>
    <n v="3535.6183333333338"/>
    <x v="23"/>
    <n v="1659057"/>
    <n v="411359"/>
    <n v="408696"/>
    <n v="72506.286129546002"/>
    <n v="124988.379"/>
    <n v="178.95"/>
    <n v="32.65"/>
    <n v="4512"/>
    <n v="1455"/>
    <n v="873.52516172005471"/>
  </r>
  <r>
    <x v="5"/>
    <n v="11"/>
    <n v="434049.48800000001"/>
    <n v="5.7326028990148874"/>
    <n v="5.7326028990148874"/>
    <m/>
    <n v="29.75"/>
    <n v="3538.0156666666676"/>
    <x v="23"/>
    <n v="1659057"/>
    <n v="412377"/>
    <n v="408556"/>
    <n v="72506.286129546002"/>
    <n v="124988.379"/>
    <n v="488.95"/>
    <n v="1.1499999999999999"/>
    <n v="4512"/>
    <n v="1455"/>
    <n v="1052.5550358046157"/>
  </r>
  <r>
    <x v="5"/>
    <n v="12"/>
    <n v="558042.30700000003"/>
    <n v="5.7326028990148874"/>
    <n v="5.7326028990148874"/>
    <m/>
    <n v="30.6"/>
    <n v="3540.4130000000009"/>
    <x v="23"/>
    <n v="1659057"/>
    <n v="412789"/>
    <n v="410499"/>
    <n v="72506.286129546002"/>
    <n v="124988.379"/>
    <n v="629.15"/>
    <n v="0"/>
    <n v="4512"/>
    <n v="1455"/>
    <n v="1351.8826979401099"/>
  </r>
  <r>
    <x v="6"/>
    <n v="1"/>
    <n v="610021.201"/>
    <n v="6.2826028990148872"/>
    <n v="6.2826028990148872"/>
    <m/>
    <n v="33.35"/>
    <n v="3542.8103333333343"/>
    <x v="24"/>
    <n v="1660218"/>
    <n v="413337"/>
    <n v="412264"/>
    <n v="72536.336841998011"/>
    <n v="125421.274"/>
    <n v="735.15"/>
    <n v="0"/>
    <n v="4512"/>
    <n v="1455"/>
    <n v="1475.8446521845369"/>
  </r>
  <r>
    <x v="6"/>
    <n v="2"/>
    <n v="751898.35499999998"/>
    <n v="6.2826028990148872"/>
    <n v="6.2826028990148872"/>
    <m/>
    <n v="29.35"/>
    <n v="3545.207666666668"/>
    <x v="24"/>
    <n v="1660218"/>
    <n v="413721"/>
    <n v="410727"/>
    <n v="72536.336841998011"/>
    <n v="125421.274"/>
    <n v="1088"/>
    <n v="0"/>
    <n v="4512"/>
    <n v="1455"/>
    <n v="1817.4043739621627"/>
  </r>
  <r>
    <x v="6"/>
    <n v="3"/>
    <n v="601547.09499999997"/>
    <n v="6.2826028990148872"/>
    <n v="6.2826028990148872"/>
    <m/>
    <n v="29.45"/>
    <n v="3547.6050000000014"/>
    <x v="24"/>
    <n v="1660218"/>
    <n v="413267"/>
    <n v="411731"/>
    <n v="72536.336841998011"/>
    <n v="125421.274"/>
    <n v="729.75"/>
    <n v="5.3"/>
    <n v="4512"/>
    <n v="1455"/>
    <n v="1455.5894736332684"/>
  </r>
  <r>
    <x v="6"/>
    <n v="4"/>
    <n v="433539.62099999998"/>
    <n v="6.2826028990148872"/>
    <n v="6.2826028990148872"/>
    <m/>
    <n v="30.55"/>
    <n v="3550.0023333333347"/>
    <x v="25"/>
    <n v="1661379"/>
    <n v="413106"/>
    <n v="411166"/>
    <n v="72785.382921712095"/>
    <n v="125696.571"/>
    <n v="361"/>
    <n v="25.75"/>
    <n v="4512"/>
    <n v="1455"/>
    <n v="1049.4633847002947"/>
  </r>
  <r>
    <x v="6"/>
    <n v="5"/>
    <n v="390060.02399999998"/>
    <n v="6.2826028990148872"/>
    <n v="6.2826028990148872"/>
    <m/>
    <n v="29.75"/>
    <n v="3552.3996666666685"/>
    <x v="25"/>
    <n v="1661379"/>
    <n v="412972"/>
    <n v="411177"/>
    <n v="72785.382921712095"/>
    <n v="125696.571"/>
    <n v="160.25"/>
    <n v="69.45"/>
    <n v="4512"/>
    <n v="1455"/>
    <n v="944.51929912923868"/>
  </r>
  <r>
    <x v="6"/>
    <n v="6"/>
    <n v="474783.136"/>
    <n v="6.2826028990148872"/>
    <n v="6.2826028990148872"/>
    <m/>
    <n v="30.7"/>
    <n v="3554.797"/>
    <x v="25"/>
    <n v="1661379"/>
    <n v="413679"/>
    <n v="410932"/>
    <n v="72785.382921712095"/>
    <n v="125696.571"/>
    <n v="26.6"/>
    <n v="238.35"/>
    <n v="4512"/>
    <n v="1455"/>
    <n v="1147.7090594398071"/>
  </r>
  <r>
    <x v="6"/>
    <n v="7"/>
    <n v="546854.30000000005"/>
    <n v="6.2826028990148872"/>
    <n v="6.2826028990148872"/>
    <m/>
    <n v="30.7"/>
    <n v="3557.0427500000001"/>
    <x v="26"/>
    <n v="1669175"/>
    <n v="413877"/>
    <n v="412225"/>
    <n v="72802.124413899001"/>
    <n v="125601.717"/>
    <n v="0"/>
    <n v="312.35000000000002"/>
    <n v="4512"/>
    <n v="1455"/>
    <n v="1321.2966654344168"/>
  </r>
  <r>
    <x v="6"/>
    <n v="8"/>
    <n v="602578.93799999997"/>
    <n v="6.2826028990148872"/>
    <n v="6.2826028990148872"/>
    <m/>
    <n v="30.2"/>
    <n v="3559.2885000000001"/>
    <x v="26"/>
    <n v="1669175"/>
    <n v="414673"/>
    <n v="411997"/>
    <n v="72802.124413899001"/>
    <n v="125601.717"/>
    <n v="0"/>
    <n v="399"/>
    <n v="4512"/>
    <n v="1455"/>
    <n v="1453.1424471812729"/>
  </r>
  <r>
    <x v="6"/>
    <n v="9"/>
    <n v="618222.55700000003"/>
    <n v="6.2826028990148872"/>
    <n v="6.2826028990148872"/>
    <m/>
    <n v="31.3"/>
    <n v="3561.5342500000002"/>
    <x v="26"/>
    <n v="1669175"/>
    <n v="414759"/>
    <n v="411703"/>
    <n v="72802.124413899001"/>
    <n v="125601.717"/>
    <n v="5.5"/>
    <n v="382.75"/>
    <n v="4512"/>
    <n v="1455"/>
    <n v="1490.5585098816423"/>
  </r>
  <r>
    <x v="6"/>
    <n v="10"/>
    <n v="431007.451"/>
    <n v="6.2826028990148872"/>
    <n v="6.2826028990148872"/>
    <m/>
    <n v="29.6"/>
    <n v="3563.78"/>
    <x v="27"/>
    <n v="1677007"/>
    <n v="414960"/>
    <n v="412483"/>
    <n v="72849.053099913493"/>
    <n v="126411.315"/>
    <n v="50.3"/>
    <n v="178"/>
    <n v="4512"/>
    <n v="1455"/>
    <n v="1038.6722840755735"/>
  </r>
  <r>
    <x v="6"/>
    <n v="11"/>
    <n v="401915.174"/>
    <n v="6.2826028990148872"/>
    <n v="6.2826028990148872"/>
    <m/>
    <n v="29.95"/>
    <n v="3566.0257499999998"/>
    <x v="27"/>
    <n v="1677007"/>
    <n v="415914"/>
    <n v="412654"/>
    <n v="72849.053099913493"/>
    <n v="126411.315"/>
    <n v="373.15"/>
    <n v="23"/>
    <n v="4512"/>
    <n v="1455"/>
    <n v="966.34201782099183"/>
  </r>
  <r>
    <x v="6"/>
    <n v="12"/>
    <n v="559332.47499999998"/>
    <n v="6.2826028990148872"/>
    <n v="6.2826028990148872"/>
    <m/>
    <n v="30.7"/>
    <n v="3568.2714999999998"/>
    <x v="27"/>
    <n v="1677007"/>
    <n v="416334"/>
    <n v="413378"/>
    <n v="72849.053099913493"/>
    <n v="126411.315"/>
    <n v="687.1"/>
    <n v="0"/>
    <n v="4512"/>
    <n v="1455"/>
    <n v="1343.4705669006132"/>
  </r>
  <r>
    <x v="7"/>
    <n v="1"/>
    <n v="727455.55799999996"/>
    <n v="6.8191285113595219"/>
    <n v="6.8191285113595219"/>
    <m/>
    <n v="33.15"/>
    <n v="3570.5172499999999"/>
    <x v="28"/>
    <n v="1684875"/>
    <n v="416223"/>
    <n v="415541"/>
    <n v="72890.436909906304"/>
    <n v="128364.796"/>
    <n v="908"/>
    <n v="0"/>
    <n v="4512"/>
    <n v="1455"/>
    <n v="1747.754348029782"/>
  </r>
  <r>
    <x v="7"/>
    <n v="2"/>
    <n v="698141.01500000001"/>
    <n v="6.8191285113595219"/>
    <n v="6.8191285113595219"/>
    <m/>
    <n v="29.35"/>
    <n v="3572.7629999999999"/>
    <x v="28"/>
    <n v="1684875"/>
    <n v="415886"/>
    <n v="414147"/>
    <n v="72890.436909906304"/>
    <n v="128364.796"/>
    <n v="909.1"/>
    <n v="0"/>
    <n v="4512"/>
    <n v="1455"/>
    <n v="1678.683617625984"/>
  </r>
  <r>
    <x v="7"/>
    <n v="3"/>
    <n v="619483"/>
    <n v="6.8191285113595219"/>
    <n v="6.8191285113595219"/>
    <m/>
    <n v="29.9"/>
    <n v="3575.00875"/>
    <x v="28"/>
    <n v="1684875"/>
    <n v="415211"/>
    <n v="414028"/>
    <n v="72890.436909906304"/>
    <n v="128364.796"/>
    <n v="802"/>
    <n v="0"/>
    <n v="4512"/>
    <n v="1455"/>
    <n v="1491.9715518134153"/>
  </r>
  <r>
    <x v="7"/>
    <n v="4"/>
    <n v="450443.674"/>
    <n v="6.8191285113595219"/>
    <n v="6.8191285113595219"/>
    <m/>
    <n v="30.3"/>
    <n v="3577.2545"/>
    <x v="29"/>
    <n v="1692781"/>
    <n v="414599"/>
    <n v="413228"/>
    <n v="73693.953274233791"/>
    <n v="129399.736"/>
    <n v="454"/>
    <n v="3"/>
    <n v="4512"/>
    <n v="1455"/>
    <n v="1086.4562480854995"/>
  </r>
  <r>
    <x v="7"/>
    <n v="5"/>
    <n v="346552.73100000003"/>
    <n v="6.8191285113595219"/>
    <n v="6.8191285113595219"/>
    <m/>
    <n v="29.57"/>
    <n v="3579.5002500000001"/>
    <x v="29"/>
    <n v="1692781"/>
    <n v="414655"/>
    <n v="413348"/>
    <n v="73693.953274233791"/>
    <n v="129399.736"/>
    <n v="220.85"/>
    <n v="18.649999999999999"/>
    <n v="4512"/>
    <n v="1455"/>
    <n v="835.76161146012964"/>
  </r>
  <r>
    <x v="7"/>
    <n v="6"/>
    <n v="431303.158"/>
    <n v="6.8191285113595219"/>
    <n v="6.8191285113595219"/>
    <m/>
    <n v="30.67"/>
    <n v="3581.7460000000001"/>
    <x v="29"/>
    <n v="1692781"/>
    <n v="415067"/>
    <n v="413120"/>
    <n v="73693.953274233791"/>
    <n v="129399.736"/>
    <n v="62.4"/>
    <n v="170.75"/>
    <n v="4512"/>
    <n v="1455"/>
    <n v="1039.1169570213965"/>
  </r>
  <r>
    <x v="7"/>
    <n v="7"/>
    <n v="538081.12800000003"/>
    <n v="6.8191285113595219"/>
    <n v="6.8191285113595219"/>
    <m/>
    <n v="30.62"/>
    <n v="3583.3619166666667"/>
    <x v="30"/>
    <n v="1694962"/>
    <n v="415400"/>
    <n v="414507"/>
    <n v="72512.075311887602"/>
    <n v="126756.973"/>
    <n v="0"/>
    <n v="284"/>
    <n v="4512"/>
    <n v="1455"/>
    <n v="1295.3325180548868"/>
  </r>
  <r>
    <x v="7"/>
    <n v="8"/>
    <n v="544448.42500000005"/>
    <n v="6.8191285113595219"/>
    <n v="6.8191285113595219"/>
    <m/>
    <n v="29.52"/>
    <n v="3584.9778333333329"/>
    <x v="30"/>
    <n v="1694962"/>
    <n v="415744"/>
    <n v="413096"/>
    <n v="72512.075311887602"/>
    <n v="126756.973"/>
    <n v="0"/>
    <n v="315"/>
    <n v="4512"/>
    <n v="1455"/>
    <n v="1309.5761454164103"/>
  </r>
  <r>
    <x v="7"/>
    <n v="9"/>
    <n v="526327.11600000004"/>
    <n v="6.8191285113595219"/>
    <n v="6.8191285113595219"/>
    <m/>
    <n v="30.71"/>
    <n v="3586.5937499999995"/>
    <x v="30"/>
    <n v="1694962"/>
    <n v="415849"/>
    <n v="413969"/>
    <n v="72512.075311887602"/>
    <n v="126756.973"/>
    <n v="1"/>
    <n v="295.14999999999998"/>
    <n v="4512"/>
    <n v="1455"/>
    <n v="1265.6688269059202"/>
  </r>
  <r>
    <x v="7"/>
    <n v="10"/>
    <n v="376636.53100000002"/>
    <n v="6.8191285113595219"/>
    <n v="6.8191285113595219"/>
    <m/>
    <n v="29.52"/>
    <n v="3588.2096666666662"/>
    <x v="31"/>
    <n v="1697147"/>
    <n v="415759"/>
    <n v="413875"/>
    <n v="73414.227448214195"/>
    <n v="127793.833"/>
    <n v="73"/>
    <n v="98"/>
    <n v="4512"/>
    <n v="1455"/>
    <n v="905.90108933300303"/>
  </r>
  <r>
    <x v="7"/>
    <n v="11"/>
    <n v="403306.239"/>
    <n v="6.8191285113595219"/>
    <n v="6.8191285113595219"/>
    <m/>
    <n v="29.38"/>
    <n v="3589.8255833333324"/>
    <x v="31"/>
    <n v="1697147"/>
    <n v="416736"/>
    <n v="412987"/>
    <n v="73414.227448214195"/>
    <n v="127793.833"/>
    <n v="411"/>
    <n v="15"/>
    <n v="4512"/>
    <n v="1455"/>
    <n v="967.77393601704671"/>
  </r>
  <r>
    <x v="7"/>
    <n v="12"/>
    <n v="663425.48800000001"/>
    <n v="6.8191285113595219"/>
    <n v="6.8191285113595219"/>
    <m/>
    <n v="32.81"/>
    <n v="3591.441499999999"/>
    <x v="31"/>
    <n v="1697147"/>
    <n v="417150"/>
    <n v="415778"/>
    <n v="73414.227448214195"/>
    <n v="127793.833"/>
    <n v="881.55"/>
    <n v="0"/>
    <n v="4512"/>
    <n v="1455"/>
    <n v="1590.3763346518037"/>
  </r>
  <r>
    <x v="8"/>
    <n v="1"/>
    <n v="763578.95400000003"/>
    <n v="6.8549750593316237"/>
    <n v="6.8549750593316237"/>
    <m/>
    <n v="32.950000000000003"/>
    <n v="3593.0574166666656"/>
    <x v="32"/>
    <n v="1699334"/>
    <n v="417463"/>
    <n v="414456"/>
    <n v="73248.58848190229"/>
    <n v="126804.629"/>
    <n v="1008.15"/>
    <n v="0"/>
    <n v="4512"/>
    <n v="1455"/>
    <n v="1829.0937256714967"/>
  </r>
  <r>
    <x v="8"/>
    <n v="2"/>
    <n v="700940.31599999999"/>
    <n v="6.8549750593316237"/>
    <n v="6.8549750593316237"/>
    <m/>
    <n v="30.19"/>
    <n v="3594.6733333333323"/>
    <x v="32"/>
    <n v="1699334"/>
    <n v="416999"/>
    <n v="416366"/>
    <n v="73248.58848190229"/>
    <n v="126804.629"/>
    <n v="951"/>
    <n v="0"/>
    <n v="4512"/>
    <n v="1455"/>
    <n v="1680.916059750743"/>
  </r>
  <r>
    <x v="8"/>
    <n v="3"/>
    <n v="520849.36700000003"/>
    <n v="6.8549750593316237"/>
    <n v="6.8549750593316237"/>
    <m/>
    <n v="30.05"/>
    <n v="3596.2892499999984"/>
    <x v="32"/>
    <n v="1699334"/>
    <n v="417363"/>
    <n v="413089"/>
    <n v="73248.58848190229"/>
    <n v="126804.629"/>
    <n v="652.4"/>
    <n v="0"/>
    <n v="4512"/>
    <n v="1455"/>
    <n v="1247.9529019103275"/>
  </r>
  <r>
    <x v="8"/>
    <n v="4"/>
    <n v="486363.99699999997"/>
    <n v="6.8549750593316237"/>
    <n v="6.8549750593316237"/>
    <m/>
    <n v="30.38"/>
    <n v="3597.9051666666651"/>
    <x v="33"/>
    <n v="1701524"/>
    <n v="419129"/>
    <n v="417844"/>
    <n v="74179.834975342397"/>
    <n v="127078.37"/>
    <n v="444"/>
    <n v="2"/>
    <n v="4512"/>
    <n v="1455"/>
    <n v="1160.415998415762"/>
  </r>
  <r>
    <x v="8"/>
    <n v="5"/>
    <n v="349813.93099999998"/>
    <n v="6.8549750593316237"/>
    <n v="6.8549750593316237"/>
    <m/>
    <n v="30.24"/>
    <n v="3599.5210833333317"/>
    <x v="33"/>
    <n v="1701524"/>
    <n v="419582"/>
    <n v="417385"/>
    <n v="74179.834975342397"/>
    <n v="127078.37"/>
    <n v="198.7"/>
    <n v="48.2"/>
    <n v="4512"/>
    <n v="1455"/>
    <n v="833.72006187110026"/>
  </r>
  <r>
    <x v="8"/>
    <n v="6"/>
    <n v="445749.39399999997"/>
    <n v="6.8549750593316237"/>
    <n v="6.8549750593316237"/>
    <m/>
    <n v="30.38"/>
    <n v="3601.1370000000002"/>
    <x v="33"/>
    <n v="1701524"/>
    <n v="421143"/>
    <n v="419411"/>
    <n v="74179.834975342397"/>
    <n v="127078.37"/>
    <n v="44"/>
    <n v="168"/>
    <n v="4512"/>
    <n v="1455"/>
    <n v="1058.4276457165381"/>
  </r>
  <r>
    <x v="8"/>
    <n v="7"/>
    <n v="519283.15"/>
    <n v="6.8549750593316237"/>
    <n v="6.8549750593316237"/>
    <m/>
    <n v="30.71"/>
    <n v="3603.1294136904762"/>
    <x v="34"/>
    <n v="1707499"/>
    <n v="421238"/>
    <n v="419168"/>
    <n v="73602.515778471512"/>
    <n v="125951.257"/>
    <n v="2.5499999999999998"/>
    <n v="275.7"/>
    <n v="4512"/>
    <n v="1455"/>
    <n v="1232.7547609664846"/>
  </r>
  <r>
    <x v="8"/>
    <n v="8"/>
    <n v="490804.217"/>
    <n v="6.8549750593316237"/>
    <n v="6.8549750593316237"/>
    <m/>
    <n v="29.52"/>
    <n v="3605.1218273809523"/>
    <x v="34"/>
    <n v="1707499"/>
    <n v="421403"/>
    <n v="419609"/>
    <n v="73602.515778471512"/>
    <n v="125951.257"/>
    <n v="2"/>
    <n v="248"/>
    <n v="4512"/>
    <n v="1455"/>
    <n v="1164.6908470039368"/>
  </r>
  <r>
    <x v="8"/>
    <n v="9"/>
    <n v="473412.82900000003"/>
    <n v="6.8549750593316237"/>
    <n v="6.8549750593316237"/>
    <m/>
    <n v="30.48"/>
    <n v="3607.1142410714288"/>
    <x v="34"/>
    <n v="1707499"/>
    <n v="420797"/>
    <n v="419004"/>
    <n v="73602.515778471512"/>
    <n v="125951.257"/>
    <n v="3.9"/>
    <n v="210.15"/>
    <n v="4512"/>
    <n v="1455"/>
    <n v="1125.0385078790962"/>
  </r>
  <r>
    <x v="8"/>
    <n v="10"/>
    <n v="377414.3"/>
    <n v="6.8549750593316237"/>
    <n v="6.8549750593316237"/>
    <m/>
    <n v="29.67"/>
    <n v="3609.1066547619048"/>
    <x v="35"/>
    <n v="1713644"/>
    <n v="421222"/>
    <n v="419358"/>
    <n v="73970.709220813296"/>
    <n v="125669.07"/>
    <n v="159"/>
    <n v="77.050000000000011"/>
    <n v="4512"/>
    <n v="1455"/>
    <n v="895.99854708443524"/>
  </r>
  <r>
    <x v="8"/>
    <n v="11"/>
    <n v="382254.54399999999"/>
    <n v="6.8549750593316237"/>
    <n v="6.8549750593316237"/>
    <m/>
    <n v="29.76"/>
    <n v="3611.0990684523813"/>
    <x v="35"/>
    <n v="1713644"/>
    <n v="421375"/>
    <n v="419994"/>
    <n v="73970.709220813296"/>
    <n v="125669.07"/>
    <n v="399.8"/>
    <n v="6"/>
    <n v="4512"/>
    <n v="1455"/>
    <n v="907.15999762681702"/>
  </r>
  <r>
    <x v="8"/>
    <n v="12"/>
    <n v="590186.25699999998"/>
    <n v="6.8549750593316237"/>
    <n v="6.8549750593316237"/>
    <m/>
    <n v="31.57"/>
    <n v="3613.0914821428573"/>
    <x v="35"/>
    <n v="1713644"/>
    <n v="422620"/>
    <n v="420911"/>
    <n v="73970.709220813296"/>
    <n v="125669.07"/>
    <n v="718"/>
    <n v="1"/>
    <n v="4512"/>
    <n v="1455"/>
    <n v="1396.4939117883678"/>
  </r>
  <r>
    <x v="9"/>
    <n v="1"/>
    <n v="843332.54799999995"/>
    <n v="7.05998860191138"/>
    <n v="7.05998860191138"/>
    <m/>
    <n v="32.520000000000003"/>
    <n v="3615.0838958333334"/>
    <x v="36"/>
    <n v="1719965"/>
    <n v="420593"/>
    <n v="420814"/>
    <n v="73889.682775873109"/>
    <n v="124919.205"/>
    <n v="1096.8000000000002"/>
    <n v="0"/>
    <n v="4512"/>
    <n v="1455"/>
    <n v="2005.1036227421757"/>
  </r>
  <r>
    <x v="9"/>
    <n v="2"/>
    <n v="718201.08799999999"/>
    <n v="7.05998860191138"/>
    <n v="7.05998860191138"/>
    <m/>
    <n v="30.14"/>
    <n v="3617.0763095238099"/>
    <x v="36"/>
    <n v="1719965"/>
    <n v="420428"/>
    <n v="420768"/>
    <n v="73889.682775873109"/>
    <n v="124919.205"/>
    <n v="990"/>
    <n v="0"/>
    <n v="4512"/>
    <n v="1455"/>
    <n v="1708.261790366008"/>
  </r>
  <r>
    <x v="9"/>
    <n v="3"/>
    <n v="640593.848"/>
    <n v="7.05998860191138"/>
    <n v="7.05998860191138"/>
    <m/>
    <n v="30"/>
    <n v="3619.0687232142859"/>
    <x v="36"/>
    <n v="1719965"/>
    <n v="421699"/>
    <n v="421606"/>
    <n v="73889.682775873109"/>
    <n v="124919.205"/>
    <n v="891"/>
    <n v="0"/>
    <n v="4512"/>
    <n v="1455"/>
    <n v="1519.0784137500918"/>
  </r>
  <r>
    <x v="9"/>
    <n v="4"/>
    <n v="414730.73"/>
    <n v="7.05998860191138"/>
    <n v="7.05998860191138"/>
    <m/>
    <n v="30.86"/>
    <n v="3621.061136904762"/>
    <x v="37"/>
    <n v="1722917"/>
    <n v="420712"/>
    <n v="420651"/>
    <n v="75266.988768390496"/>
    <n v="126480.192"/>
    <n v="365.6"/>
    <n v="24.8"/>
    <n v="4512"/>
    <n v="1455"/>
    <n v="985.78298218258567"/>
  </r>
  <r>
    <x v="9"/>
    <n v="5"/>
    <n v="343043.68699999998"/>
    <n v="7.05998860191138"/>
    <n v="7.05998860191138"/>
    <m/>
    <n v="30.48"/>
    <n v="3623.0535505952384"/>
    <x v="37"/>
    <n v="1722917"/>
    <n v="420466"/>
    <n v="420639"/>
    <n v="75266.988768390496"/>
    <n v="126480.192"/>
    <n v="167.25"/>
    <n v="46.900000000000006"/>
    <n v="4512"/>
    <n v="1455"/>
    <n v="815.86546117878731"/>
  </r>
  <r>
    <x v="9"/>
    <n v="6"/>
    <n v="497970.86700000003"/>
    <n v="7.05998860191138"/>
    <n v="7.05998860191138"/>
    <m/>
    <n v="30.67"/>
    <n v="3625.0459642857127"/>
    <x v="37"/>
    <n v="1722917"/>
    <n v="421916"/>
    <n v="421909"/>
    <n v="75266.988768390496"/>
    <n v="126480.192"/>
    <n v="35.5"/>
    <n v="241.10000000000002"/>
    <n v="4512"/>
    <n v="1455"/>
    <n v="1180.2606845912458"/>
  </r>
  <r>
    <x v="9"/>
    <n v="7"/>
    <n v="612322.51300000004"/>
    <n v="7.05998860191138"/>
    <n v="7.05998860191138"/>
    <m/>
    <n v="30.71"/>
    <n v="3626.8494751984113"/>
    <x v="38"/>
    <n v="1724191"/>
    <n v="420996"/>
    <n v="421060"/>
    <n v="75982.102212246595"/>
    <n v="127650.806"/>
    <n v="0"/>
    <n v="381.4"/>
    <n v="4512"/>
    <n v="1455"/>
    <n v="1454.4615934593203"/>
  </r>
  <r>
    <x v="9"/>
    <n v="8"/>
    <n v="639552.73400000005"/>
    <n v="7.05998860191138"/>
    <n v="7.05998860191138"/>
    <m/>
    <n v="29.52"/>
    <n v="3628.6529861111103"/>
    <x v="38"/>
    <n v="1724191"/>
    <n v="423248"/>
    <n v="422802"/>
    <n v="75982.102212246595"/>
    <n v="127650.806"/>
    <n v="0"/>
    <n v="435.95000000000005"/>
    <n v="4512"/>
    <n v="1455"/>
    <n v="1511.0590812006201"/>
  </r>
  <r>
    <x v="9"/>
    <n v="9"/>
    <n v="548693.46"/>
    <n v="7.05998860191138"/>
    <n v="7.05998860191138"/>
    <m/>
    <n v="30.52"/>
    <n v="3630.4564970238089"/>
    <x v="38"/>
    <n v="1724191"/>
    <n v="421593"/>
    <n v="421107"/>
    <n v="75982.102212246595"/>
    <n v="127650.806"/>
    <n v="2.9"/>
    <n v="327.5"/>
    <n v="4512"/>
    <n v="1455"/>
    <n v="1301.4766848595682"/>
  </r>
  <r>
    <x v="9"/>
    <n v="10"/>
    <n v="385659.34899999999"/>
    <n v="7.05998860191138"/>
    <n v="7.05998860191138"/>
    <m/>
    <n v="29.62"/>
    <n v="3632.2600079365075"/>
    <x v="39"/>
    <n v="1725083"/>
    <n v="420904"/>
    <n v="420489"/>
    <n v="76532.570387493703"/>
    <n v="127503.515"/>
    <n v="100.1"/>
    <n v="119.2"/>
    <n v="4512"/>
    <n v="1455"/>
    <n v="916.26439520650786"/>
  </r>
  <r>
    <x v="9"/>
    <n v="11"/>
    <n v="364022.15299999999"/>
    <n v="7.05998860191138"/>
    <n v="7.05998860191138"/>
    <m/>
    <n v="29.6"/>
    <n v="3634.063518849206"/>
    <x v="39"/>
    <n v="1725083"/>
    <n v="421213"/>
    <n v="420832"/>
    <n v="76532.570387493703"/>
    <n v="127503.515"/>
    <n v="321"/>
    <n v="10"/>
    <n v="4512"/>
    <n v="1455"/>
    <n v="864.22345226761752"/>
  </r>
  <r>
    <x v="9"/>
    <n v="12"/>
    <n v="640553.13399999996"/>
    <n v="7.05998860191138"/>
    <n v="7.05998860191138"/>
    <m/>
    <n v="31.17"/>
    <n v="3635.8670297619046"/>
    <x v="39"/>
    <n v="1725083"/>
    <n v="420617"/>
    <n v="420931"/>
    <n v="76532.570387493703"/>
    <n v="127503.515"/>
    <n v="822.75"/>
    <n v="0"/>
    <n v="4512"/>
    <n v="1455"/>
    <n v="1522.8893126050541"/>
  </r>
  <r>
    <x v="10"/>
    <n v="1"/>
    <n v="850990.94400000002"/>
    <n v="8.16"/>
    <n v="8.16"/>
    <m/>
    <n v="32.71"/>
    <n v="3637.6705406746037"/>
    <x v="40"/>
    <n v="1728158"/>
    <n v="422106"/>
    <n v="421768"/>
    <n v="77007.431778499798"/>
    <n v="128893.008"/>
    <n v="1213.5999999999999"/>
    <n v="0"/>
    <n v="4512"/>
    <n v="1455"/>
    <n v="2016.0598143594264"/>
  </r>
  <r>
    <x v="10"/>
    <n v="2"/>
    <n v="691197.25199999998"/>
    <n v="8.16"/>
    <n v="8.16"/>
    <m/>
    <n v="29.81"/>
    <n v="3639.4740515873023"/>
    <x v="40"/>
    <n v="1728158"/>
    <n v="407747"/>
    <n v="421555"/>
    <n v="77007.431778499798"/>
    <n v="128893.008"/>
    <n v="949.84999999999991"/>
    <n v="0"/>
    <n v="4512"/>
    <n v="1455"/>
    <n v="1695.1620784457029"/>
  </r>
  <r>
    <x v="10"/>
    <n v="3"/>
    <n v="532338.09699999995"/>
    <n v="8.16"/>
    <n v="8.16"/>
    <m/>
    <n v="30.33"/>
    <n v="3641.2775625000008"/>
    <x v="40"/>
    <n v="1728158"/>
    <n v="421908"/>
    <n v="421752"/>
    <n v="77007.431778499798"/>
    <n v="128893.008"/>
    <n v="643.70000000000005"/>
    <n v="1.1499999999999999"/>
    <n v="4512"/>
    <n v="1455"/>
    <n v="1261.7397560605627"/>
  </r>
  <r>
    <x v="10"/>
    <n v="4"/>
    <n v="438271.37699999998"/>
    <n v="8.16"/>
    <n v="8.16"/>
    <m/>
    <n v="29.86"/>
    <n v="3643.0810734126994"/>
    <x v="41"/>
    <n v="1730301"/>
    <n v="421736.33333333331"/>
    <n v="420307"/>
    <n v="77457.563347201605"/>
    <n v="129036.827"/>
    <n v="443.45"/>
    <n v="12.65"/>
    <n v="4512"/>
    <n v="1455"/>
    <n v="1042.7410844930014"/>
  </r>
  <r>
    <x v="10"/>
    <n v="5"/>
    <n v="360909.25599999999"/>
    <n v="8.16"/>
    <n v="8.16"/>
    <m/>
    <n v="30.48"/>
    <n v="3644.8845843253985"/>
    <x v="41"/>
    <n v="1730301"/>
    <n v="422142.39407882135"/>
    <n v="421495"/>
    <n v="77457.563347201605"/>
    <n v="129036.827"/>
    <n v="195.89999999999998"/>
    <n v="43.5"/>
    <n v="4512"/>
    <n v="1455"/>
    <n v="856.2598749688608"/>
  </r>
  <r>
    <x v="10"/>
    <n v="6"/>
    <n v="486266.201"/>
    <n v="8.16"/>
    <n v="8.16"/>
    <m/>
    <n v="30.67"/>
    <n v="3646.6880952380948"/>
    <x v="41"/>
    <n v="1730301"/>
    <n v="422548.84579211555"/>
    <n v="420875"/>
    <n v="77457.563347201605"/>
    <n v="129036.827"/>
    <n v="53.85"/>
    <n v="224.7"/>
    <n v="4512"/>
    <n v="1455"/>
    <n v="1155.3696489456488"/>
  </r>
  <r>
    <x v="10"/>
    <n v="7"/>
    <n v="539548.81999999995"/>
    <n v="8.16"/>
    <n v="8.16"/>
    <m/>
    <n v="30.71"/>
    <n v="3648.6168561507934"/>
    <x v="42"/>
    <n v="1732753"/>
    <n v="422955.68884965178"/>
    <n v="420192"/>
    <n v="77940.265879917511"/>
    <n v="128885.583"/>
    <n v="0"/>
    <n v="307.14999999999998"/>
    <n v="4512"/>
    <n v="1455"/>
    <n v="1284.0530519381614"/>
  </r>
  <r>
    <x v="10"/>
    <n v="8"/>
    <n v="631263.21"/>
    <n v="8.16"/>
    <n v="8.16"/>
    <m/>
    <n v="29.52"/>
    <n v="3650.545617063492"/>
    <x v="42"/>
    <n v="1732753"/>
    <n v="423362.92362822831"/>
    <n v="422280"/>
    <n v="77940.265879917511"/>
    <n v="128885.583"/>
    <n v="0"/>
    <n v="427.1"/>
    <n v="4512"/>
    <n v="1455"/>
    <n v="1494.8925120772947"/>
  </r>
  <r>
    <x v="10"/>
    <n v="9"/>
    <n v="511784.92800000001"/>
    <n v="8.16"/>
    <n v="8.16"/>
    <m/>
    <n v="30.52"/>
    <n v="3652.4743779761907"/>
    <x v="42"/>
    <n v="1732753"/>
    <n v="423770.55050500628"/>
    <n v="419766"/>
    <n v="77940.265879917511"/>
    <n v="128885.583"/>
    <n v="27.9"/>
    <n v="254.25"/>
    <n v="4512"/>
    <n v="1455"/>
    <n v="1219.2148196852534"/>
  </r>
  <r>
    <x v="10"/>
    <n v="10"/>
    <n v="345989.92599999998"/>
    <n v="8.16"/>
    <n v="8.16"/>
    <m/>
    <n v="29.62"/>
    <n v="3654.4031388888893"/>
    <x v="43"/>
    <n v="1735612"/>
    <n v="424178.56985750992"/>
    <n v="419584"/>
    <n v="78475.554289862193"/>
    <n v="129177.128"/>
    <n v="155.5"/>
    <n v="39.65"/>
    <n v="4512"/>
    <n v="1455"/>
    <n v="824.60228702715062"/>
  </r>
  <r>
    <x v="10"/>
    <n v="11"/>
    <n v="367820.48100000003"/>
    <n v="8.16"/>
    <n v="8.16"/>
    <m/>
    <n v="29.95"/>
    <n v="3656.331899801588"/>
    <x v="43"/>
    <n v="1735612"/>
    <n v="424586.98206362699"/>
    <n v="418506"/>
    <n v="78475.554289862193"/>
    <n v="129177.128"/>
    <n v="378.85"/>
    <n v="2.0500000000000003"/>
    <n v="4512"/>
    <n v="1455"/>
    <n v="878.8893850984216"/>
  </r>
  <r>
    <x v="10"/>
    <n v="12"/>
    <n v="508652.88299999997"/>
    <n v="8.16"/>
    <n v="8.16"/>
    <m/>
    <n v="31.24"/>
    <n v="3658.260660714287"/>
    <x v="43"/>
    <n v="1735612"/>
    <n v="424995.78750160901"/>
    <n v="418702"/>
    <n v="78475.554289862193"/>
    <n v="129177.128"/>
    <n v="592.15"/>
    <n v="0.55000000000000004"/>
    <n v="4512"/>
    <n v="1455"/>
    <n v="1214.8327044055197"/>
  </r>
  <r>
    <x v="11"/>
    <n v="1"/>
    <n v="669724.67000000004"/>
    <n v="8.2157180266636693"/>
    <n v="8.43"/>
    <m/>
    <n v="32.549999999999997"/>
    <n v="3660.1894216269857"/>
    <x v="44"/>
    <n v="1738996"/>
    <n v="425137.45276410953"/>
    <n v="419951"/>
    <n v="79178.062114171888"/>
    <n v="129516.13400000001"/>
    <n v="867.75"/>
    <n v="0"/>
    <n v="4512"/>
    <n v="1455"/>
    <n v="1594.7686039561759"/>
  </r>
  <r>
    <x v="11"/>
    <n v="2"/>
    <n v="592839.22900000005"/>
    <n v="8.2157180266636693"/>
    <n v="8.43"/>
    <m/>
    <n v="29.75"/>
    <n v="3662.1181825396843"/>
    <x v="44"/>
    <n v="1738996"/>
    <n v="425279.16524836421"/>
    <n v="419822"/>
    <n v="79178.062114171888"/>
    <n v="129516.13400000001"/>
    <n v="777.09999999999991"/>
    <n v="0"/>
    <n v="4512"/>
    <n v="1455"/>
    <n v="1412.1204439024159"/>
  </r>
  <r>
    <x v="11"/>
    <n v="3"/>
    <n v="491154.14399999997"/>
    <n v="8.2157180266636693"/>
    <n v="8.43"/>
    <m/>
    <n v="30.38"/>
    <n v="3664.0469434523829"/>
    <x v="44"/>
    <n v="1738996"/>
    <n v="425420.92497011367"/>
    <n v="419549"/>
    <n v="79178.062114171888"/>
    <n v="129516.13400000001"/>
    <n v="558.75"/>
    <n v="9.4499999999999993"/>
    <n v="4512"/>
    <n v="1455"/>
    <n v="1170.6717069996591"/>
  </r>
  <r>
    <x v="11"/>
    <n v="4"/>
    <n v="350037.18900000001"/>
    <n v="8.2157180266636693"/>
    <n v="8.43"/>
    <m/>
    <n v="30.67"/>
    <n v="3665.9757043650816"/>
    <x v="45"/>
    <n v="1742264"/>
    <n v="425562.73194510367"/>
    <n v="419378"/>
    <n v="79928.915590414603"/>
    <n v="130403.818"/>
    <n v="250"/>
    <n v="31"/>
    <n v="4512"/>
    <n v="1455"/>
    <n v="834.65796727534587"/>
  </r>
  <r>
    <x v="11"/>
    <n v="5"/>
    <m/>
    <n v="8.2157180266636693"/>
    <n v="8.43"/>
    <m/>
    <n v="29.71"/>
    <n v="3667.9044652777802"/>
    <x v="45"/>
    <n v="1742264"/>
    <n v="425704.58618908538"/>
    <n v="420960.84"/>
    <n v="79928.915590414603"/>
    <n v="130403.818"/>
    <n v="187"/>
    <n v="47"/>
    <n v="4512"/>
    <n v="1455"/>
    <n v="0"/>
  </r>
  <r>
    <x v="11"/>
    <n v="6"/>
    <m/>
    <n v="8.2157180266636693"/>
    <n v="8.43"/>
    <m/>
    <n v="30.62"/>
    <n v="3669.8332261904766"/>
    <x v="45"/>
    <n v="1742264"/>
    <n v="425846.48771781509"/>
    <n v="421322.58"/>
    <n v="79928.915590414603"/>
    <n v="130403.818"/>
    <n v="49"/>
    <n v="171"/>
    <n v="4512"/>
    <n v="1455"/>
    <n v="0"/>
  </r>
  <r>
    <x v="11"/>
    <n v="7"/>
    <m/>
    <n v="8.2157180266636693"/>
    <n v="8.43"/>
    <m/>
    <n v="30.76"/>
    <n v="3671.9181537698414"/>
    <x v="46"/>
    <n v="1745227"/>
    <n v="425988.43654705433"/>
    <n v="422284.21"/>
    <n v="80421.217475986108"/>
    <n v="131166.87299999999"/>
    <n v="1"/>
    <n v="325"/>
    <n v="4512"/>
    <n v="1455"/>
    <n v="0"/>
  </r>
  <r>
    <x v="11"/>
    <n v="8"/>
    <m/>
    <n v="8.2157180266636693"/>
    <n v="8.43"/>
    <m/>
    <n v="29.48"/>
    <n v="3674.0030813492062"/>
    <x v="46"/>
    <n v="1745227"/>
    <n v="426130.43269256997"/>
    <n v="422556.22"/>
    <n v="80421.217475986108"/>
    <n v="131166.87299999999"/>
    <n v="0"/>
    <n v="341"/>
    <n v="4512"/>
    <n v="1455"/>
    <n v="0"/>
  </r>
  <r>
    <x v="11"/>
    <n v="9"/>
    <m/>
    <n v="8.2157180266636693"/>
    <n v="8.43"/>
    <m/>
    <n v="30.57"/>
    <n v="3676.0880089285711"/>
    <x v="46"/>
    <n v="1745227"/>
    <n v="426272.47617013415"/>
    <n v="422792.1"/>
    <n v="80421.217475986108"/>
    <n v="131166.87299999999"/>
    <n v="12"/>
    <n v="261"/>
    <n v="4512"/>
    <n v="1455"/>
    <n v="0"/>
  </r>
  <r>
    <x v="11"/>
    <n v="10"/>
    <m/>
    <n v="8.2157180266636693"/>
    <n v="8.43"/>
    <m/>
    <n v="29.67"/>
    <n v="3678.1729365079354"/>
    <x v="47"/>
    <n v="1748263"/>
    <n v="426414.56699552416"/>
    <n v="423660.55"/>
    <n v="80908.519386720101"/>
    <n v="132095.09099999999"/>
    <n v="136"/>
    <n v="73"/>
    <n v="4512"/>
    <n v="1455"/>
    <n v="0"/>
  </r>
  <r>
    <x v="11"/>
    <n v="11"/>
    <m/>
    <n v="8.2157180266636693"/>
    <n v="8.43"/>
    <m/>
    <n v="29.95"/>
    <n v="3680.2578640873003"/>
    <x v="47"/>
    <n v="1748263"/>
    <n v="426556.70518452267"/>
    <n v="423837.92"/>
    <n v="80908.519386720101"/>
    <n v="132095.09099999999"/>
    <n v="394"/>
    <n v="8.4499999999999993"/>
    <n v="4512"/>
    <n v="1455"/>
    <n v="0"/>
  </r>
  <r>
    <x v="11"/>
    <n v="12"/>
    <m/>
    <n v="8.2157180266636693"/>
    <n v="8.43"/>
    <m/>
    <n v="31.1"/>
    <n v="3682.3427916666651"/>
    <x v="47"/>
    <n v="1748263"/>
    <n v="426698.8907529175"/>
    <n v="423991.73"/>
    <n v="80908.519386720101"/>
    <n v="132095.09099999999"/>
    <n v="706"/>
    <n v="0.2"/>
    <n v="4512"/>
    <n v="1455"/>
    <n v="0"/>
  </r>
  <r>
    <x v="12"/>
    <n v="1"/>
    <m/>
    <n v="8.91213305899789"/>
    <n v="8.91"/>
    <m/>
    <n v="32.71"/>
    <n v="3684.4277192460299"/>
    <x v="48"/>
    <n v="1751194"/>
    <n v="426894.46107784589"/>
    <n v="424766.05"/>
    <n v="81225.945243994705"/>
    <n v="132729.997"/>
    <n v="996"/>
    <n v="0"/>
    <n v="4512"/>
    <n v="1455"/>
    <n v="0"/>
  </r>
  <r>
    <x v="12"/>
    <n v="2"/>
    <m/>
    <n v="8.91213305899789"/>
    <n v="8.91"/>
    <m/>
    <n v="29.9"/>
    <n v="3686.5126468253948"/>
    <x v="48"/>
    <n v="1751194"/>
    <n v="427090.12103917322"/>
    <n v="424881.72"/>
    <n v="81225.945243994705"/>
    <n v="132729.997"/>
    <n v="889.8"/>
    <n v="0"/>
    <n v="4512"/>
    <n v="1455"/>
    <n v="0"/>
  </r>
  <r>
    <x v="12"/>
    <n v="3"/>
    <m/>
    <n v="8.91213305899789"/>
    <n v="8.91"/>
    <m/>
    <n v="30.52"/>
    <n v="3688.5975744047591"/>
    <x v="48"/>
    <n v="1751194"/>
    <n v="427285.87067798281"/>
    <n v="424982.01"/>
    <n v="81225.945243994705"/>
    <n v="132729.997"/>
    <n v="729"/>
    <n v="0.45"/>
    <n v="4512"/>
    <n v="1455"/>
    <n v="0"/>
  </r>
  <r>
    <x v="12"/>
    <n v="4"/>
    <m/>
    <n v="8.91213305899789"/>
    <n v="8.91"/>
    <m/>
    <n v="30.57"/>
    <n v="3690.682501984124"/>
    <x v="49"/>
    <n v="1754297"/>
    <n v="427481.71003537683"/>
    <n v="425747.54"/>
    <n v="81735.340108775912"/>
    <n v="133712.25599999999"/>
    <n v="440"/>
    <n v="11.85"/>
    <n v="4512"/>
    <n v="1455"/>
    <n v="0"/>
  </r>
  <r>
    <x v="12"/>
    <n v="5"/>
    <m/>
    <n v="8.91213305899789"/>
    <n v="8.91"/>
    <m/>
    <n v="29.57"/>
    <n v="3692.7674295634888"/>
    <x v="49"/>
    <n v="1754297"/>
    <n v="427677.63915247633"/>
    <n v="425822.96"/>
    <n v="81735.340108775912"/>
    <n v="133712.25599999999"/>
    <n v="187"/>
    <n v="47"/>
    <n v="4512"/>
    <n v="1455"/>
    <n v="0"/>
  </r>
  <r>
    <x v="12"/>
    <n v="6"/>
    <m/>
    <n v="8.91213305899789"/>
    <n v="8.91"/>
    <m/>
    <n v="30.67"/>
    <n v="3694.852357142855"/>
    <x v="49"/>
    <n v="1754297"/>
    <n v="427873.6580704212"/>
    <n v="425888.36"/>
    <n v="81735.340108775912"/>
    <n v="133712.25599999999"/>
    <n v="49"/>
    <n v="171"/>
    <n v="4512"/>
    <n v="1455"/>
    <n v="0"/>
  </r>
  <r>
    <x v="12"/>
    <n v="7"/>
    <m/>
    <n v="8.91213305899789"/>
    <n v="8.91"/>
    <m/>
    <n v="30.67"/>
    <n v="3697.0577013888865"/>
    <x v="50"/>
    <n v="1757208"/>
    <n v="428069.76683037012"/>
    <n v="426581.64"/>
    <n v="82270.710999989096"/>
    <n v="134397.17499999999"/>
    <n v="1"/>
    <n v="325"/>
    <n v="4512"/>
    <n v="1455"/>
    <n v="0"/>
  </r>
  <r>
    <x v="12"/>
    <n v="8"/>
    <m/>
    <n v="8.91213305899789"/>
    <n v="8.91"/>
    <m/>
    <n v="29.48"/>
    <n v="3699.2630456349184"/>
    <x v="50"/>
    <n v="1757208"/>
    <n v="428265.96547350066"/>
    <n v="426630.82"/>
    <n v="82270.710999989096"/>
    <n v="134397.17499999999"/>
    <n v="0"/>
    <n v="341"/>
    <n v="4512"/>
    <n v="1455"/>
    <n v="0"/>
  </r>
  <r>
    <x v="12"/>
    <n v="9"/>
    <m/>
    <n v="8.91213305899789"/>
    <n v="8.91"/>
    <m/>
    <n v="30.71"/>
    <n v="3701.4683898809499"/>
    <x v="50"/>
    <n v="1757208"/>
    <n v="428462.25404100929"/>
    <n v="426673.47"/>
    <n v="82270.710999989096"/>
    <n v="134397.17499999999"/>
    <n v="12"/>
    <n v="261"/>
    <n v="4512"/>
    <n v="1455"/>
    <n v="0"/>
  </r>
  <r>
    <x v="12"/>
    <n v="10"/>
    <m/>
    <n v="8.91213305899789"/>
    <n v="8.91"/>
    <m/>
    <n v="29.52"/>
    <n v="3703.6737341269818"/>
    <x v="51"/>
    <n v="1760562"/>
    <n v="428658.6325741114"/>
    <n v="427443.89"/>
    <n v="82786.674038888101"/>
    <n v="135147.93599999999"/>
    <n v="136"/>
    <n v="73"/>
    <n v="4512"/>
    <n v="1455"/>
    <n v="0"/>
  </r>
  <r>
    <x v="12"/>
    <n v="11"/>
    <m/>
    <n v="8.91213305899789"/>
    <n v="8.91"/>
    <m/>
    <n v="29.38"/>
    <n v="3705.8790783730137"/>
    <x v="51"/>
    <n v="1760562"/>
    <n v="428855.10111404117"/>
    <n v="427475.96"/>
    <n v="82786.674038888101"/>
    <n v="135147.93599999999"/>
    <n v="394"/>
    <n v="7"/>
    <n v="4512"/>
    <n v="1455"/>
    <n v="0"/>
  </r>
  <r>
    <x v="12"/>
    <n v="12"/>
    <m/>
    <n v="8.91213305899789"/>
    <n v="8.91"/>
    <m/>
    <n v="32.049999999999997"/>
    <n v="3708.0844226190452"/>
    <x v="51"/>
    <n v="1760562"/>
    <n v="429051.65970205172"/>
    <n v="427503.77"/>
    <n v="82786.674038888101"/>
    <n v="135147.93599999999"/>
    <n v="706"/>
    <n v="0.2"/>
    <n v="4512"/>
    <n v="1455"/>
    <n v="0"/>
  </r>
  <r>
    <x v="13"/>
    <n v="1"/>
    <m/>
    <n v="9.5096351679229407"/>
    <n v="9.4600000000000009"/>
    <m/>
    <n v="32.33"/>
    <n v="3710.2897668650771"/>
    <x v="52"/>
    <n v="1763893"/>
    <n v="429301.93983687792"/>
    <n v="428256.29"/>
    <n v="83987.567918000597"/>
    <n v="136646.935"/>
    <n v="996"/>
    <n v="0"/>
    <n v="4512"/>
    <n v="1455"/>
    <n v="0"/>
  </r>
  <r>
    <x v="13"/>
    <n v="2"/>
    <m/>
    <n v="9.5096351679229407"/>
    <n v="9.4600000000000009"/>
    <m/>
    <n v="30.05"/>
    <n v="3712.4951111111086"/>
    <x v="52"/>
    <n v="1763893"/>
    <n v="429552.36596844945"/>
    <n v="428277.2"/>
    <n v="83987.567918000597"/>
    <n v="136646.935"/>
    <n v="889.8"/>
    <n v="0"/>
    <n v="4512"/>
    <n v="1455"/>
    <n v="0"/>
  </r>
  <r>
    <x v="13"/>
    <n v="3"/>
    <m/>
    <n v="9.5096351679229407"/>
    <n v="9.4600000000000009"/>
    <m/>
    <n v="30.19"/>
    <n v="3714.7004553571405"/>
    <x v="52"/>
    <n v="1763893"/>
    <n v="429802.93818193104"/>
    <n v="428295.34"/>
    <n v="83987.567918000597"/>
    <n v="136646.935"/>
    <n v="729"/>
    <n v="0.45"/>
    <n v="4512"/>
    <n v="1455"/>
    <n v="0"/>
  </r>
  <r>
    <x v="13"/>
    <n v="4"/>
    <m/>
    <n v="9.5096351679229407"/>
    <n v="9.4600000000000009"/>
    <m/>
    <n v="30"/>
    <n v="3716.905799603172"/>
    <x v="53"/>
    <n v="1767176"/>
    <n v="430053.65656253719"/>
    <n v="429028.97"/>
    <n v="84633.049162069598"/>
    <n v="137566.70699999999"/>
    <n v="440"/>
    <n v="11.85"/>
    <n v="4512"/>
    <n v="1455"/>
    <n v="0"/>
  </r>
  <r>
    <x v="13"/>
    <n v="5"/>
    <m/>
    <n v="9.5096351679229407"/>
    <n v="9.4600000000000009"/>
    <m/>
    <n v="30.48"/>
    <n v="3719.1111438492039"/>
    <x v="53"/>
    <n v="1767176"/>
    <n v="430304.521195532"/>
    <n v="429042.61"/>
    <n v="84633.049162069598"/>
    <n v="137566.70699999999"/>
    <n v="187"/>
    <n v="47"/>
    <n v="4512"/>
    <n v="1455"/>
    <n v="0"/>
  </r>
  <r>
    <x v="13"/>
    <n v="6"/>
    <m/>
    <n v="9.5096351679229407"/>
    <n v="9.4600000000000009"/>
    <m/>
    <n v="30.52"/>
    <n v="3721.3164880952368"/>
    <x v="53"/>
    <n v="1767176"/>
    <n v="430555.53216622939"/>
    <n v="429054.43"/>
    <n v="84633.049162069598"/>
    <n v="137566.70699999999"/>
    <n v="49"/>
    <n v="171"/>
    <n v="4512"/>
    <n v="1455"/>
    <n v="0"/>
  </r>
  <r>
    <x v="13"/>
    <n v="7"/>
    <m/>
    <n v="9.5096351679229407"/>
    <n v="9.4600000000000009"/>
    <m/>
    <n v="30.67"/>
    <n v="3723.5414990079353"/>
    <x v="54"/>
    <n v="1770816"/>
    <n v="430806.68955999304"/>
    <n v="429860.67"/>
    <n v="85339.87005543249"/>
    <n v="138505.228"/>
    <n v="1"/>
    <n v="325"/>
    <n v="4512"/>
    <n v="1455"/>
    <n v="0"/>
  </r>
  <r>
    <x v="13"/>
    <n v="8"/>
    <m/>
    <n v="9.5096351679229407"/>
    <n v="9.4600000000000009"/>
    <m/>
    <n v="29.48"/>
    <n v="3725.7665099206333"/>
    <x v="54"/>
    <n v="1770816"/>
    <n v="431057.99346223637"/>
    <n v="429869.56"/>
    <n v="85339.87005543249"/>
    <n v="138505.228"/>
    <n v="0"/>
    <n v="341"/>
    <n v="4512"/>
    <n v="1455"/>
    <n v="0"/>
  </r>
  <r>
    <x v="13"/>
    <n v="9"/>
    <m/>
    <n v="9.5096351679229407"/>
    <n v="9.4600000000000009"/>
    <m/>
    <n v="30.86"/>
    <n v="3727.9915208333318"/>
    <x v="54"/>
    <n v="1770816"/>
    <n v="431309.44395842269"/>
    <n v="429877.27"/>
    <n v="85339.87005543249"/>
    <n v="138505.228"/>
    <n v="12"/>
    <n v="261"/>
    <n v="4512"/>
    <n v="1455"/>
    <n v="0"/>
  </r>
  <r>
    <x v="13"/>
    <n v="10"/>
    <m/>
    <n v="9.5096351679229407"/>
    <n v="9.4600000000000009"/>
    <m/>
    <n v="29.38"/>
    <n v="3730.2165317460299"/>
    <x v="55"/>
    <n v="1774326"/>
    <n v="431561.04113406513"/>
    <n v="430651.51"/>
    <n v="85912.699050901283"/>
    <n v="139445.223"/>
    <n v="136"/>
    <n v="73"/>
    <n v="4512"/>
    <n v="1455"/>
    <n v="0"/>
  </r>
  <r>
    <x v="13"/>
    <n v="11"/>
    <m/>
    <n v="9.5096351679229407"/>
    <n v="9.4600000000000009"/>
    <m/>
    <n v="29.57"/>
    <n v="3732.4415426587279"/>
    <x v="55"/>
    <n v="1774326"/>
    <n v="431812.78507472668"/>
    <n v="430657.31"/>
    <n v="85912.699050901283"/>
    <n v="139445.223"/>
    <n v="394"/>
    <n v="7"/>
    <n v="4512"/>
    <n v="1455"/>
    <n v="0"/>
  </r>
  <r>
    <x v="13"/>
    <n v="12"/>
    <m/>
    <n v="9.5096351679229407"/>
    <n v="9.4600000000000009"/>
    <m/>
    <n v="31.81"/>
    <n v="3734.6665535714264"/>
    <x v="55"/>
    <n v="1774326"/>
    <n v="432064.67586602026"/>
    <n v="430662.34"/>
    <n v="85912.699050901283"/>
    <n v="139445.223"/>
    <n v="706"/>
    <n v="0.2"/>
    <n v="4512"/>
    <n v="1455"/>
    <n v="0"/>
  </r>
  <r>
    <x v="14"/>
    <n v="1"/>
    <m/>
    <n v="10.005974436365699"/>
    <n v="9.91"/>
    <m/>
    <n v="32.380000000000003"/>
    <n v="3736.8915644841245"/>
    <x v="56"/>
    <n v="1778097"/>
    <n v="432388.72437291977"/>
    <n v="431491.33"/>
    <n v="86745.150267482793"/>
    <n v="140510.76300000001"/>
    <n v="996"/>
    <n v="0"/>
    <n v="4512"/>
    <n v="1455"/>
    <n v="0"/>
  </r>
  <r>
    <x v="14"/>
    <n v="2"/>
    <m/>
    <n v="10.005974436365699"/>
    <n v="9.91"/>
    <m/>
    <n v="30.19"/>
    <n v="3739.1165753968226"/>
    <x v="56"/>
    <n v="1778097"/>
    <n v="432713.01591619948"/>
    <n v="431495.11"/>
    <n v="86745.150267482793"/>
    <n v="140510.76300000001"/>
    <n v="889.8"/>
    <n v="0"/>
    <n v="4512"/>
    <n v="1455"/>
    <n v="0"/>
  </r>
  <r>
    <x v="14"/>
    <n v="3"/>
    <m/>
    <n v="10.005974436365699"/>
    <n v="9.91"/>
    <m/>
    <n v="30.05"/>
    <n v="3741.3415863095211"/>
    <x v="56"/>
    <n v="1778097"/>
    <n v="433037.55067813664"/>
    <n v="431498.39"/>
    <n v="86745.150267482793"/>
    <n v="140510.76300000001"/>
    <n v="729"/>
    <n v="0.45"/>
    <n v="4512"/>
    <n v="1455"/>
    <n v="0"/>
  </r>
  <r>
    <x v="14"/>
    <n v="4"/>
    <m/>
    <n v="10.005974436365699"/>
    <n v="9.91"/>
    <m/>
    <n v="30.71"/>
    <n v="3743.5665972222191"/>
    <x v="57"/>
    <n v="1782097"/>
    <n v="433362.32884114527"/>
    <n v="432375.93"/>
    <n v="87341.752217873902"/>
    <n v="141224.63399999999"/>
    <n v="440"/>
    <n v="11.85"/>
    <n v="4512"/>
    <n v="1455"/>
    <n v="0"/>
  </r>
  <r>
    <x v="14"/>
    <n v="5"/>
    <m/>
    <n v="10.005974436365699"/>
    <n v="9.91"/>
    <m/>
    <n v="29.9"/>
    <n v="3745.7916081349176"/>
    <x v="57"/>
    <n v="1782097"/>
    <n v="433687.35058777616"/>
    <n v="432378.4"/>
    <n v="87341.752217873902"/>
    <n v="141224.63399999999"/>
    <n v="187"/>
    <n v="47"/>
    <n v="4512"/>
    <n v="1455"/>
    <n v="0"/>
  </r>
  <r>
    <x v="14"/>
    <n v="6"/>
    <m/>
    <n v="10.005974436365699"/>
    <n v="9.91"/>
    <m/>
    <n v="30.38"/>
    <n v="3748.016619047617"/>
    <x v="57"/>
    <n v="1782097"/>
    <n v="434012.61610071699"/>
    <n v="432380.54"/>
    <n v="87341.752217873902"/>
    <n v="141224.63399999999"/>
    <n v="49"/>
    <n v="171"/>
    <n v="4512"/>
    <n v="1455"/>
    <n v="0"/>
  </r>
  <r>
    <x v="14"/>
    <n v="7"/>
    <m/>
    <n v="10.005974436365699"/>
    <n v="9.91"/>
    <m/>
    <n v="30.71"/>
    <n v="3750.2684354753933"/>
    <x v="58"/>
    <n v="1785959"/>
    <n v="434338.12556279253"/>
    <n v="433226.92"/>
    <n v="87935.173099399588"/>
    <n v="141992.24600000001"/>
    <n v="1"/>
    <n v="325"/>
    <n v="4512"/>
    <n v="1455"/>
    <n v="0"/>
  </r>
  <r>
    <x v="14"/>
    <n v="8"/>
    <m/>
    <n v="10.005974436365699"/>
    <n v="9.91"/>
    <m/>
    <n v="29.52"/>
    <n v="3752.5202519031695"/>
    <x v="58"/>
    <n v="1785959"/>
    <n v="434663.87915696466"/>
    <n v="433228.53"/>
    <n v="87935.173099399588"/>
    <n v="141992.24600000001"/>
    <n v="0"/>
    <n v="341"/>
    <n v="4512"/>
    <n v="1455"/>
    <n v="0"/>
  </r>
  <r>
    <x v="14"/>
    <n v="9"/>
    <m/>
    <n v="10.005974436365699"/>
    <n v="9.91"/>
    <m/>
    <n v="30.48"/>
    <n v="3754.7720683309453"/>
    <x v="58"/>
    <n v="1785959"/>
    <n v="434989.87706633238"/>
    <n v="433229.92"/>
    <n v="87935.173099399588"/>
    <n v="141992.24600000001"/>
    <n v="12"/>
    <n v="261"/>
    <n v="4512"/>
    <n v="1455"/>
    <n v="0"/>
  </r>
  <r>
    <x v="14"/>
    <n v="10"/>
    <m/>
    <n v="10.005974436365699"/>
    <n v="9.91"/>
    <m/>
    <n v="29.67"/>
    <n v="3757.0238847587216"/>
    <x v="59"/>
    <n v="1789734"/>
    <n v="435316.11947413214"/>
    <n v="434056.63"/>
    <n v="88461.157311868388"/>
    <n v="142772.34400000001"/>
    <n v="136"/>
    <n v="73"/>
    <n v="4512"/>
    <n v="1455"/>
    <n v="0"/>
  </r>
  <r>
    <x v="14"/>
    <n v="11"/>
    <m/>
    <n v="10.005974436365699"/>
    <n v="9.91"/>
    <m/>
    <n v="29.76"/>
    <n v="3759.2757011864978"/>
    <x v="59"/>
    <n v="1789734"/>
    <n v="435642.60656373773"/>
    <n v="434057.68"/>
    <n v="88461.157311868388"/>
    <n v="142772.34400000001"/>
    <n v="394"/>
    <n v="7"/>
    <n v="4512"/>
    <n v="1455"/>
    <n v="0"/>
  </r>
  <r>
    <x v="14"/>
    <n v="12"/>
    <m/>
    <n v="10.005974436365699"/>
    <n v="9.91"/>
    <m/>
    <n v="31.57"/>
    <n v="3761.5275176142736"/>
    <x v="59"/>
    <n v="1789734"/>
    <n v="435969.33851866057"/>
    <n v="434058.59"/>
    <n v="88461.157311868388"/>
    <n v="142772.34400000001"/>
    <n v="706"/>
    <n v="0.2"/>
    <n v="4512"/>
    <n v="1455"/>
    <n v="0"/>
  </r>
  <r>
    <x v="15"/>
    <n v="1"/>
    <m/>
    <n v="10.4589465273384"/>
    <n v="10.58"/>
    <m/>
    <n v="32.520000000000003"/>
    <n v="3763.7793340420499"/>
    <x v="60"/>
    <n v="1793401"/>
    <n v="436296.31552254956"/>
    <n v="434861.27"/>
    <n v="89637.835503653696"/>
    <n v="144227.636"/>
    <n v="996"/>
    <n v="0"/>
    <n v="4512"/>
    <n v="1455"/>
    <n v="0"/>
  </r>
  <r>
    <x v="15"/>
    <n v="2"/>
    <m/>
    <n v="10.4589465273384"/>
    <n v="10.58"/>
    <m/>
    <n v="30.14"/>
    <n v="3766.0311504698261"/>
    <x v="60"/>
    <n v="1793401"/>
    <n v="436623.53775919147"/>
    <n v="434861.95"/>
    <n v="89637.835503653696"/>
    <n v="144227.636"/>
    <n v="889.8"/>
    <n v="0"/>
    <n v="4512"/>
    <n v="1455"/>
    <n v="0"/>
  </r>
  <r>
    <x v="15"/>
    <n v="3"/>
    <m/>
    <n v="10.4589465273384"/>
    <n v="10.58"/>
    <m/>
    <n v="30.33"/>
    <n v="3768.2829668976024"/>
    <x v="60"/>
    <n v="1793401"/>
    <n v="436951.00541251089"/>
    <n v="434862.54"/>
    <n v="89637.835503653696"/>
    <n v="144227.636"/>
    <n v="729"/>
    <n v="0.45"/>
    <n v="4512"/>
    <n v="1455"/>
    <n v="0"/>
  </r>
  <r>
    <x v="15"/>
    <n v="4"/>
    <m/>
    <n v="10.4589465273384"/>
    <n v="10.58"/>
    <m/>
    <n v="30.52"/>
    <n v="3770.5347833253782"/>
    <x v="61"/>
    <n v="1797034"/>
    <n v="437278.71866657026"/>
    <n v="435657.51"/>
    <n v="90251.075234545511"/>
    <n v="145000.861"/>
    <n v="440"/>
    <n v="11.85"/>
    <n v="4512"/>
    <n v="1455"/>
    <n v="0"/>
  </r>
  <r>
    <x v="15"/>
    <n v="5"/>
    <m/>
    <n v="10.4589465273384"/>
    <n v="10.58"/>
    <m/>
    <n v="29.48"/>
    <n v="3772.7865997531544"/>
    <x v="61"/>
    <n v="1797034"/>
    <n v="437606.67770557018"/>
    <n v="435657.95"/>
    <n v="90251.075234545511"/>
    <n v="145000.861"/>
    <n v="187"/>
    <n v="47"/>
    <n v="4512"/>
    <n v="1455"/>
    <n v="0"/>
  </r>
  <r>
    <x v="15"/>
    <n v="6"/>
    <m/>
    <n v="10.4589465273384"/>
    <n v="10.58"/>
    <m/>
    <n v="30.67"/>
    <n v="3775.0384161809293"/>
    <x v="61"/>
    <n v="1797034"/>
    <n v="437934.88271384937"/>
    <n v="435658.34"/>
    <n v="90251.075234545511"/>
    <n v="145000.861"/>
    <n v="49"/>
    <n v="171"/>
    <n v="4512"/>
    <n v="1455"/>
    <n v="0"/>
  </r>
  <r>
    <x v="15"/>
    <n v="7"/>
    <m/>
    <n v="10.4589465273384"/>
    <n v="10.58"/>
    <m/>
    <n v="30.71"/>
    <n v="3777.3023081798965"/>
    <x v="62"/>
    <n v="1800662"/>
    <n v="438263.33387588477"/>
    <n v="436452.03"/>
    <n v="90905.547657609219"/>
    <n v="145740.07199999999"/>
    <n v="1"/>
    <n v="325"/>
    <n v="4512"/>
    <n v="1455"/>
    <n v="0"/>
  </r>
  <r>
    <x v="15"/>
    <n v="8"/>
    <m/>
    <n v="10.4589465273384"/>
    <n v="10.58"/>
    <m/>
    <n v="29.52"/>
    <n v="3779.5662001788633"/>
    <x v="62"/>
    <n v="1800662"/>
    <n v="438592.03137629171"/>
    <n v="436452.32"/>
    <n v="90905.547657609219"/>
    <n v="145740.07199999999"/>
    <n v="0"/>
    <n v="341"/>
    <n v="4512"/>
    <n v="1455"/>
    <n v="0"/>
  </r>
  <r>
    <x v="15"/>
    <n v="9"/>
    <m/>
    <n v="10.4589465273384"/>
    <n v="10.58"/>
    <m/>
    <n v="30.52"/>
    <n v="3781.8300921778305"/>
    <x v="62"/>
    <n v="1800662"/>
    <n v="438920.97539982392"/>
    <n v="436452.58"/>
    <n v="90905.547657609219"/>
    <n v="145740.07199999999"/>
    <n v="12"/>
    <n v="261"/>
    <n v="4512"/>
    <n v="1455"/>
    <n v="0"/>
  </r>
  <r>
    <x v="15"/>
    <n v="10"/>
    <m/>
    <n v="10.4589465273384"/>
    <n v="10.58"/>
    <m/>
    <n v="29.62"/>
    <n v="3784.0939841767977"/>
    <x v="63"/>
    <n v="1804307"/>
    <n v="439250.16613137379"/>
    <n v="437249.87"/>
    <n v="91493.182183445591"/>
    <n v="146638.23699999999"/>
    <n v="136"/>
    <n v="73"/>
    <n v="4512"/>
    <n v="1455"/>
    <n v="0"/>
  </r>
  <r>
    <x v="15"/>
    <n v="11"/>
    <m/>
    <n v="10.4589465273384"/>
    <n v="10.58"/>
    <m/>
    <n v="29.95"/>
    <n v="3786.3578761757649"/>
    <x v="63"/>
    <n v="1804307"/>
    <n v="439579.60375597235"/>
    <n v="437250.06"/>
    <n v="91493.182183445591"/>
    <n v="146638.23699999999"/>
    <n v="394"/>
    <n v="7"/>
    <n v="4512"/>
    <n v="1455"/>
    <n v="0"/>
  </r>
  <r>
    <x v="15"/>
    <n v="12"/>
    <m/>
    <n v="10.4589465273384"/>
    <n v="10.58"/>
    <m/>
    <n v="31.24"/>
    <n v="3788.6217681747321"/>
    <x v="63"/>
    <n v="1804307"/>
    <n v="439909.28845878935"/>
    <n v="437250.22"/>
    <n v="91493.182183445591"/>
    <n v="146638.23699999999"/>
    <n v="706"/>
    <n v="0.2"/>
    <n v="4512"/>
    <n v="1455"/>
    <n v="0"/>
  </r>
  <r>
    <x v="16"/>
    <n v="1"/>
    <m/>
    <n v="10.668125457885168"/>
    <n v="10.82"/>
    <m/>
    <n v="32.67"/>
    <n v="3790.8856601736993"/>
    <x v="64"/>
    <n v="1806844"/>
    <n v="440275.87953250494"/>
    <n v="437805.15"/>
    <n v="92284.153050970781"/>
    <n v="147397.973"/>
    <n v="996"/>
    <n v="0"/>
    <n v="4512"/>
    <n v="1455"/>
    <n v="0"/>
  </r>
  <r>
    <x v="16"/>
    <n v="2"/>
    <m/>
    <n v="10.668125457885168"/>
    <n v="10.82"/>
    <m/>
    <n v="29.86"/>
    <n v="3793.1495521726665"/>
    <x v="64"/>
    <n v="1806844"/>
    <n v="440642.77609878196"/>
    <n v="437805.27"/>
    <n v="92284.153050970781"/>
    <n v="147397.973"/>
    <n v="889.8"/>
    <n v="0"/>
    <n v="4512"/>
    <n v="1455"/>
    <n v="0"/>
  </r>
  <r>
    <x v="16"/>
    <n v="3"/>
    <m/>
    <n v="10.668125457885168"/>
    <n v="10.82"/>
    <m/>
    <n v="30.29"/>
    <n v="3795.4134441716337"/>
    <x v="64"/>
    <n v="1806844"/>
    <n v="441009.97841219755"/>
    <n v="437805.38"/>
    <n v="92284.153050970781"/>
    <n v="147397.973"/>
    <n v="729"/>
    <n v="0.45"/>
    <n v="4512"/>
    <n v="1455"/>
    <n v="0"/>
  </r>
  <r>
    <x v="16"/>
    <n v="4"/>
    <m/>
    <n v="10.668125457885168"/>
    <n v="10.82"/>
    <m/>
    <n v="30.33"/>
    <n v="3797.6773361706009"/>
    <x v="65"/>
    <n v="1809400"/>
    <n v="441377.48672754102"/>
    <n v="438364.41"/>
    <n v="92838.708314839998"/>
    <n v="148169.18"/>
    <n v="440"/>
    <n v="11.85"/>
    <n v="4512"/>
    <n v="1455"/>
    <n v="0"/>
  </r>
  <r>
    <x v="16"/>
    <n v="5"/>
    <m/>
    <n v="10.668125457885168"/>
    <n v="10.82"/>
    <m/>
    <n v="30.05"/>
    <n v="3799.9412281695677"/>
    <x v="65"/>
    <n v="1809400"/>
    <n v="441745.30129981396"/>
    <n v="438364.49"/>
    <n v="92838.708314839998"/>
    <n v="148169.18"/>
    <n v="187"/>
    <n v="47"/>
    <n v="4512"/>
    <n v="1455"/>
    <n v="0"/>
  </r>
  <r>
    <x v="16"/>
    <n v="6"/>
    <m/>
    <n v="10.668125457885168"/>
    <n v="10.82"/>
    <m/>
    <n v="30.62"/>
    <n v="3802.2051201685322"/>
    <x v="65"/>
    <n v="1809400"/>
    <n v="442113.42238423042"/>
    <n v="438364.56"/>
    <n v="92838.708314839998"/>
    <n v="148169.18"/>
    <n v="49"/>
    <n v="171"/>
    <n v="4512"/>
    <n v="1455"/>
    <n v="0"/>
  </r>
  <r>
    <x v="16"/>
    <n v="7"/>
    <m/>
    <n v="10.668125457885168"/>
    <n v="10.82"/>
    <m/>
    <n v="30.81"/>
    <n v="3804.4647787775989"/>
    <x v="66"/>
    <n v="1811938"/>
    <n v="442481.85023621726"/>
    <n v="438919.62"/>
    <n v="93468.4357869573"/>
    <n v="149003.10200000001"/>
    <n v="1"/>
    <n v="325"/>
    <n v="4512"/>
    <n v="1455"/>
    <n v="0"/>
  </r>
  <r>
    <x v="16"/>
    <n v="8"/>
    <m/>
    <n v="10.668125457885168"/>
    <n v="10.82"/>
    <m/>
    <n v="29.43"/>
    <n v="3806.7244373866656"/>
    <x v="66"/>
    <n v="1811938"/>
    <n v="442850.58511141408"/>
    <n v="438919.67"/>
    <n v="93468.4357869573"/>
    <n v="149003.10200000001"/>
    <n v="0"/>
    <n v="341"/>
    <n v="4512"/>
    <n v="1455"/>
    <n v="0"/>
  </r>
  <r>
    <x v="16"/>
    <n v="9"/>
    <m/>
    <n v="10.668125457885168"/>
    <n v="10.82"/>
    <m/>
    <n v="30.57"/>
    <n v="3808.9840959957323"/>
    <x v="66"/>
    <n v="1811938"/>
    <n v="443219.62726567354"/>
    <n v="438919.72"/>
    <n v="93468.4357869573"/>
    <n v="149003.10200000001"/>
    <n v="12"/>
    <n v="261"/>
    <n v="4512"/>
    <n v="1455"/>
    <n v="0"/>
  </r>
  <r>
    <x v="16"/>
    <n v="10"/>
    <m/>
    <n v="10.668125457885168"/>
    <n v="10.82"/>
    <m/>
    <n v="29.67"/>
    <n v="3811.2437546047986"/>
    <x v="67"/>
    <n v="1814388"/>
    <n v="443588.97695506155"/>
    <n v="439455.52"/>
    <n v="94149.4491141076"/>
    <n v="149821.88399999999"/>
    <n v="136"/>
    <n v="73"/>
    <n v="4512"/>
    <n v="1455"/>
    <n v="0"/>
  </r>
  <r>
    <x v="16"/>
    <n v="11"/>
    <m/>
    <n v="10.668125457885168"/>
    <n v="10.82"/>
    <m/>
    <n v="30.05"/>
    <n v="3813.5034132138653"/>
    <x v="67"/>
    <n v="1814388"/>
    <n v="443958.63443585741"/>
    <n v="439455.55"/>
    <n v="94149.4491141076"/>
    <n v="149821.88399999999"/>
    <n v="394"/>
    <n v="7"/>
    <n v="4512"/>
    <n v="1455"/>
    <n v="0"/>
  </r>
  <r>
    <x v="16"/>
    <n v="12"/>
    <m/>
    <n v="10.668125457885168"/>
    <n v="10.82"/>
    <m/>
    <n v="30.67"/>
    <n v="3815.763071822932"/>
    <x v="67"/>
    <n v="1814388"/>
    <n v="444328.5999645539"/>
    <n v="439455.58"/>
    <n v="94149.4491141076"/>
    <n v="149821.88399999999"/>
    <n v="706"/>
    <n v="0.2"/>
    <n v="4512"/>
    <n v="1455"/>
    <n v="0"/>
  </r>
  <r>
    <x v="17"/>
    <n v="1"/>
    <m/>
    <n v="10.881487967042871"/>
    <n v="11.05"/>
    <m/>
    <n v="32.67"/>
    <n v="3818.0227304319988"/>
    <x v="68"/>
    <n v="1817810"/>
    <n v="444698.87379785767"/>
    <n v="440203.92"/>
    <n v="95233.498115994502"/>
    <n v="151159.774"/>
    <n v="996"/>
    <n v="0"/>
    <n v="4512"/>
    <n v="1455"/>
    <n v="0"/>
  </r>
  <r>
    <x v="17"/>
    <n v="2"/>
    <m/>
    <n v="10.881487967042871"/>
    <n v="11.05"/>
    <m/>
    <n v="29.86"/>
    <n v="3820.282389041065"/>
    <x v="68"/>
    <n v="1817810"/>
    <n v="445069.45619268919"/>
    <n v="440203.94"/>
    <n v="95233.498115994502"/>
    <n v="151159.774"/>
    <n v="889.8"/>
    <n v="0"/>
    <n v="4512"/>
    <n v="1455"/>
    <n v="0"/>
  </r>
  <r>
    <x v="17"/>
    <n v="3"/>
    <m/>
    <n v="10.881487967042871"/>
    <n v="11.05"/>
    <m/>
    <n v="30.43"/>
    <n v="3822.5420476501317"/>
    <x v="68"/>
    <n v="1817810"/>
    <n v="445440.34740618308"/>
    <n v="440203.96"/>
    <n v="95233.498115994502"/>
    <n v="151159.774"/>
    <n v="729"/>
    <n v="0.45"/>
    <n v="4512"/>
    <n v="1455"/>
    <n v="0"/>
  </r>
  <r>
    <x v="17"/>
    <n v="4"/>
    <m/>
    <n v="10.881487967042871"/>
    <n v="11.05"/>
    <m/>
    <n v="30.71"/>
    <n v="3824.8017062591985"/>
    <x v="69"/>
    <n v="1821188"/>
    <n v="445811.5476956882"/>
    <n v="440942.66"/>
    <n v="95959.661458908813"/>
    <n v="152014.81099999999"/>
    <n v="440"/>
    <n v="11.85"/>
    <n v="4512"/>
    <n v="1455"/>
    <n v="0"/>
  </r>
  <r>
    <x v="17"/>
    <n v="5"/>
    <m/>
    <n v="10.881487967042871"/>
    <n v="11.05"/>
    <m/>
    <n v="29.52"/>
    <n v="3827.0613648682652"/>
    <x v="69"/>
    <n v="1821188"/>
    <n v="446183.05731876788"/>
    <n v="440942.68"/>
    <n v="95959.661458908813"/>
    <n v="152014.81099999999"/>
    <n v="187"/>
    <n v="47"/>
    <n v="4512"/>
    <n v="1455"/>
    <n v="0"/>
  </r>
  <r>
    <x v="17"/>
    <n v="6"/>
    <m/>
    <n v="10.881487967042871"/>
    <n v="11.05"/>
    <m/>
    <n v="30.62"/>
    <n v="3829.3210234773323"/>
    <x v="69"/>
    <n v="1821188"/>
    <n v="446554.87653320015"/>
    <n v="440942.69"/>
    <n v="95959.661458908813"/>
    <n v="152014.81099999999"/>
    <n v="49"/>
    <n v="171"/>
    <n v="4512"/>
    <n v="1455"/>
    <n v="0"/>
  </r>
  <r>
    <x v="17"/>
    <n v="7"/>
    <m/>
    <n v="10.881487967042871"/>
    <n v="11.05"/>
    <m/>
    <n v="30.76"/>
    <n v="3831.5749219001409"/>
    <x v="70"/>
    <n v="1824570"/>
    <n v="446927.00559697777"/>
    <n v="441682.27"/>
    <n v="96557.217725900817"/>
    <n v="152840.09"/>
    <n v="1"/>
    <n v="325"/>
    <n v="4512"/>
    <n v="1455"/>
    <n v="0"/>
  </r>
  <r>
    <x v="17"/>
    <n v="8"/>
    <m/>
    <n v="10.881487967042871"/>
    <n v="11.05"/>
    <m/>
    <n v="29.48"/>
    <n v="3833.8288203229499"/>
    <x v="70"/>
    <n v="1824570"/>
    <n v="447299.44476830855"/>
    <n v="441682.27"/>
    <n v="96557.217725900817"/>
    <n v="152840.09"/>
    <n v="0"/>
    <n v="341"/>
    <n v="4512"/>
    <n v="1455"/>
    <n v="0"/>
  </r>
  <r>
    <x v="17"/>
    <n v="9"/>
    <m/>
    <n v="10.881487967042871"/>
    <n v="11.05"/>
    <m/>
    <n v="30.57"/>
    <n v="3836.0827187457589"/>
    <x v="70"/>
    <n v="1824570"/>
    <n v="447672.19430561544"/>
    <n v="441682.28"/>
    <n v="96557.217725900817"/>
    <n v="152840.09"/>
    <n v="12"/>
    <n v="261"/>
    <n v="4512"/>
    <n v="1455"/>
    <n v="0"/>
  </r>
  <r>
    <x v="17"/>
    <n v="10"/>
    <m/>
    <n v="10.881487967042871"/>
    <n v="11.05"/>
    <m/>
    <n v="29.67"/>
    <n v="3838.3366171685675"/>
    <x v="71"/>
    <n v="1827939"/>
    <n v="448045.25446753675"/>
    <n v="442419.01"/>
    <n v="97296.406786188018"/>
    <n v="153691.45300000001"/>
    <n v="136"/>
    <n v="73"/>
    <n v="4512"/>
    <n v="1455"/>
    <n v="0"/>
  </r>
  <r>
    <x v="17"/>
    <n v="11"/>
    <m/>
    <n v="10.881487967042871"/>
    <n v="11.05"/>
    <m/>
    <n v="29.95"/>
    <n v="3840.5905155913765"/>
    <x v="71"/>
    <n v="1827939"/>
    <n v="448418.62551292632"/>
    <n v="442419.02"/>
    <n v="97296.406786188018"/>
    <n v="153691.45300000001"/>
    <n v="394"/>
    <n v="7"/>
    <n v="4512"/>
    <n v="1455"/>
    <n v="0"/>
  </r>
  <r>
    <x v="17"/>
    <n v="12"/>
    <m/>
    <n v="10.881487967042871"/>
    <n v="11.05"/>
    <m/>
    <n v="31.1"/>
    <n v="3842.8444140141855"/>
    <x v="71"/>
    <n v="1827939"/>
    <n v="448792.30770085374"/>
    <n v="442419.02"/>
    <n v="97296.406786188018"/>
    <n v="153691.45300000001"/>
    <n v="706"/>
    <n v="0.2"/>
    <n v="4512"/>
    <n v="1455"/>
    <n v="0"/>
  </r>
  <r>
    <x v="18"/>
    <n v="1"/>
    <m/>
    <n v="11.099117726383728"/>
    <n v="11.52"/>
    <m/>
    <n v="32.71"/>
    <n v="3845.0983124369941"/>
    <x v="72"/>
    <n v="1831317"/>
    <n v="449091.50257265428"/>
    <n v="443157.72"/>
    <n v="98160.531579131901"/>
    <n v="155062.20000000001"/>
    <n v="996"/>
    <n v="0"/>
    <n v="4512"/>
    <n v="1455"/>
    <n v="0"/>
  </r>
  <r>
    <x v="18"/>
    <n v="2"/>
    <m/>
    <n v="11.099117726383728"/>
    <n v="11.52"/>
    <m/>
    <n v="29.9"/>
    <n v="3847.3522108598031"/>
    <x v="72"/>
    <n v="1831317"/>
    <n v="449390.89690770267"/>
    <n v="443157.72"/>
    <n v="98160.531579131901"/>
    <n v="155062.20000000001"/>
    <n v="889.8"/>
    <n v="0"/>
    <n v="4512"/>
    <n v="1455"/>
    <n v="0"/>
  </r>
  <r>
    <x v="18"/>
    <n v="3"/>
    <m/>
    <n v="11.099117726383728"/>
    <n v="11.52"/>
    <m/>
    <n v="30.33"/>
    <n v="3849.6061092826117"/>
    <x v="72"/>
    <n v="1831317"/>
    <n v="449690.49083897442"/>
    <n v="443157.72"/>
    <n v="98160.531579131901"/>
    <n v="155062.20000000001"/>
    <n v="729"/>
    <n v="0.45"/>
    <n v="4512"/>
    <n v="1455"/>
    <n v="0"/>
  </r>
  <r>
    <x v="18"/>
    <n v="4"/>
    <m/>
    <n v="11.099117726383728"/>
    <n v="11.52"/>
    <m/>
    <n v="29.95"/>
    <n v="3851.8600077054207"/>
    <x v="73"/>
    <n v="1834680"/>
    <n v="449990.28449953371"/>
    <n v="443893.14"/>
    <n v="98745.531141952"/>
    <n v="155893.33300000001"/>
    <n v="440"/>
    <n v="11.85"/>
    <n v="4512"/>
    <n v="1455"/>
    <n v="0"/>
  </r>
  <r>
    <x v="18"/>
    <n v="5"/>
    <m/>
    <n v="11.099117726383728"/>
    <n v="11.52"/>
    <m/>
    <n v="30.38"/>
    <n v="3854.1139061282297"/>
    <x v="73"/>
    <n v="1834680"/>
    <n v="450290.27802253334"/>
    <n v="443893.14"/>
    <n v="98745.531141952"/>
    <n v="155893.33300000001"/>
    <n v="187"/>
    <n v="47"/>
    <n v="4512"/>
    <n v="1455"/>
    <n v="0"/>
  </r>
  <r>
    <x v="18"/>
    <n v="6"/>
    <m/>
    <n v="11.099117726383728"/>
    <n v="11.52"/>
    <m/>
    <n v="30.67"/>
    <n v="3856.3678045510387"/>
    <x v="73"/>
    <n v="1834680"/>
    <n v="450590.47154121503"/>
    <n v="443893.14"/>
    <n v="98745.531141952"/>
    <n v="155893.33300000001"/>
    <n v="49"/>
    <n v="171"/>
    <n v="4512"/>
    <n v="1455"/>
    <n v="0"/>
  </r>
  <r>
    <x v="18"/>
    <n v="7"/>
    <m/>
    <n v="11.099117726383728"/>
    <n v="11.52"/>
    <m/>
    <n v="30.67"/>
    <n v="3858.6123339961996"/>
    <x v="74"/>
    <n v="1838034"/>
    <n v="450890.86518890911"/>
    <n v="444626.58"/>
    <n v="99524.924480335991"/>
    <n v="156697.22099999999"/>
    <n v="1"/>
    <n v="325"/>
    <n v="4512"/>
    <n v="1455"/>
    <n v="0"/>
  </r>
  <r>
    <x v="18"/>
    <n v="8"/>
    <m/>
    <n v="11.099117726383728"/>
    <n v="11.52"/>
    <m/>
    <n v="29.48"/>
    <n v="3860.85686344136"/>
    <x v="74"/>
    <n v="1838034"/>
    <n v="451191.45909903501"/>
    <n v="444626.59"/>
    <n v="99524.924480335991"/>
    <n v="156697.22099999999"/>
    <n v="0"/>
    <n v="341"/>
    <n v="4512"/>
    <n v="1455"/>
    <n v="0"/>
  </r>
  <r>
    <x v="18"/>
    <n v="9"/>
    <m/>
    <n v="11.099117726383728"/>
    <n v="11.52"/>
    <m/>
    <n v="30.71"/>
    <n v="3863.1013928865209"/>
    <x v="74"/>
    <n v="1838034"/>
    <n v="451492.25340510102"/>
    <n v="444626.59"/>
    <n v="99524.924480335991"/>
    <n v="156697.22099999999"/>
    <n v="12"/>
    <n v="261"/>
    <n v="4512"/>
    <n v="1455"/>
    <n v="0"/>
  </r>
  <r>
    <x v="18"/>
    <n v="10"/>
    <m/>
    <n v="11.099117726383728"/>
    <n v="11.52"/>
    <m/>
    <n v="29.52"/>
    <n v="3865.3459223316813"/>
    <x v="75"/>
    <n v="1841366"/>
    <n v="451793.24824070436"/>
    <n v="445355.22"/>
    <n v="100196.27471347759"/>
    <n v="157503.777"/>
    <n v="136"/>
    <n v="73"/>
    <n v="4512"/>
    <n v="1455"/>
    <n v="0"/>
  </r>
  <r>
    <x v="18"/>
    <n v="11"/>
    <m/>
    <n v="11.099117726383728"/>
    <n v="11.52"/>
    <m/>
    <n v="29.38"/>
    <n v="3867.5904517768422"/>
    <x v="75"/>
    <n v="1841366"/>
    <n v="452094.44373953145"/>
    <n v="445355.22"/>
    <n v="100196.27471347759"/>
    <n v="157503.777"/>
    <n v="394"/>
    <n v="7"/>
    <n v="4512"/>
    <n v="1455"/>
    <n v="0"/>
  </r>
  <r>
    <x v="18"/>
    <n v="12"/>
    <m/>
    <n v="11.099117726383728"/>
    <n v="11.52"/>
    <m/>
    <n v="32.049999999999997"/>
    <n v="3869.8349812220026"/>
    <x v="75"/>
    <n v="1841366"/>
    <n v="452395.84003535775"/>
    <n v="445355.22"/>
    <n v="100196.27471347759"/>
    <n v="157503.777"/>
    <n v="706"/>
    <n v="0.2"/>
    <n v="4512"/>
    <n v="1455"/>
    <n v="0"/>
  </r>
  <r>
    <x v="19"/>
    <n v="1"/>
    <m/>
    <n v="11.321100080911403"/>
    <n v="11.56"/>
    <m/>
    <n v="32.33"/>
    <n v="3872.0795106671635"/>
    <x v="76"/>
    <n v="1844713"/>
    <n v="452697.43726204796"/>
    <n v="446087.13"/>
    <n v="101083.61621558879"/>
    <n v="158898.726"/>
    <n v="996"/>
    <n v="0"/>
    <n v="4512"/>
    <n v="1455"/>
    <n v="0"/>
  </r>
  <r>
    <x v="19"/>
    <n v="2"/>
    <m/>
    <n v="11.321100080911403"/>
    <n v="11.56"/>
    <m/>
    <n v="30.05"/>
    <n v="3874.3240401123239"/>
    <x v="76"/>
    <n v="1844713"/>
    <n v="452999.23555355595"/>
    <n v="446087.13"/>
    <n v="101083.61621558879"/>
    <n v="158898.726"/>
    <n v="889.8"/>
    <n v="0"/>
    <n v="4512"/>
    <n v="1455"/>
    <n v="0"/>
  </r>
  <r>
    <x v="19"/>
    <n v="3"/>
    <m/>
    <n v="11.321100080911403"/>
    <n v="11.56"/>
    <m/>
    <n v="30.19"/>
    <n v="3876.5685695574848"/>
    <x v="76"/>
    <n v="1844713"/>
    <n v="453301.23504392494"/>
    <n v="446087.13"/>
    <n v="101083.61621558879"/>
    <n v="158898.726"/>
    <n v="729"/>
    <n v="0.45"/>
    <n v="4512"/>
    <n v="1455"/>
    <n v="0"/>
  </r>
  <r>
    <x v="19"/>
    <n v="4"/>
    <m/>
    <n v="11.321100080911403"/>
    <n v="11.56"/>
    <m/>
    <n v="30.33"/>
    <n v="3878.8130990026452"/>
    <x v="77"/>
    <n v="1847818"/>
    <n v="453603.43586728751"/>
    <n v="446766.12"/>
    <n v="101976.35534197011"/>
    <n v="159849.41"/>
    <n v="440"/>
    <n v="11.85"/>
    <n v="4512"/>
    <n v="1455"/>
    <n v="0"/>
  </r>
  <r>
    <x v="19"/>
    <n v="5"/>
    <m/>
    <n v="11.321100080911403"/>
    <n v="11.56"/>
    <m/>
    <n v="30.14"/>
    <n v="3881.0576284478061"/>
    <x v="77"/>
    <n v="1847818"/>
    <n v="453905.83815786568"/>
    <n v="446766.12"/>
    <n v="101976.35534197011"/>
    <n v="159849.41"/>
    <n v="187"/>
    <n v="47"/>
    <n v="4512"/>
    <n v="1455"/>
    <n v="0"/>
  </r>
  <r>
    <x v="19"/>
    <n v="6"/>
    <m/>
    <n v="11.321100080911403"/>
    <n v="11.56"/>
    <m/>
    <n v="30.52"/>
    <n v="3883.3021578929679"/>
    <x v="77"/>
    <n v="1847818"/>
    <n v="454208.44204997091"/>
    <n v="446766.12"/>
    <n v="101976.35534197011"/>
    <n v="159849.41"/>
    <n v="49"/>
    <n v="171"/>
    <n v="4512"/>
    <n v="1455"/>
    <n v="0"/>
  </r>
  <r>
    <x v="19"/>
    <n v="7"/>
    <m/>
    <n v="11.321100080911403"/>
    <n v="11.56"/>
    <m/>
    <n v="30.67"/>
    <n v="3885.535930363792"/>
    <x v="78"/>
    <n v="1850903"/>
    <n v="454511.24767800421"/>
    <n v="447440.74"/>
    <n v="102746.87215396801"/>
    <n v="160644.163"/>
    <n v="1"/>
    <n v="325"/>
    <n v="4512"/>
    <n v="1455"/>
    <n v="0"/>
  </r>
  <r>
    <x v="19"/>
    <n v="8"/>
    <m/>
    <n v="11.321100080911403"/>
    <n v="11.56"/>
    <m/>
    <n v="29.48"/>
    <n v="3887.7697028346161"/>
    <x v="78"/>
    <n v="1850903"/>
    <n v="454814.25517645618"/>
    <n v="447440.74"/>
    <n v="102746.87215396801"/>
    <n v="160644.163"/>
    <n v="0"/>
    <n v="341"/>
    <n v="4512"/>
    <n v="1455"/>
    <n v="0"/>
  </r>
  <r>
    <x v="19"/>
    <n v="9"/>
    <m/>
    <n v="11.321100080911403"/>
    <n v="11.56"/>
    <m/>
    <n v="30.52"/>
    <n v="3890.0034753054397"/>
    <x v="78"/>
    <n v="1850903"/>
    <n v="455117.46467990713"/>
    <n v="447440.74"/>
    <n v="102746.87215396801"/>
    <n v="160644.163"/>
    <n v="12"/>
    <n v="261"/>
    <n v="4512"/>
    <n v="1455"/>
    <n v="0"/>
  </r>
  <r>
    <x v="19"/>
    <n v="10"/>
    <m/>
    <n v="11.321100080911403"/>
    <n v="11.56"/>
    <m/>
    <n v="29.71"/>
    <n v="3892.2372477762638"/>
    <x v="79"/>
    <n v="1853976"/>
    <n v="455420.87632302701"/>
    <n v="448112.73"/>
    <n v="103748.68517405671"/>
    <n v="161348.13399999999"/>
    <n v="136"/>
    <n v="73"/>
    <n v="4512"/>
    <n v="1455"/>
    <n v="0"/>
  </r>
  <r>
    <x v="19"/>
    <n v="11"/>
    <m/>
    <n v="11.321100080911403"/>
    <n v="11.56"/>
    <m/>
    <n v="29.57"/>
    <n v="3894.4710202470878"/>
    <x v="79"/>
    <n v="1853976"/>
    <n v="455724.49024057569"/>
    <n v="448112.73"/>
    <n v="103748.68517405671"/>
    <n v="161348.13399999999"/>
    <n v="394"/>
    <n v="7"/>
    <n v="4512"/>
    <n v="1455"/>
    <n v="0"/>
  </r>
  <r>
    <x v="19"/>
    <n v="12"/>
    <m/>
    <n v="11.321100080911403"/>
    <n v="11.56"/>
    <m/>
    <n v="32.619999999999997"/>
    <n v="3896.7047927179119"/>
    <x v="79"/>
    <n v="1853976"/>
    <n v="456028.30656740273"/>
    <n v="448112.73"/>
    <n v="103748.68517405671"/>
    <n v="161348.13399999999"/>
    <n v="706"/>
    <n v="0.2"/>
    <n v="4512"/>
    <n v="1455"/>
    <n v="0"/>
  </r>
  <r>
    <x v="20"/>
    <n v="1"/>
    <m/>
    <n v="11.547522082529632"/>
    <n v="11.85"/>
    <m/>
    <n v="33.049999999999997"/>
    <n v="3898.9385651887355"/>
    <x v="80"/>
    <n v="1856841"/>
    <n v="456332.32543844765"/>
    <n v="448739.24"/>
    <n v="104503.41130211821"/>
    <n v="162475.66899999999"/>
    <n v="996"/>
    <n v="0"/>
    <n v="4512"/>
    <n v="1455"/>
    <n v="0"/>
  </r>
  <r>
    <x v="20"/>
    <n v="2"/>
    <m/>
    <n v="11.547522082529632"/>
    <n v="11.85"/>
    <m/>
    <n v="30.14"/>
    <n v="3901.1723376595596"/>
    <x v="80"/>
    <n v="1856841"/>
    <n v="456636.54698873992"/>
    <n v="448739.24"/>
    <n v="104503.41130211821"/>
    <n v="162475.66899999999"/>
    <n v="889.8"/>
    <n v="0"/>
    <n v="4512"/>
    <n v="1455"/>
    <n v="0"/>
  </r>
  <r>
    <x v="20"/>
    <n v="3"/>
    <m/>
    <n v="11.547522082529632"/>
    <n v="11.85"/>
    <m/>
    <n v="30"/>
    <n v="3903.4061101303837"/>
    <x v="80"/>
    <n v="1856841"/>
    <n v="456940.97135339904"/>
    <n v="448739.24"/>
    <n v="104503.41130211821"/>
    <n v="162475.66899999999"/>
    <n v="729"/>
    <n v="0.45"/>
    <n v="4512"/>
    <n v="1455"/>
    <n v="0"/>
  </r>
  <r>
    <x v="20"/>
    <n v="4"/>
    <m/>
    <n v="11.547522082529632"/>
    <n v="11.85"/>
    <m/>
    <n v="30.86"/>
    <n v="3905.6398826012078"/>
    <x v="81"/>
    <n v="1859791"/>
    <n v="457245.59866763459"/>
    <n v="449384.34"/>
    <n v="105160.64085444859"/>
    <n v="163161.704"/>
    <n v="440"/>
    <n v="11.85"/>
    <n v="4512"/>
    <n v="1455"/>
    <n v="0"/>
  </r>
  <r>
    <x v="20"/>
    <n v="5"/>
    <m/>
    <n v="11.547522082529632"/>
    <n v="11.85"/>
    <m/>
    <n v="29.48"/>
    <n v="3907.8736550720314"/>
    <x v="81"/>
    <n v="1859791"/>
    <n v="457550.42906674632"/>
    <n v="449384.34"/>
    <n v="105160.64085444859"/>
    <n v="163161.704"/>
    <n v="187"/>
    <n v="47"/>
    <n v="4512"/>
    <n v="1455"/>
    <n v="0"/>
  </r>
  <r>
    <x v="20"/>
    <n v="6"/>
    <m/>
    <n v="11.547522082529632"/>
    <n v="11.85"/>
    <m/>
    <n v="30.67"/>
    <n v="3910.1074275428555"/>
    <x v="81"/>
    <n v="1859791"/>
    <n v="457855.46268612414"/>
    <n v="449384.34"/>
    <n v="105160.64085444859"/>
    <n v="163161.704"/>
    <n v="49"/>
    <n v="171"/>
    <n v="4512"/>
    <n v="1455"/>
    <n v="0"/>
  </r>
  <r>
    <x v="20"/>
    <n v="7"/>
    <m/>
    <n v="11.547522082529632"/>
    <n v="11.85"/>
    <m/>
    <n v="30.71"/>
    <n v="3912.3264178489458"/>
    <x v="82"/>
    <n v="1862693"/>
    <n v="458160.69966124819"/>
    <n v="450018.94"/>
    <n v="105907.399921517"/>
    <n v="163854.01199999999"/>
    <n v="1"/>
    <n v="325"/>
    <n v="4512"/>
    <n v="1455"/>
    <n v="0"/>
  </r>
  <r>
    <x v="20"/>
    <n v="8"/>
    <m/>
    <n v="11.547522082529632"/>
    <n v="11.85"/>
    <m/>
    <n v="29.52"/>
    <n v="3914.5454081550356"/>
    <x v="82"/>
    <n v="1862693"/>
    <n v="458466.140127689"/>
    <n v="450018.94"/>
    <n v="105907.399921517"/>
    <n v="163854.01199999999"/>
    <n v="0"/>
    <n v="341"/>
    <n v="4512"/>
    <n v="1455"/>
    <n v="0"/>
  </r>
  <r>
    <x v="20"/>
    <n v="9"/>
    <m/>
    <n v="11.547522082529632"/>
    <n v="11.85"/>
    <m/>
    <n v="30.52"/>
    <n v="3916.7643984611259"/>
    <x v="82"/>
    <n v="1862693"/>
    <n v="458771.78422110743"/>
    <n v="450018.94"/>
    <n v="105907.399921517"/>
    <n v="163854.01199999999"/>
    <n v="12"/>
    <n v="261"/>
    <n v="4512"/>
    <n v="1455"/>
    <n v="0"/>
  </r>
  <r>
    <x v="20"/>
    <n v="10"/>
    <m/>
    <n v="11.547522082529632"/>
    <n v="11.85"/>
    <m/>
    <n v="29.62"/>
    <n v="3918.9833887672157"/>
    <x v="83"/>
    <n v="1866915"/>
    <n v="459077.63207725482"/>
    <n v="450942.19"/>
    <n v="106453.54469763039"/>
    <n v="164597.87899999999"/>
    <n v="136"/>
    <n v="73"/>
    <n v="4512"/>
    <n v="1455"/>
    <n v="0"/>
  </r>
  <r>
    <x v="20"/>
    <n v="11"/>
    <m/>
    <n v="11.547522082529632"/>
    <n v="11.85"/>
    <m/>
    <n v="29.1"/>
    <n v="3921.202379073306"/>
    <x v="83"/>
    <n v="1866915"/>
    <n v="459383.68383197294"/>
    <n v="450942.19"/>
    <n v="106453.54469763039"/>
    <n v="164597.87899999999"/>
    <n v="394"/>
    <n v="7"/>
    <n v="4512"/>
    <n v="1455"/>
    <n v="0"/>
  </r>
  <r>
    <x v="20"/>
    <n v="12"/>
    <m/>
    <n v="11.547522082529632"/>
    <n v="11.85"/>
    <m/>
    <n v="31.67"/>
    <n v="3923.4213693793963"/>
    <x v="83"/>
    <n v="1866915"/>
    <n v="459689.93962119421"/>
    <n v="450942.19"/>
    <n v="106453.54469763039"/>
    <n v="164597.87899999999"/>
    <n v="706"/>
    <n v="0.2"/>
    <n v="4512"/>
    <n v="1455"/>
    <n v="0"/>
  </r>
  <r>
    <x v="21"/>
    <n v="1"/>
    <m/>
    <n v="11.778472524180225"/>
    <n v="12.14"/>
    <m/>
    <n v="32.71"/>
    <n v="3925.6403596854861"/>
    <x v="84"/>
    <n v="1869009"/>
    <n v="459996.39958094165"/>
    <n v="451400.1"/>
    <n v="107369.0410138056"/>
    <n v="165857.508"/>
    <n v="996"/>
    <n v="0"/>
    <n v="4512"/>
    <n v="1455"/>
    <n v="0"/>
  </r>
  <r>
    <x v="21"/>
    <n v="2"/>
    <m/>
    <n v="11.778472524180225"/>
    <n v="12.14"/>
    <m/>
    <n v="29.81"/>
    <n v="3927.8593499915764"/>
    <x v="84"/>
    <n v="1869009"/>
    <n v="460303.06384732889"/>
    <n v="451400.1"/>
    <n v="107369.0410138056"/>
    <n v="165857.508"/>
    <n v="889.8"/>
    <n v="0"/>
    <n v="4512"/>
    <n v="1455"/>
    <n v="0"/>
  </r>
  <r>
    <x v="21"/>
    <n v="3"/>
    <m/>
    <n v="11.778472524180225"/>
    <n v="12.14"/>
    <m/>
    <n v="30.33"/>
    <n v="3930.0783402976663"/>
    <x v="84"/>
    <n v="1869009"/>
    <n v="460609.93255656038"/>
    <n v="451400.1"/>
    <n v="107369.0410138056"/>
    <n v="165857.508"/>
    <n v="729"/>
    <n v="0.45"/>
    <n v="4512"/>
    <n v="1455"/>
    <n v="0"/>
  </r>
  <r>
    <x v="21"/>
    <n v="4"/>
    <m/>
    <n v="11.778472524180225"/>
    <n v="12.14"/>
    <m/>
    <n v="30.19"/>
    <n v="3932.2973306037566"/>
    <x v="85"/>
    <n v="1872117"/>
    <n v="460917.00584493141"/>
    <n v="452079.74"/>
    <n v="108063.41978298381"/>
    <n v="166796.47399999999"/>
    <n v="440"/>
    <n v="11.85"/>
    <n v="4512"/>
    <n v="1455"/>
    <n v="0"/>
  </r>
  <r>
    <x v="21"/>
    <n v="5"/>
    <m/>
    <n v="11.778472524180225"/>
    <n v="12.14"/>
    <m/>
    <n v="30.14"/>
    <n v="3934.5163209098464"/>
    <x v="85"/>
    <n v="1872117"/>
    <n v="461224.283848828"/>
    <n v="452079.74"/>
    <n v="108063.41978298381"/>
    <n v="166796.47399999999"/>
    <n v="187"/>
    <n v="47"/>
    <n v="4512"/>
    <n v="1455"/>
    <n v="0"/>
  </r>
  <r>
    <x v="21"/>
    <n v="6"/>
    <m/>
    <n v="11.778472524180225"/>
    <n v="12.14"/>
    <m/>
    <n v="30.67"/>
    <n v="3936.7353112159381"/>
    <x v="85"/>
    <n v="1872117"/>
    <n v="461531.7667047272"/>
    <n v="452079.75"/>
    <n v="108063.41978298381"/>
    <n v="166796.47399999999"/>
    <n v="49"/>
    <n v="171"/>
    <n v="4512"/>
    <n v="1455"/>
    <n v="0"/>
  </r>
  <r>
    <x v="21"/>
    <n v="7"/>
    <m/>
    <n v="11.778472524180225"/>
    <n v="12.14"/>
    <m/>
    <n v="30.71"/>
    <n v="3938.9357023664011"/>
    <x v="86"/>
    <n v="1875196"/>
    <n v="461839.45454919699"/>
    <n v="452753.05"/>
    <n v="108602.2295135826"/>
    <n v="167787.24299999999"/>
    <n v="1"/>
    <n v="325"/>
    <n v="4512"/>
    <n v="1455"/>
    <n v="0"/>
  </r>
  <r>
    <x v="21"/>
    <n v="8"/>
    <m/>
    <n v="11.778472524180225"/>
    <n v="12.14"/>
    <m/>
    <n v="29.52"/>
    <n v="3941.1360935168641"/>
    <x v="86"/>
    <n v="1875196"/>
    <n v="462147.34751889639"/>
    <n v="452753.05"/>
    <n v="108602.2295135826"/>
    <n v="167787.24299999999"/>
    <n v="0"/>
    <n v="341"/>
    <n v="4512"/>
    <n v="1455"/>
    <n v="0"/>
  </r>
  <r>
    <x v="21"/>
    <n v="9"/>
    <m/>
    <n v="11.778472524180225"/>
    <n v="12.14"/>
    <m/>
    <n v="30.52"/>
    <n v="3943.3364846673267"/>
    <x v="86"/>
    <n v="1875196"/>
    <n v="462455.44575057563"/>
    <n v="452753.05"/>
    <n v="108602.2295135826"/>
    <n v="167787.24299999999"/>
    <n v="12"/>
    <n v="261"/>
    <n v="4512"/>
    <n v="1455"/>
    <n v="0"/>
  </r>
  <r>
    <x v="21"/>
    <n v="10"/>
    <m/>
    <n v="11.778472524180225"/>
    <n v="12.14"/>
    <m/>
    <n v="29.62"/>
    <n v="3945.5368758177897"/>
    <x v="87"/>
    <n v="1878357"/>
    <n v="462763.74938107596"/>
    <n v="453444.29"/>
    <n v="109325.16476491949"/>
    <n v="168781.15"/>
    <n v="136"/>
    <n v="73"/>
    <n v="4512"/>
    <n v="1455"/>
    <n v="0"/>
  </r>
  <r>
    <x v="21"/>
    <n v="11"/>
    <m/>
    <n v="11.778472524180225"/>
    <n v="12.14"/>
    <m/>
    <n v="29.95"/>
    <n v="3947.7372669682527"/>
    <x v="87"/>
    <n v="1878357"/>
    <n v="463072.25854732998"/>
    <n v="453444.29"/>
    <n v="109325.16476491949"/>
    <n v="168781.15"/>
    <n v="394"/>
    <n v="7"/>
    <n v="4512"/>
    <n v="1455"/>
    <n v="0"/>
  </r>
  <r>
    <x v="21"/>
    <n v="12"/>
    <m/>
    <n v="11.778472524180225"/>
    <n v="12.14"/>
    <m/>
    <n v="31.24"/>
    <n v="3949.9376581187157"/>
    <x v="87"/>
    <n v="1878357"/>
    <n v="463380.9733863615"/>
    <n v="453444.29"/>
    <n v="109325.16476491949"/>
    <n v="168781.15"/>
    <n v="706"/>
    <n v="0.2"/>
    <n v="4512"/>
    <n v="1455"/>
    <n v="0"/>
  </r>
  <r>
    <x v="22"/>
    <n v="1"/>
    <m/>
    <n v="12.014041974663829"/>
    <n v="12.45"/>
    <m/>
    <n v="32.67"/>
    <n v="3952.1380492691783"/>
    <x v="88"/>
    <n v="1881624"/>
    <n v="463689.89403528569"/>
    <n v="454158.7"/>
    <n v="110158.29895100251"/>
    <n v="170138.21400000001"/>
    <n v="996"/>
    <n v="0"/>
    <n v="4512"/>
    <n v="1455"/>
    <n v="0"/>
  </r>
  <r>
    <x v="22"/>
    <n v="2"/>
    <m/>
    <n v="12.014041974663829"/>
    <n v="12.45"/>
    <m/>
    <n v="29.86"/>
    <n v="3954.3384404196413"/>
    <x v="88"/>
    <n v="1881624"/>
    <n v="463999.02063130919"/>
    <n v="454158.7"/>
    <n v="110158.29895100251"/>
    <n v="170138.21400000001"/>
    <n v="889.8"/>
    <n v="0"/>
    <n v="4512"/>
    <n v="1455"/>
    <n v="0"/>
  </r>
  <r>
    <x v="22"/>
    <n v="3"/>
    <m/>
    <n v="12.014041974663829"/>
    <n v="12.45"/>
    <m/>
    <n v="30.29"/>
    <n v="3956.5388315701043"/>
    <x v="88"/>
    <n v="1881624"/>
    <n v="464308.35331173002"/>
    <n v="454158.7"/>
    <n v="110158.29895100251"/>
    <n v="170138.21400000001"/>
    <n v="729"/>
    <n v="0.45"/>
    <n v="4512"/>
    <n v="1455"/>
    <n v="0"/>
  </r>
  <r>
    <x v="22"/>
    <n v="4"/>
    <m/>
    <n v="12.014041974663829"/>
    <n v="12.45"/>
    <m/>
    <n v="30.67"/>
    <n v="3958.7392227205673"/>
    <x v="89"/>
    <n v="1884967"/>
    <n v="464617.89221393783"/>
    <n v="454889.74"/>
    <n v="110729.72698325189"/>
    <n v="171101.02100000001"/>
    <n v="440"/>
    <n v="11.85"/>
    <n v="4512"/>
    <n v="1455"/>
    <n v="0"/>
  </r>
  <r>
    <x v="22"/>
    <n v="5"/>
    <m/>
    <n v="12.014041974663829"/>
    <n v="12.45"/>
    <m/>
    <n v="29.71"/>
    <n v="3960.9396138710299"/>
    <x v="89"/>
    <n v="1884967"/>
    <n v="464927.63747541374"/>
    <n v="454889.74"/>
    <n v="110729.72698325189"/>
    <n v="171101.02100000001"/>
    <n v="187"/>
    <n v="47"/>
    <n v="4512"/>
    <n v="1455"/>
    <n v="0"/>
  </r>
  <r>
    <x v="22"/>
    <n v="6"/>
    <m/>
    <n v="12.014041974663829"/>
    <n v="12.45"/>
    <m/>
    <n v="30.62"/>
    <n v="3963.1400050214911"/>
    <x v="89"/>
    <n v="1884967"/>
    <n v="465237.58923373063"/>
    <n v="454889.74"/>
    <n v="110729.72698325189"/>
    <n v="171101.02100000001"/>
    <n v="49"/>
    <n v="171"/>
    <n v="4512"/>
    <n v="1455"/>
    <n v="0"/>
  </r>
  <r>
    <x v="22"/>
    <n v="7"/>
    <m/>
    <n v="12.014041974663829"/>
    <n v="12.45"/>
    <m/>
    <n v="30.81"/>
    <n v="3965.3174248267569"/>
    <x v="90"/>
    <n v="1888265"/>
    <n v="465547.74762655306"/>
    <n v="455610.93"/>
    <n v="111294.14432933039"/>
    <n v="172007.791"/>
    <n v="1"/>
    <n v="325"/>
    <n v="4512"/>
    <n v="1455"/>
    <n v="0"/>
  </r>
  <r>
    <x v="22"/>
    <n v="8"/>
    <m/>
    <n v="12.014041974663829"/>
    <n v="12.45"/>
    <m/>
    <n v="29.43"/>
    <n v="3967.4948446320232"/>
    <x v="90"/>
    <n v="1888265"/>
    <n v="465858.11279163737"/>
    <n v="455610.93"/>
    <n v="111294.14432933039"/>
    <n v="172007.791"/>
    <n v="0"/>
    <n v="341"/>
    <n v="4512"/>
    <n v="1455"/>
    <n v="0"/>
  </r>
  <r>
    <x v="22"/>
    <n v="9"/>
    <m/>
    <n v="12.014041974663829"/>
    <n v="12.45"/>
    <m/>
    <n v="30.57"/>
    <n v="3969.672264437289"/>
    <x v="90"/>
    <n v="1888265"/>
    <n v="466168.68486683175"/>
    <n v="455610.93"/>
    <n v="111294.14432933039"/>
    <n v="172007.791"/>
    <n v="12"/>
    <n v="261"/>
    <n v="4512"/>
    <n v="1455"/>
    <n v="0"/>
  </r>
  <r>
    <x v="22"/>
    <n v="10"/>
    <m/>
    <n v="12.014041974663829"/>
    <n v="12.45"/>
    <m/>
    <n v="29.67"/>
    <n v="3971.8496842425548"/>
    <x v="91"/>
    <n v="1893372"/>
    <n v="466479.46399007627"/>
    <n v="456727.71"/>
    <n v="111909.6728962233"/>
    <n v="172918.79399999999"/>
    <n v="136"/>
    <n v="73"/>
    <n v="4512"/>
    <n v="1455"/>
    <n v="0"/>
  </r>
  <r>
    <x v="22"/>
    <n v="11"/>
    <m/>
    <n v="12.014041974663829"/>
    <n v="12.45"/>
    <m/>
    <n v="30.05"/>
    <n v="3974.027104047821"/>
    <x v="91"/>
    <n v="1893372"/>
    <n v="466790.45029940293"/>
    <n v="456727.71"/>
    <n v="111909.6728962233"/>
    <n v="172918.79399999999"/>
    <n v="394"/>
    <n v="7"/>
    <n v="4512"/>
    <n v="1455"/>
    <n v="0"/>
  </r>
  <r>
    <x v="22"/>
    <n v="12"/>
    <m/>
    <n v="12.014041974663829"/>
    <n v="12.45"/>
    <m/>
    <n v="30.67"/>
    <n v="3976.2045238530868"/>
    <x v="91"/>
    <n v="1893372"/>
    <n v="467101.64393293584"/>
    <n v="456727.71"/>
    <n v="111909.6728962233"/>
    <n v="172918.79399999999"/>
    <n v="706"/>
    <n v="0.2"/>
    <n v="4512"/>
    <n v="1455"/>
    <n v="0"/>
  </r>
  <r>
    <x v="23"/>
    <n v="1"/>
    <m/>
    <n v="12.254322814157106"/>
    <n v="12.76"/>
    <m/>
    <n v="32.67"/>
    <n v="3978.3819436583526"/>
    <x v="92"/>
    <n v="1895836"/>
    <n v="467413.04502889112"/>
    <n v="457266.53"/>
    <n v="112701.5437371911"/>
    <n v="174458.15100000001"/>
    <n v="996"/>
    <n v="0"/>
    <n v="4512"/>
    <n v="1455"/>
    <n v="0"/>
  </r>
  <r>
    <x v="23"/>
    <n v="2"/>
    <m/>
    <n v="12.254322814157106"/>
    <n v="12.76"/>
    <m/>
    <n v="29.86"/>
    <n v="3980.5593634636189"/>
    <x v="92"/>
    <n v="1895836"/>
    <n v="467724.65372557699"/>
    <n v="457266.53"/>
    <n v="112701.5437371911"/>
    <n v="174458.15100000001"/>
    <n v="889.8"/>
    <n v="0"/>
    <n v="4512"/>
    <n v="1455"/>
    <n v="0"/>
  </r>
  <r>
    <x v="23"/>
    <n v="3"/>
    <m/>
    <n v="12.254322814157106"/>
    <n v="12.76"/>
    <m/>
    <n v="30.43"/>
    <n v="3982.7367832688847"/>
    <x v="92"/>
    <n v="1895836"/>
    <n v="468036.47016139398"/>
    <n v="457266.53"/>
    <n v="112701.5437371911"/>
    <n v="174458.15100000001"/>
    <n v="729"/>
    <n v="0.45"/>
    <n v="4512"/>
    <n v="1455"/>
    <n v="0"/>
  </r>
  <r>
    <x v="23"/>
    <n v="4"/>
    <m/>
    <n v="12.254322814157106"/>
    <n v="12.76"/>
    <m/>
    <n v="30.71"/>
    <n v="3984.9142030741509"/>
    <x v="93"/>
    <n v="1898466"/>
    <n v="468348.49447483488"/>
    <n v="457841.65"/>
    <n v="113437.84408515642"/>
    <n v="175426.49799999999"/>
    <n v="440"/>
    <n v="11.85"/>
    <n v="4512"/>
    <n v="1455"/>
    <n v="0"/>
  </r>
  <r>
    <x v="23"/>
    <n v="5"/>
    <m/>
    <n v="12.254322814157106"/>
    <n v="12.76"/>
    <m/>
    <n v="29.52"/>
    <n v="3987.0916228794167"/>
    <x v="93"/>
    <n v="1898466"/>
    <n v="468660.72680448473"/>
    <n v="457841.65"/>
    <n v="113437.84408515642"/>
    <n v="175426.49799999999"/>
    <n v="187"/>
    <n v="47"/>
    <n v="4512"/>
    <n v="1455"/>
    <n v="0"/>
  </r>
  <r>
    <x v="23"/>
    <n v="6"/>
    <m/>
    <n v="12.254322814157106"/>
    <n v="12.76"/>
    <m/>
    <n v="30.62"/>
    <n v="3989.2690426846852"/>
    <x v="93"/>
    <n v="1898466"/>
    <n v="468973.16728902102"/>
    <n v="457841.65"/>
    <n v="113437.84408515642"/>
    <n v="175426.49799999999"/>
    <n v="49"/>
    <n v="171"/>
    <n v="4512"/>
    <n v="1455"/>
    <n v="0"/>
  </r>
  <r>
    <x v="23"/>
    <n v="7"/>
    <m/>
    <n v="12.254322814157106"/>
    <n v="12.76"/>
    <m/>
    <n v="30.71"/>
    <n v="3991.4243239427683"/>
    <x v="94"/>
    <n v="1901025"/>
    <n v="469285.81606721366"/>
    <n v="458401.24"/>
    <n v="114041.479984821"/>
    <n v="176369.43100000001"/>
    <n v="1"/>
    <n v="325"/>
    <n v="4512"/>
    <n v="1455"/>
    <n v="0"/>
  </r>
  <r>
    <x v="23"/>
    <n v="8"/>
    <m/>
    <n v="12.254322814157106"/>
    <n v="12.76"/>
    <m/>
    <n v="29.52"/>
    <n v="3993.5796052008513"/>
    <x v="94"/>
    <n v="1901025"/>
    <n v="469598.67327792512"/>
    <n v="458401.24"/>
    <n v="114041.479984821"/>
    <n v="176369.43100000001"/>
    <n v="0"/>
    <n v="341"/>
    <n v="4512"/>
    <n v="1455"/>
    <n v="0"/>
  </r>
  <r>
    <x v="23"/>
    <n v="9"/>
    <m/>
    <n v="12.254322814157106"/>
    <n v="12.76"/>
    <m/>
    <n v="30.57"/>
    <n v="3995.7348864589344"/>
    <x v="94"/>
    <n v="1901025"/>
    <n v="469911.73906011035"/>
    <n v="458401.24"/>
    <n v="114041.479984821"/>
    <n v="176369.43100000001"/>
    <n v="12"/>
    <n v="261"/>
    <n v="4512"/>
    <n v="1455"/>
    <n v="0"/>
  </r>
  <r>
    <x v="23"/>
    <n v="10"/>
    <m/>
    <n v="12.254322814157106"/>
    <n v="12.76"/>
    <m/>
    <n v="29.67"/>
    <n v="3997.8901677170174"/>
    <x v="95"/>
    <n v="1903561"/>
    <n v="470225.01355281705"/>
    <n v="458955.81"/>
    <n v="114618.53399541099"/>
    <n v="177331.9"/>
    <n v="136"/>
    <n v="73"/>
    <n v="4512"/>
    <n v="1455"/>
    <n v="0"/>
  </r>
  <r>
    <x v="23"/>
    <n v="11"/>
    <m/>
    <n v="12.254322814157106"/>
    <n v="12.76"/>
    <m/>
    <n v="29.38"/>
    <n v="4000.0454489751"/>
    <x v="95"/>
    <n v="1903561"/>
    <n v="470538.49689518556"/>
    <n v="458955.81"/>
    <n v="114618.53399541099"/>
    <n v="177331.9"/>
    <n v="394"/>
    <n v="7"/>
    <n v="4512"/>
    <n v="1455"/>
    <n v="0"/>
  </r>
  <r>
    <x v="23"/>
    <n v="12"/>
    <m/>
    <n v="12.254322814157106"/>
    <n v="12.76"/>
    <m/>
    <n v="32.43"/>
    <n v="4002.2007302331831"/>
    <x v="95"/>
    <n v="1903561"/>
    <n v="470852.189226449"/>
    <n v="458955.81"/>
    <n v="114618.53399541099"/>
    <n v="177331.9"/>
    <n v="706"/>
    <n v="0.2"/>
    <n v="4512"/>
    <n v="1455"/>
    <n v="0"/>
  </r>
  <r>
    <x v="24"/>
    <n v="1"/>
    <m/>
    <n v="12.499409270440248"/>
    <n v="13.08"/>
    <m/>
    <n v="32.33"/>
    <n v="4004.3560114912661"/>
    <x v="96"/>
    <n v="1907331"/>
    <n v="471166.09068593325"/>
    <n v="459780.22"/>
    <n v="115610.11669303462"/>
    <n v="178892.09099999999"/>
    <n v="996"/>
    <n v="0"/>
    <n v="4512"/>
    <n v="1455"/>
    <n v="0"/>
  </r>
  <r>
    <x v="24"/>
    <n v="2"/>
    <m/>
    <n v="12.499409270440248"/>
    <n v="13.08"/>
    <m/>
    <n v="30.05"/>
    <n v="4006.5112927493492"/>
    <x v="96"/>
    <n v="1907331"/>
    <n v="471480.20141305716"/>
    <n v="459780.22"/>
    <n v="115610.11669303462"/>
    <n v="178892.09099999999"/>
    <n v="889.8"/>
    <n v="0"/>
    <n v="4512"/>
    <n v="1455"/>
    <n v="0"/>
  </r>
  <r>
    <x v="24"/>
    <n v="3"/>
    <m/>
    <n v="12.499409270440248"/>
    <n v="13.08"/>
    <m/>
    <n v="30.19"/>
    <n v="4008.6665740074318"/>
    <x v="96"/>
    <n v="1907331"/>
    <n v="471794.52154733252"/>
    <n v="459780.22"/>
    <n v="115610.11669303462"/>
    <n v="178892.09099999999"/>
    <n v="729"/>
    <n v="0.45"/>
    <n v="4512"/>
    <n v="1455"/>
    <n v="0"/>
  </r>
  <r>
    <x v="24"/>
    <n v="4"/>
    <m/>
    <n v="12.499409270440248"/>
    <n v="13.08"/>
    <m/>
    <n v="30"/>
    <n v="4010.8218552655148"/>
    <x v="97"/>
    <n v="1911173"/>
    <n v="472109.05122836406"/>
    <n v="460620.37"/>
    <n v="116249.98129426842"/>
    <n v="179884.057"/>
    <n v="440"/>
    <n v="11.85"/>
    <n v="4512"/>
    <n v="1455"/>
    <n v="0"/>
  </r>
  <r>
    <x v="24"/>
    <n v="5"/>
    <m/>
    <n v="12.499409270440248"/>
    <n v="13.08"/>
    <m/>
    <n v="30.48"/>
    <n v="4012.9771365235979"/>
    <x v="97"/>
    <n v="1911173"/>
    <n v="472423.79059584963"/>
    <n v="460620.37"/>
    <n v="116249.98129426842"/>
    <n v="179884.057"/>
    <n v="187"/>
    <n v="47"/>
    <n v="4512"/>
    <n v="1455"/>
    <n v="0"/>
  </r>
  <r>
    <x v="24"/>
    <n v="6"/>
    <m/>
    <n v="12.499409270440248"/>
    <n v="13.08"/>
    <m/>
    <n v="30.52"/>
    <n v="4015.1324177816782"/>
    <x v="97"/>
    <n v="1911173"/>
    <n v="472738.73978958017"/>
    <n v="460620.37"/>
    <n v="116249.98129426842"/>
    <n v="179884.057"/>
    <n v="49"/>
    <n v="171"/>
    <n v="4512"/>
    <n v="1455"/>
    <n v="0"/>
  </r>
  <r>
    <x v="24"/>
    <n v="7"/>
    <m/>
    <n v="12.499409270440248"/>
    <n v="13.08"/>
    <m/>
    <n v="30.67"/>
    <n v="4017.2615353021802"/>
    <x v="98"/>
    <n v="1914946"/>
    <n v="473053.89894943987"/>
    <n v="461445.44"/>
    <n v="116853.80571412871"/>
    <n v="180786.26300000001"/>
    <n v="1"/>
    <n v="325"/>
    <n v="4512"/>
    <n v="1455"/>
    <n v="0"/>
  </r>
  <r>
    <x v="24"/>
    <n v="8"/>
    <m/>
    <n v="12.499409270440248"/>
    <n v="13.08"/>
    <m/>
    <n v="29.48"/>
    <n v="4019.3906528226826"/>
    <x v="98"/>
    <n v="1914946"/>
    <n v="473369.2682154061"/>
    <n v="461445.44"/>
    <n v="116853.80571412871"/>
    <n v="180786.26300000001"/>
    <n v="0"/>
    <n v="341"/>
    <n v="4512"/>
    <n v="1455"/>
    <n v="0"/>
  </r>
  <r>
    <x v="24"/>
    <n v="9"/>
    <m/>
    <n v="12.499409270440248"/>
    <n v="13.08"/>
    <m/>
    <n v="30.86"/>
    <n v="4021.519770343185"/>
    <x v="98"/>
    <n v="1914946"/>
    <n v="473684.84772754967"/>
    <n v="461445.44"/>
    <n v="116853.80571412871"/>
    <n v="180786.26300000001"/>
    <n v="12"/>
    <n v="261"/>
    <n v="4512"/>
    <n v="1455"/>
    <n v="0"/>
  </r>
  <r>
    <x v="24"/>
    <n v="10"/>
    <m/>
    <n v="12.499409270440248"/>
    <n v="13.08"/>
    <m/>
    <n v="29.38"/>
    <n v="4023.6488878636874"/>
    <x v="99"/>
    <n v="1918750"/>
    <n v="474000.63762603467"/>
    <n v="462277.28"/>
    <n v="117480.92394207799"/>
    <n v="181695.31"/>
    <n v="136"/>
    <n v="73"/>
    <n v="4512"/>
    <n v="1455"/>
    <n v="0"/>
  </r>
  <r>
    <x v="24"/>
    <n v="11"/>
    <m/>
    <n v="12.499409270440248"/>
    <n v="13.08"/>
    <m/>
    <n v="29.57"/>
    <n v="4025.7780053841893"/>
    <x v="99"/>
    <n v="1918750"/>
    <n v="474316.63805111864"/>
    <n v="462277.28"/>
    <n v="117480.92394207799"/>
    <n v="181695.31"/>
    <n v="394"/>
    <n v="7"/>
    <n v="4512"/>
    <n v="1455"/>
    <n v="0"/>
  </r>
  <r>
    <x v="24"/>
    <n v="12"/>
    <m/>
    <n v="12.499409270440248"/>
    <n v="13.08"/>
    <m/>
    <n v="31.81"/>
    <n v="4027.9071229046917"/>
    <x v="99"/>
    <n v="1918750"/>
    <n v="474632.84914315271"/>
    <n v="462277.28"/>
    <n v="117480.92394207799"/>
    <n v="181695.31"/>
    <n v="706"/>
    <n v="0.2"/>
    <n v="4512"/>
    <n v="1455"/>
    <n v="0"/>
  </r>
  <r>
    <x v="25"/>
    <n v="1"/>
    <m/>
    <n v="12.749397455849053"/>
    <n v="13.4"/>
    <m/>
    <n v="32.380000000000003"/>
    <n v="4030.0362404251941"/>
    <x v="100"/>
    <n v="1922499"/>
    <n v="474949.27104258141"/>
    <n v="463097.1"/>
    <n v="118308.237473602"/>
    <n v="183193.88699999999"/>
    <n v="996"/>
    <n v="0"/>
    <n v="4512"/>
    <n v="1455"/>
    <n v="0"/>
  </r>
  <r>
    <x v="25"/>
    <n v="2"/>
    <m/>
    <n v="12.749397455849053"/>
    <n v="13.4"/>
    <m/>
    <n v="30.19"/>
    <n v="4032.1653579456965"/>
    <x v="100"/>
    <n v="1922499"/>
    <n v="475265.90388994309"/>
    <n v="463097.1"/>
    <n v="118308.237473602"/>
    <n v="183193.88699999999"/>
    <n v="889.8"/>
    <n v="0"/>
    <n v="4512"/>
    <n v="1455"/>
    <n v="0"/>
  </r>
  <r>
    <x v="25"/>
    <n v="3"/>
    <m/>
    <n v="12.749397455849053"/>
    <n v="13.4"/>
    <m/>
    <n v="30.05"/>
    <n v="4034.2944754661989"/>
    <x v="100"/>
    <n v="1922499"/>
    <n v="475582.74782586971"/>
    <n v="463097.1"/>
    <n v="118308.237473602"/>
    <n v="183193.88699999999"/>
    <n v="729"/>
    <n v="0.45"/>
    <n v="4512"/>
    <n v="1455"/>
    <n v="0"/>
  </r>
  <r>
    <x v="25"/>
    <n v="4"/>
    <m/>
    <n v="12.749397455849053"/>
    <n v="13.4"/>
    <m/>
    <n v="30.71"/>
    <n v="4036.4235929867009"/>
    <x v="101"/>
    <n v="1926310"/>
    <n v="475899.80299108691"/>
    <n v="463930.48"/>
    <n v="119067.29715223348"/>
    <n v="184162.48300000001"/>
    <n v="440"/>
    <n v="11.85"/>
    <n v="4512"/>
    <n v="1455"/>
    <n v="0"/>
  </r>
  <r>
    <x v="25"/>
    <n v="5"/>
    <m/>
    <n v="12.749397455849053"/>
    <n v="13.4"/>
    <m/>
    <n v="29.9"/>
    <n v="4038.5527105072033"/>
    <x v="101"/>
    <n v="1926310"/>
    <n v="476217.06952641427"/>
    <n v="463930.48"/>
    <n v="119067.29715223348"/>
    <n v="184162.48300000001"/>
    <n v="187"/>
    <n v="47"/>
    <n v="4512"/>
    <n v="1455"/>
    <n v="0"/>
  </r>
  <r>
    <x v="25"/>
    <n v="6"/>
    <m/>
    <n v="12.749397455849053"/>
    <n v="13.4"/>
    <m/>
    <n v="30.38"/>
    <n v="4040.6818280277062"/>
    <x v="101"/>
    <n v="1926310"/>
    <n v="476534.54757276515"/>
    <n v="463930.48"/>
    <n v="119067.29715223348"/>
    <n v="184162.48300000001"/>
    <n v="49"/>
    <n v="171"/>
    <n v="4512"/>
    <n v="1455"/>
    <n v="0"/>
  </r>
  <r>
    <x v="25"/>
    <n v="7"/>
    <m/>
    <n v="12.749397455849053"/>
    <n v="13.4"/>
    <m/>
    <n v="30.71"/>
    <n v="4042.7753434331453"/>
    <x v="102"/>
    <n v="1930050"/>
    <n v="476852.23727114697"/>
    <n v="464748.33"/>
    <n v="119692.24898040202"/>
    <n v="185034.74600000001"/>
    <n v="1"/>
    <n v="325"/>
    <n v="4512"/>
    <n v="1455"/>
    <n v="0"/>
  </r>
  <r>
    <x v="25"/>
    <n v="8"/>
    <m/>
    <n v="12.749397455849053"/>
    <n v="13.4"/>
    <m/>
    <n v="29.52"/>
    <n v="4044.8688588385849"/>
    <x v="102"/>
    <n v="1930050"/>
    <n v="477170.13876266102"/>
    <n v="464748.33"/>
    <n v="119692.24898040202"/>
    <n v="185034.74600000001"/>
    <n v="0"/>
    <n v="341"/>
    <n v="4512"/>
    <n v="1455"/>
    <n v="0"/>
  </r>
  <r>
    <x v="25"/>
    <n v="9"/>
    <m/>
    <n v="12.749397455849053"/>
    <n v="13.4"/>
    <m/>
    <n v="30.48"/>
    <n v="4046.962374244024"/>
    <x v="102"/>
    <n v="1930050"/>
    <n v="477488.25218850275"/>
    <n v="464748.33"/>
    <n v="119692.24898040202"/>
    <n v="185034.74600000001"/>
    <n v="12"/>
    <n v="261"/>
    <n v="4512"/>
    <n v="1455"/>
    <n v="0"/>
  </r>
  <r>
    <x v="25"/>
    <n v="10"/>
    <m/>
    <n v="12.749397455849053"/>
    <n v="13.4"/>
    <m/>
    <n v="29.67"/>
    <n v="4049.0558896494636"/>
    <x v="103"/>
    <n v="1933802"/>
    <n v="477806.5776899617"/>
    <n v="465568.8"/>
    <n v="120250.61873856951"/>
    <n v="185915.33600000001"/>
    <n v="136"/>
    <n v="73"/>
    <n v="4512"/>
    <n v="1455"/>
    <n v="0"/>
  </r>
  <r>
    <x v="25"/>
    <n v="11"/>
    <m/>
    <n v="12.749397455849053"/>
    <n v="13.4"/>
    <m/>
    <n v="29.76"/>
    <n v="4051.1494050549027"/>
    <x v="103"/>
    <n v="1933802"/>
    <n v="478125.11540842167"/>
    <n v="465568.8"/>
    <n v="120250.61873856951"/>
    <n v="185915.33600000001"/>
    <n v="394"/>
    <n v="7"/>
    <n v="4512"/>
    <n v="1455"/>
    <n v="0"/>
  </r>
  <r>
    <x v="25"/>
    <n v="12"/>
    <m/>
    <n v="12.749397455849053"/>
    <n v="13.4"/>
    <m/>
    <n v="31.57"/>
    <n v="4053.2429204603418"/>
    <x v="103"/>
    <n v="1933802"/>
    <n v="478443.86548536055"/>
    <n v="465568.8"/>
    <n v="120250.61873856951"/>
    <n v="185915.33600000001"/>
    <n v="706"/>
    <n v="0.2"/>
    <n v="4512"/>
    <n v="1455"/>
    <n v="0"/>
  </r>
  <r>
    <x v="26"/>
    <n v="1"/>
    <m/>
    <n v="13.004385404966033"/>
    <n v="13.74"/>
    <m/>
    <n v="32.520000000000003"/>
    <n v="4055.3364358657814"/>
    <x v="104"/>
    <n v="1937524"/>
    <n v="478762.82806235075"/>
    <n v="466382.71"/>
    <n v="121229.72365078199"/>
    <n v="187484.08600000001"/>
    <n v="996"/>
    <n v="0"/>
    <n v="4512"/>
    <n v="1455"/>
    <n v="0"/>
  </r>
  <r>
    <x v="26"/>
    <n v="2"/>
    <m/>
    <n v="13.004385404966033"/>
    <n v="13.74"/>
    <m/>
    <n v="30.14"/>
    <n v="4057.4299512712205"/>
    <x v="104"/>
    <n v="1937524"/>
    <n v="479082.00328105892"/>
    <n v="466382.71"/>
    <n v="121229.72365078199"/>
    <n v="187484.08600000001"/>
    <n v="889.8"/>
    <n v="0"/>
    <n v="4512"/>
    <n v="1455"/>
    <n v="0"/>
  </r>
  <r>
    <x v="26"/>
    <n v="3"/>
    <m/>
    <n v="13.004385404966033"/>
    <n v="13.74"/>
    <m/>
    <n v="30.33"/>
    <n v="4059.5234666766601"/>
    <x v="104"/>
    <n v="1937524"/>
    <n v="479401.39128324628"/>
    <n v="466382.71"/>
    <n v="121229.72365078199"/>
    <n v="187484.08600000001"/>
    <n v="729"/>
    <n v="0.45"/>
    <n v="4512"/>
    <n v="1455"/>
    <n v="0"/>
  </r>
  <r>
    <x v="26"/>
    <n v="4"/>
    <m/>
    <n v="13.004385404966033"/>
    <n v="13.74"/>
    <m/>
    <n v="30.52"/>
    <n v="4061.6169820820992"/>
    <x v="105"/>
    <n v="1941306"/>
    <n v="479720.9922107684"/>
    <n v="467209.75"/>
    <n v="121846.19623787081"/>
    <n v="188450.351"/>
    <n v="440"/>
    <n v="11.85"/>
    <n v="4512"/>
    <n v="1455"/>
    <n v="0"/>
  </r>
  <r>
    <x v="26"/>
    <n v="5"/>
    <m/>
    <n v="13.004385404966033"/>
    <n v="13.74"/>
    <m/>
    <n v="29.48"/>
    <n v="4063.7104974875383"/>
    <x v="105"/>
    <n v="1941306"/>
    <n v="480040.80620557553"/>
    <n v="467209.75"/>
    <n v="121846.19623787081"/>
    <n v="188450.351"/>
    <n v="187"/>
    <n v="47"/>
    <n v="4512"/>
    <n v="1455"/>
    <n v="0"/>
  </r>
  <r>
    <x v="26"/>
    <n v="6"/>
    <m/>
    <n v="13.004385404966033"/>
    <n v="13.74"/>
    <m/>
    <n v="30.67"/>
    <n v="4065.8040128929783"/>
    <x v="105"/>
    <n v="1941306"/>
    <n v="480360.83340971253"/>
    <n v="467209.75"/>
    <n v="121846.19623787081"/>
    <n v="188450.351"/>
    <n v="49"/>
    <n v="171"/>
    <n v="4512"/>
    <n v="1455"/>
    <n v="0"/>
  </r>
  <r>
    <x v="26"/>
    <n v="7"/>
    <m/>
    <n v="13.004385404966033"/>
    <n v="13.74"/>
    <m/>
    <n v="30.71"/>
    <n v="4067.8642857777254"/>
    <x v="106"/>
    <n v="1947495"/>
    <n v="480681.07396531897"/>
    <n v="468563.14"/>
    <n v="122375.0910323624"/>
    <n v="189344.48499999999"/>
    <n v="1"/>
    <n v="325"/>
    <n v="4512"/>
    <n v="1455"/>
    <n v="0"/>
  </r>
  <r>
    <x v="26"/>
    <n v="8"/>
    <m/>
    <n v="13.004385404966033"/>
    <n v="13.74"/>
    <m/>
    <n v="29.52"/>
    <n v="4069.9245586624725"/>
    <x v="106"/>
    <n v="1947495"/>
    <n v="481001.52801462915"/>
    <n v="468563.14"/>
    <n v="122375.0910323624"/>
    <n v="189344.48499999999"/>
    <n v="0"/>
    <n v="341"/>
    <n v="4512"/>
    <n v="1455"/>
    <n v="0"/>
  </r>
  <r>
    <x v="26"/>
    <n v="9"/>
    <m/>
    <n v="13.004385404966033"/>
    <n v="13.74"/>
    <m/>
    <n v="30.52"/>
    <n v="4071.9848315472195"/>
    <x v="106"/>
    <n v="1947495"/>
    <n v="481322.19569997222"/>
    <n v="468563.14"/>
    <n v="122375.0910323624"/>
    <n v="189344.48499999999"/>
    <n v="12"/>
    <n v="261"/>
    <n v="4512"/>
    <n v="1455"/>
    <n v="0"/>
  </r>
  <r>
    <x v="26"/>
    <n v="10"/>
    <m/>
    <n v="13.004385404966033"/>
    <n v="13.74"/>
    <m/>
    <n v="29.62"/>
    <n v="4074.0451044319661"/>
    <x v="107"/>
    <n v="1950020"/>
    <n v="481643.07716377219"/>
    <n v="469115.29"/>
    <n v="122950.3888887255"/>
    <n v="190254.26500000001"/>
    <n v="136"/>
    <n v="73"/>
    <n v="4512"/>
    <n v="1455"/>
    <n v="0"/>
  </r>
  <r>
    <x v="26"/>
    <n v="11"/>
    <m/>
    <n v="13.004385404966033"/>
    <n v="13.74"/>
    <m/>
    <n v="29.1"/>
    <n v="4076.1053773167132"/>
    <x v="107"/>
    <n v="1950020"/>
    <n v="481964.17254854803"/>
    <n v="469115.29"/>
    <n v="122950.3888887255"/>
    <n v="190254.26500000001"/>
    <n v="394"/>
    <n v="7"/>
    <n v="4512"/>
    <n v="1455"/>
    <n v="0"/>
  </r>
  <r>
    <x v="26"/>
    <n v="12"/>
    <m/>
    <n v="13.004385404966033"/>
    <n v="13.74"/>
    <m/>
    <n v="31.67"/>
    <n v="4078.1656502014603"/>
    <x v="107"/>
    <n v="1950020"/>
    <n v="482285.48199691367"/>
    <n v="469115.29"/>
    <n v="122950.3888887255"/>
    <n v="190254.26500000001"/>
    <n v="706"/>
    <n v="0.2"/>
    <n v="4512"/>
    <n v="1455"/>
    <n v="0"/>
  </r>
  <r>
    <x v="27"/>
    <n v="1"/>
    <m/>
    <n v="13.264473113065353"/>
    <n v="14.08"/>
    <m/>
    <n v="32.71"/>
    <n v="4080.2259230862073"/>
    <x v="108"/>
    <n v="1952613"/>
    <n v="482607.00565157825"/>
    <n v="469682.32"/>
    <n v="123865.07640870241"/>
    <n v="191884.976"/>
    <n v="996"/>
    <n v="0"/>
    <n v="4512"/>
    <n v="1455"/>
    <n v="0"/>
  </r>
  <r>
    <x v="27"/>
    <n v="2"/>
    <m/>
    <n v="13.264473113065353"/>
    <n v="14.08"/>
    <m/>
    <n v="29.81"/>
    <n v="4082.2861959709544"/>
    <x v="108"/>
    <n v="1952613"/>
    <n v="482928.74365534593"/>
    <n v="469682.32"/>
    <n v="123865.07640870241"/>
    <n v="191884.976"/>
    <n v="889.8"/>
    <n v="0"/>
    <n v="4512"/>
    <n v="1455"/>
    <n v="0"/>
  </r>
  <r>
    <x v="27"/>
    <n v="3"/>
    <m/>
    <n v="13.264473113065353"/>
    <n v="14.08"/>
    <m/>
    <n v="30.33"/>
    <n v="4084.3464688557015"/>
    <x v="108"/>
    <n v="1952613"/>
    <n v="483250.69615111611"/>
    <n v="469682.32"/>
    <n v="123865.07640870241"/>
    <n v="191884.976"/>
    <n v="729"/>
    <n v="0.45"/>
    <n v="4512"/>
    <n v="1455"/>
    <n v="0"/>
  </r>
  <r>
    <x v="27"/>
    <n v="4"/>
    <m/>
    <n v="13.264473113065353"/>
    <n v="14.08"/>
    <m/>
    <n v="30.19"/>
    <n v="4086.4067417404485"/>
    <x v="109"/>
    <n v="1955237"/>
    <n v="483572.86328188347"/>
    <n v="470256.13"/>
    <n v="124474.0269781384"/>
    <n v="192867.91899999999"/>
    <n v="440"/>
    <n v="11.85"/>
    <n v="4512"/>
    <n v="1455"/>
    <n v="0"/>
  </r>
  <r>
    <x v="27"/>
    <n v="5"/>
    <m/>
    <n v="13.264473113065353"/>
    <n v="14.08"/>
    <m/>
    <n v="30.14"/>
    <n v="4088.4670146251956"/>
    <x v="109"/>
    <n v="1955237"/>
    <n v="483895.245190738"/>
    <n v="470256.13"/>
    <n v="124474.0269781384"/>
    <n v="192867.91899999999"/>
    <n v="187"/>
    <n v="47"/>
    <n v="4512"/>
    <n v="1455"/>
    <n v="0"/>
  </r>
  <r>
    <x v="27"/>
    <n v="6"/>
    <m/>
    <n v="13.264473113065353"/>
    <n v="14.08"/>
    <m/>
    <n v="30.67"/>
    <n v="4090.5272875099427"/>
    <x v="109"/>
    <n v="1955237"/>
    <n v="484217.84202086512"/>
    <n v="470256.13"/>
    <n v="124474.0269781384"/>
    <n v="192867.91899999999"/>
    <n v="49"/>
    <n v="171"/>
    <n v="4512"/>
    <n v="1455"/>
    <n v="0"/>
  </r>
  <r>
    <x v="27"/>
    <n v="7"/>
    <m/>
    <n v="13.264473113065353"/>
    <n v="14.08"/>
    <m/>
    <n v="30.67"/>
    <n v="4092.5431445006539"/>
    <x v="110"/>
    <n v="1957733"/>
    <n v="484540.65391554567"/>
    <n v="470801.95"/>
    <n v="125040.09721647202"/>
    <n v="193808.63"/>
    <n v="1"/>
    <n v="325"/>
    <n v="4512"/>
    <n v="1455"/>
    <n v="0"/>
  </r>
  <r>
    <x v="27"/>
    <n v="8"/>
    <m/>
    <n v="13.264473113065353"/>
    <n v="14.08"/>
    <m/>
    <n v="29.57"/>
    <n v="4094.5590014913651"/>
    <x v="110"/>
    <n v="1957733"/>
    <n v="484863.681018156"/>
    <n v="470801.95"/>
    <n v="125040.09721647202"/>
    <n v="193808.63"/>
    <n v="0"/>
    <n v="341"/>
    <n v="4512"/>
    <n v="1455"/>
    <n v="0"/>
  </r>
  <r>
    <x v="27"/>
    <n v="9"/>
    <m/>
    <n v="13.264473113065353"/>
    <n v="14.08"/>
    <m/>
    <n v="30.52"/>
    <n v="4096.5748584820767"/>
    <x v="110"/>
    <n v="1957733"/>
    <n v="485186.92347216804"/>
    <n v="470801.95"/>
    <n v="125040.09721647202"/>
    <n v="193808.63"/>
    <n v="12"/>
    <n v="261"/>
    <n v="4512"/>
    <n v="1455"/>
    <n v="0"/>
  </r>
  <r>
    <x v="27"/>
    <n v="10"/>
    <m/>
    <n v="13.264473113065353"/>
    <n v="14.08"/>
    <m/>
    <n v="29.62"/>
    <n v="4098.5907154727875"/>
    <x v="111"/>
    <n v="1961220"/>
    <n v="485510.38142114948"/>
    <n v="471564.47"/>
    <n v="125668.3446479565"/>
    <n v="194786.40400000001"/>
    <n v="136"/>
    <n v="73"/>
    <n v="4512"/>
    <n v="1455"/>
    <n v="0"/>
  </r>
  <r>
    <x v="27"/>
    <n v="11"/>
    <m/>
    <n v="13.264473113065353"/>
    <n v="14.08"/>
    <m/>
    <n v="29.95"/>
    <n v="4100.6065724634991"/>
    <x v="111"/>
    <n v="1961220"/>
    <n v="485834.05500876356"/>
    <n v="471564.47"/>
    <n v="125668.3446479565"/>
    <n v="194786.40400000001"/>
    <n v="394"/>
    <n v="7"/>
    <n v="4512"/>
    <n v="1455"/>
    <n v="0"/>
  </r>
  <r>
    <x v="27"/>
    <n v="12"/>
    <m/>
    <n v="13.264473113065353"/>
    <n v="14.08"/>
    <m/>
    <n v="31.24"/>
    <n v="4102.6224294542099"/>
    <x v="111"/>
    <n v="1961220"/>
    <n v="486157.94437876937"/>
    <n v="471564.47"/>
    <n v="125668.3446479565"/>
    <n v="194786.40400000001"/>
    <n v="706"/>
    <n v="0.2"/>
    <n v="4512"/>
    <n v="1455"/>
    <n v="0"/>
  </r>
  <r>
    <x v="28"/>
    <n v="1"/>
    <m/>
    <n v="13.529762575326661"/>
    <n v="14.43"/>
    <m/>
    <n v="32.67"/>
    <n v="4104.6382864449215"/>
    <x v="112"/>
    <n v="1964691"/>
    <n v="486482.04967502184"/>
    <n v="472323.5"/>
    <n v="126506.80247489191"/>
    <n v="196497.82699999999"/>
    <n v="996"/>
    <n v="0"/>
    <n v="4512"/>
    <n v="1455"/>
    <n v="0"/>
  </r>
  <r>
    <x v="28"/>
    <n v="2"/>
    <m/>
    <n v="13.529762575326661"/>
    <n v="14.43"/>
    <m/>
    <n v="29.86"/>
    <n v="4106.6541434356332"/>
    <x v="112"/>
    <n v="1964691"/>
    <n v="486806.37104147184"/>
    <n v="472323.5"/>
    <n v="126506.80247489191"/>
    <n v="196497.82699999999"/>
    <n v="889.8"/>
    <n v="0"/>
    <n v="4512"/>
    <n v="1455"/>
    <n v="0"/>
  </r>
  <r>
    <x v="28"/>
    <n v="3"/>
    <m/>
    <n v="13.529762575326661"/>
    <n v="14.43"/>
    <m/>
    <n v="30.43"/>
    <n v="4108.6700004263439"/>
    <x v="112"/>
    <n v="1964691"/>
    <n v="487130.90862216614"/>
    <n v="472323.5"/>
    <n v="126506.80247489191"/>
    <n v="196497.82699999999"/>
    <n v="729"/>
    <n v="0.45"/>
    <n v="4512"/>
    <n v="1455"/>
    <n v="0"/>
  </r>
  <r>
    <x v="28"/>
    <n v="4"/>
    <m/>
    <n v="13.529762575326661"/>
    <n v="14.43"/>
    <m/>
    <n v="30.71"/>
    <n v="4110.6858574170556"/>
    <x v="113"/>
    <n v="1968159"/>
    <n v="487455.66256124753"/>
    <n v="473081.87"/>
    <n v="127050.0880323235"/>
    <n v="197549.33600000001"/>
    <n v="440"/>
    <n v="11.85"/>
    <n v="4512"/>
    <n v="1455"/>
    <n v="0"/>
  </r>
  <r>
    <x v="28"/>
    <n v="5"/>
    <m/>
    <n v="13.529762575326661"/>
    <n v="14.43"/>
    <m/>
    <n v="29.52"/>
    <n v="4112.7017144077663"/>
    <x v="113"/>
    <n v="1968159"/>
    <n v="487780.633002955"/>
    <n v="473081.87"/>
    <n v="127050.0880323235"/>
    <n v="197549.33600000001"/>
    <n v="187"/>
    <n v="47"/>
    <n v="4512"/>
    <n v="1455"/>
    <n v="0"/>
  </r>
  <r>
    <x v="28"/>
    <n v="6"/>
    <m/>
    <n v="13.529762575326661"/>
    <n v="14.43"/>
    <m/>
    <n v="30.62"/>
    <n v="4114.717571398478"/>
    <x v="113"/>
    <n v="1968159"/>
    <n v="488105.82009162358"/>
    <n v="473081.87"/>
    <n v="127050.0880323235"/>
    <n v="197549.33600000001"/>
    <n v="49"/>
    <n v="171"/>
    <n v="4512"/>
    <n v="1455"/>
    <n v="0"/>
  </r>
  <r>
    <x v="28"/>
    <n v="7"/>
    <m/>
    <n v="13.529762575326661"/>
    <n v="14.43"/>
    <m/>
    <n v="30.76"/>
    <n v="4116.6849179049223"/>
    <x v="114"/>
    <n v="1971586"/>
    <n v="488431.22397168464"/>
    <n v="473831.27"/>
    <n v="127657.90988877231"/>
    <n v="198516.981"/>
    <n v="1"/>
    <n v="325"/>
    <n v="4512"/>
    <n v="1455"/>
    <n v="0"/>
  </r>
  <r>
    <x v="28"/>
    <n v="8"/>
    <m/>
    <n v="13.529762575326661"/>
    <n v="14.43"/>
    <m/>
    <n v="29.48"/>
    <n v="4118.6522644113656"/>
    <x v="114"/>
    <n v="1971586"/>
    <n v="488756.8447876657"/>
    <n v="473831.27"/>
    <n v="127657.90988877231"/>
    <n v="198516.981"/>
    <n v="0"/>
    <n v="341"/>
    <n v="4512"/>
    <n v="1455"/>
    <n v="0"/>
  </r>
  <r>
    <x v="28"/>
    <n v="9"/>
    <m/>
    <n v="13.529762575326661"/>
    <n v="14.43"/>
    <m/>
    <n v="30.57"/>
    <n v="4120.61961091781"/>
    <x v="114"/>
    <n v="1971586"/>
    <n v="489082.6826841908"/>
    <n v="473831.27"/>
    <n v="127657.90988877231"/>
    <n v="198516.981"/>
    <n v="12"/>
    <n v="261"/>
    <n v="4512"/>
    <n v="1455"/>
    <n v="0"/>
  </r>
  <r>
    <x v="28"/>
    <n v="10"/>
    <m/>
    <n v="13.529762575326661"/>
    <n v="14.43"/>
    <m/>
    <n v="29.67"/>
    <n v="4122.5869574242543"/>
    <x v="115"/>
    <n v="1975020"/>
    <n v="489408.73780598026"/>
    <n v="474582.21"/>
    <n v="128290.6223761233"/>
    <n v="199480.13399999999"/>
    <n v="136"/>
    <n v="73"/>
    <n v="4512"/>
    <n v="1455"/>
    <n v="0"/>
  </r>
  <r>
    <x v="28"/>
    <n v="11"/>
    <m/>
    <n v="13.529762575326661"/>
    <n v="14.43"/>
    <m/>
    <n v="29.95"/>
    <n v="4124.5543039306986"/>
    <x v="115"/>
    <n v="1975020"/>
    <n v="489735.01029785088"/>
    <n v="474582.21"/>
    <n v="128290.6223761233"/>
    <n v="199480.13399999999"/>
    <n v="394"/>
    <n v="7"/>
    <n v="4512"/>
    <n v="1455"/>
    <n v="0"/>
  </r>
  <r>
    <x v="28"/>
    <n v="12"/>
    <m/>
    <n v="13.529762575326661"/>
    <n v="14.43"/>
    <m/>
    <n v="31.1"/>
    <n v="4126.5216504371429"/>
    <x v="115"/>
    <n v="1975020"/>
    <n v="490061.50030471606"/>
    <n v="474582.21"/>
    <n v="128290.6223761233"/>
    <n v="199480.13399999999"/>
    <n v="706"/>
    <n v="0.2"/>
    <n v="4512"/>
    <n v="1455"/>
    <n v="0"/>
  </r>
  <r>
    <x v="29"/>
    <n v="1"/>
    <m/>
    <n v="13.800357826833194"/>
    <n v="14.79"/>
    <m/>
    <n v="32.71"/>
    <n v="4128.4889969435872"/>
    <x v="116"/>
    <n v="1978500"/>
    <n v="490388.20797158586"/>
    <n v="475343.2"/>
    <n v="129110.72747367879"/>
    <n v="201210.11900000001"/>
    <n v="996"/>
    <n v="0"/>
    <n v="4512"/>
    <n v="1455"/>
    <n v="0"/>
  </r>
  <r>
    <x v="29"/>
    <n v="2"/>
    <m/>
    <n v="13.800357826833194"/>
    <n v="14.79"/>
    <m/>
    <n v="29.9"/>
    <n v="4130.4563434500315"/>
    <x v="116"/>
    <n v="1978500"/>
    <n v="490715.13344356685"/>
    <n v="475343.2"/>
    <n v="129110.72747367879"/>
    <n v="201210.11900000001"/>
    <n v="889.8"/>
    <n v="0"/>
    <n v="4512"/>
    <n v="1455"/>
    <n v="0"/>
  </r>
  <r>
    <x v="29"/>
    <n v="3"/>
    <m/>
    <n v="13.800357826833194"/>
    <n v="14.79"/>
    <m/>
    <n v="30.33"/>
    <n v="4132.4236899564758"/>
    <x v="116"/>
    <n v="1978500"/>
    <n v="491042.27686586254"/>
    <n v="475343.2"/>
    <n v="129110.72747367879"/>
    <n v="201210.11900000001"/>
    <n v="729"/>
    <n v="0.45"/>
    <n v="4512"/>
    <n v="1455"/>
    <n v="0"/>
  </r>
  <r>
    <x v="29"/>
    <n v="4"/>
    <m/>
    <n v="13.800357826833194"/>
    <n v="14.79"/>
    <m/>
    <n v="29.95"/>
    <n v="4134.3910364629201"/>
    <x v="117"/>
    <n v="1982043"/>
    <n v="491369.6383837731"/>
    <n v="476117.97"/>
    <n v="129852.85936900179"/>
    <n v="202357.96400000001"/>
    <n v="440"/>
    <n v="11.85"/>
    <n v="4512"/>
    <n v="1455"/>
    <n v="0"/>
  </r>
  <r>
    <x v="29"/>
    <n v="5"/>
    <m/>
    <n v="13.800357826833194"/>
    <n v="14.79"/>
    <m/>
    <n v="30.38"/>
    <n v="4136.3583829693644"/>
    <x v="117"/>
    <n v="1982043"/>
    <n v="491697.21814269555"/>
    <n v="476117.97"/>
    <n v="129852.85936900179"/>
    <n v="202357.96400000001"/>
    <n v="187"/>
    <n v="47"/>
    <n v="4512"/>
    <n v="1455"/>
    <n v="0"/>
  </r>
  <r>
    <x v="29"/>
    <n v="6"/>
    <m/>
    <n v="13.800357826833194"/>
    <n v="14.79"/>
    <m/>
    <n v="30.67"/>
    <n v="4138.3257294758077"/>
    <x v="117"/>
    <n v="1982043"/>
    <n v="492025.01628812397"/>
    <n v="476117.97"/>
    <n v="129852.85936900179"/>
    <n v="202357.96400000001"/>
    <n v="49"/>
    <n v="171"/>
    <n v="4512"/>
    <n v="1455"/>
    <n v="0"/>
  </r>
  <r>
    <x v="29"/>
    <n v="7"/>
    <m/>
    <n v="13.800357826833194"/>
    <n v="14.79"/>
    <m/>
    <n v="30.67"/>
    <n v="4140.2453982959978"/>
    <x v="118"/>
    <n v="1985561"/>
    <n v="492353.03296564933"/>
    <n v="476887.27"/>
    <n v="130444.17937212689"/>
    <n v="203321.337"/>
    <n v="1"/>
    <n v="325"/>
    <n v="4512"/>
    <n v="1455"/>
    <n v="0"/>
  </r>
  <r>
    <x v="29"/>
    <n v="8"/>
    <m/>
    <n v="13.800357826833194"/>
    <n v="14.79"/>
    <m/>
    <n v="29.48"/>
    <n v="4142.1650671161879"/>
    <x v="118"/>
    <n v="1985561"/>
    <n v="492681.2683209597"/>
    <n v="476887.27"/>
    <n v="130444.17937212689"/>
    <n v="203321.337"/>
    <n v="0"/>
    <n v="341"/>
    <n v="4512"/>
    <n v="1455"/>
    <n v="0"/>
  </r>
  <r>
    <x v="29"/>
    <n v="9"/>
    <m/>
    <n v="13.800357826833194"/>
    <n v="14.79"/>
    <m/>
    <n v="30.71"/>
    <n v="4144.0847359363779"/>
    <x v="118"/>
    <n v="1985561"/>
    <n v="493009.72249984031"/>
    <n v="476887.27"/>
    <n v="130444.17937212689"/>
    <n v="203321.337"/>
    <n v="12"/>
    <n v="261"/>
    <n v="4512"/>
    <n v="1455"/>
    <n v="0"/>
  </r>
  <r>
    <x v="29"/>
    <n v="10"/>
    <m/>
    <n v="13.800357826833194"/>
    <n v="14.79"/>
    <m/>
    <n v="29.52"/>
    <n v="4146.004404756568"/>
    <x v="119"/>
    <n v="1989038"/>
    <n v="493338.39564817352"/>
    <n v="477647.61"/>
    <n v="130969.08113901061"/>
    <n v="204205.139"/>
    <n v="136"/>
    <n v="73"/>
    <n v="4512"/>
    <n v="1455"/>
    <n v="0"/>
  </r>
  <r>
    <x v="29"/>
    <n v="11"/>
    <m/>
    <n v="13.800357826833194"/>
    <n v="14.79"/>
    <m/>
    <n v="29.38"/>
    <n v="4147.9240735767589"/>
    <x v="119"/>
    <n v="1989038"/>
    <n v="493667.28791193891"/>
    <n v="477647.61"/>
    <n v="130969.08113901061"/>
    <n v="204205.139"/>
    <n v="394"/>
    <n v="7"/>
    <n v="4512"/>
    <n v="1455"/>
    <n v="0"/>
  </r>
  <r>
    <x v="29"/>
    <n v="12"/>
    <m/>
    <n v="13.800357826833194"/>
    <n v="14.79"/>
    <m/>
    <n v="32.049999999999997"/>
    <n v="4149.843742396949"/>
    <x v="119"/>
    <n v="1989038"/>
    <n v="493996.39943721349"/>
    <n v="477647.61"/>
    <n v="130969.08113901061"/>
    <n v="204205.139"/>
    <n v="706"/>
    <n v="0.2"/>
    <n v="4512"/>
    <n v="1455"/>
    <n v="0"/>
  </r>
  <r>
    <x v="30"/>
    <n v="1"/>
    <m/>
    <n v="14.076364983369858"/>
    <n v="15.16"/>
    <m/>
    <n v="32.33"/>
    <n v="4151.763411217139"/>
    <x v="120"/>
    <n v="1992472"/>
    <n v="494325.7303701716"/>
    <n v="478398.55"/>
    <n v="131793.62185068079"/>
    <n v="205835.74900000001"/>
    <n v="996"/>
    <n v="0"/>
    <n v="4512"/>
    <n v="1455"/>
    <n v="0"/>
  </r>
  <r>
    <x v="30"/>
    <n v="2"/>
    <m/>
    <n v="14.076364983369858"/>
    <n v="15.16"/>
    <m/>
    <n v="30.05"/>
    <n v="4153.6830800373291"/>
    <x v="120"/>
    <n v="1992472"/>
    <n v="494655.28085708502"/>
    <n v="478398.55"/>
    <n v="131793.62185068079"/>
    <n v="205835.74900000001"/>
    <n v="889.8"/>
    <n v="0"/>
    <n v="4512"/>
    <n v="1455"/>
    <n v="0"/>
  </r>
  <r>
    <x v="30"/>
    <n v="3"/>
    <m/>
    <n v="14.076364983369858"/>
    <n v="15.16"/>
    <m/>
    <n v="30.19"/>
    <n v="4155.6027488575191"/>
    <x v="120"/>
    <n v="1992472"/>
    <n v="494985.05104432302"/>
    <n v="478398.55"/>
    <n v="131793.62185068079"/>
    <n v="205835.74900000001"/>
    <n v="729"/>
    <n v="0.45"/>
    <n v="4512"/>
    <n v="1455"/>
    <n v="0"/>
  </r>
  <r>
    <x v="30"/>
    <n v="4"/>
    <m/>
    <n v="14.076364983369858"/>
    <n v="15.16"/>
    <m/>
    <n v="30.33"/>
    <n v="4157.5224176777101"/>
    <x v="121"/>
    <n v="1995892"/>
    <n v="495315.04107835254"/>
    <n v="479146.42"/>
    <n v="132355.0356467964"/>
    <n v="206821.26699999999"/>
    <n v="440"/>
    <n v="11.85"/>
    <n v="4512"/>
    <n v="1455"/>
    <n v="0"/>
  </r>
  <r>
    <x v="30"/>
    <n v="5"/>
    <m/>
    <n v="14.076364983369858"/>
    <n v="15.16"/>
    <m/>
    <n v="30.14"/>
    <n v="4159.4420864979002"/>
    <x v="121"/>
    <n v="1995892"/>
    <n v="495645.25110573805"/>
    <n v="479146.42"/>
    <n v="132355.0356467964"/>
    <n v="206821.26699999999"/>
    <n v="187"/>
    <n v="47"/>
    <n v="4512"/>
    <n v="1455"/>
    <n v="0"/>
  </r>
  <r>
    <x v="30"/>
    <n v="6"/>
    <m/>
    <n v="14.076364983369858"/>
    <n v="15.16"/>
    <m/>
    <n v="30.52"/>
    <n v="4161.3617553180902"/>
    <x v="121"/>
    <n v="1995892"/>
    <n v="495975.68127314182"/>
    <n v="479146.42"/>
    <n v="132355.0356467964"/>
    <n v="206821.26699999999"/>
    <n v="49"/>
    <n v="171"/>
    <n v="4512"/>
    <n v="1455"/>
    <n v="0"/>
  </r>
  <r>
    <x v="30"/>
    <n v="7"/>
    <m/>
    <n v="14.076364983369858"/>
    <n v="15.16"/>
    <m/>
    <n v="30.67"/>
    <n v="4163.2369388444095"/>
    <x v="122"/>
    <n v="1999290"/>
    <n v="496306.33172732388"/>
    <n v="479889.48"/>
    <n v="132868.87791789073"/>
    <n v="207691.48499999999"/>
    <n v="1"/>
    <n v="325"/>
    <n v="4512"/>
    <n v="1455"/>
    <n v="0"/>
  </r>
  <r>
    <x v="30"/>
    <n v="8"/>
    <m/>
    <n v="14.076364983369858"/>
    <n v="15.16"/>
    <m/>
    <n v="29.48"/>
    <n v="4165.1121223707296"/>
    <x v="122"/>
    <n v="1999290"/>
    <n v="496637.20261514204"/>
    <n v="479889.48"/>
    <n v="132868.87791789073"/>
    <n v="207691.48499999999"/>
    <n v="0"/>
    <n v="341"/>
    <n v="4512"/>
    <n v="1455"/>
    <n v="0"/>
  </r>
  <r>
    <x v="30"/>
    <n v="9"/>
    <m/>
    <n v="14.076364983369858"/>
    <n v="15.16"/>
    <m/>
    <n v="30.86"/>
    <n v="4166.9873058970497"/>
    <x v="122"/>
    <n v="1999290"/>
    <n v="496968.29408355209"/>
    <n v="479889.48"/>
    <n v="132868.87791789073"/>
    <n v="207691.48499999999"/>
    <n v="12"/>
    <n v="261"/>
    <n v="4512"/>
    <n v="1455"/>
    <n v="0"/>
  </r>
  <r>
    <x v="30"/>
    <n v="10"/>
    <m/>
    <n v="14.076364983369858"/>
    <n v="15.16"/>
    <m/>
    <n v="29.38"/>
    <n v="4168.8624894233699"/>
    <x v="123"/>
    <n v="2002689"/>
    <n v="497299.60627960775"/>
    <n v="480632.76"/>
    <n v="133372.17561140779"/>
    <n v="208506.54"/>
    <n v="136"/>
    <n v="73"/>
    <n v="4512"/>
    <n v="1455"/>
    <n v="0"/>
  </r>
  <r>
    <x v="30"/>
    <n v="11"/>
    <m/>
    <n v="14.076364983369858"/>
    <n v="15.16"/>
    <m/>
    <n v="29.57"/>
    <n v="4170.7376729496891"/>
    <x v="123"/>
    <n v="2002689"/>
    <n v="497631.13935046078"/>
    <n v="480632.76"/>
    <n v="133372.17561140779"/>
    <n v="208506.54"/>
    <n v="394"/>
    <n v="7"/>
    <n v="4512"/>
    <n v="1455"/>
    <n v="0"/>
  </r>
  <r>
    <x v="30"/>
    <n v="12"/>
    <m/>
    <n v="14.076364983369858"/>
    <n v="15.16"/>
    <m/>
    <n v="31.81"/>
    <n v="4172.6128564760093"/>
    <x v="123"/>
    <n v="2002689"/>
    <n v="497962.89344336104"/>
    <n v="480632.76"/>
    <n v="133372.17561140779"/>
    <n v="208506.54"/>
    <n v="706"/>
    <n v="0.2"/>
    <n v="4512"/>
    <n v="1455"/>
    <n v="0"/>
  </r>
  <r>
    <x v="31"/>
    <n v="1"/>
    <m/>
    <n v="14.357892283037256"/>
    <n v="15.54"/>
    <m/>
    <n v="32.380000000000003"/>
    <n v="4174.4880400023294"/>
    <x v="124"/>
    <n v="2006070"/>
    <n v="498294.86870565655"/>
    <n v="481372.11"/>
    <n v="134301.39467163541"/>
    <n v="210181.51699999999"/>
    <n v="996"/>
    <n v="0"/>
    <n v="4512"/>
    <n v="1455"/>
    <n v="0"/>
  </r>
  <r>
    <x v="31"/>
    <n v="2"/>
    <m/>
    <n v="14.357892283037256"/>
    <n v="15.54"/>
    <m/>
    <n v="30.19"/>
    <n v="4176.3632235286495"/>
    <x v="124"/>
    <n v="2006070"/>
    <n v="498627.06528479361"/>
    <n v="481372.11"/>
    <n v="134301.39467163541"/>
    <n v="210181.51699999999"/>
    <n v="889.8"/>
    <n v="0"/>
    <n v="4512"/>
    <n v="1455"/>
    <n v="0"/>
  </r>
  <r>
    <x v="31"/>
    <n v="3"/>
    <m/>
    <n v="14.357892283037256"/>
    <n v="15.54"/>
    <m/>
    <n v="30.33"/>
    <n v="4178.2384070549688"/>
    <x v="124"/>
    <n v="2006070"/>
    <n v="498959.48332831677"/>
    <n v="481372.11"/>
    <n v="134301.39467163541"/>
    <n v="210181.51699999999"/>
    <n v="729"/>
    <n v="0.45"/>
    <n v="4512"/>
    <n v="1455"/>
    <n v="0"/>
  </r>
  <r>
    <x v="31"/>
    <n v="4"/>
    <m/>
    <n v="14.357892283037256"/>
    <n v="15.54"/>
    <m/>
    <n v="30.48"/>
    <n v="4180.1135905812889"/>
    <x v="125"/>
    <n v="2009497"/>
    <n v="499292.12298386893"/>
    <n v="482121.51"/>
    <n v="134839.33113172121"/>
    <n v="211132.98300000001"/>
    <n v="440"/>
    <n v="11.85"/>
    <n v="4512"/>
    <n v="1455"/>
    <n v="0"/>
  </r>
  <r>
    <x v="31"/>
    <n v="5"/>
    <m/>
    <n v="14.357892283037256"/>
    <n v="15.54"/>
    <m/>
    <n v="29.52"/>
    <n v="4181.9887741076091"/>
    <x v="125"/>
    <n v="2009497"/>
    <n v="499624.98439919145"/>
    <n v="482121.51"/>
    <n v="134839.33113172121"/>
    <n v="211132.98300000001"/>
    <n v="187"/>
    <n v="47"/>
    <n v="4512"/>
    <n v="1455"/>
    <n v="0"/>
  </r>
  <r>
    <x v="31"/>
    <n v="6"/>
    <m/>
    <n v="14.357892283037256"/>
    <n v="15.54"/>
    <m/>
    <n v="30.71"/>
    <n v="4183.8639576339301"/>
    <x v="125"/>
    <n v="2009497"/>
    <n v="499958.06772212422"/>
    <n v="482121.51"/>
    <n v="134839.33113172121"/>
    <n v="211132.98300000001"/>
    <n v="49"/>
    <n v="171"/>
    <n v="4512"/>
    <n v="1455"/>
    <n v="0"/>
  </r>
  <r>
    <x v="31"/>
    <n v="7"/>
    <m/>
    <n v="14.357892283037256"/>
    <n v="15.54"/>
    <m/>
    <n v="30.57"/>
    <n v="4185.6933372695257"/>
    <x v="126"/>
    <n v="2014751"/>
    <n v="500291.37310060562"/>
    <n v="483270.44"/>
    <n v="135321.35743320332"/>
    <n v="211990.587"/>
    <n v="1"/>
    <n v="325"/>
    <n v="4512"/>
    <n v="1455"/>
    <n v="0"/>
  </r>
  <r>
    <x v="31"/>
    <n v="8"/>
    <m/>
    <n v="14.357892283037256"/>
    <n v="15.54"/>
    <m/>
    <n v="29.67"/>
    <n v="4187.5227169051213"/>
    <x v="126"/>
    <n v="2014751"/>
    <n v="500624.90068267263"/>
    <n v="483270.44"/>
    <n v="135321.35743320332"/>
    <n v="211990.587"/>
    <n v="0"/>
    <n v="341"/>
    <n v="4512"/>
    <n v="1455"/>
    <n v="0"/>
  </r>
  <r>
    <x v="31"/>
    <n v="9"/>
    <m/>
    <n v="14.357892283037256"/>
    <n v="15.54"/>
    <m/>
    <n v="30.48"/>
    <n v="4189.352096540717"/>
    <x v="126"/>
    <n v="2014751"/>
    <n v="500958.65061646106"/>
    <n v="483270.44"/>
    <n v="135321.35743320332"/>
    <n v="211990.587"/>
    <n v="12"/>
    <n v="261"/>
    <n v="4512"/>
    <n v="1455"/>
    <n v="0"/>
  </r>
  <r>
    <x v="31"/>
    <n v="10"/>
    <m/>
    <n v="14.357892283037256"/>
    <n v="15.54"/>
    <m/>
    <n v="29.67"/>
    <n v="4191.1814761763135"/>
    <x v="127"/>
    <n v="2017226"/>
    <n v="501292.62305020535"/>
    <n v="483811.66"/>
    <n v="135837.0171592095"/>
    <n v="212819.59099999999"/>
    <n v="136"/>
    <n v="73"/>
    <n v="4512"/>
    <n v="1455"/>
    <n v="0"/>
  </r>
  <r>
    <x v="31"/>
    <n v="11"/>
    <m/>
    <n v="14.357892283037256"/>
    <n v="15.54"/>
    <m/>
    <n v="29.76"/>
    <n v="4193.0108558119091"/>
    <x v="127"/>
    <n v="2017226"/>
    <n v="501626.81813223881"/>
    <n v="483811.66"/>
    <n v="135837.0171592095"/>
    <n v="212819.59099999999"/>
    <n v="394"/>
    <n v="7"/>
    <n v="4512"/>
    <n v="1455"/>
    <n v="0"/>
  </r>
  <r>
    <x v="31"/>
    <n v="12"/>
    <m/>
    <n v="14.357892283037256"/>
    <n v="15.54"/>
    <m/>
    <n v="31.38"/>
    <n v="4194.8402354475047"/>
    <x v="127"/>
    <n v="2017226"/>
    <n v="501961.2360109936"/>
    <n v="483811.66"/>
    <n v="135837.0171592095"/>
    <n v="212819.59099999999"/>
    <n v="706"/>
    <n v="0.2"/>
    <n v="4512"/>
    <n v="1455"/>
    <n v="0"/>
  </r>
  <r>
    <x v="32"/>
    <n v="1"/>
    <m/>
    <n v="14.645050128698001"/>
    <n v="15.93"/>
    <m/>
    <n v="32.71"/>
    <n v="4196.6696150831003"/>
    <x v="128"/>
    <n v="2020707"/>
    <n v="502295.87683500088"/>
    <n v="484572.88"/>
    <n v="136737.79260615801"/>
    <n v="214486.36799999999"/>
    <n v="996"/>
    <n v="0"/>
    <n v="4512"/>
    <n v="1455"/>
    <n v="0"/>
  </r>
  <r>
    <x v="32"/>
    <n v="2"/>
    <m/>
    <n v="14.645050128698001"/>
    <n v="15.93"/>
    <m/>
    <n v="29.81"/>
    <n v="4198.4989947186959"/>
    <x v="128"/>
    <n v="2020707"/>
    <n v="502630.74075289082"/>
    <n v="484572.88"/>
    <n v="136737.79260615801"/>
    <n v="214486.36799999999"/>
    <n v="889.8"/>
    <n v="0"/>
    <n v="4512"/>
    <n v="1455"/>
    <n v="0"/>
  </r>
  <r>
    <x v="32"/>
    <n v="3"/>
    <m/>
    <n v="14.645050128698001"/>
    <n v="15.93"/>
    <m/>
    <n v="30.33"/>
    <n v="4200.3283743542916"/>
    <x v="128"/>
    <n v="2020707"/>
    <n v="502965.82791339268"/>
    <n v="484572.88"/>
    <n v="136737.79260615801"/>
    <n v="214486.36799999999"/>
    <n v="729"/>
    <n v="0.45"/>
    <n v="4512"/>
    <n v="1455"/>
    <n v="0"/>
  </r>
  <r>
    <x v="32"/>
    <n v="4"/>
    <m/>
    <n v="14.645050128698001"/>
    <n v="15.93"/>
    <m/>
    <n v="30.19"/>
    <n v="4202.1577539898872"/>
    <x v="129"/>
    <n v="2024180"/>
    <n v="503301.13846533489"/>
    <n v="485332.34"/>
    <n v="137210.73555267171"/>
    <n v="215382.42600000001"/>
    <n v="440"/>
    <n v="11.85"/>
    <n v="4512"/>
    <n v="1455"/>
    <n v="0"/>
  </r>
  <r>
    <x v="32"/>
    <n v="5"/>
    <m/>
    <n v="14.645050128698001"/>
    <n v="15.93"/>
    <m/>
    <n v="30.14"/>
    <n v="4203.9871336254828"/>
    <x v="129"/>
    <n v="2024180"/>
    <n v="503636.67255764507"/>
    <n v="485332.34"/>
    <n v="137210.73555267171"/>
    <n v="215382.42600000001"/>
    <n v="187"/>
    <n v="47"/>
    <n v="4512"/>
    <n v="1455"/>
    <n v="0"/>
  </r>
  <r>
    <x v="32"/>
    <n v="6"/>
    <m/>
    <n v="14.645050128698001"/>
    <n v="15.93"/>
    <m/>
    <n v="30.67"/>
    <n v="4205.8165132610793"/>
    <x v="129"/>
    <n v="2024180"/>
    <n v="503972.43033935013"/>
    <n v="485332.34"/>
    <n v="137210.73555267171"/>
    <n v="215382.42600000001"/>
    <n v="49"/>
    <n v="171"/>
    <n v="4512"/>
    <n v="1455"/>
    <n v="0"/>
  </r>
  <r>
    <x v="32"/>
    <n v="7"/>
    <m/>
    <n v="14.645050128698001"/>
    <n v="15.93"/>
    <m/>
    <n v="30.71"/>
    <n v="4207.6022404008172"/>
    <x v="130"/>
    <n v="2027626"/>
    <n v="504308.4119595763"/>
    <n v="486085.9"/>
    <n v="137734.12696285589"/>
    <n v="216207.60200000001"/>
    <n v="1"/>
    <n v="325"/>
    <n v="4512"/>
    <n v="1455"/>
    <n v="0"/>
  </r>
  <r>
    <x v="32"/>
    <n v="8"/>
    <m/>
    <n v="14.645050128698001"/>
    <n v="15.93"/>
    <m/>
    <n v="29.52"/>
    <n v="4209.387967540556"/>
    <x v="130"/>
    <n v="2027626"/>
    <n v="504644.61756754934"/>
    <n v="486085.9"/>
    <n v="137734.12696285589"/>
    <n v="216207.60200000001"/>
    <n v="0"/>
    <n v="341"/>
    <n v="4512"/>
    <n v="1455"/>
    <n v="0"/>
  </r>
  <r>
    <x v="32"/>
    <n v="9"/>
    <m/>
    <n v="14.645050128698001"/>
    <n v="15.93"/>
    <m/>
    <n v="30.52"/>
    <n v="4211.1736946802939"/>
    <x v="130"/>
    <n v="2027626"/>
    <n v="504981.04731259437"/>
    <n v="486085.9"/>
    <n v="137734.12696285589"/>
    <n v="216207.60200000001"/>
    <n v="12"/>
    <n v="261"/>
    <n v="4512"/>
    <n v="1455"/>
    <n v="0"/>
  </r>
  <r>
    <x v="32"/>
    <n v="10"/>
    <m/>
    <n v="14.645050128698001"/>
    <n v="15.93"/>
    <m/>
    <n v="29.62"/>
    <n v="4212.9594218200327"/>
    <x v="131"/>
    <n v="2031118"/>
    <n v="505317.70134413603"/>
    <n v="486849.52"/>
    <n v="138267.05777385479"/>
    <n v="217023.29399999999"/>
    <n v="136"/>
    <n v="73"/>
    <n v="4512"/>
    <n v="1455"/>
    <n v="0"/>
  </r>
  <r>
    <x v="32"/>
    <n v="11"/>
    <m/>
    <n v="14.645050128698001"/>
    <n v="15.93"/>
    <m/>
    <n v="29.95"/>
    <n v="4214.7451489597706"/>
    <x v="131"/>
    <n v="2031118"/>
    <n v="505654.57981169876"/>
    <n v="486849.52"/>
    <n v="138267.05777385479"/>
    <n v="217023.29399999999"/>
    <n v="394"/>
    <n v="7"/>
    <n v="4512"/>
    <n v="1455"/>
    <n v="0"/>
  </r>
  <r>
    <x v="32"/>
    <n v="12"/>
    <m/>
    <n v="14.645050128698001"/>
    <n v="15.93"/>
    <m/>
    <n v="32"/>
    <n v="4216.5308760995094"/>
    <x v="131"/>
    <n v="2031118"/>
    <n v="505991.6828649065"/>
    <n v="486849.52"/>
    <n v="138267.05777385479"/>
    <n v="217023.29399999999"/>
    <n v="706"/>
    <n v="0.2"/>
    <n v="4512"/>
    <n v="1455"/>
    <n v="0"/>
  </r>
  <r>
    <x v="33"/>
    <n v="1"/>
    <m/>
    <n v="14.937951131271962"/>
    <n v="16.329999999999998"/>
    <m/>
    <n v="31.9"/>
    <n v="4218.3166032392473"/>
    <x v="132"/>
    <n v="2034563"/>
    <n v="506329.01065348304"/>
    <n v="487602.86"/>
    <n v="139186.1450530875"/>
    <n v="218712.25599999999"/>
    <n v="996"/>
    <n v="0"/>
    <n v="4512"/>
    <n v="1455"/>
    <n v="0"/>
  </r>
  <r>
    <x v="33"/>
    <n v="2"/>
    <m/>
    <n v="14.937951131271962"/>
    <n v="16.329999999999998"/>
    <m/>
    <n v="31.29"/>
    <n v="4220.1023303789862"/>
    <x v="132"/>
    <n v="2034563"/>
    <n v="506666.56332725199"/>
    <n v="487602.86"/>
    <n v="139186.1450530875"/>
    <n v="218712.25599999999"/>
    <n v="889.8"/>
    <n v="0"/>
    <n v="4512"/>
    <n v="1455"/>
    <n v="0"/>
  </r>
  <r>
    <x v="33"/>
    <n v="3"/>
    <m/>
    <n v="14.937951131271962"/>
    <n v="16.329999999999998"/>
    <m/>
    <n v="30.33"/>
    <n v="4221.8880575187241"/>
    <x v="132"/>
    <n v="2034563"/>
    <n v="507004.34103613679"/>
    <n v="487602.86"/>
    <n v="139186.1450530875"/>
    <n v="218712.25599999999"/>
    <n v="729"/>
    <n v="0.45"/>
    <n v="4512"/>
    <n v="1455"/>
    <n v="0"/>
  </r>
  <r>
    <x v="33"/>
    <n v="4"/>
    <m/>
    <n v="14.937951131271962"/>
    <n v="16.329999999999998"/>
    <m/>
    <n v="30.65"/>
    <n v="4223.6737846584629"/>
    <x v="133"/>
    <n v="2038033"/>
    <n v="507342.34393016086"/>
    <n v="488361.66"/>
    <n v="139696.34764365171"/>
    <n v="219678.68900000001"/>
    <n v="440"/>
    <n v="11.85"/>
    <n v="4512"/>
    <n v="1455"/>
    <n v="0"/>
  </r>
  <r>
    <x v="33"/>
    <n v="5"/>
    <m/>
    <n v="14.937951131271962"/>
    <n v="16.329999999999998"/>
    <m/>
    <n v="29.71"/>
    <n v="4225.4595117982008"/>
    <x v="133"/>
    <n v="2038033"/>
    <n v="507680.57215944759"/>
    <n v="488361.66"/>
    <n v="139696.34764365171"/>
    <n v="219678.68900000001"/>
    <n v="187"/>
    <n v="47"/>
    <n v="4512"/>
    <n v="1455"/>
    <n v="0"/>
  </r>
  <r>
    <x v="33"/>
    <n v="6"/>
    <m/>
    <n v="14.937951131271962"/>
    <n v="16.329999999999998"/>
    <m/>
    <n v="30.62"/>
    <n v="4227.2452389379441"/>
    <x v="133"/>
    <n v="2038033"/>
    <n v="508019.02587422053"/>
    <n v="488361.66"/>
    <n v="139696.34764365171"/>
    <n v="219678.68900000001"/>
    <n v="49"/>
    <n v="171"/>
    <n v="4512"/>
    <n v="1455"/>
    <n v="0"/>
  </r>
  <r>
    <x v="33"/>
    <n v="7"/>
    <m/>
    <n v="14.937951131271962"/>
    <n v="16.329999999999998"/>
    <m/>
    <n v="30.81"/>
    <n v="4228.9908529733821"/>
    <x v="134"/>
    <n v="2043357"/>
    <n v="508357.7052248033"/>
    <n v="489525.9"/>
    <n v="140245.2175202439"/>
    <n v="220588.57"/>
    <n v="1"/>
    <n v="325"/>
    <n v="4512"/>
    <n v="1455"/>
    <n v="0"/>
  </r>
  <r>
    <x v="33"/>
    <n v="8"/>
    <m/>
    <n v="14.937951131271962"/>
    <n v="16.329999999999998"/>
    <m/>
    <n v="29.43"/>
    <n v="4230.73646700882"/>
    <x v="134"/>
    <n v="2043357"/>
    <n v="508696.61036161979"/>
    <n v="489525.9"/>
    <n v="140245.2175202439"/>
    <n v="220588.57"/>
    <n v="0"/>
    <n v="341"/>
    <n v="4512"/>
    <n v="1455"/>
    <n v="0"/>
  </r>
  <r>
    <x v="33"/>
    <n v="9"/>
    <m/>
    <n v="14.937951131271962"/>
    <n v="16.329999999999998"/>
    <m/>
    <n v="30.57"/>
    <n v="4232.4820810442579"/>
    <x v="134"/>
    <n v="2043357"/>
    <n v="509035.74143519416"/>
    <n v="489525.9"/>
    <n v="140245.2175202439"/>
    <n v="220588.57"/>
    <n v="12"/>
    <n v="261"/>
    <n v="4512"/>
    <n v="1455"/>
    <n v="0"/>
  </r>
  <r>
    <x v="33"/>
    <n v="10"/>
    <m/>
    <n v="14.937951131271962"/>
    <n v="16.329999999999998"/>
    <m/>
    <n v="29.67"/>
    <n v="4234.2276950796959"/>
    <x v="135"/>
    <n v="2045792"/>
    <n v="509375.09859615093"/>
    <n v="490058.37"/>
    <n v="140805.67855669133"/>
    <n v="221480.42499999999"/>
    <n v="136"/>
    <n v="73"/>
    <n v="4512"/>
    <n v="1455"/>
    <n v="0"/>
  </r>
  <r>
    <x v="33"/>
    <n v="11"/>
    <m/>
    <n v="14.937951131271962"/>
    <n v="16.329999999999998"/>
    <m/>
    <n v="29.05"/>
    <n v="4235.9733091151329"/>
    <x v="135"/>
    <n v="2045792"/>
    <n v="509714.68199521501"/>
    <n v="490058.37"/>
    <n v="140805.67855669133"/>
    <n v="221480.42499999999"/>
    <n v="394"/>
    <n v="7"/>
    <n v="4512"/>
    <n v="1455"/>
    <n v="0"/>
  </r>
  <r>
    <x v="33"/>
    <n v="12"/>
    <m/>
    <n v="14.937951131271962"/>
    <n v="16.329999999999998"/>
    <m/>
    <n v="31"/>
    <n v="4237.7189231505708"/>
    <x v="135"/>
    <n v="2045792"/>
    <n v="510054.49178321176"/>
    <n v="490058.37"/>
    <n v="140805.67855669133"/>
    <n v="221480.42499999999"/>
    <n v="706"/>
    <n v="0.2"/>
    <n v="4512"/>
    <n v="1455"/>
    <n v="0"/>
  </r>
  <r>
    <x v="34"/>
    <n v="1"/>
    <m/>
    <n v="15.236710153897402"/>
    <n v="16.739999999999998"/>
    <m/>
    <n v="32.33"/>
    <n v="4239.4645371860088"/>
    <x v="136"/>
    <n v="2049090.0000000002"/>
    <n v="510394.52811106719"/>
    <n v="490779.57"/>
    <n v="141675.35134562961"/>
    <n v="223274.90299999999"/>
    <n v="996"/>
    <n v="0"/>
    <n v="4512"/>
    <n v="1455"/>
    <n v="0"/>
  </r>
  <r>
    <x v="34"/>
    <n v="2"/>
    <m/>
    <n v="15.236710153897402"/>
    <n v="16.739999999999998"/>
    <m/>
    <n v="29.86"/>
    <n v="4241.2101512214467"/>
    <x v="136"/>
    <n v="2049090.0000000002"/>
    <n v="510734.79112980788"/>
    <n v="490779.57"/>
    <n v="141675.35134562961"/>
    <n v="223274.90299999999"/>
    <n v="889.8"/>
    <n v="0"/>
    <n v="4512"/>
    <n v="1455"/>
    <n v="0"/>
  </r>
  <r>
    <x v="34"/>
    <n v="3"/>
    <m/>
    <n v="15.236710153897402"/>
    <n v="16.739999999999998"/>
    <m/>
    <n v="30.76"/>
    <n v="4242.9557652568847"/>
    <x v="136"/>
    <n v="2049090.0000000002"/>
    <n v="511075.28099056106"/>
    <n v="490779.57"/>
    <n v="141675.35134562961"/>
    <n v="223274.90299999999"/>
    <n v="729"/>
    <n v="0.45"/>
    <n v="4512"/>
    <n v="1455"/>
    <n v="0"/>
  </r>
  <r>
    <x v="34"/>
    <n v="4"/>
    <m/>
    <n v="15.236710153897402"/>
    <n v="16.739999999999998"/>
    <m/>
    <n v="30.38"/>
    <n v="4244.7013792923226"/>
    <x v="137"/>
    <n v="2052382"/>
    <n v="511415.99784455472"/>
    <n v="491499.45"/>
    <n v="142240.05161772121"/>
    <n v="224274.87700000001"/>
    <n v="440"/>
    <n v="11.85"/>
    <n v="4512"/>
    <n v="1455"/>
    <n v="0"/>
  </r>
  <r>
    <x v="34"/>
    <n v="5"/>
    <m/>
    <n v="15.236710153897402"/>
    <n v="16.739999999999998"/>
    <m/>
    <n v="29.52"/>
    <n v="4246.4469933277605"/>
    <x v="137"/>
    <n v="2052382"/>
    <n v="511756.9418431177"/>
    <n v="491499.45"/>
    <n v="142240.05161772121"/>
    <n v="224274.87700000001"/>
    <n v="187"/>
    <n v="47"/>
    <n v="4512"/>
    <n v="1455"/>
    <n v="0"/>
  </r>
  <r>
    <x v="34"/>
    <n v="6"/>
    <m/>
    <n v="15.236710153897402"/>
    <n v="16.739999999999998"/>
    <m/>
    <n v="30.62"/>
    <n v="4248.1926073631976"/>
    <x v="137"/>
    <n v="2052382"/>
    <n v="512098.11313767976"/>
    <n v="491499.45"/>
    <n v="142240.05161772121"/>
    <n v="224274.87700000001"/>
    <n v="49"/>
    <n v="171"/>
    <n v="4512"/>
    <n v="1455"/>
    <n v="0"/>
  </r>
  <r>
    <x v="34"/>
    <n v="7"/>
    <m/>
    <n v="15.236710153897402"/>
    <n v="16.739999999999998"/>
    <m/>
    <n v="30.76"/>
    <n v="4249.9035214814203"/>
    <x v="138"/>
    <n v="2055661.9999999998"/>
    <n v="512439.51187977148"/>
    <n v="492216.71"/>
    <n v="142801.7189308338"/>
    <n v="225199.902"/>
    <n v="1"/>
    <n v="325"/>
    <n v="4512"/>
    <n v="1455"/>
    <n v="0"/>
  </r>
  <r>
    <x v="34"/>
    <n v="8"/>
    <m/>
    <n v="15.236710153897402"/>
    <n v="16.739999999999998"/>
    <m/>
    <n v="29.48"/>
    <n v="4251.6144355996421"/>
    <x v="138"/>
    <n v="2055661.9999999998"/>
    <n v="512781.13822102465"/>
    <n v="492216.71"/>
    <n v="142801.7189308338"/>
    <n v="225199.902"/>
    <n v="0"/>
    <n v="341"/>
    <n v="4512"/>
    <n v="1455"/>
    <n v="0"/>
  </r>
  <r>
    <x v="34"/>
    <n v="9"/>
    <m/>
    <n v="15.236710153897402"/>
    <n v="16.739999999999998"/>
    <m/>
    <n v="30.57"/>
    <n v="4253.3253497178639"/>
    <x v="138"/>
    <n v="2055661.9999999998"/>
    <n v="513122.99231317197"/>
    <n v="492216.71"/>
    <n v="142801.7189308338"/>
    <n v="225199.902"/>
    <n v="12"/>
    <n v="261"/>
    <n v="4512"/>
    <n v="1455"/>
    <n v="0"/>
  </r>
  <r>
    <x v="34"/>
    <n v="10"/>
    <m/>
    <n v="15.236710153897402"/>
    <n v="16.739999999999998"/>
    <m/>
    <n v="29.67"/>
    <n v="4255.0362638360857"/>
    <x v="139"/>
    <n v="2058951"/>
    <n v="513465.07430804736"/>
    <n v="492935.94"/>
    <n v="143333.9986393975"/>
    <n v="226081.57399999999"/>
    <n v="136"/>
    <n v="73"/>
    <n v="4512"/>
    <n v="1455"/>
    <n v="0"/>
  </r>
  <r>
    <x v="34"/>
    <n v="11"/>
    <m/>
    <n v="15.236710153897402"/>
    <n v="16.739999999999998"/>
    <m/>
    <n v="29.95"/>
    <n v="4256.7471779543075"/>
    <x v="139"/>
    <n v="2058951"/>
    <n v="513807.38435758604"/>
    <n v="492935.94"/>
    <n v="143333.9986393975"/>
    <n v="226081.57399999999"/>
    <n v="394"/>
    <n v="7"/>
    <n v="4512"/>
    <n v="1455"/>
    <n v="0"/>
  </r>
  <r>
    <x v="34"/>
    <n v="12"/>
    <m/>
    <n v="15.236710153897402"/>
    <n v="16.739999999999998"/>
    <m/>
    <n v="31.38"/>
    <n v="4258.4580920725293"/>
    <x v="139"/>
    <n v="2058951"/>
    <n v="514149.92261382437"/>
    <n v="492935.94"/>
    <n v="143333.9986393975"/>
    <n v="226081.57399999999"/>
    <n v="706"/>
    <n v="0.2"/>
    <n v="4512"/>
    <n v="1455"/>
    <n v="0"/>
  </r>
  <r>
    <x v="35"/>
    <n v="1"/>
    <m/>
    <n v="15.541444356975351"/>
    <n v="17.16"/>
    <m/>
    <n v="32.43"/>
    <n v="4260.169006190752"/>
    <x v="140"/>
    <n v="2062277"/>
    <n v="514492.68922890024"/>
    <n v="493663.25"/>
    <n v="144234.99103084428"/>
    <n v="227897.829"/>
    <n v="996"/>
    <n v="0"/>
    <n v="4512"/>
    <n v="1455"/>
    <n v="0"/>
  </r>
  <r>
    <x v="35"/>
    <n v="2"/>
    <m/>
    <n v="15.541444356975351"/>
    <n v="17.16"/>
    <m/>
    <n v="29.9"/>
    <n v="4261.8799203089739"/>
    <x v="140"/>
    <n v="2062277"/>
    <n v="514835.68435505283"/>
    <n v="493663.25"/>
    <n v="144234.99103084428"/>
    <n v="227897.829"/>
    <n v="889.8"/>
    <n v="0"/>
    <n v="4512"/>
    <n v="1455"/>
    <n v="0"/>
  </r>
  <r>
    <x v="35"/>
    <n v="3"/>
    <m/>
    <n v="15.541444356975351"/>
    <n v="17.16"/>
    <m/>
    <n v="30.33"/>
    <n v="4263.5908344271957"/>
    <x v="140"/>
    <n v="2062277"/>
    <n v="515178.90814462281"/>
    <n v="493663.25"/>
    <n v="144234.99103084428"/>
    <n v="227897.829"/>
    <n v="729"/>
    <n v="0.45"/>
    <n v="4512"/>
    <n v="1455"/>
    <n v="0"/>
  </r>
  <r>
    <x v="35"/>
    <n v="4"/>
    <m/>
    <n v="15.541444356975351"/>
    <n v="17.16"/>
    <m/>
    <n v="30.29"/>
    <n v="4265.3017485454175"/>
    <x v="141"/>
    <n v="2065558"/>
    <n v="515522.3607500525"/>
    <n v="494380.73"/>
    <n v="144886.30847978839"/>
    <n v="228888.74400000001"/>
    <n v="440"/>
    <n v="11.85"/>
    <n v="4512"/>
    <n v="1455"/>
    <n v="0"/>
  </r>
  <r>
    <x v="35"/>
    <n v="5"/>
    <m/>
    <n v="15.541444356975351"/>
    <n v="17.16"/>
    <m/>
    <n v="30.05"/>
    <n v="4267.0126626636393"/>
    <x v="141"/>
    <n v="2065558"/>
    <n v="515866.04232388583"/>
    <n v="494380.73"/>
    <n v="144886.30847978839"/>
    <n v="228888.74400000001"/>
    <n v="187"/>
    <n v="47"/>
    <n v="4512"/>
    <n v="1455"/>
    <n v="0"/>
  </r>
  <r>
    <x v="35"/>
    <n v="6"/>
    <m/>
    <n v="15.541444356975351"/>
    <n v="17.16"/>
    <m/>
    <n v="30.67"/>
    <n v="4268.7235767818665"/>
    <x v="141"/>
    <n v="2065558"/>
    <n v="516209.9530187684"/>
    <n v="494380.73"/>
    <n v="144886.30847978839"/>
    <n v="228888.74400000001"/>
    <n v="49"/>
    <n v="171"/>
    <n v="4512"/>
    <n v="1455"/>
    <n v="0"/>
  </r>
  <r>
    <x v="35"/>
    <n v="7"/>
    <m/>
    <n v="15.541444356975351"/>
    <n v="17.16"/>
    <m/>
    <n v="30.62"/>
    <n v="4270.4142261484349"/>
    <x v="142"/>
    <n v="2068831.9999999998"/>
    <n v="516554.09298744751"/>
    <n v="495096.68"/>
    <n v="145466.58202801348"/>
    <n v="229812.7"/>
    <n v="1"/>
    <n v="325"/>
    <n v="4512"/>
    <n v="1455"/>
    <n v="0"/>
  </r>
  <r>
    <x v="35"/>
    <n v="8"/>
    <m/>
    <n v="15.541444356975351"/>
    <n v="17.16"/>
    <m/>
    <n v="29.52"/>
    <n v="4272.1048755150041"/>
    <x v="142"/>
    <n v="2068831.9999999998"/>
    <n v="516898.46238277241"/>
    <n v="495096.68"/>
    <n v="145466.58202801348"/>
    <n v="229812.7"/>
    <n v="0"/>
    <n v="341"/>
    <n v="4512"/>
    <n v="1455"/>
    <n v="0"/>
  </r>
  <r>
    <x v="35"/>
    <n v="9"/>
    <m/>
    <n v="15.541444356975351"/>
    <n v="17.16"/>
    <m/>
    <n v="30.71"/>
    <n v="4273.7955248815724"/>
    <x v="142"/>
    <n v="2068831.9999999998"/>
    <n v="517243.06135769421"/>
    <n v="495096.68"/>
    <n v="145466.58202801348"/>
    <n v="229812.7"/>
    <n v="12"/>
    <n v="261"/>
    <n v="4512"/>
    <n v="1455"/>
    <n v="0"/>
  </r>
  <r>
    <x v="35"/>
    <n v="10"/>
    <m/>
    <n v="15.541444356975351"/>
    <n v="17.16"/>
    <m/>
    <n v="29.52"/>
    <n v="4275.4861742481417"/>
    <x v="143"/>
    <n v="2072083.9999999998"/>
    <n v="517587.89006526599"/>
    <n v="495807.81"/>
    <n v="145955.26333955221"/>
    <n v="230688.69399999999"/>
    <n v="136"/>
    <n v="73"/>
    <n v="4512"/>
    <n v="1455"/>
    <n v="0"/>
  </r>
  <r>
    <x v="35"/>
    <n v="11"/>
    <m/>
    <n v="15.541444356975351"/>
    <n v="17.16"/>
    <m/>
    <n v="29.38"/>
    <n v="4277.17682361471"/>
    <x v="143"/>
    <n v="2072083.9999999998"/>
    <n v="517932.94865864282"/>
    <n v="495807.81"/>
    <n v="145955.26333955221"/>
    <n v="230688.69399999999"/>
    <n v="394"/>
    <n v="7"/>
    <n v="4512"/>
    <n v="1455"/>
    <n v="0"/>
  </r>
  <r>
    <x v="35"/>
    <n v="12"/>
    <m/>
    <n v="15.541444356975351"/>
    <n v="17.16"/>
    <m/>
    <n v="32.81"/>
    <n v="4278.8674729812792"/>
    <x v="143"/>
    <n v="2072083.9999999998"/>
    <n v="518278.23729108187"/>
    <n v="495807.81"/>
    <n v="145955.26333955221"/>
    <n v="230688.69399999999"/>
    <n v="706"/>
    <n v="0.2"/>
    <n v="4512"/>
    <n v="1455"/>
    <n v="0"/>
  </r>
  <r>
    <x v="36"/>
    <n v="1"/>
    <m/>
    <n v="15.852273244114858"/>
    <n v="17.579999999999998"/>
    <m/>
    <n v="32.43"/>
    <n v="4280.5581223478475"/>
    <x v="144"/>
    <n v="2076992.0000000002"/>
    <n v="518623.75611594255"/>
    <n v="496881.08"/>
    <n v="146736.31800822809"/>
    <n v="232435.19899999999"/>
    <n v="996"/>
    <n v="0"/>
    <n v="4512"/>
    <n v="1455"/>
    <n v="0"/>
  </r>
  <r>
    <x v="36"/>
    <n v="2"/>
    <m/>
    <n v="15.852273244114858"/>
    <n v="17.579999999999998"/>
    <m/>
    <n v="29.9"/>
    <n v="4282.2487717144168"/>
    <x v="144"/>
    <n v="2076992.0000000002"/>
    <n v="518969.50528668647"/>
    <n v="496881.08"/>
    <n v="146736.31800822809"/>
    <n v="232435.19899999999"/>
    <n v="889.8"/>
    <n v="0"/>
    <n v="4512"/>
    <n v="1455"/>
    <n v="0"/>
  </r>
  <r>
    <x v="36"/>
    <n v="3"/>
    <m/>
    <n v="15.852273244114858"/>
    <n v="17.579999999999998"/>
    <m/>
    <n v="30.33"/>
    <n v="4283.9394210809851"/>
    <x v="144"/>
    <n v="2076992.0000000002"/>
    <n v="519315.48495687754"/>
    <n v="496881.08"/>
    <n v="146736.31800822809"/>
    <n v="232435.19899999999"/>
    <n v="729"/>
    <n v="0.45"/>
    <n v="4512"/>
    <n v="1455"/>
    <n v="0"/>
  </r>
  <r>
    <x v="36"/>
    <n v="4"/>
    <m/>
    <n v="15.852273244114858"/>
    <n v="17.579999999999998"/>
    <m/>
    <n v="30.29"/>
    <n v="4285.6300704475543"/>
    <x v="145"/>
    <n v="2079442"/>
    <n v="519661.69528018206"/>
    <n v="497416.84"/>
    <n v="147534.36711674201"/>
    <n v="233443.413"/>
    <n v="440"/>
    <n v="11.85"/>
    <n v="4512"/>
    <n v="1455"/>
    <n v="0"/>
  </r>
  <r>
    <x v="36"/>
    <n v="5"/>
    <m/>
    <n v="15.852273244114858"/>
    <n v="17.579999999999998"/>
    <m/>
    <n v="30.05"/>
    <n v="4287.3207198141226"/>
    <x v="145"/>
    <n v="2079442"/>
    <n v="520008.13641036878"/>
    <n v="497416.84"/>
    <n v="147534.36711674201"/>
    <n v="233443.413"/>
    <n v="187"/>
    <n v="47"/>
    <n v="4512"/>
    <n v="1455"/>
    <n v="0"/>
  </r>
  <r>
    <x v="36"/>
    <n v="6"/>
    <m/>
    <n v="15.852273244114858"/>
    <n v="17.579999999999998"/>
    <m/>
    <n v="30.67"/>
    <n v="4289.0113691806882"/>
    <x v="145"/>
    <n v="2079442"/>
    <n v="520354.80850130902"/>
    <n v="497416.84"/>
    <n v="147534.36711674201"/>
    <n v="233443.413"/>
    <n v="49"/>
    <n v="171"/>
    <n v="4512"/>
    <n v="1455"/>
    <n v="0"/>
  </r>
  <r>
    <x v="36"/>
    <n v="7"/>
    <m/>
    <n v="15.852273244114858"/>
    <n v="17.579999999999998"/>
    <m/>
    <n v="30.62"/>
    <n v="4290.6880691805372"/>
    <x v="146"/>
    <n v="2082416.0000000002"/>
    <n v="520701.71170697652"/>
    <n v="498067.18"/>
    <n v="148086.38741009351"/>
    <n v="234353.842"/>
    <n v="1"/>
    <n v="325"/>
    <n v="4512"/>
    <n v="1455"/>
    <n v="0"/>
  </r>
  <r>
    <x v="36"/>
    <n v="8"/>
    <m/>
    <n v="15.852273244114858"/>
    <n v="17.579999999999998"/>
    <m/>
    <n v="29.52"/>
    <n v="4292.3647691803853"/>
    <x v="146"/>
    <n v="2082416.0000000002"/>
    <n v="521048.84618144779"/>
    <n v="498067.18"/>
    <n v="148086.38741009351"/>
    <n v="234353.842"/>
    <n v="0"/>
    <n v="341"/>
    <n v="4512"/>
    <n v="1455"/>
    <n v="0"/>
  </r>
  <r>
    <x v="36"/>
    <n v="9"/>
    <m/>
    <n v="15.852273244114858"/>
    <n v="17.579999999999998"/>
    <m/>
    <n v="30.71"/>
    <n v="4294.0414691802334"/>
    <x v="146"/>
    <n v="2082416.0000000002"/>
    <n v="521396.21207890206"/>
    <n v="498067.18"/>
    <n v="148086.38741009351"/>
    <n v="234353.842"/>
    <n v="12"/>
    <n v="261"/>
    <n v="4512"/>
    <n v="1455"/>
    <n v="0"/>
  </r>
  <r>
    <x v="36"/>
    <n v="10"/>
    <m/>
    <n v="15.852273244114858"/>
    <n v="17.579999999999998"/>
    <m/>
    <n v="29.52"/>
    <n v="4295.7181691800824"/>
    <x v="147"/>
    <n v="2085362"/>
    <n v="521743.80955362128"/>
    <n v="498711.4"/>
    <n v="148683.67861456331"/>
    <n v="235229.45199999999"/>
    <n v="136"/>
    <n v="73"/>
    <n v="4512"/>
    <n v="1455"/>
    <n v="0"/>
  </r>
  <r>
    <x v="36"/>
    <n v="11"/>
    <m/>
    <n v="15.852273244114858"/>
    <n v="17.579999999999998"/>
    <m/>
    <n v="29.38"/>
    <n v="4297.3948691799305"/>
    <x v="147"/>
    <n v="2085362"/>
    <n v="522091.63875999034"/>
    <n v="498711.4"/>
    <n v="148683.67861456331"/>
    <n v="235229.45199999999"/>
    <n v="394"/>
    <n v="7"/>
    <n v="4512"/>
    <n v="1455"/>
    <n v="0"/>
  </r>
  <r>
    <x v="36"/>
    <n v="12"/>
    <m/>
    <n v="15.852273244114858"/>
    <n v="17.579999999999998"/>
    <m/>
    <n v="32.81"/>
    <n v="4299.0715691797786"/>
    <x v="147"/>
    <n v="2085362"/>
    <n v="522439.69985249697"/>
    <n v="498711.4"/>
    <n v="148683.67861456331"/>
    <n v="235229.45199999999"/>
    <n v="706"/>
    <n v="0.2"/>
    <n v="4512"/>
    <n v="1455"/>
    <n v="0"/>
  </r>
  <r>
    <x v="37"/>
    <n v="1"/>
    <m/>
    <n v="16.169318708997157"/>
    <n v="18.02"/>
    <m/>
    <n v="32.43"/>
    <n v="4300.7482691796276"/>
    <x v="148"/>
    <n v="2088344"/>
    <n v="522787.99298573192"/>
    <n v="499363.49"/>
    <n v="149185.49427033891"/>
    <n v="237001.329"/>
    <n v="996"/>
    <n v="0"/>
    <n v="4512"/>
    <n v="1455"/>
    <n v="0"/>
  </r>
  <r>
    <x v="37"/>
    <n v="2"/>
    <m/>
    <n v="16.169318708997157"/>
    <n v="18.02"/>
    <m/>
    <n v="29.9"/>
    <n v="4302.4249691794757"/>
    <x v="148"/>
    <n v="2088344"/>
    <n v="523136.51831438905"/>
    <n v="499363.49"/>
    <n v="149185.49427033891"/>
    <n v="237001.329"/>
    <n v="889.8"/>
    <n v="0"/>
    <n v="4512"/>
    <n v="1455"/>
    <n v="0"/>
  </r>
  <r>
    <x v="37"/>
    <n v="3"/>
    <m/>
    <n v="16.169318708997157"/>
    <n v="18.02"/>
    <m/>
    <n v="30.33"/>
    <n v="4304.1016691793238"/>
    <x v="148"/>
    <n v="2088344"/>
    <n v="523485.27599326527"/>
    <n v="499363.49"/>
    <n v="149185.49427033891"/>
    <n v="237001.329"/>
    <n v="729"/>
    <n v="0.45"/>
    <n v="4512"/>
    <n v="1455"/>
    <n v="0"/>
  </r>
  <r>
    <x v="37"/>
    <n v="4"/>
    <m/>
    <n v="16.169318708997157"/>
    <n v="18.02"/>
    <m/>
    <n v="30.29"/>
    <n v="4305.7783691791728"/>
    <x v="149"/>
    <n v="2091375"/>
    <n v="523834.26617726072"/>
    <n v="500026.3"/>
    <n v="150050.48527940348"/>
    <n v="237918.01"/>
    <n v="440"/>
    <n v="11.85"/>
    <n v="4512"/>
    <n v="1455"/>
    <n v="0"/>
  </r>
  <r>
    <x v="37"/>
    <n v="5"/>
    <m/>
    <n v="16.169318708997157"/>
    <n v="18.02"/>
    <m/>
    <n v="30.05"/>
    <n v="4307.4550691790209"/>
    <x v="149"/>
    <n v="2091375"/>
    <n v="524183.48902137886"/>
    <n v="500026.3"/>
    <n v="150050.48527940348"/>
    <n v="237918.01"/>
    <n v="187"/>
    <n v="47"/>
    <n v="4512"/>
    <n v="1455"/>
    <n v="0"/>
  </r>
  <r>
    <x v="37"/>
    <n v="6"/>
    <m/>
    <n v="16.169318708997157"/>
    <n v="18.02"/>
    <m/>
    <n v="30.67"/>
    <n v="4309.1317691788645"/>
    <x v="149"/>
    <n v="2091375"/>
    <n v="524532.94468072639"/>
    <n v="500026.3"/>
    <n v="150050.48527940348"/>
    <n v="237918.01"/>
    <n v="49"/>
    <n v="171"/>
    <n v="4512"/>
    <n v="1455"/>
    <n v="0"/>
  </r>
  <r>
    <x v="37"/>
    <n v="7"/>
    <m/>
    <n v="16.169318708997157"/>
    <n v="18.02"/>
    <m/>
    <n v="30.62"/>
    <n v="4310.8027089924553"/>
    <x v="150"/>
    <n v="2094380.9999999998"/>
    <n v="524882.63331051345"/>
    <n v="500683.64"/>
    <n v="150574.37002448901"/>
    <n v="238774.076"/>
    <n v="1"/>
    <n v="325"/>
    <n v="4512"/>
    <n v="1455"/>
    <n v="0"/>
  </r>
  <r>
    <x v="37"/>
    <n v="8"/>
    <m/>
    <n v="16.169318708997157"/>
    <n v="18.02"/>
    <m/>
    <n v="29.52"/>
    <n v="4312.4736488060462"/>
    <x v="150"/>
    <n v="2094380.9999999998"/>
    <n v="525232.55506605376"/>
    <n v="500683.64"/>
    <n v="150574.37002448901"/>
    <n v="238774.076"/>
    <n v="0"/>
    <n v="341"/>
    <n v="4512"/>
    <n v="1455"/>
    <n v="0"/>
  </r>
  <r>
    <x v="37"/>
    <n v="9"/>
    <m/>
    <n v="16.169318708997157"/>
    <n v="18.02"/>
    <m/>
    <n v="30.71"/>
    <n v="4314.1445886196361"/>
    <x v="150"/>
    <n v="2094380.9999999998"/>
    <n v="525582.71010276442"/>
    <n v="500683.64"/>
    <n v="150574.37002448901"/>
    <n v="238774.076"/>
    <n v="12"/>
    <n v="261"/>
    <n v="4512"/>
    <n v="1455"/>
    <n v="0"/>
  </r>
  <r>
    <x v="37"/>
    <n v="10"/>
    <m/>
    <n v="16.169318708997157"/>
    <n v="18.02"/>
    <m/>
    <n v="29.52"/>
    <n v="4315.815528433227"/>
    <x v="151"/>
    <n v="2097399"/>
    <n v="525933.0985761662"/>
    <n v="501343.61"/>
    <n v="151195.33120001521"/>
    <n v="239533.158"/>
    <n v="136"/>
    <n v="73"/>
    <n v="4512"/>
    <n v="1455"/>
    <n v="0"/>
  </r>
  <r>
    <x v="37"/>
    <n v="11"/>
    <m/>
    <n v="16.169318708997157"/>
    <n v="18.02"/>
    <m/>
    <n v="29.38"/>
    <n v="4317.4864682468178"/>
    <x v="151"/>
    <n v="2097399"/>
    <n v="526283.72064188356"/>
    <n v="501343.61"/>
    <n v="151195.33120001521"/>
    <n v="239533.158"/>
    <n v="394"/>
    <n v="7"/>
    <n v="4512"/>
    <n v="1455"/>
    <n v="0"/>
  </r>
  <r>
    <x v="37"/>
    <n v="12"/>
    <m/>
    <n v="16.169318708997157"/>
    <n v="18.02"/>
    <m/>
    <n v="32.81"/>
    <n v="4319.1574080604078"/>
    <x v="151"/>
    <n v="2097399"/>
    <n v="526634.5764556448"/>
    <n v="501343.61"/>
    <n v="151195.33120001521"/>
    <n v="239533.158"/>
    <n v="706"/>
    <n v="0.2"/>
    <n v="4512"/>
    <n v="1455"/>
    <n v="0"/>
  </r>
  <r>
    <x v="38"/>
    <n v="1"/>
    <m/>
    <n v="16.4927050831771"/>
    <n v="18.48"/>
    <m/>
    <n v="32.43"/>
    <n v="4320.8283478739986"/>
    <x v="152"/>
    <n v="2100383"/>
    <n v="526985.66617328185"/>
    <n v="501996.14"/>
    <n v="151511.53822304332"/>
    <n v="241255.864"/>
    <n v="996"/>
    <n v="0"/>
    <n v="4512"/>
    <n v="1455"/>
    <n v="0"/>
  </r>
  <r>
    <x v="38"/>
    <n v="2"/>
    <m/>
    <n v="16.4927050831771"/>
    <n v="18.48"/>
    <m/>
    <n v="29.9"/>
    <n v="4322.4992876875895"/>
    <x v="152"/>
    <n v="2100383"/>
    <n v="527336.9899507307"/>
    <n v="501996.14"/>
    <n v="151511.53822304332"/>
    <n v="241255.864"/>
    <n v="889.8"/>
    <n v="0"/>
    <n v="4512"/>
    <n v="1455"/>
    <n v="0"/>
  </r>
  <r>
    <x v="38"/>
    <n v="3"/>
    <m/>
    <n v="16.4927050831771"/>
    <n v="18.48"/>
    <m/>
    <n v="30.33"/>
    <n v="4324.1702275011803"/>
    <x v="152"/>
    <n v="2100383"/>
    <n v="527688.54794403119"/>
    <n v="501996.14"/>
    <n v="151511.53822304332"/>
    <n v="241255.864"/>
    <n v="729"/>
    <n v="0.45"/>
    <n v="4512"/>
    <n v="1455"/>
    <n v="0"/>
  </r>
  <r>
    <x v="38"/>
    <n v="4"/>
    <m/>
    <n v="16.4927050831771"/>
    <n v="18.48"/>
    <m/>
    <n v="30.29"/>
    <n v="4325.8411673147702"/>
    <x v="153"/>
    <n v="2103498"/>
    <n v="528040.34030932712"/>
    <n v="502677.32"/>
    <n v="152450.37002714959"/>
    <n v="242089.55"/>
    <n v="440"/>
    <n v="11.85"/>
    <n v="4512"/>
    <n v="1455"/>
    <n v="0"/>
  </r>
  <r>
    <x v="38"/>
    <n v="5"/>
    <m/>
    <n v="16.4927050831771"/>
    <n v="18.48"/>
    <m/>
    <n v="30.05"/>
    <n v="4327.5121071283611"/>
    <x v="153"/>
    <n v="2103498"/>
    <n v="528392.36720286659"/>
    <n v="502677.32"/>
    <n v="152450.37002714959"/>
    <n v="242089.55"/>
    <n v="187"/>
    <n v="47"/>
    <n v="4512"/>
    <n v="1455"/>
    <n v="0"/>
  </r>
  <r>
    <x v="38"/>
    <n v="6"/>
    <m/>
    <n v="16.4927050831771"/>
    <n v="18.48"/>
    <m/>
    <n v="30.67"/>
    <n v="4329.1830469419474"/>
    <x v="153"/>
    <n v="2103498"/>
    <n v="528744.62878100178"/>
    <n v="502677.32"/>
    <n v="152450.37002714959"/>
    <n v="242089.55"/>
    <n v="49"/>
    <n v="171"/>
    <n v="4512"/>
    <n v="1455"/>
    <n v="0"/>
  </r>
  <r>
    <x v="38"/>
    <n v="7"/>
    <m/>
    <n v="16.4927050831771"/>
    <n v="18.48"/>
    <m/>
    <n v="30.62"/>
    <n v="4330.8411477861673"/>
    <x v="154"/>
    <n v="2106587"/>
    <n v="529097.12520018907"/>
    <n v="503352.81"/>
    <n v="152910.57265332772"/>
    <n v="242952.587"/>
    <n v="1"/>
    <n v="325"/>
    <n v="4512"/>
    <n v="1455"/>
    <n v="0"/>
  </r>
  <r>
    <x v="38"/>
    <n v="8"/>
    <m/>
    <n v="16.4927050831771"/>
    <n v="18.48"/>
    <m/>
    <n v="29.52"/>
    <n v="4332.4992486303881"/>
    <x v="154"/>
    <n v="2106587"/>
    <n v="529449.85661698913"/>
    <n v="503352.81"/>
    <n v="152910.57265332772"/>
    <n v="242952.587"/>
    <n v="0"/>
    <n v="341"/>
    <n v="4512"/>
    <n v="1455"/>
    <n v="0"/>
  </r>
  <r>
    <x v="38"/>
    <n v="9"/>
    <m/>
    <n v="16.4927050831771"/>
    <n v="18.48"/>
    <m/>
    <n v="30.71"/>
    <n v="4334.1573494746081"/>
    <x v="154"/>
    <n v="2106587"/>
    <n v="529802.82318806706"/>
    <n v="503352.81"/>
    <n v="152910.57265332772"/>
    <n v="242952.587"/>
    <n v="12"/>
    <n v="261"/>
    <n v="4512"/>
    <n v="1455"/>
    <n v="0"/>
  </r>
  <r>
    <x v="38"/>
    <n v="10"/>
    <m/>
    <n v="16.4927050831771"/>
    <n v="18.48"/>
    <m/>
    <n v="29.52"/>
    <n v="4335.815450318828"/>
    <x v="155"/>
    <n v="2109660"/>
    <n v="530156.02507019241"/>
    <n v="504024.8"/>
    <n v="153543.4824154065"/>
    <n v="243706.79399999999"/>
    <n v="136"/>
    <n v="73"/>
    <n v="4512"/>
    <n v="1455"/>
    <n v="0"/>
  </r>
  <r>
    <x v="38"/>
    <n v="11"/>
    <m/>
    <n v="16.4927050831771"/>
    <n v="18.48"/>
    <m/>
    <n v="29.38"/>
    <n v="4337.4735511630488"/>
    <x v="155"/>
    <n v="2109660"/>
    <n v="530509.46242023911"/>
    <n v="504024.8"/>
    <n v="153543.4824154065"/>
    <n v="243706.79399999999"/>
    <n v="394"/>
    <n v="7"/>
    <n v="4512"/>
    <n v="1455"/>
    <n v="0"/>
  </r>
  <r>
    <x v="38"/>
    <n v="12"/>
    <m/>
    <n v="16.4927050831771"/>
    <n v="18.48"/>
    <m/>
    <n v="32.81"/>
    <n v="4339.1316520072687"/>
    <x v="155"/>
    <n v="2109660"/>
    <n v="530863.13539518591"/>
    <n v="504024.8"/>
    <n v="153543.4824154065"/>
    <n v="243706.79399999999"/>
    <n v="706"/>
    <n v="0.2"/>
    <n v="4512"/>
    <n v="1455"/>
    <n v="0"/>
  </r>
  <r>
    <x v="39"/>
    <n v="1"/>
    <m/>
    <n v="16.822559184840642"/>
    <n v="18.940000000000001"/>
    <m/>
    <n v="32.43"/>
    <n v="4340.7897528514886"/>
    <x v="156"/>
    <n v="2112648"/>
    <n v="531217.04415211594"/>
    <n v="504678.2"/>
    <n v="154157.65634506813"/>
    <n v="245424.038"/>
    <n v="996"/>
    <n v="0"/>
    <n v="4512"/>
    <n v="1455"/>
    <n v="0"/>
  </r>
  <r>
    <x v="39"/>
    <n v="2"/>
    <m/>
    <n v="16.822559184840642"/>
    <n v="18.940000000000001"/>
    <m/>
    <n v="29.9"/>
    <n v="4342.4478536957095"/>
    <x v="156"/>
    <n v="2112648"/>
    <n v="531571.18884821725"/>
    <n v="504678.2"/>
    <n v="154157.65634506813"/>
    <n v="245424.038"/>
    <n v="889.8"/>
    <n v="0"/>
    <n v="4512"/>
    <n v="1455"/>
    <n v="0"/>
  </r>
  <r>
    <x v="39"/>
    <n v="3"/>
    <m/>
    <n v="16.822559184840642"/>
    <n v="18.940000000000001"/>
    <m/>
    <n v="30.33"/>
    <n v="4344.1059545399294"/>
    <x v="156"/>
    <n v="2112648"/>
    <n v="531925.56964078266"/>
    <n v="504678.2"/>
    <n v="154157.65634506813"/>
    <n v="245424.038"/>
    <n v="729"/>
    <n v="0.45"/>
    <n v="4512"/>
    <n v="1455"/>
    <n v="0"/>
  </r>
  <r>
    <x v="39"/>
    <n v="4"/>
    <m/>
    <n v="16.822559184840642"/>
    <n v="18.940000000000001"/>
    <m/>
    <n v="30.29"/>
    <n v="4345.7640553841502"/>
    <x v="157"/>
    <n v="2115703"/>
    <n v="532280.18668720976"/>
    <n v="505346.26"/>
    <n v="154774.28697044839"/>
    <n v="246375.226"/>
    <n v="440"/>
    <n v="11.85"/>
    <n v="4512"/>
    <n v="1455"/>
    <n v="0"/>
  </r>
  <r>
    <x v="39"/>
    <n v="5"/>
    <m/>
    <n v="16.822559184840642"/>
    <n v="18.940000000000001"/>
    <m/>
    <n v="30.05"/>
    <n v="4347.4221562283701"/>
    <x v="157"/>
    <n v="2115703"/>
    <n v="532635.04014500114"/>
    <n v="505346.26"/>
    <n v="154774.28697044839"/>
    <n v="246375.226"/>
    <n v="187"/>
    <n v="47"/>
    <n v="4512"/>
    <n v="1455"/>
    <n v="0"/>
  </r>
  <r>
    <x v="39"/>
    <n v="6"/>
    <m/>
    <n v="16.822559184840642"/>
    <n v="18.940000000000001"/>
    <m/>
    <n v="30.67"/>
    <n v="4349.0802570725937"/>
    <x v="157"/>
    <n v="2115703"/>
    <n v="532990.13017176441"/>
    <n v="505346.26"/>
    <n v="154774.28697044839"/>
    <n v="246375.226"/>
    <n v="49"/>
    <n v="171"/>
    <n v="4512"/>
    <n v="1455"/>
    <n v="0"/>
  </r>
  <r>
    <x v="39"/>
    <n v="7"/>
    <m/>
    <n v="16.822559184840642"/>
    <n v="18.940000000000001"/>
    <m/>
    <n v="30.62"/>
    <n v="4350.7459786573927"/>
    <x v="158"/>
    <n v="2118744"/>
    <n v="533345.45692521217"/>
    <n v="506011.26"/>
    <n v="155393.38411833017"/>
    <n v="247249.16699999999"/>
    <n v="1"/>
    <n v="325"/>
    <n v="4512"/>
    <n v="1455"/>
    <n v="0"/>
  </r>
  <r>
    <x v="39"/>
    <n v="8"/>
    <m/>
    <n v="16.822559184840642"/>
    <n v="18.940000000000001"/>
    <m/>
    <n v="29.52"/>
    <n v="4352.4117002421917"/>
    <x v="158"/>
    <n v="2118744"/>
    <n v="533701.02056316228"/>
    <n v="506011.26"/>
    <n v="155393.38411833017"/>
    <n v="247249.16699999999"/>
    <n v="0"/>
    <n v="341"/>
    <n v="4512"/>
    <n v="1455"/>
    <n v="0"/>
  </r>
  <r>
    <x v="39"/>
    <n v="9"/>
    <m/>
    <n v="16.822559184840642"/>
    <n v="18.940000000000001"/>
    <m/>
    <n v="30.71"/>
    <n v="4354.0774218269908"/>
    <x v="158"/>
    <n v="2118744"/>
    <n v="534056.82124353771"/>
    <n v="506011.26"/>
    <n v="155393.38411833017"/>
    <n v="247249.16699999999"/>
    <n v="12"/>
    <n v="261"/>
    <n v="4512"/>
    <n v="1455"/>
    <n v="0"/>
  </r>
  <r>
    <x v="39"/>
    <n v="10"/>
    <m/>
    <n v="16.822559184840642"/>
    <n v="18.940000000000001"/>
    <m/>
    <n v="29.52"/>
    <n v="4355.7431434117889"/>
    <x v="159"/>
    <n v="2121819"/>
    <n v="534412.85912436666"/>
    <n v="506683.69"/>
    <n v="156014.9576548035"/>
    <n v="247944.00599999999"/>
    <n v="136"/>
    <n v="73"/>
    <n v="4512"/>
    <n v="1455"/>
    <n v="0"/>
  </r>
  <r>
    <x v="39"/>
    <n v="11"/>
    <m/>
    <n v="16.822559184840642"/>
    <n v="18.940000000000001"/>
    <m/>
    <n v="29.38"/>
    <n v="4357.4088649965879"/>
    <x v="159"/>
    <n v="2121819"/>
    <n v="534769.13436378282"/>
    <n v="506683.69"/>
    <n v="156014.9576548035"/>
    <n v="247944.00599999999"/>
    <n v="394"/>
    <n v="7"/>
    <n v="4512"/>
    <n v="1455"/>
    <n v="0"/>
  </r>
  <r>
    <x v="39"/>
    <n v="12"/>
    <m/>
    <n v="16.822559184840642"/>
    <n v="18.940000000000001"/>
    <m/>
    <n v="32.81"/>
    <n v="4359.0745865813869"/>
    <x v="159"/>
    <n v="2121819"/>
    <n v="535125.64712002536"/>
    <n v="506683.69"/>
    <n v="156014.9576548035"/>
    <n v="247944.00599999999"/>
    <n v="706"/>
    <n v="0.2"/>
    <n v="4512"/>
    <n v="1455"/>
    <n v="0"/>
  </r>
  <r>
    <x v="40"/>
    <n v="1"/>
    <m/>
    <n v="17.159010368537455"/>
    <n v="19.41"/>
    <m/>
    <n v="32.43"/>
    <n v="4360.7403081661851"/>
    <x v="160"/>
    <n v="2125296"/>
    <n v="535482.39755143865"/>
    <n v="507444.02"/>
    <n v="156639.01748542272"/>
    <n v="249612.27900000001"/>
    <n v="996"/>
    <n v="0"/>
    <n v="4512"/>
    <n v="1455"/>
    <n v="0"/>
  </r>
  <r>
    <x v="40"/>
    <n v="2"/>
    <m/>
    <n v="17.159010368537455"/>
    <n v="19.41"/>
    <m/>
    <n v="29.9"/>
    <n v="4362.4060297509841"/>
    <x v="160"/>
    <n v="2125296"/>
    <n v="535839.38581647293"/>
    <n v="507444.02"/>
    <n v="156639.01748542272"/>
    <n v="249612.27900000001"/>
    <n v="889.8"/>
    <n v="0"/>
    <n v="4512"/>
    <n v="1455"/>
    <n v="0"/>
  </r>
  <r>
    <x v="40"/>
    <n v="3"/>
    <m/>
    <n v="17.159010368537455"/>
    <n v="19.41"/>
    <m/>
    <n v="30.33"/>
    <n v="4364.0717513357831"/>
    <x v="160"/>
    <n v="2125296"/>
    <n v="536196.61207368388"/>
    <n v="507444.02"/>
    <n v="156639.01748542272"/>
    <n v="249612.27900000001"/>
    <n v="729"/>
    <n v="0.45"/>
    <n v="4512"/>
    <n v="1455"/>
    <n v="0"/>
  </r>
  <r>
    <x v="40"/>
    <n v="4"/>
    <m/>
    <n v="17.159010368537455"/>
    <n v="19.41"/>
    <m/>
    <n v="30.29"/>
    <n v="4365.7374729205821"/>
    <x v="161"/>
    <n v="2128549"/>
    <n v="536554.07648173301"/>
    <n v="508155.38"/>
    <n v="157265.57355536442"/>
    <n v="250429.492"/>
    <n v="440"/>
    <n v="11.85"/>
    <n v="4512"/>
    <n v="1455"/>
    <n v="0"/>
  </r>
  <r>
    <x v="40"/>
    <n v="5"/>
    <m/>
    <n v="17.159010368537455"/>
    <n v="19.41"/>
    <m/>
    <n v="30.05"/>
    <n v="4367.4031945053803"/>
    <x v="161"/>
    <n v="2128549"/>
    <n v="536911.77919938741"/>
    <n v="508155.38"/>
    <n v="157265.57355536442"/>
    <n v="250429.492"/>
    <n v="187"/>
    <n v="47"/>
    <n v="4512"/>
    <n v="1455"/>
    <n v="0"/>
  </r>
  <r>
    <x v="40"/>
    <n v="6"/>
    <m/>
    <n v="17.159010368537455"/>
    <n v="19.41"/>
    <m/>
    <n v="30.67"/>
    <n v="4369.0689160901757"/>
    <x v="161"/>
    <n v="2128549"/>
    <n v="537269.72038552025"/>
    <n v="508155.38"/>
    <n v="157265.57355536442"/>
    <n v="250429.492"/>
    <n v="49"/>
    <n v="171"/>
    <n v="4512"/>
    <n v="1455"/>
    <n v="0"/>
  </r>
  <r>
    <x v="40"/>
    <n v="7"/>
    <m/>
    <n v="17.159010368537455"/>
    <n v="19.41"/>
    <m/>
    <n v="30.62"/>
    <n v="4370.7349160901758"/>
    <x v="162"/>
    <n v="2131804"/>
    <n v="537627.9001991105"/>
    <n v="508867.17"/>
    <n v="157894.63584958587"/>
    <n v="251394.72700000001"/>
    <n v="1"/>
    <n v="325"/>
    <n v="4512"/>
    <n v="1455"/>
    <n v="0"/>
  </r>
  <r>
    <x v="40"/>
    <n v="8"/>
    <m/>
    <n v="17.159010368537455"/>
    <n v="19.41"/>
    <m/>
    <n v="29.52"/>
    <n v="4372.4009160901751"/>
    <x v="162"/>
    <n v="2131804"/>
    <n v="537986.31879924319"/>
    <n v="508867.17"/>
    <n v="157894.63584958587"/>
    <n v="251394.72700000001"/>
    <n v="0"/>
    <n v="341"/>
    <n v="4512"/>
    <n v="1455"/>
    <n v="0"/>
  </r>
  <r>
    <x v="40"/>
    <n v="9"/>
    <m/>
    <n v="17.159010368537455"/>
    <n v="19.41"/>
    <m/>
    <n v="30.71"/>
    <n v="4374.0669160901753"/>
    <x v="162"/>
    <n v="2131804"/>
    <n v="538344.97634510929"/>
    <n v="508867.17"/>
    <n v="157894.63584958587"/>
    <n v="251394.72700000001"/>
    <n v="12"/>
    <n v="261"/>
    <n v="4512"/>
    <n v="1455"/>
    <n v="0"/>
  </r>
  <r>
    <x v="40"/>
    <n v="10"/>
    <m/>
    <n v="17.159010368537455"/>
    <n v="19.41"/>
    <m/>
    <n v="29.52"/>
    <n v="4375.7329160901754"/>
    <x v="163"/>
    <n v="2135092"/>
    <n v="538703.87299600604"/>
    <n v="509586.18"/>
    <n v="158526.21439298423"/>
    <n v="252359.43400000001"/>
    <n v="136"/>
    <n v="73"/>
    <n v="4512"/>
    <n v="1455"/>
    <n v="0"/>
  </r>
  <r>
    <x v="40"/>
    <n v="11"/>
    <m/>
    <n v="17.159010368537455"/>
    <n v="19.41"/>
    <m/>
    <n v="29.38"/>
    <n v="4377.3989160901756"/>
    <x v="163"/>
    <n v="2135092"/>
    <n v="539063.00891133666"/>
    <n v="509586.18"/>
    <n v="158526.21439298423"/>
    <n v="252359.43400000001"/>
    <n v="394"/>
    <n v="7"/>
    <n v="4512"/>
    <n v="1455"/>
    <n v="0"/>
  </r>
  <r>
    <x v="40"/>
    <n v="12"/>
    <m/>
    <n v="17.159010368537455"/>
    <n v="19.41"/>
    <m/>
    <n v="32.81"/>
    <n v="4379.0649160901758"/>
    <x v="163"/>
    <n v="2135092"/>
    <n v="539422.38425061083"/>
    <n v="509586.18"/>
    <n v="158526.21439298423"/>
    <n v="252359.43400000001"/>
    <n v="706"/>
    <n v="0.2"/>
    <n v="4512"/>
    <n v="1456"/>
    <n v="0"/>
  </r>
  <r>
    <x v="41"/>
    <n v="1"/>
    <m/>
    <n v="17.502190575908205"/>
    <m/>
    <m/>
    <n v="32.43"/>
    <m/>
    <x v="164"/>
    <n v="2137732.6425000001"/>
    <m/>
    <n v="510163.7"/>
    <n v="159771.79783513118"/>
    <n v="253356.46318499997"/>
    <n v="996"/>
    <n v="0"/>
    <n v="4124"/>
    <n v="1696"/>
    <n v="0"/>
  </r>
  <r>
    <x v="41"/>
    <n v="2"/>
    <m/>
    <n v="17.502190575908205"/>
    <m/>
    <m/>
    <n v="29.9"/>
    <m/>
    <x v="164"/>
    <n v="2137732.6425000001"/>
    <m/>
    <n v="510163.7"/>
    <n v="159771.79783513118"/>
    <n v="253356.46318499997"/>
    <n v="889.8"/>
    <n v="0"/>
    <n v="4124"/>
    <n v="1696"/>
    <n v="0"/>
  </r>
  <r>
    <x v="41"/>
    <n v="3"/>
    <m/>
    <n v="17.502190575908205"/>
    <m/>
    <m/>
    <n v="30.33"/>
    <m/>
    <x v="164"/>
    <n v="2137732.6425000001"/>
    <m/>
    <n v="510163.7"/>
    <n v="159771.79783513118"/>
    <n v="253356.46318499997"/>
    <n v="729"/>
    <n v="0.45"/>
    <n v="4124"/>
    <n v="1696"/>
    <n v="0"/>
  </r>
  <r>
    <x v="41"/>
    <n v="4"/>
    <m/>
    <n v="17.502190575908205"/>
    <m/>
    <m/>
    <n v="30.29"/>
    <m/>
    <x v="165"/>
    <n v="2141235.7200000002"/>
    <m/>
    <n v="510929.73"/>
    <n v="160410.88502647172"/>
    <n v="254185.93437999996"/>
    <n v="440"/>
    <n v="11.85"/>
    <n v="4124"/>
    <n v="1696"/>
    <n v="0"/>
  </r>
  <r>
    <x v="41"/>
    <n v="5"/>
    <m/>
    <n v="17.502190575908205"/>
    <m/>
    <m/>
    <n v="30.05"/>
    <m/>
    <x v="165"/>
    <n v="2141235.7200000002"/>
    <m/>
    <n v="510929.73"/>
    <n v="160410.88502647172"/>
    <n v="254185.93437999996"/>
    <n v="187"/>
    <n v="47"/>
    <n v="4124"/>
    <n v="1696"/>
    <n v="0"/>
  </r>
  <r>
    <x v="41"/>
    <n v="6"/>
    <m/>
    <n v="17.502190575908205"/>
    <m/>
    <m/>
    <n v="30.67"/>
    <m/>
    <x v="165"/>
    <n v="2141235.7200000002"/>
    <m/>
    <n v="510929.73"/>
    <n v="160410.88502647172"/>
    <n v="254185.93437999996"/>
    <n v="49"/>
    <n v="171"/>
    <n v="4124"/>
    <n v="1696"/>
    <n v="0"/>
  </r>
  <r>
    <x v="41"/>
    <n v="7"/>
    <m/>
    <n v="17.502190575908205"/>
    <m/>
    <m/>
    <n v="30.62"/>
    <m/>
    <x v="166"/>
    <n v="2144513.1175000002"/>
    <m/>
    <n v="511646.33"/>
    <n v="161052.52856657759"/>
    <n v="255165.64790499999"/>
    <n v="1"/>
    <n v="325"/>
    <n v="4124"/>
    <n v="1696"/>
    <n v="0"/>
  </r>
  <r>
    <x v="41"/>
    <n v="8"/>
    <m/>
    <n v="17.502190575908205"/>
    <m/>
    <m/>
    <n v="29.52"/>
    <m/>
    <x v="166"/>
    <n v="2144513.1175000002"/>
    <m/>
    <n v="511646.33"/>
    <n v="161052.52856657759"/>
    <n v="255165.64790499999"/>
    <n v="0"/>
    <n v="341"/>
    <n v="4124"/>
    <n v="1696"/>
    <n v="0"/>
  </r>
  <r>
    <x v="41"/>
    <n v="9"/>
    <m/>
    <n v="17.502190575908205"/>
    <m/>
    <m/>
    <n v="30.71"/>
    <m/>
    <x v="166"/>
    <n v="2144513.1175000002"/>
    <m/>
    <n v="511646.33"/>
    <n v="161052.52856657759"/>
    <n v="255165.64790499999"/>
    <n v="12"/>
    <n v="261"/>
    <n v="4124"/>
    <n v="1696"/>
    <n v="0"/>
  </r>
  <r>
    <x v="41"/>
    <n v="10"/>
    <m/>
    <n v="17.502190575908205"/>
    <m/>
    <m/>
    <n v="29.52"/>
    <m/>
    <x v="167"/>
    <n v="2147792.5300000003"/>
    <m/>
    <n v="512363.59"/>
    <n v="161696.7386808439"/>
    <n v="256144.82551"/>
    <n v="136"/>
    <n v="73"/>
    <n v="4124"/>
    <n v="1696"/>
    <n v="0"/>
  </r>
  <r>
    <x v="41"/>
    <n v="11"/>
    <m/>
    <n v="17.502190575908205"/>
    <m/>
    <m/>
    <n v="29.38"/>
    <m/>
    <x v="167"/>
    <n v="2147792.5300000003"/>
    <m/>
    <n v="512363.59"/>
    <n v="161696.7386808439"/>
    <n v="256144.82551"/>
    <n v="394"/>
    <n v="7"/>
    <n v="4124"/>
    <n v="1696"/>
    <n v="0"/>
  </r>
  <r>
    <x v="41"/>
    <n v="12"/>
    <m/>
    <n v="17.502190575908205"/>
    <m/>
    <m/>
    <n v="32.81"/>
    <m/>
    <x v="167"/>
    <n v="2147792.5300000003"/>
    <m/>
    <n v="512363.59"/>
    <n v="161696.7386808439"/>
    <n v="256144.82551"/>
    <n v="706"/>
    <n v="0.2"/>
    <n v="4124"/>
    <n v="1696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4">
  <r>
    <x v="0"/>
    <n v="1"/>
    <n v="364664.49900000001"/>
    <n v="364664.49900000001"/>
    <n v="5.6"/>
    <n v="5.6"/>
  </r>
  <r>
    <x v="0"/>
    <n v="2"/>
    <n v="281238.44300000003"/>
    <n v="281238.44300000003"/>
    <n v="5.6"/>
    <n v="5.6"/>
  </r>
  <r>
    <x v="0"/>
    <n v="3"/>
    <n v="259489.12100000001"/>
    <n v="259489.12100000001"/>
    <n v="5.6"/>
    <n v="5.6"/>
  </r>
  <r>
    <x v="0"/>
    <n v="4"/>
    <n v="245529.92300000001"/>
    <n v="245529.92300000004"/>
    <n v="5.6"/>
    <n v="5.6"/>
  </r>
  <r>
    <x v="0"/>
    <n v="5"/>
    <n v="267979.59899999999"/>
    <n v="267979.59899999999"/>
    <n v="5.6"/>
    <n v="5.6"/>
  </r>
  <r>
    <x v="0"/>
    <n v="6"/>
    <n v="316797.81800000003"/>
    <n v="316797.81800000003"/>
    <n v="5.6"/>
    <n v="5.6"/>
  </r>
  <r>
    <x v="0"/>
    <n v="7"/>
    <n v="432588.71"/>
    <n v="432588.71"/>
    <n v="5.6"/>
    <n v="5.6"/>
  </r>
  <r>
    <x v="0"/>
    <n v="8"/>
    <n v="482261.65899999999"/>
    <n v="482261.65899999999"/>
    <n v="5.6"/>
    <n v="5.6"/>
  </r>
  <r>
    <x v="0"/>
    <n v="9"/>
    <n v="412942.93400000001"/>
    <n v="412942.93400000001"/>
    <n v="5.6"/>
    <n v="5.6"/>
  </r>
  <r>
    <x v="0"/>
    <n v="10"/>
    <n v="241862.98800000001"/>
    <n v="241862.98800000004"/>
    <n v="5.6"/>
    <n v="5.6"/>
  </r>
  <r>
    <x v="0"/>
    <n v="11"/>
    <n v="222305.33499999999"/>
    <n v="222305.33499999999"/>
    <n v="5.6"/>
    <n v="5.6"/>
  </r>
  <r>
    <x v="0"/>
    <n v="12"/>
    <n v="258446.606"/>
    <n v="258446.606"/>
    <n v="5.6"/>
    <n v="5.6"/>
  </r>
  <r>
    <x v="1"/>
    <n v="1"/>
    <n v="330148.39799999999"/>
    <n v="330148.39799999999"/>
    <n v="5.8"/>
    <n v="5.8"/>
  </r>
  <r>
    <x v="1"/>
    <n v="2"/>
    <n v="268736.10800000001"/>
    <n v="268736.10800000001"/>
    <n v="5.8"/>
    <n v="5.8"/>
  </r>
  <r>
    <x v="1"/>
    <n v="3"/>
    <n v="270097.016"/>
    <n v="270097.016"/>
    <n v="5.8"/>
    <n v="5.8"/>
  </r>
  <r>
    <x v="1"/>
    <n v="4"/>
    <n v="247888.92600000001"/>
    <n v="247888.92599999998"/>
    <n v="5.8"/>
    <n v="5.8"/>
  </r>
  <r>
    <x v="1"/>
    <n v="5"/>
    <n v="237850.68599999999"/>
    <n v="237850.68600000002"/>
    <n v="5.8"/>
    <n v="5.8"/>
  </r>
  <r>
    <x v="1"/>
    <n v="6"/>
    <n v="365881.46299999999"/>
    <n v="365881.46299999999"/>
    <n v="5.8"/>
    <n v="5.8"/>
  </r>
  <r>
    <x v="1"/>
    <n v="7"/>
    <n v="503611.24300000002"/>
    <n v="503611.24300000002"/>
    <n v="5.8"/>
    <n v="5.8"/>
  </r>
  <r>
    <x v="1"/>
    <n v="8"/>
    <n v="510080.17800000001"/>
    <n v="510080.17800000001"/>
    <n v="5.8"/>
    <n v="5.8"/>
  </r>
  <r>
    <x v="1"/>
    <n v="9"/>
    <n v="467652.859"/>
    <n v="467652.859"/>
    <n v="5.8"/>
    <n v="5.8"/>
  </r>
  <r>
    <x v="1"/>
    <n v="10"/>
    <n v="289474.06099999999"/>
    <n v="289474.06099999999"/>
    <n v="5.8"/>
    <n v="5.8"/>
  </r>
  <r>
    <x v="1"/>
    <n v="11"/>
    <n v="234089.435"/>
    <n v="234089.435"/>
    <n v="5.8"/>
    <n v="5.8"/>
  </r>
  <r>
    <x v="1"/>
    <n v="12"/>
    <n v="314236.15999999997"/>
    <n v="314236.15999999997"/>
    <n v="5.8"/>
    <n v="5.8"/>
  </r>
  <r>
    <x v="2"/>
    <n v="1"/>
    <n v="342550.47899999999"/>
    <n v="342550.47899999999"/>
    <n v="5.9"/>
    <n v="5.9"/>
  </r>
  <r>
    <x v="2"/>
    <n v="2"/>
    <n v="333820.06800000003"/>
    <n v="333820.06800000003"/>
    <n v="5.9"/>
    <n v="5.9"/>
  </r>
  <r>
    <x v="2"/>
    <n v="3"/>
    <n v="285438.69199999998"/>
    <n v="285438.69199999998"/>
    <n v="5.9"/>
    <n v="5.9"/>
  </r>
  <r>
    <x v="2"/>
    <n v="4"/>
    <n v="229678.17"/>
    <n v="229678.17"/>
    <n v="5.9"/>
    <n v="5.9"/>
  </r>
  <r>
    <x v="2"/>
    <n v="5"/>
    <n v="251815.98199999999"/>
    <n v="251815.98199999999"/>
    <n v="5.9"/>
    <n v="5.9"/>
  </r>
  <r>
    <x v="2"/>
    <n v="6"/>
    <n v="284019.36300000001"/>
    <n v="284019.36300000001"/>
    <n v="5.9"/>
    <n v="5.9"/>
  </r>
  <r>
    <x v="2"/>
    <n v="7"/>
    <n v="447363.56900000002"/>
    <n v="447363.56900000002"/>
    <n v="5.9"/>
    <n v="5.9"/>
  </r>
  <r>
    <x v="2"/>
    <n v="8"/>
    <n v="440168.22200000001"/>
    <n v="440168.22200000001"/>
    <n v="5.9"/>
    <n v="5.9"/>
  </r>
  <r>
    <x v="2"/>
    <n v="9"/>
    <n v="418421.82400000002"/>
    <n v="418421.82400000002"/>
    <n v="5.9"/>
    <n v="5.9"/>
  </r>
  <r>
    <x v="2"/>
    <n v="10"/>
    <n v="244103.011"/>
    <n v="244103.011"/>
    <n v="5.9"/>
    <n v="5.9"/>
  </r>
  <r>
    <x v="2"/>
    <n v="11"/>
    <n v="233641.92300000001"/>
    <n v="233641.92300000004"/>
    <n v="5.9"/>
    <n v="5.9"/>
  </r>
  <r>
    <x v="2"/>
    <n v="12"/>
    <n v="304782.16700000002"/>
    <n v="304782.16499999998"/>
    <n v="5.9"/>
    <n v="5.9"/>
  </r>
  <r>
    <x v="3"/>
    <n v="1"/>
    <n v="348337.652"/>
    <n v="348337.652"/>
    <n v="6"/>
    <n v="6"/>
  </r>
  <r>
    <x v="3"/>
    <n v="2"/>
    <n v="334621.136"/>
    <n v="334621.136"/>
    <n v="6"/>
    <n v="6"/>
  </r>
  <r>
    <x v="3"/>
    <n v="3"/>
    <n v="268364.75099999999"/>
    <n v="268364.75099999999"/>
    <n v="6"/>
    <n v="6"/>
  </r>
  <r>
    <x v="3"/>
    <n v="4"/>
    <n v="242512.565"/>
    <n v="242512.56500000003"/>
    <n v="6"/>
    <n v="6"/>
  </r>
  <r>
    <x v="3"/>
    <n v="5"/>
    <n v="281369.45199999999"/>
    <n v="281369.45199999999"/>
    <n v="6"/>
    <n v="6"/>
  </r>
  <r>
    <x v="3"/>
    <n v="6"/>
    <n v="403194.533"/>
    <n v="403194.533"/>
    <n v="6"/>
    <n v="6"/>
  </r>
  <r>
    <x v="3"/>
    <n v="7"/>
    <n v="440997.08600000001"/>
    <n v="440997.08600000001"/>
    <n v="6"/>
    <n v="6"/>
  </r>
  <r>
    <x v="3"/>
    <n v="8"/>
    <n v="398944.49699999997"/>
    <n v="398944.49699999997"/>
    <n v="6"/>
    <n v="6"/>
  </r>
  <r>
    <x v="3"/>
    <n v="9"/>
    <n v="397391.65299999999"/>
    <n v="397391.65300000005"/>
    <n v="6"/>
    <n v="6"/>
  </r>
  <r>
    <x v="3"/>
    <n v="10"/>
    <n v="270269.25"/>
    <n v="270269.25"/>
    <n v="6"/>
    <n v="6"/>
  </r>
  <r>
    <x v="3"/>
    <n v="11"/>
    <n v="235611.85399999999"/>
    <n v="235611.85399999999"/>
    <n v="6"/>
    <n v="6"/>
  </r>
  <r>
    <x v="3"/>
    <n v="12"/>
    <n v="295532.299"/>
    <n v="295532.299"/>
    <n v="6"/>
    <n v="6"/>
  </r>
  <r>
    <x v="4"/>
    <n v="1"/>
    <n v="355374.79599999997"/>
    <n v="355374.79599999997"/>
    <n v="6.4065135612233277"/>
    <n v="6.4065135612233277"/>
  </r>
  <r>
    <x v="4"/>
    <n v="2"/>
    <n v="304253.43800000002"/>
    <n v="304253.43800000002"/>
    <n v="6.4065135612233277"/>
    <n v="6.4065135612233277"/>
  </r>
  <r>
    <x v="4"/>
    <n v="3"/>
    <n v="285168.32900000003"/>
    <n v="285168.32900000003"/>
    <n v="6.4065135612233277"/>
    <n v="6.4065135612233277"/>
  </r>
  <r>
    <x v="4"/>
    <n v="4"/>
    <n v="247850.07199999999"/>
    <n v="247850.07199999999"/>
    <n v="6.4065135612233277"/>
    <n v="6.4065135612233277"/>
  </r>
  <r>
    <x v="4"/>
    <n v="5"/>
    <n v="241191.90100000001"/>
    <n v="241191.90100000001"/>
    <n v="6.4065135612233277"/>
    <n v="6.4065135612233277"/>
  </r>
  <r>
    <x v="4"/>
    <n v="6"/>
    <n v="355723.86"/>
    <n v="355723.86"/>
    <n v="6.4065135612233277"/>
    <n v="6.4065135612233277"/>
  </r>
  <r>
    <x v="4"/>
    <n v="7"/>
    <n v="500098.848"/>
    <n v="500098.848"/>
    <n v="6.4065135612233277"/>
    <n v="6.4065135612233277"/>
  </r>
  <r>
    <x v="4"/>
    <n v="8"/>
    <n v="533566.43099999998"/>
    <n v="533566.43099999998"/>
    <n v="6.4065135612233277"/>
    <n v="6.4065135612233277"/>
  </r>
  <r>
    <x v="4"/>
    <n v="9"/>
    <n v="474347.99900000001"/>
    <n v="474347.99900000001"/>
    <n v="6.4065135612233277"/>
    <n v="6.4065135612233277"/>
  </r>
  <r>
    <x v="4"/>
    <n v="10"/>
    <n v="337373.41100000002"/>
    <n v="337373.41100000002"/>
    <n v="6.4065135612233277"/>
    <n v="6.4065135612233277"/>
  </r>
  <r>
    <x v="4"/>
    <n v="11"/>
    <n v="243130.55499999999"/>
    <n v="243130.55499999999"/>
    <n v="6.4065135612233277"/>
    <n v="6.4065135612233277"/>
  </r>
  <r>
    <x v="4"/>
    <n v="12"/>
    <n v="343550.51799999998"/>
    <n v="343550.51799999998"/>
    <n v="6.4065135612233277"/>
    <n v="6.4065135612233277"/>
  </r>
  <r>
    <x v="5"/>
    <n v="1"/>
    <n v="360831.30099999998"/>
    <n v="360831.30099999998"/>
    <n v="6.6378619567564607"/>
    <n v="6.6378619567564607"/>
  </r>
  <r>
    <x v="5"/>
    <n v="2"/>
    <n v="305128.41800000001"/>
    <n v="305128.41800000001"/>
    <n v="6.6378619567564607"/>
    <n v="6.6378619567564607"/>
  </r>
  <r>
    <x v="5"/>
    <n v="3"/>
    <n v="287521.62"/>
    <n v="287521.62"/>
    <n v="6.6378619567564607"/>
    <n v="6.6378619567564607"/>
  </r>
  <r>
    <x v="5"/>
    <n v="4"/>
    <n v="261930.731"/>
    <n v="261930.731"/>
    <n v="6.6378619567564607"/>
    <n v="6.6378619567564607"/>
  </r>
  <r>
    <x v="5"/>
    <n v="5"/>
    <n v="251222.03"/>
    <n v="251222.03"/>
    <n v="6.6378619567564607"/>
    <n v="6.6378619567564607"/>
  </r>
  <r>
    <x v="5"/>
    <n v="6"/>
    <n v="350937.63"/>
    <n v="350937.63"/>
    <n v="6.6378619567564607"/>
    <n v="6.6378619567564607"/>
  </r>
  <r>
    <x v="5"/>
    <n v="7"/>
    <n v="463453.03700000001"/>
    <n v="463453.03700000001"/>
    <n v="6.6378619567564607"/>
    <n v="6.6378619567564607"/>
  </r>
  <r>
    <x v="5"/>
    <n v="8"/>
    <n v="517544.28100000002"/>
    <n v="517544.28100000002"/>
    <n v="6.6378619567564607"/>
    <n v="6.6378619567564607"/>
  </r>
  <r>
    <x v="5"/>
    <n v="9"/>
    <n v="402950.61300000001"/>
    <n v="402950.61300000001"/>
    <n v="6.6378619567564607"/>
    <n v="6.6378619567564607"/>
  </r>
  <r>
    <x v="5"/>
    <n v="10"/>
    <n v="262830.321"/>
    <n v="262830.321"/>
    <n v="6.6378619567564607"/>
    <n v="6.6378619567564607"/>
  </r>
  <r>
    <x v="5"/>
    <n v="11"/>
    <n v="266028.12599999999"/>
    <n v="266028.12599999999"/>
    <n v="6.6378619567564607"/>
    <n v="6.6378619567564607"/>
  </r>
  <r>
    <x v="5"/>
    <n v="12"/>
    <n v="316766.89"/>
    <n v="316766.89"/>
    <n v="6.6378619567564607"/>
    <n v="6.6378619567564607"/>
  </r>
  <r>
    <x v="6"/>
    <n v="1"/>
    <n v="347827.55800000002"/>
    <n v="347827.55800000002"/>
    <n v="6.8778619567564609"/>
    <n v="6.8778619567564609"/>
  </r>
  <r>
    <x v="6"/>
    <n v="2"/>
    <n v="366931.35100000002"/>
    <n v="366931.35100000002"/>
    <n v="6.8778619567564609"/>
    <n v="6.8778619567564609"/>
  </r>
  <r>
    <x v="6"/>
    <n v="3"/>
    <n v="310012.95"/>
    <n v="310012.95"/>
    <n v="6.8778619567564609"/>
    <n v="6.8778619567564609"/>
  </r>
  <r>
    <x v="6"/>
    <n v="4"/>
    <n v="270936.31900000002"/>
    <n v="270936.31900000002"/>
    <n v="6.8778619567564609"/>
    <n v="6.8778619567564609"/>
  </r>
  <r>
    <x v="6"/>
    <n v="5"/>
    <n v="289411.48700000002"/>
    <n v="289411.48700000002"/>
    <n v="6.8778619567564609"/>
    <n v="6.8778619567564609"/>
  </r>
  <r>
    <x v="6"/>
    <n v="6"/>
    <n v="409539.29599999997"/>
    <n v="409539.29599999997"/>
    <n v="6.8778619567564609"/>
    <n v="6.8778619567564609"/>
  </r>
  <r>
    <x v="6"/>
    <n v="7"/>
    <n v="477374.40299999999"/>
    <n v="477374.40299999999"/>
    <n v="6.8778619567564609"/>
    <n v="6.8778619567564609"/>
  </r>
  <r>
    <x v="6"/>
    <n v="8"/>
    <n v="536804.66"/>
    <n v="536804.66"/>
    <n v="6.8778619567564609"/>
    <n v="6.8778619567564609"/>
  </r>
  <r>
    <x v="6"/>
    <n v="9"/>
    <n v="531203.08100000001"/>
    <n v="531203.08100000001"/>
    <n v="6.8778619567564609"/>
    <n v="6.8778619567564609"/>
  </r>
  <r>
    <x v="6"/>
    <n v="10"/>
    <n v="356757.32299999997"/>
    <n v="356757.32299999997"/>
    <n v="6.8778619567564609"/>
    <n v="6.8778619567564609"/>
  </r>
  <r>
    <x v="6"/>
    <n v="11"/>
    <n v="267318.96799999999"/>
    <n v="267318.96799999999"/>
    <n v="6.8778619567564609"/>
    <n v="6.8778619567564609"/>
  </r>
  <r>
    <x v="6"/>
    <n v="12"/>
    <n v="319514.77500000002"/>
    <n v="319514.77500000002"/>
    <n v="6.8778619567564609"/>
    <n v="6.8778619567564609"/>
  </r>
  <r>
    <x v="7"/>
    <n v="1"/>
    <n v="387901.87599999999"/>
    <n v="387901.87599999999"/>
    <n v="7.1562642176594835"/>
    <n v="7.1562642176594835"/>
  </r>
  <r>
    <x v="7"/>
    <n v="2"/>
    <n v="348271.755"/>
    <n v="348271.755"/>
    <n v="7.1562642176594835"/>
    <n v="7.1562642176594835"/>
  </r>
  <r>
    <x v="7"/>
    <n v="3"/>
    <n v="329363.83299999998"/>
    <n v="329363.83299999998"/>
    <n v="7.1562642176594835"/>
    <n v="7.1562642176594835"/>
  </r>
  <r>
    <x v="7"/>
    <n v="4"/>
    <n v="270588.95"/>
    <n v="270588.95"/>
    <n v="7.1562642176594835"/>
    <n v="7.1562642176594835"/>
  </r>
  <r>
    <x v="7"/>
    <n v="5"/>
    <n v="240504.75"/>
    <n v="240504.75"/>
    <n v="7.1562642176594835"/>
    <n v="7.1562642176594835"/>
  </r>
  <r>
    <x v="7"/>
    <n v="6"/>
    <n v="364421.59700000001"/>
    <n v="364421.59700000001"/>
    <n v="7.1562642176594835"/>
    <n v="7.1562642176594835"/>
  </r>
  <r>
    <x v="7"/>
    <n v="7"/>
    <n v="469022.46399999998"/>
    <n v="469022.46399999998"/>
    <n v="7.1562642176594835"/>
    <n v="7.1562642176594835"/>
  </r>
  <r>
    <x v="7"/>
    <n v="8"/>
    <n v="484155.68400000001"/>
    <n v="484155.68400000001"/>
    <n v="7.1562642176594835"/>
    <n v="7.1562642176594835"/>
  </r>
  <r>
    <x v="7"/>
    <n v="9"/>
    <n v="438249.3"/>
    <n v="438249.3"/>
    <n v="7.1562642176594835"/>
    <n v="7.1562642176594835"/>
  </r>
  <r>
    <x v="7"/>
    <n v="10"/>
    <n v="284204.09299999999"/>
    <n v="284204.09299999999"/>
    <n v="7.1562642176594835"/>
    <n v="7.1562642176594835"/>
  </r>
  <r>
    <x v="7"/>
    <n v="11"/>
    <n v="252099.84"/>
    <n v="252099.84"/>
    <n v="7.1562642176594835"/>
    <n v="7.1562642176594835"/>
  </r>
  <r>
    <x v="7"/>
    <n v="12"/>
    <n v="354251.38400000002"/>
    <n v="354251.38400000002"/>
    <n v="7.1562642176594835"/>
    <n v="7.1562642176594835"/>
  </r>
  <r>
    <x v="8"/>
    <n v="1"/>
    <n v="407659.64399999997"/>
    <n v="408630.43300000002"/>
    <n v="7.2900558232403201"/>
    <n v="7.2900558232403201"/>
  </r>
  <r>
    <x v="8"/>
    <n v="2"/>
    <n v="334943.03499999997"/>
    <n v="324320.783"/>
    <n v="7.2900558232403201"/>
    <n v="7.2900558232403201"/>
  </r>
  <r>
    <x v="8"/>
    <n v="3"/>
    <n v="280349.70400000003"/>
    <n v="263642.40600000002"/>
    <n v="7.2900558232403201"/>
    <n v="7.2900558232403201"/>
  </r>
  <r>
    <x v="8"/>
    <n v="4"/>
    <n v="285348.94199999998"/>
    <n v="284909.56"/>
    <n v="7.2900558232403201"/>
    <n v="7.2900558232403201"/>
  </r>
  <r>
    <x v="8"/>
    <n v="5"/>
    <n v="249017.291"/>
    <n v="249013.685"/>
    <n v="7.2900558232403201"/>
    <n v="7.2900558232403201"/>
  </r>
  <r>
    <x v="8"/>
    <n v="6"/>
    <n v="375947.46600000001"/>
    <n v="377230.89899999998"/>
    <n v="7.2900558232403201"/>
    <n v="7.2900558232403201"/>
  </r>
  <r>
    <x v="8"/>
    <n v="7"/>
    <n v="446957.49900000001"/>
    <n v="449371.47399999999"/>
    <n v="7.2900558232403201"/>
    <n v="7.2900558232403201"/>
  </r>
  <r>
    <x v="8"/>
    <n v="8"/>
    <n v="422340.94"/>
    <n v="421582.84600000002"/>
    <n v="7.2900558232403201"/>
    <n v="7.2900558232403201"/>
  </r>
  <r>
    <x v="8"/>
    <n v="9"/>
    <n v="404872.63699999999"/>
    <n v="406277.32299999997"/>
    <n v="7.2900558232403201"/>
    <n v="7.2900558232403201"/>
  </r>
  <r>
    <x v="8"/>
    <n v="10"/>
    <n v="289873.995"/>
    <n v="288850.63299999997"/>
    <n v="7.2900558232403201"/>
    <n v="7.2900558232403201"/>
  </r>
  <r>
    <x v="8"/>
    <n v="11"/>
    <n v="240806.924"/>
    <n v="241548.88399999999"/>
    <n v="7.2900558232403201"/>
    <n v="7.2900558232403201"/>
  </r>
  <r>
    <x v="8"/>
    <n v="12"/>
    <n v="331549.38299999997"/>
    <n v="329526.201"/>
    <n v="7.2900558232403201"/>
    <n v="7.2900558232403201"/>
  </r>
  <r>
    <x v="9"/>
    <n v="1"/>
    <n v="420971.16399999999"/>
    <n v="419801.30099999998"/>
    <n v="7.4759202235333753"/>
    <n v="7.4759202235333753"/>
  </r>
  <r>
    <x v="9"/>
    <n v="2"/>
    <n v="366796.89899999998"/>
    <n v="364319.66800000001"/>
    <n v="7.4759202235333753"/>
    <n v="7.4759202235333753"/>
  </r>
  <r>
    <x v="9"/>
    <n v="3"/>
    <n v="332923.853"/>
    <n v="330562.52299999999"/>
    <n v="7.4759202235333753"/>
    <n v="7.4759202235333753"/>
  </r>
  <r>
    <x v="9"/>
    <n v="4"/>
    <n v="262231.72700000001"/>
    <n v="262041.02100000001"/>
    <n v="7.4759202235333753"/>
    <n v="7.4759202235333753"/>
  </r>
  <r>
    <x v="9"/>
    <n v="5"/>
    <n v="262830.66700000002"/>
    <n v="262875"/>
    <n v="7.4759202235333753"/>
    <n v="7.4759202235333753"/>
  </r>
  <r>
    <x v="9"/>
    <n v="6"/>
    <n v="451270.76400000002"/>
    <n v="450479.73200000002"/>
    <n v="7.4759202235333753"/>
    <n v="7.4759202235333753"/>
  </r>
  <r>
    <x v="9"/>
    <n v="7"/>
    <n v="561920.38600000006"/>
    <n v="555879.40700000001"/>
    <n v="7.4759202235333753"/>
    <n v="7.4759202235333753"/>
  </r>
  <r>
    <x v="9"/>
    <n v="8"/>
    <n v="551398.52399999998"/>
    <n v="557573.56000000006"/>
    <n v="7.4759202235333753"/>
    <n v="7.4759202235333753"/>
  </r>
  <r>
    <x v="9"/>
    <n v="9"/>
    <n v="465037.21299999999"/>
    <n v="463382.06300000002"/>
    <n v="7.4759202235333753"/>
    <n v="7.4759202235333753"/>
  </r>
  <r>
    <x v="9"/>
    <n v="10"/>
    <n v="305445.60800000001"/>
    <n v="304722.46000000002"/>
    <n v="7.4759202235333753"/>
    <n v="7.4759202235333753"/>
  </r>
  <r>
    <x v="9"/>
    <n v="11"/>
    <n v="235484.24100000001"/>
    <n v="235038.38699999999"/>
    <n v="7.4759202235333753"/>
    <n v="7.4759202235333753"/>
  </r>
  <r>
    <x v="9"/>
    <n v="12"/>
    <n v="353062.64"/>
    <n v="353179.54499999998"/>
    <n v="7.4759202235333753"/>
    <n v="7.4759202235333753"/>
  </r>
  <r>
    <x v="10"/>
    <n v="1"/>
    <n v="426938.24400000001"/>
    <n v="421289.63400000002"/>
    <n v="8.2894638037513477"/>
    <n v="8.2894638037513477"/>
  </r>
  <r>
    <x v="10"/>
    <n v="2"/>
    <n v="335567.16"/>
    <n v="338944.424"/>
    <n v="8.2894638037513477"/>
    <n v="8.2894638037513477"/>
  </r>
  <r>
    <x v="10"/>
    <n v="3"/>
    <n v="299546.73100000003"/>
    <n v="298357.21100000001"/>
    <n v="8.2894638037513477"/>
    <n v="8.2894638037513477"/>
  </r>
  <r>
    <x v="10"/>
    <n v="4"/>
    <m/>
    <n v="264708.40299999999"/>
    <n v="8.2894638037513477"/>
    <n v="8.2894638037513477"/>
  </r>
  <r>
    <x v="10"/>
    <n v="5"/>
    <m/>
    <n v="267524.995"/>
    <n v="8.2894638037513477"/>
    <n v="8.2894638037513477"/>
  </r>
  <r>
    <x v="10"/>
    <n v="6"/>
    <m/>
    <n v="417163.28600000002"/>
    <n v="8.2894638037513477"/>
    <n v="8.2894638037513477"/>
  </r>
  <r>
    <x v="10"/>
    <n v="7"/>
    <m/>
    <n v="496962.67800000001"/>
    <n v="8.2894638037513477"/>
    <n v="8.2894638037513477"/>
  </r>
  <r>
    <x v="10"/>
    <n v="8"/>
    <m/>
    <n v="580187.17200000002"/>
    <n v="8.2894638037513477"/>
    <n v="8.2894638037513477"/>
  </r>
  <r>
    <x v="10"/>
    <n v="9"/>
    <m/>
    <n v="439627.45500000002"/>
    <n v="8.2894638037513477"/>
    <n v="8.2894638037513477"/>
  </r>
  <r>
    <x v="10"/>
    <n v="10"/>
    <m/>
    <n v="252154.73199999999"/>
    <n v="8.2894638037513477"/>
    <n v="8.2894638037513477"/>
  </r>
  <r>
    <x v="10"/>
    <n v="11"/>
    <m/>
    <n v="237420.47500000001"/>
    <n v="8.2894638037513477"/>
    <n v="8.2894638037513477"/>
  </r>
  <r>
    <x v="10"/>
    <n v="12"/>
    <m/>
    <n v="297090.28700000001"/>
    <n v="8.2894638037513477"/>
    <n v="8.2894638037513477"/>
  </r>
  <r>
    <x v="11"/>
    <n v="1"/>
    <m/>
    <n v="362134.77399999998"/>
    <n v="8.8999885401544248"/>
    <n v="8.5772101877244911"/>
  </r>
  <r>
    <x v="11"/>
    <n v="2"/>
    <m/>
    <n v="324138.16800000001"/>
    <n v="8.8999885401544248"/>
    <n v="8.5772101877244911"/>
  </r>
  <r>
    <x v="11"/>
    <n v="3"/>
    <m/>
    <n v="278034.29399999999"/>
    <n v="8.8999885401544248"/>
    <n v="8.5772101877244911"/>
  </r>
  <r>
    <x v="11"/>
    <n v="4"/>
    <m/>
    <n v="249620"/>
    <n v="8.8999885401544248"/>
    <n v="8.5772101877244911"/>
  </r>
  <r>
    <x v="11"/>
    <n v="5"/>
    <m/>
    <m/>
    <n v="8.8999885401544248"/>
    <n v="8.5772101877244911"/>
  </r>
  <r>
    <x v="11"/>
    <n v="6"/>
    <m/>
    <m/>
    <n v="8.8999885401544248"/>
    <n v="8.5772101877244911"/>
  </r>
  <r>
    <x v="11"/>
    <n v="7"/>
    <m/>
    <m/>
    <n v="8.8999885401544248"/>
    <n v="8.5772101877244911"/>
  </r>
  <r>
    <x v="11"/>
    <n v="8"/>
    <m/>
    <m/>
    <n v="8.8999885401544248"/>
    <n v="8.5772101877244911"/>
  </r>
  <r>
    <x v="11"/>
    <n v="9"/>
    <m/>
    <m/>
    <n v="8.8999885401544248"/>
    <n v="8.5772101877244911"/>
  </r>
  <r>
    <x v="11"/>
    <n v="10"/>
    <m/>
    <m/>
    <n v="8.8999885401544248"/>
    <n v="8.5772101877244911"/>
  </r>
  <r>
    <x v="11"/>
    <n v="11"/>
    <m/>
    <m/>
    <n v="8.8999885401544248"/>
    <n v="8.5772101877244911"/>
  </r>
  <r>
    <x v="11"/>
    <n v="12"/>
    <m/>
    <m/>
    <n v="8.8999885401544248"/>
    <n v="8.5772101877244911"/>
  </r>
  <r>
    <x v="12"/>
    <n v="1"/>
    <m/>
    <m/>
    <n v="9.7259169494704008"/>
    <n v="9.5861743542818498"/>
  </r>
  <r>
    <x v="12"/>
    <n v="2"/>
    <m/>
    <m/>
    <n v="9.7259169494704008"/>
    <n v="9.5861743542818498"/>
  </r>
  <r>
    <x v="12"/>
    <n v="3"/>
    <m/>
    <m/>
    <n v="9.7259169494704008"/>
    <n v="9.5861743542818498"/>
  </r>
  <r>
    <x v="12"/>
    <n v="4"/>
    <m/>
    <m/>
    <n v="9.7259169494704008"/>
    <n v="9.5861743542818498"/>
  </r>
  <r>
    <x v="12"/>
    <n v="5"/>
    <m/>
    <m/>
    <n v="9.7259169494704008"/>
    <n v="9.5861743542818498"/>
  </r>
  <r>
    <x v="12"/>
    <n v="6"/>
    <m/>
    <m/>
    <n v="9.7259169494704008"/>
    <n v="9.5861743542818498"/>
  </r>
  <r>
    <x v="12"/>
    <n v="7"/>
    <m/>
    <m/>
    <n v="9.7259169494704008"/>
    <n v="9.5861743542818498"/>
  </r>
  <r>
    <x v="12"/>
    <n v="8"/>
    <m/>
    <m/>
    <n v="9.7259169494704008"/>
    <n v="9.5861743542818498"/>
  </r>
  <r>
    <x v="12"/>
    <n v="9"/>
    <m/>
    <m/>
    <n v="9.7259169494704008"/>
    <n v="9.5861743542818498"/>
  </r>
  <r>
    <x v="12"/>
    <n v="10"/>
    <m/>
    <m/>
    <n v="9.7259169494704008"/>
    <n v="9.5861743542818498"/>
  </r>
  <r>
    <x v="12"/>
    <n v="11"/>
    <m/>
    <m/>
    <n v="9.7259169494704008"/>
    <n v="9.5861743542818498"/>
  </r>
  <r>
    <x v="12"/>
    <n v="12"/>
    <m/>
    <m/>
    <n v="9.7259169494704008"/>
    <n v="9.5861743542818498"/>
  </r>
  <r>
    <x v="13"/>
    <n v="1"/>
    <m/>
    <m/>
    <n v="11.003830034113445"/>
    <n v="10.2919641845894"/>
  </r>
  <r>
    <x v="13"/>
    <n v="2"/>
    <m/>
    <m/>
    <n v="11.003830034113445"/>
    <n v="10.2919641845894"/>
  </r>
  <r>
    <x v="13"/>
    <n v="3"/>
    <m/>
    <m/>
    <n v="11.003830034113445"/>
    <n v="10.2919641845894"/>
  </r>
  <r>
    <x v="13"/>
    <n v="4"/>
    <m/>
    <m/>
    <n v="11.003830034113445"/>
    <n v="10.2919641845894"/>
  </r>
  <r>
    <x v="13"/>
    <n v="5"/>
    <m/>
    <m/>
    <n v="11.003830034113445"/>
    <n v="10.2919641845894"/>
  </r>
  <r>
    <x v="13"/>
    <n v="6"/>
    <m/>
    <m/>
    <n v="11.003830034113445"/>
    <n v="10.2919641845894"/>
  </r>
  <r>
    <x v="13"/>
    <n v="7"/>
    <m/>
    <m/>
    <n v="11.003830034113445"/>
    <n v="10.2919641845894"/>
  </r>
  <r>
    <x v="13"/>
    <n v="8"/>
    <m/>
    <m/>
    <n v="11.003830034113445"/>
    <n v="10.2919641845894"/>
  </r>
  <r>
    <x v="13"/>
    <n v="9"/>
    <m/>
    <m/>
    <n v="11.003830034113445"/>
    <n v="10.2919641845894"/>
  </r>
  <r>
    <x v="13"/>
    <n v="10"/>
    <m/>
    <m/>
    <n v="11.003830034113445"/>
    <n v="10.2919641845894"/>
  </r>
  <r>
    <x v="13"/>
    <n v="11"/>
    <m/>
    <m/>
    <n v="11.003830034113445"/>
    <n v="10.2919641845894"/>
  </r>
  <r>
    <x v="13"/>
    <n v="12"/>
    <m/>
    <m/>
    <n v="11.003830034113445"/>
    <n v="10.2919641845894"/>
  </r>
  <r>
    <x v="14"/>
    <n v="1"/>
    <m/>
    <m/>
    <n v="12.063906523553111"/>
    <n v="11.4102512243312"/>
  </r>
  <r>
    <x v="14"/>
    <n v="2"/>
    <m/>
    <m/>
    <n v="12.063906523553111"/>
    <n v="11.4102512243312"/>
  </r>
  <r>
    <x v="14"/>
    <n v="3"/>
    <m/>
    <m/>
    <n v="12.063906523553111"/>
    <n v="11.4102512243312"/>
  </r>
  <r>
    <x v="14"/>
    <n v="4"/>
    <m/>
    <m/>
    <n v="12.063906523553111"/>
    <n v="11.4102512243312"/>
  </r>
  <r>
    <x v="14"/>
    <n v="5"/>
    <m/>
    <m/>
    <n v="12.063906523553111"/>
    <n v="11.4102512243312"/>
  </r>
  <r>
    <x v="14"/>
    <n v="6"/>
    <m/>
    <m/>
    <n v="12.063906523553111"/>
    <n v="11.4102512243312"/>
  </r>
  <r>
    <x v="14"/>
    <n v="7"/>
    <m/>
    <m/>
    <n v="12.063906523553111"/>
    <n v="11.4102512243312"/>
  </r>
  <r>
    <x v="14"/>
    <n v="8"/>
    <m/>
    <m/>
    <n v="12.063906523553111"/>
    <n v="11.4102512243312"/>
  </r>
  <r>
    <x v="14"/>
    <n v="9"/>
    <m/>
    <m/>
    <n v="12.063906523553111"/>
    <n v="11.4102512243312"/>
  </r>
  <r>
    <x v="14"/>
    <n v="10"/>
    <m/>
    <m/>
    <n v="12.063906523553111"/>
    <n v="11.4102512243312"/>
  </r>
  <r>
    <x v="14"/>
    <n v="11"/>
    <m/>
    <m/>
    <n v="12.063906523553111"/>
    <n v="11.4102512243312"/>
  </r>
  <r>
    <x v="14"/>
    <n v="12"/>
    <m/>
    <m/>
    <n v="12.063906523553111"/>
    <n v="11.4102512243312"/>
  </r>
  <r>
    <x v="15"/>
    <n v="1"/>
    <m/>
    <m/>
    <n v="12.772604561174989"/>
    <n v="12.3600856287173"/>
  </r>
  <r>
    <x v="15"/>
    <n v="2"/>
    <m/>
    <m/>
    <n v="12.772604561174989"/>
    <n v="12.3600856287173"/>
  </r>
  <r>
    <x v="15"/>
    <n v="3"/>
    <m/>
    <m/>
    <n v="12.772604561174989"/>
    <n v="12.3600856287173"/>
  </r>
  <r>
    <x v="15"/>
    <n v="4"/>
    <m/>
    <m/>
    <n v="12.772604561174989"/>
    <n v="12.3600856287173"/>
  </r>
  <r>
    <x v="15"/>
    <n v="5"/>
    <m/>
    <m/>
    <n v="12.772604561174989"/>
    <n v="12.3600856287173"/>
  </r>
  <r>
    <x v="15"/>
    <n v="6"/>
    <m/>
    <m/>
    <n v="12.772604561174989"/>
    <n v="12.3600856287173"/>
  </r>
  <r>
    <x v="15"/>
    <n v="7"/>
    <m/>
    <m/>
    <n v="12.772604561174989"/>
    <n v="12.3600856287173"/>
  </r>
  <r>
    <x v="15"/>
    <n v="8"/>
    <m/>
    <m/>
    <n v="12.772604561174989"/>
    <n v="12.3600856287173"/>
  </r>
  <r>
    <x v="15"/>
    <n v="9"/>
    <m/>
    <m/>
    <n v="12.772604561174989"/>
    <n v="12.3600856287173"/>
  </r>
  <r>
    <x v="15"/>
    <n v="10"/>
    <m/>
    <m/>
    <n v="12.772604561174989"/>
    <n v="12.3600856287173"/>
  </r>
  <r>
    <x v="15"/>
    <n v="11"/>
    <m/>
    <m/>
    <n v="12.772604561174989"/>
    <n v="12.3600856287173"/>
  </r>
  <r>
    <x v="15"/>
    <n v="12"/>
    <m/>
    <m/>
    <n v="12.772604561174989"/>
    <n v="12.3600856287173"/>
  </r>
  <r>
    <x v="16"/>
    <n v="1"/>
    <m/>
    <m/>
    <n v="13.276189156742458"/>
    <n v="12.607287341291647"/>
  </r>
  <r>
    <x v="16"/>
    <n v="2"/>
    <m/>
    <m/>
    <n v="13.276189156742458"/>
    <n v="12.607287341291647"/>
  </r>
  <r>
    <x v="16"/>
    <n v="3"/>
    <m/>
    <m/>
    <n v="13.276189156742458"/>
    <n v="12.607287341291647"/>
  </r>
  <r>
    <x v="16"/>
    <n v="4"/>
    <m/>
    <m/>
    <n v="13.276189156742458"/>
    <n v="12.607287341291647"/>
  </r>
  <r>
    <x v="16"/>
    <n v="5"/>
    <m/>
    <m/>
    <n v="13.276189156742458"/>
    <n v="12.607287341291647"/>
  </r>
  <r>
    <x v="16"/>
    <n v="6"/>
    <m/>
    <m/>
    <n v="13.276189156742458"/>
    <n v="12.607287341291647"/>
  </r>
  <r>
    <x v="16"/>
    <n v="7"/>
    <m/>
    <m/>
    <n v="13.276189156742458"/>
    <n v="12.607287341291647"/>
  </r>
  <r>
    <x v="16"/>
    <n v="8"/>
    <m/>
    <m/>
    <n v="13.276189156742458"/>
    <n v="12.607287341291647"/>
  </r>
  <r>
    <x v="16"/>
    <n v="9"/>
    <m/>
    <m/>
    <n v="13.276189156742458"/>
    <n v="12.607287341291647"/>
  </r>
  <r>
    <x v="16"/>
    <n v="10"/>
    <m/>
    <m/>
    <n v="13.276189156742458"/>
    <n v="12.607287341291647"/>
  </r>
  <r>
    <x v="16"/>
    <n v="11"/>
    <m/>
    <m/>
    <n v="13.276189156742458"/>
    <n v="12.607287341291647"/>
  </r>
  <r>
    <x v="16"/>
    <n v="12"/>
    <m/>
    <m/>
    <n v="13.276189156742458"/>
    <n v="12.607287341291647"/>
  </r>
  <r>
    <x v="17"/>
    <n v="1"/>
    <m/>
    <m/>
    <n v="13.372037505036205"/>
    <n v="12.859433088117481"/>
  </r>
  <r>
    <x v="17"/>
    <n v="2"/>
    <m/>
    <m/>
    <n v="13.372037505036205"/>
    <n v="12.859433088117481"/>
  </r>
  <r>
    <x v="17"/>
    <n v="3"/>
    <m/>
    <m/>
    <n v="13.372037505036205"/>
    <n v="12.859433088117481"/>
  </r>
  <r>
    <x v="17"/>
    <n v="4"/>
    <m/>
    <m/>
    <n v="13.372037505036205"/>
    <n v="12.859433088117481"/>
  </r>
  <r>
    <x v="17"/>
    <n v="5"/>
    <m/>
    <m/>
    <n v="13.372037505036205"/>
    <n v="12.859433088117481"/>
  </r>
  <r>
    <x v="17"/>
    <n v="6"/>
    <m/>
    <m/>
    <n v="13.372037505036205"/>
    <n v="12.859433088117481"/>
  </r>
  <r>
    <x v="17"/>
    <n v="7"/>
    <m/>
    <m/>
    <n v="13.372037505036205"/>
    <n v="12.859433088117481"/>
  </r>
  <r>
    <x v="17"/>
    <n v="8"/>
    <m/>
    <m/>
    <n v="13.372037505036205"/>
    <n v="12.859433088117481"/>
  </r>
  <r>
    <x v="17"/>
    <n v="9"/>
    <m/>
    <m/>
    <n v="13.372037505036205"/>
    <n v="12.859433088117481"/>
  </r>
  <r>
    <x v="17"/>
    <n v="10"/>
    <m/>
    <m/>
    <n v="13.372037505036205"/>
    <n v="12.859433088117481"/>
  </r>
  <r>
    <x v="17"/>
    <n v="11"/>
    <m/>
    <m/>
    <n v="13.372037505036205"/>
    <n v="12.859433088117481"/>
  </r>
  <r>
    <x v="17"/>
    <n v="12"/>
    <m/>
    <m/>
    <n v="13.372037505036205"/>
    <n v="12.859433088117481"/>
  </r>
  <r>
    <x v="18"/>
    <n v="1"/>
    <m/>
    <m/>
    <n v="13.470782159288195"/>
    <n v="13.11662174987983"/>
  </r>
  <r>
    <x v="18"/>
    <n v="2"/>
    <m/>
    <m/>
    <n v="13.470782159288195"/>
    <n v="13.11662174987983"/>
  </r>
  <r>
    <x v="18"/>
    <n v="3"/>
    <m/>
    <m/>
    <n v="13.470782159288195"/>
    <n v="13.11662174987983"/>
  </r>
  <r>
    <x v="18"/>
    <n v="4"/>
    <m/>
    <m/>
    <n v="13.470782159288195"/>
    <n v="13.11662174987983"/>
  </r>
  <r>
    <x v="18"/>
    <n v="5"/>
    <m/>
    <m/>
    <n v="13.470782159288195"/>
    <n v="13.11662174987983"/>
  </r>
  <r>
    <x v="18"/>
    <n v="6"/>
    <m/>
    <m/>
    <n v="13.470782159288195"/>
    <n v="13.11662174987983"/>
  </r>
  <r>
    <x v="18"/>
    <n v="7"/>
    <m/>
    <m/>
    <n v="13.470782159288195"/>
    <n v="13.11662174987983"/>
  </r>
  <r>
    <x v="18"/>
    <n v="8"/>
    <m/>
    <m/>
    <n v="13.470782159288195"/>
    <n v="13.11662174987983"/>
  </r>
  <r>
    <x v="18"/>
    <n v="9"/>
    <m/>
    <m/>
    <n v="13.470782159288195"/>
    <n v="13.11662174987983"/>
  </r>
  <r>
    <x v="18"/>
    <n v="10"/>
    <m/>
    <m/>
    <n v="13.470782159288195"/>
    <n v="13.11662174987983"/>
  </r>
  <r>
    <x v="18"/>
    <n v="11"/>
    <m/>
    <m/>
    <n v="13.470782159288195"/>
    <n v="13.11662174987983"/>
  </r>
  <r>
    <x v="18"/>
    <n v="12"/>
    <m/>
    <m/>
    <n v="13.470782159288195"/>
    <n v="13.11662174987983"/>
  </r>
  <r>
    <x v="19"/>
    <n v="1"/>
    <m/>
    <m/>
    <n v="13.424370704735015"/>
    <n v="13.378954184877426"/>
  </r>
  <r>
    <x v="19"/>
    <n v="2"/>
    <m/>
    <m/>
    <n v="13.424370704735015"/>
    <n v="13.378954184877426"/>
  </r>
  <r>
    <x v="19"/>
    <n v="3"/>
    <m/>
    <m/>
    <n v="13.424370704735015"/>
    <n v="13.378954184877426"/>
  </r>
  <r>
    <x v="19"/>
    <n v="4"/>
    <m/>
    <m/>
    <n v="13.424370704735015"/>
    <n v="13.378954184877426"/>
  </r>
  <r>
    <x v="19"/>
    <n v="5"/>
    <m/>
    <m/>
    <n v="13.424370704735015"/>
    <n v="13.378954184877426"/>
  </r>
  <r>
    <x v="19"/>
    <n v="6"/>
    <m/>
    <m/>
    <n v="13.424370704735015"/>
    <n v="13.378954184877426"/>
  </r>
  <r>
    <x v="19"/>
    <n v="7"/>
    <m/>
    <m/>
    <n v="13.424370704735015"/>
    <n v="13.378954184877426"/>
  </r>
  <r>
    <x v="19"/>
    <n v="8"/>
    <m/>
    <m/>
    <n v="13.424370704735015"/>
    <n v="13.378954184877426"/>
  </r>
  <r>
    <x v="19"/>
    <n v="9"/>
    <m/>
    <m/>
    <n v="13.424370704735015"/>
    <n v="13.378954184877426"/>
  </r>
  <r>
    <x v="19"/>
    <n v="10"/>
    <m/>
    <m/>
    <n v="13.424370704735015"/>
    <n v="13.378954184877426"/>
  </r>
  <r>
    <x v="19"/>
    <n v="11"/>
    <m/>
    <m/>
    <n v="13.424370704735015"/>
    <n v="13.378954184877426"/>
  </r>
  <r>
    <x v="19"/>
    <n v="12"/>
    <m/>
    <m/>
    <n v="13.424370704735015"/>
    <n v="13.378954184877426"/>
  </r>
  <r>
    <x v="20"/>
    <n v="1"/>
    <m/>
    <m/>
    <n v="13.75997997235339"/>
    <n v="13.646533268574974"/>
  </r>
  <r>
    <x v="20"/>
    <n v="2"/>
    <m/>
    <m/>
    <n v="13.75997997235339"/>
    <n v="13.646533268574974"/>
  </r>
  <r>
    <x v="20"/>
    <n v="3"/>
    <m/>
    <m/>
    <n v="13.75997997235339"/>
    <n v="13.646533268574974"/>
  </r>
  <r>
    <x v="20"/>
    <n v="4"/>
    <m/>
    <m/>
    <n v="13.75997997235339"/>
    <n v="13.646533268574974"/>
  </r>
  <r>
    <x v="20"/>
    <n v="5"/>
    <m/>
    <m/>
    <n v="13.75997997235339"/>
    <n v="13.646533268574974"/>
  </r>
  <r>
    <x v="20"/>
    <n v="6"/>
    <m/>
    <m/>
    <n v="13.75997997235339"/>
    <n v="13.646533268574974"/>
  </r>
  <r>
    <x v="20"/>
    <n v="7"/>
    <m/>
    <m/>
    <n v="13.75997997235339"/>
    <n v="13.646533268574974"/>
  </r>
  <r>
    <x v="20"/>
    <n v="8"/>
    <m/>
    <m/>
    <n v="13.75997997235339"/>
    <n v="13.646533268574974"/>
  </r>
  <r>
    <x v="20"/>
    <n v="9"/>
    <m/>
    <m/>
    <n v="13.75997997235339"/>
    <n v="13.646533268574974"/>
  </r>
  <r>
    <x v="20"/>
    <n v="10"/>
    <m/>
    <m/>
    <n v="13.75997997235339"/>
    <n v="13.646533268574974"/>
  </r>
  <r>
    <x v="20"/>
    <n v="11"/>
    <m/>
    <m/>
    <n v="13.75997997235339"/>
    <n v="13.646533268574974"/>
  </r>
  <r>
    <x v="20"/>
    <n v="12"/>
    <m/>
    <m/>
    <n v="13.75997997235339"/>
    <n v="13.646533268574974"/>
  </r>
  <r>
    <x v="21"/>
    <n v="1"/>
    <m/>
    <m/>
    <n v="14.103979471662223"/>
    <n v="13.919463933946473"/>
  </r>
  <r>
    <x v="21"/>
    <n v="2"/>
    <m/>
    <m/>
    <n v="14.103979471662223"/>
    <n v="13.919463933946473"/>
  </r>
  <r>
    <x v="21"/>
    <n v="3"/>
    <m/>
    <m/>
    <n v="14.103979471662223"/>
    <n v="13.919463933946473"/>
  </r>
  <r>
    <x v="21"/>
    <n v="4"/>
    <m/>
    <m/>
    <n v="14.103979471662223"/>
    <n v="13.919463933946473"/>
  </r>
  <r>
    <x v="21"/>
    <n v="5"/>
    <m/>
    <m/>
    <n v="14.103979471662223"/>
    <n v="13.919463933946473"/>
  </r>
  <r>
    <x v="21"/>
    <n v="6"/>
    <m/>
    <m/>
    <n v="14.103979471662223"/>
    <n v="13.919463933946473"/>
  </r>
  <r>
    <x v="21"/>
    <n v="7"/>
    <m/>
    <m/>
    <n v="14.103979471662223"/>
    <n v="13.919463933946473"/>
  </r>
  <r>
    <x v="21"/>
    <n v="8"/>
    <m/>
    <m/>
    <n v="14.103979471662223"/>
    <n v="13.919463933946473"/>
  </r>
  <r>
    <x v="21"/>
    <n v="9"/>
    <m/>
    <m/>
    <n v="14.103979471662223"/>
    <n v="13.919463933946473"/>
  </r>
  <r>
    <x v="21"/>
    <n v="10"/>
    <m/>
    <m/>
    <n v="14.103979471662223"/>
    <n v="13.919463933946473"/>
  </r>
  <r>
    <x v="21"/>
    <n v="11"/>
    <m/>
    <m/>
    <n v="14.103979471662223"/>
    <n v="13.919463933946473"/>
  </r>
  <r>
    <x v="21"/>
    <n v="12"/>
    <m/>
    <m/>
    <n v="14.103979471662223"/>
    <n v="13.919463933946473"/>
  </r>
  <r>
    <x v="22"/>
    <n v="1"/>
    <m/>
    <m/>
    <n v="14.456578958453777"/>
    <n v="14.197853212625402"/>
  </r>
  <r>
    <x v="22"/>
    <n v="2"/>
    <m/>
    <m/>
    <n v="14.456578958453777"/>
    <n v="14.197853212625402"/>
  </r>
  <r>
    <x v="22"/>
    <n v="3"/>
    <m/>
    <m/>
    <n v="14.456578958453777"/>
    <n v="14.197853212625402"/>
  </r>
  <r>
    <x v="22"/>
    <n v="4"/>
    <m/>
    <m/>
    <n v="14.456578958453777"/>
    <n v="14.197853212625402"/>
  </r>
  <r>
    <x v="22"/>
    <n v="5"/>
    <m/>
    <m/>
    <n v="14.456578958453777"/>
    <n v="14.197853212625402"/>
  </r>
  <r>
    <x v="22"/>
    <n v="6"/>
    <m/>
    <m/>
    <n v="14.456578958453777"/>
    <n v="14.197853212625402"/>
  </r>
  <r>
    <x v="22"/>
    <n v="7"/>
    <m/>
    <m/>
    <n v="14.456578958453777"/>
    <n v="14.197853212625402"/>
  </r>
  <r>
    <x v="22"/>
    <n v="8"/>
    <m/>
    <m/>
    <n v="14.456578958453777"/>
    <n v="14.197853212625402"/>
  </r>
  <r>
    <x v="22"/>
    <n v="9"/>
    <m/>
    <m/>
    <n v="14.456578958453777"/>
    <n v="14.197853212625402"/>
  </r>
  <r>
    <x v="22"/>
    <n v="10"/>
    <m/>
    <m/>
    <n v="14.456578958453777"/>
    <n v="14.197853212625402"/>
  </r>
  <r>
    <x v="22"/>
    <n v="11"/>
    <m/>
    <m/>
    <n v="14.456578958453777"/>
    <n v="14.197853212625402"/>
  </r>
  <r>
    <x v="22"/>
    <n v="12"/>
    <m/>
    <m/>
    <n v="14.456578958453777"/>
    <n v="14.197853212625402"/>
  </r>
  <r>
    <x v="23"/>
    <n v="1"/>
    <m/>
    <m/>
    <n v="14.817993432415122"/>
    <n v="14.48181027687791"/>
  </r>
  <r>
    <x v="23"/>
    <n v="2"/>
    <m/>
    <m/>
    <n v="14.817993432415122"/>
    <n v="14.48181027687791"/>
  </r>
  <r>
    <x v="23"/>
    <n v="3"/>
    <m/>
    <m/>
    <n v="14.817993432415122"/>
    <n v="14.48181027687791"/>
  </r>
  <r>
    <x v="23"/>
    <n v="4"/>
    <m/>
    <m/>
    <n v="14.817993432415122"/>
    <n v="14.48181027687791"/>
  </r>
  <r>
    <x v="23"/>
    <n v="5"/>
    <m/>
    <m/>
    <n v="14.817993432415122"/>
    <n v="14.48181027687791"/>
  </r>
  <r>
    <x v="23"/>
    <n v="6"/>
    <m/>
    <m/>
    <n v="14.817993432415122"/>
    <n v="14.48181027687791"/>
  </r>
  <r>
    <x v="23"/>
    <n v="7"/>
    <m/>
    <m/>
    <n v="14.817993432415122"/>
    <n v="14.48181027687791"/>
  </r>
  <r>
    <x v="23"/>
    <n v="8"/>
    <m/>
    <m/>
    <n v="14.817993432415122"/>
    <n v="14.48181027687791"/>
  </r>
  <r>
    <x v="23"/>
    <n v="9"/>
    <m/>
    <m/>
    <n v="14.817993432415122"/>
    <n v="14.48181027687791"/>
  </r>
  <r>
    <x v="23"/>
    <n v="10"/>
    <m/>
    <m/>
    <n v="14.817993432415122"/>
    <n v="14.48181027687791"/>
  </r>
  <r>
    <x v="23"/>
    <n v="11"/>
    <m/>
    <m/>
    <n v="14.817993432415122"/>
    <n v="14.48181027687791"/>
  </r>
  <r>
    <x v="23"/>
    <n v="12"/>
    <m/>
    <m/>
    <n v="14.817993432415122"/>
    <n v="14.48181027687791"/>
  </r>
  <r>
    <x v="24"/>
    <n v="1"/>
    <m/>
    <m/>
    <n v="15.188443268225498"/>
    <n v="14.771446482415469"/>
  </r>
  <r>
    <x v="24"/>
    <n v="2"/>
    <m/>
    <m/>
    <n v="15.188443268225498"/>
    <n v="14.771446482415469"/>
  </r>
  <r>
    <x v="24"/>
    <n v="3"/>
    <m/>
    <m/>
    <n v="15.188443268225498"/>
    <n v="14.771446482415469"/>
  </r>
  <r>
    <x v="24"/>
    <n v="4"/>
    <m/>
    <m/>
    <n v="15.188443268225498"/>
    <n v="14.771446482415469"/>
  </r>
  <r>
    <x v="24"/>
    <n v="5"/>
    <m/>
    <m/>
    <n v="15.188443268225498"/>
    <n v="14.771446482415469"/>
  </r>
  <r>
    <x v="24"/>
    <n v="6"/>
    <m/>
    <m/>
    <n v="15.188443268225498"/>
    <n v="14.771446482415469"/>
  </r>
  <r>
    <x v="24"/>
    <n v="7"/>
    <m/>
    <m/>
    <n v="15.188443268225498"/>
    <n v="14.771446482415469"/>
  </r>
  <r>
    <x v="24"/>
    <n v="8"/>
    <m/>
    <m/>
    <n v="15.188443268225498"/>
    <n v="14.771446482415469"/>
  </r>
  <r>
    <x v="24"/>
    <n v="9"/>
    <m/>
    <m/>
    <n v="15.188443268225498"/>
    <n v="14.771446482415469"/>
  </r>
  <r>
    <x v="24"/>
    <n v="10"/>
    <m/>
    <m/>
    <n v="15.188443268225498"/>
    <n v="14.771446482415469"/>
  </r>
  <r>
    <x v="24"/>
    <n v="11"/>
    <m/>
    <m/>
    <n v="15.188443268225498"/>
    <n v="14.771446482415469"/>
  </r>
  <r>
    <x v="24"/>
    <n v="12"/>
    <m/>
    <m/>
    <n v="15.188443268225498"/>
    <n v="14.771446482415469"/>
  </r>
  <r>
    <x v="25"/>
    <n v="1"/>
    <m/>
    <m/>
    <n v="15.568154349931135"/>
    <n v="15.066875412063778"/>
  </r>
  <r>
    <x v="25"/>
    <n v="2"/>
    <m/>
    <m/>
    <n v="15.568154349931135"/>
    <n v="15.066875412063778"/>
  </r>
  <r>
    <x v="25"/>
    <n v="3"/>
    <m/>
    <m/>
    <n v="15.568154349931135"/>
    <n v="15.066875412063778"/>
  </r>
  <r>
    <x v="25"/>
    <n v="4"/>
    <m/>
    <m/>
    <n v="15.568154349931135"/>
    <n v="15.066875412063778"/>
  </r>
  <r>
    <x v="25"/>
    <n v="5"/>
    <m/>
    <m/>
    <n v="15.568154349931135"/>
    <n v="15.066875412063778"/>
  </r>
  <r>
    <x v="25"/>
    <n v="6"/>
    <m/>
    <m/>
    <n v="15.568154349931135"/>
    <n v="15.066875412063778"/>
  </r>
  <r>
    <x v="25"/>
    <n v="7"/>
    <m/>
    <m/>
    <n v="15.568154349931135"/>
    <n v="15.066875412063778"/>
  </r>
  <r>
    <x v="25"/>
    <n v="8"/>
    <m/>
    <m/>
    <n v="15.568154349931135"/>
    <n v="15.066875412063778"/>
  </r>
  <r>
    <x v="25"/>
    <n v="9"/>
    <m/>
    <m/>
    <n v="15.568154349931135"/>
    <n v="15.066875412063778"/>
  </r>
  <r>
    <x v="25"/>
    <n v="10"/>
    <m/>
    <m/>
    <n v="15.568154349931135"/>
    <n v="15.066875412063778"/>
  </r>
  <r>
    <x v="25"/>
    <n v="11"/>
    <m/>
    <m/>
    <n v="15.568154349931135"/>
    <n v="15.066875412063778"/>
  </r>
  <r>
    <x v="25"/>
    <n v="12"/>
    <m/>
    <m/>
    <n v="15.568154349931135"/>
    <n v="15.066875412063778"/>
  </r>
  <r>
    <x v="26"/>
    <n v="1"/>
    <m/>
    <m/>
    <n v="15.957358208679413"/>
    <n v="15.368212920305053"/>
  </r>
  <r>
    <x v="26"/>
    <n v="2"/>
    <m/>
    <m/>
    <n v="15.957358208679413"/>
    <n v="15.368212920305053"/>
  </r>
  <r>
    <x v="26"/>
    <n v="3"/>
    <m/>
    <m/>
    <n v="15.957358208679413"/>
    <n v="15.368212920305053"/>
  </r>
  <r>
    <x v="26"/>
    <n v="4"/>
    <m/>
    <m/>
    <n v="15.957358208679413"/>
    <n v="15.368212920305053"/>
  </r>
  <r>
    <x v="26"/>
    <n v="5"/>
    <m/>
    <m/>
    <n v="15.957358208679413"/>
    <n v="15.368212920305053"/>
  </r>
  <r>
    <x v="26"/>
    <n v="6"/>
    <m/>
    <m/>
    <n v="15.957358208679413"/>
    <n v="15.368212920305053"/>
  </r>
  <r>
    <x v="26"/>
    <n v="7"/>
    <m/>
    <m/>
    <n v="15.957358208679413"/>
    <n v="15.368212920305053"/>
  </r>
  <r>
    <x v="26"/>
    <n v="8"/>
    <m/>
    <m/>
    <n v="15.957358208679413"/>
    <n v="15.368212920305053"/>
  </r>
  <r>
    <x v="26"/>
    <n v="9"/>
    <m/>
    <m/>
    <n v="15.957358208679413"/>
    <n v="15.368212920305053"/>
  </r>
  <r>
    <x v="26"/>
    <n v="10"/>
    <m/>
    <m/>
    <n v="15.957358208679413"/>
    <n v="15.368212920305053"/>
  </r>
  <r>
    <x v="26"/>
    <n v="11"/>
    <m/>
    <m/>
    <n v="15.957358208679413"/>
    <n v="15.368212920305053"/>
  </r>
  <r>
    <x v="26"/>
    <n v="12"/>
    <m/>
    <m/>
    <n v="15.957358208679413"/>
    <n v="15.368212920305053"/>
  </r>
  <r>
    <x v="27"/>
    <n v="1"/>
    <m/>
    <m/>
    <n v="16.356292163896395"/>
    <n v="15.675577178711155"/>
  </r>
  <r>
    <x v="27"/>
    <n v="2"/>
    <m/>
    <m/>
    <n v="16.356292163896395"/>
    <n v="15.675577178711155"/>
  </r>
  <r>
    <x v="27"/>
    <n v="3"/>
    <m/>
    <m/>
    <n v="16.356292163896395"/>
    <n v="15.675577178711155"/>
  </r>
  <r>
    <x v="27"/>
    <n v="4"/>
    <m/>
    <m/>
    <n v="16.356292163896395"/>
    <n v="15.675577178711155"/>
  </r>
  <r>
    <x v="27"/>
    <n v="5"/>
    <m/>
    <m/>
    <n v="16.356292163896395"/>
    <n v="15.675577178711155"/>
  </r>
  <r>
    <x v="27"/>
    <n v="6"/>
    <m/>
    <m/>
    <n v="16.356292163896395"/>
    <n v="15.675577178711155"/>
  </r>
  <r>
    <x v="27"/>
    <n v="7"/>
    <m/>
    <m/>
    <n v="16.356292163896395"/>
    <n v="15.675577178711155"/>
  </r>
  <r>
    <x v="27"/>
    <n v="8"/>
    <m/>
    <m/>
    <n v="16.356292163896395"/>
    <n v="15.675577178711155"/>
  </r>
  <r>
    <x v="27"/>
    <n v="9"/>
    <m/>
    <m/>
    <n v="16.356292163896395"/>
    <n v="15.675577178711155"/>
  </r>
  <r>
    <x v="27"/>
    <n v="10"/>
    <m/>
    <m/>
    <n v="16.356292163896395"/>
    <n v="15.675577178711155"/>
  </r>
  <r>
    <x v="27"/>
    <n v="11"/>
    <m/>
    <m/>
    <n v="16.356292163896395"/>
    <n v="15.675577178711155"/>
  </r>
  <r>
    <x v="27"/>
    <n v="12"/>
    <m/>
    <m/>
    <n v="16.356292163896395"/>
    <n v="15.675577178711155"/>
  </r>
  <r>
    <x v="28"/>
    <n v="1"/>
    <m/>
    <m/>
    <n v="16.765199467993806"/>
    <n v="15.989088722285379"/>
  </r>
  <r>
    <x v="28"/>
    <n v="2"/>
    <m/>
    <m/>
    <n v="16.765199467993806"/>
    <n v="15.989088722285379"/>
  </r>
  <r>
    <x v="28"/>
    <n v="3"/>
    <m/>
    <m/>
    <n v="16.765199467993806"/>
    <n v="15.989088722285379"/>
  </r>
  <r>
    <x v="28"/>
    <n v="4"/>
    <m/>
    <m/>
    <n v="16.765199467993806"/>
    <n v="15.989088722285379"/>
  </r>
  <r>
    <x v="28"/>
    <n v="5"/>
    <m/>
    <m/>
    <n v="16.765199467993806"/>
    <n v="15.989088722285379"/>
  </r>
  <r>
    <x v="28"/>
    <n v="6"/>
    <m/>
    <m/>
    <n v="16.765199467993806"/>
    <n v="15.989088722285379"/>
  </r>
  <r>
    <x v="28"/>
    <n v="7"/>
    <m/>
    <m/>
    <n v="16.765199467993806"/>
    <n v="15.989088722285379"/>
  </r>
  <r>
    <x v="28"/>
    <n v="8"/>
    <m/>
    <m/>
    <n v="16.765199467993806"/>
    <n v="15.989088722285379"/>
  </r>
  <r>
    <x v="28"/>
    <n v="9"/>
    <m/>
    <m/>
    <n v="16.765199467993806"/>
    <n v="15.989088722285379"/>
  </r>
  <r>
    <x v="28"/>
    <n v="10"/>
    <m/>
    <m/>
    <n v="16.765199467993806"/>
    <n v="15.989088722285379"/>
  </r>
  <r>
    <x v="28"/>
    <n v="11"/>
    <m/>
    <m/>
    <n v="16.765199467993806"/>
    <n v="15.989088722285379"/>
  </r>
  <r>
    <x v="28"/>
    <n v="12"/>
    <m/>
    <m/>
    <n v="16.765199467993806"/>
    <n v="15.989088722285379"/>
  </r>
  <r>
    <x v="29"/>
    <n v="1"/>
    <m/>
    <m/>
    <n v="17.184329454693646"/>
    <n v="16.308870496731085"/>
  </r>
  <r>
    <x v="29"/>
    <n v="2"/>
    <m/>
    <m/>
    <n v="17.184329454693646"/>
    <n v="16.308870496731085"/>
  </r>
  <r>
    <x v="29"/>
    <n v="3"/>
    <m/>
    <m/>
    <n v="17.184329454693646"/>
    <n v="16.308870496731085"/>
  </r>
  <r>
    <x v="29"/>
    <n v="4"/>
    <m/>
    <m/>
    <n v="17.184329454693646"/>
    <n v="16.308870496731085"/>
  </r>
  <r>
    <x v="29"/>
    <n v="5"/>
    <m/>
    <m/>
    <n v="17.184329454693646"/>
    <n v="16.308870496731085"/>
  </r>
  <r>
    <x v="29"/>
    <n v="6"/>
    <m/>
    <m/>
    <n v="17.184329454693646"/>
    <n v="16.308870496731085"/>
  </r>
  <r>
    <x v="29"/>
    <n v="7"/>
    <m/>
    <m/>
    <n v="17.184329454693646"/>
    <n v="16.308870496731085"/>
  </r>
  <r>
    <x v="29"/>
    <n v="8"/>
    <m/>
    <m/>
    <n v="17.184329454693646"/>
    <n v="16.308870496731085"/>
  </r>
  <r>
    <x v="29"/>
    <n v="9"/>
    <m/>
    <m/>
    <n v="17.184329454693646"/>
    <n v="16.308870496731085"/>
  </r>
  <r>
    <x v="29"/>
    <n v="10"/>
    <m/>
    <m/>
    <n v="17.184329454693646"/>
    <n v="16.308870496731085"/>
  </r>
  <r>
    <x v="29"/>
    <n v="11"/>
    <m/>
    <m/>
    <n v="17.184329454693646"/>
    <n v="16.308870496731085"/>
  </r>
  <r>
    <x v="29"/>
    <n v="12"/>
    <m/>
    <m/>
    <n v="17.184329454693646"/>
    <n v="16.308870496731085"/>
  </r>
  <r>
    <x v="30"/>
    <n v="1"/>
    <m/>
    <m/>
    <n v="17.61393769106099"/>
    <n v="16.635047906665708"/>
  </r>
  <r>
    <x v="30"/>
    <n v="2"/>
    <m/>
    <m/>
    <n v="17.61393769106099"/>
    <n v="16.635047906665708"/>
  </r>
  <r>
    <x v="30"/>
    <n v="3"/>
    <m/>
    <m/>
    <n v="17.61393769106099"/>
    <n v="16.635047906665708"/>
  </r>
  <r>
    <x v="30"/>
    <n v="4"/>
    <m/>
    <m/>
    <n v="17.61393769106099"/>
    <n v="16.635047906665708"/>
  </r>
  <r>
    <x v="30"/>
    <n v="5"/>
    <m/>
    <m/>
    <n v="17.61393769106099"/>
    <n v="16.635047906665708"/>
  </r>
  <r>
    <x v="30"/>
    <n v="6"/>
    <m/>
    <m/>
    <n v="17.61393769106099"/>
    <n v="16.635047906665708"/>
  </r>
  <r>
    <x v="30"/>
    <n v="7"/>
    <m/>
    <m/>
    <n v="17.61393769106099"/>
    <n v="16.635047906665708"/>
  </r>
  <r>
    <x v="30"/>
    <n v="8"/>
    <m/>
    <m/>
    <n v="17.61393769106099"/>
    <n v="16.635047906665708"/>
  </r>
  <r>
    <x v="30"/>
    <n v="9"/>
    <m/>
    <m/>
    <n v="17.61393769106099"/>
    <n v="16.635047906665708"/>
  </r>
  <r>
    <x v="30"/>
    <n v="10"/>
    <m/>
    <m/>
    <n v="17.61393769106099"/>
    <n v="16.635047906665708"/>
  </r>
  <r>
    <x v="30"/>
    <n v="11"/>
    <m/>
    <m/>
    <n v="17.61393769106099"/>
    <n v="16.635047906665708"/>
  </r>
  <r>
    <x v="30"/>
    <n v="12"/>
    <m/>
    <m/>
    <n v="17.61393769106099"/>
    <n v="16.635047906665708"/>
  </r>
  <r>
    <x v="31"/>
    <n v="1"/>
    <m/>
    <m/>
    <n v="18.054286133337509"/>
    <n v="16.967748864799024"/>
  </r>
  <r>
    <x v="31"/>
    <n v="2"/>
    <m/>
    <m/>
    <n v="18.054286133337509"/>
    <n v="16.967748864799024"/>
  </r>
  <r>
    <x v="31"/>
    <n v="3"/>
    <m/>
    <m/>
    <n v="18.054286133337509"/>
    <n v="16.967748864799024"/>
  </r>
  <r>
    <x v="31"/>
    <n v="4"/>
    <m/>
    <m/>
    <n v="18.054286133337509"/>
    <n v="16.967748864799024"/>
  </r>
  <r>
    <x v="31"/>
    <n v="5"/>
    <m/>
    <m/>
    <n v="18.054286133337509"/>
    <n v="16.967748864799024"/>
  </r>
  <r>
    <x v="31"/>
    <n v="6"/>
    <m/>
    <m/>
    <n v="18.054286133337509"/>
    <n v="16.967748864799024"/>
  </r>
  <r>
    <x v="31"/>
    <n v="7"/>
    <m/>
    <m/>
    <n v="18.054286133337509"/>
    <n v="16.967748864799024"/>
  </r>
  <r>
    <x v="31"/>
    <n v="8"/>
    <m/>
    <m/>
    <n v="18.054286133337509"/>
    <n v="16.967748864799024"/>
  </r>
  <r>
    <x v="31"/>
    <n v="9"/>
    <m/>
    <m/>
    <n v="18.054286133337509"/>
    <n v="16.967748864799024"/>
  </r>
  <r>
    <x v="31"/>
    <n v="10"/>
    <m/>
    <m/>
    <n v="18.054286133337509"/>
    <n v="16.967748864799024"/>
  </r>
  <r>
    <x v="31"/>
    <n v="11"/>
    <m/>
    <m/>
    <n v="18.054286133337509"/>
    <n v="16.967748864799024"/>
  </r>
  <r>
    <x v="31"/>
    <n v="12"/>
    <m/>
    <m/>
    <n v="18.054286133337509"/>
    <n v="16.967748864799024"/>
  </r>
  <r>
    <x v="32"/>
    <n v="1"/>
    <m/>
    <m/>
    <n v="18.505643286670946"/>
    <n v="17.307103842095003"/>
  </r>
  <r>
    <x v="32"/>
    <n v="2"/>
    <m/>
    <m/>
    <n v="18.505643286670946"/>
    <n v="17.307103842095003"/>
  </r>
  <r>
    <x v="32"/>
    <n v="3"/>
    <m/>
    <m/>
    <n v="18.505643286670946"/>
    <n v="17.307103842095003"/>
  </r>
  <r>
    <x v="32"/>
    <n v="4"/>
    <m/>
    <m/>
    <n v="18.505643286670946"/>
    <n v="17.307103842095003"/>
  </r>
  <r>
    <x v="32"/>
    <n v="5"/>
    <m/>
    <m/>
    <n v="18.505643286670946"/>
    <n v="17.307103842095003"/>
  </r>
  <r>
    <x v="32"/>
    <n v="6"/>
    <m/>
    <m/>
    <n v="18.505643286670946"/>
    <n v="17.307103842095003"/>
  </r>
  <r>
    <x v="32"/>
    <n v="7"/>
    <m/>
    <m/>
    <n v="18.505643286670946"/>
    <n v="17.307103842095003"/>
  </r>
  <r>
    <x v="32"/>
    <n v="8"/>
    <m/>
    <m/>
    <n v="18.505643286670946"/>
    <n v="17.307103842095003"/>
  </r>
  <r>
    <x v="32"/>
    <n v="9"/>
    <m/>
    <m/>
    <n v="18.505643286670946"/>
    <n v="17.307103842095003"/>
  </r>
  <r>
    <x v="32"/>
    <n v="10"/>
    <m/>
    <m/>
    <n v="18.505643286670946"/>
    <n v="17.307103842095003"/>
  </r>
  <r>
    <x v="32"/>
    <n v="11"/>
    <m/>
    <m/>
    <n v="18.505643286670946"/>
    <n v="17.307103842095003"/>
  </r>
  <r>
    <x v="32"/>
    <n v="12"/>
    <m/>
    <m/>
    <n v="18.505643286670946"/>
    <n v="17.307103842095003"/>
  </r>
  <r>
    <x v="33"/>
    <n v="1"/>
    <m/>
    <m/>
    <n v="18.968284368837722"/>
    <n v="17.653245918936904"/>
  </r>
  <r>
    <x v="33"/>
    <n v="2"/>
    <m/>
    <m/>
    <n v="18.968284368837722"/>
    <n v="17.653245918936904"/>
  </r>
  <r>
    <x v="33"/>
    <n v="3"/>
    <m/>
    <m/>
    <n v="18.968284368837722"/>
    <n v="17.653245918936904"/>
  </r>
  <r>
    <x v="33"/>
    <n v="4"/>
    <m/>
    <m/>
    <n v="18.968284368837722"/>
    <n v="17.653245918936904"/>
  </r>
  <r>
    <x v="33"/>
    <n v="5"/>
    <m/>
    <m/>
    <n v="18.968284368837722"/>
    <n v="17.653245918936904"/>
  </r>
  <r>
    <x v="33"/>
    <n v="6"/>
    <m/>
    <m/>
    <n v="18.968284368837722"/>
    <n v="17.653245918936904"/>
  </r>
  <r>
    <x v="33"/>
    <n v="7"/>
    <m/>
    <m/>
    <n v="18.968284368837722"/>
    <n v="17.653245918936904"/>
  </r>
  <r>
    <x v="33"/>
    <n v="8"/>
    <m/>
    <m/>
    <n v="18.968284368837722"/>
    <n v="17.653245918936904"/>
  </r>
  <r>
    <x v="33"/>
    <n v="9"/>
    <m/>
    <m/>
    <n v="18.968284368837722"/>
    <n v="17.653245918936904"/>
  </r>
  <r>
    <x v="33"/>
    <n v="10"/>
    <m/>
    <m/>
    <n v="18.968284368837722"/>
    <n v="17.653245918936904"/>
  </r>
  <r>
    <x v="33"/>
    <n v="11"/>
    <m/>
    <m/>
    <n v="18.968284368837722"/>
    <n v="17.653245918936904"/>
  </r>
  <r>
    <x v="33"/>
    <n v="12"/>
    <m/>
    <m/>
    <n v="18.968284368837722"/>
    <n v="17.653245918936904"/>
  </r>
  <r>
    <x v="34"/>
    <n v="1"/>
    <m/>
    <m/>
    <n v="19.442491478058663"/>
    <n v="18.006310837315642"/>
  </r>
  <r>
    <x v="34"/>
    <n v="2"/>
    <m/>
    <m/>
    <n v="19.442491478058663"/>
    <n v="18.006310837315642"/>
  </r>
  <r>
    <x v="34"/>
    <n v="3"/>
    <m/>
    <m/>
    <n v="19.442491478058663"/>
    <n v="18.006310837315642"/>
  </r>
  <r>
    <x v="34"/>
    <n v="4"/>
    <m/>
    <m/>
    <n v="19.442491478058663"/>
    <n v="18.006310837315642"/>
  </r>
  <r>
    <x v="34"/>
    <n v="5"/>
    <m/>
    <m/>
    <n v="19.442491478058663"/>
    <n v="18.006310837315642"/>
  </r>
  <r>
    <x v="34"/>
    <n v="6"/>
    <m/>
    <m/>
    <n v="19.442491478058663"/>
    <n v="18.006310837315642"/>
  </r>
  <r>
    <x v="34"/>
    <n v="7"/>
    <m/>
    <m/>
    <n v="19.442491478058663"/>
    <n v="18.006310837315642"/>
  </r>
  <r>
    <x v="34"/>
    <n v="8"/>
    <m/>
    <m/>
    <n v="19.442491478058663"/>
    <n v="18.006310837315642"/>
  </r>
  <r>
    <x v="34"/>
    <n v="9"/>
    <m/>
    <m/>
    <n v="19.442491478058663"/>
    <n v="18.006310837315642"/>
  </r>
  <r>
    <x v="34"/>
    <n v="10"/>
    <m/>
    <m/>
    <n v="19.442491478058663"/>
    <n v="18.006310837315642"/>
  </r>
  <r>
    <x v="34"/>
    <n v="11"/>
    <m/>
    <m/>
    <n v="19.442491478058663"/>
    <n v="18.006310837315642"/>
  </r>
  <r>
    <x v="34"/>
    <n v="12"/>
    <m/>
    <m/>
    <n v="19.442491478058663"/>
    <n v="18.006310837315642"/>
  </r>
  <r>
    <x v="35"/>
    <n v="1"/>
    <m/>
    <m/>
    <n v="19.928553765010125"/>
    <n v="18.366437054061954"/>
  </r>
  <r>
    <x v="35"/>
    <n v="2"/>
    <m/>
    <m/>
    <n v="19.928553765010125"/>
    <n v="18.366437054061954"/>
  </r>
  <r>
    <x v="35"/>
    <n v="3"/>
    <m/>
    <m/>
    <n v="19.928553765010125"/>
    <n v="18.366437054061954"/>
  </r>
  <r>
    <x v="35"/>
    <n v="4"/>
    <m/>
    <m/>
    <n v="19.928553765010125"/>
    <n v="18.366437054061954"/>
  </r>
  <r>
    <x v="35"/>
    <n v="5"/>
    <m/>
    <m/>
    <n v="19.928553765010125"/>
    <n v="18.366437054061954"/>
  </r>
  <r>
    <x v="35"/>
    <n v="6"/>
    <m/>
    <m/>
    <n v="19.928553765010125"/>
    <n v="18.366437054061954"/>
  </r>
  <r>
    <x v="35"/>
    <n v="7"/>
    <m/>
    <m/>
    <n v="19.928553765010125"/>
    <n v="18.366437054061954"/>
  </r>
  <r>
    <x v="35"/>
    <n v="8"/>
    <m/>
    <m/>
    <n v="19.928553765010125"/>
    <n v="18.366437054061954"/>
  </r>
  <r>
    <x v="35"/>
    <n v="9"/>
    <m/>
    <m/>
    <n v="19.928553765010125"/>
    <n v="18.366437054061954"/>
  </r>
  <r>
    <x v="35"/>
    <n v="10"/>
    <m/>
    <m/>
    <n v="19.928553765010125"/>
    <n v="18.366437054061954"/>
  </r>
  <r>
    <x v="35"/>
    <n v="11"/>
    <m/>
    <m/>
    <n v="19.928553765010125"/>
    <n v="18.366437054061954"/>
  </r>
  <r>
    <x v="35"/>
    <n v="12"/>
    <m/>
    <m/>
    <n v="19.928553765010125"/>
    <n v="18.366437054061954"/>
  </r>
  <r>
    <x v="36"/>
    <n v="1"/>
    <m/>
    <m/>
    <n v="20.426767609135375"/>
    <n v="18.733765795143192"/>
  </r>
  <r>
    <x v="36"/>
    <n v="2"/>
    <m/>
    <m/>
    <n v="20.426767609135375"/>
    <n v="18.733765795143192"/>
  </r>
  <r>
    <x v="36"/>
    <n v="3"/>
    <m/>
    <m/>
    <n v="20.426767609135375"/>
    <n v="18.733765795143192"/>
  </r>
  <r>
    <x v="36"/>
    <n v="4"/>
    <m/>
    <m/>
    <n v="20.426767609135375"/>
    <n v="18.733765795143192"/>
  </r>
  <r>
    <x v="36"/>
    <n v="5"/>
    <m/>
    <m/>
    <n v="20.426767609135375"/>
    <n v="18.733765795143192"/>
  </r>
  <r>
    <x v="36"/>
    <n v="6"/>
    <m/>
    <m/>
    <n v="20.426767609135375"/>
    <n v="18.733765795143192"/>
  </r>
  <r>
    <x v="36"/>
    <n v="7"/>
    <m/>
    <m/>
    <n v="20.426767609135375"/>
    <n v="18.733765795143192"/>
  </r>
  <r>
    <x v="36"/>
    <n v="8"/>
    <m/>
    <m/>
    <n v="20.426767609135375"/>
    <n v="18.733765795143192"/>
  </r>
  <r>
    <x v="36"/>
    <n v="9"/>
    <m/>
    <m/>
    <n v="20.426767609135375"/>
    <n v="18.733765795143192"/>
  </r>
  <r>
    <x v="36"/>
    <n v="10"/>
    <m/>
    <m/>
    <n v="20.426767609135375"/>
    <n v="18.733765795143192"/>
  </r>
  <r>
    <x v="36"/>
    <n v="11"/>
    <m/>
    <m/>
    <n v="20.426767609135375"/>
    <n v="18.733765795143192"/>
  </r>
  <r>
    <x v="36"/>
    <n v="12"/>
    <m/>
    <m/>
    <n v="20.426767609135375"/>
    <n v="18.733765795143192"/>
  </r>
  <r>
    <x v="37"/>
    <n v="1"/>
    <m/>
    <m/>
    <n v="20.937436799363759"/>
    <n v="19.108441111046055"/>
  </r>
  <r>
    <x v="37"/>
    <n v="2"/>
    <m/>
    <m/>
    <n v="20.937436799363759"/>
    <n v="19.108441111046055"/>
  </r>
  <r>
    <x v="37"/>
    <n v="3"/>
    <m/>
    <m/>
    <n v="20.937436799363759"/>
    <n v="19.108441111046055"/>
  </r>
  <r>
    <x v="37"/>
    <n v="4"/>
    <m/>
    <m/>
    <n v="20.937436799363759"/>
    <n v="19.108441111046055"/>
  </r>
  <r>
    <x v="37"/>
    <n v="5"/>
    <m/>
    <m/>
    <n v="20.937436799363759"/>
    <n v="19.108441111046055"/>
  </r>
  <r>
    <x v="37"/>
    <n v="6"/>
    <m/>
    <m/>
    <n v="20.937436799363759"/>
    <n v="19.108441111046055"/>
  </r>
  <r>
    <x v="37"/>
    <n v="7"/>
    <m/>
    <m/>
    <n v="20.937436799363759"/>
    <n v="19.108441111046055"/>
  </r>
  <r>
    <x v="37"/>
    <n v="8"/>
    <m/>
    <m/>
    <n v="20.937436799363759"/>
    <n v="19.108441111046055"/>
  </r>
  <r>
    <x v="37"/>
    <n v="9"/>
    <m/>
    <m/>
    <n v="20.937436799363759"/>
    <n v="19.108441111046055"/>
  </r>
  <r>
    <x v="37"/>
    <n v="10"/>
    <m/>
    <m/>
    <n v="20.937436799363759"/>
    <n v="19.108441111046055"/>
  </r>
  <r>
    <x v="37"/>
    <n v="11"/>
    <m/>
    <m/>
    <n v="20.937436799363759"/>
    <n v="19.108441111046055"/>
  </r>
  <r>
    <x v="37"/>
    <n v="12"/>
    <m/>
    <m/>
    <n v="20.937436799363759"/>
    <n v="19.108441111046055"/>
  </r>
  <r>
    <x v="38"/>
    <n v="1"/>
    <m/>
    <m/>
    <n v="21.460872719347851"/>
    <n v="19.490609933266978"/>
  </r>
  <r>
    <x v="38"/>
    <n v="2"/>
    <m/>
    <m/>
    <n v="21.460872719347851"/>
    <n v="19.490609933266978"/>
  </r>
  <r>
    <x v="38"/>
    <n v="3"/>
    <m/>
    <m/>
    <n v="21.460872719347851"/>
    <n v="19.490609933266978"/>
  </r>
  <r>
    <x v="38"/>
    <n v="4"/>
    <m/>
    <m/>
    <n v="21.460872719347851"/>
    <n v="19.490609933266978"/>
  </r>
  <r>
    <x v="38"/>
    <n v="5"/>
    <m/>
    <m/>
    <n v="21.460872719347851"/>
    <n v="19.490609933266978"/>
  </r>
  <r>
    <x v="38"/>
    <n v="6"/>
    <m/>
    <m/>
    <n v="21.460872719347851"/>
    <n v="19.490609933266978"/>
  </r>
  <r>
    <x v="38"/>
    <n v="7"/>
    <m/>
    <m/>
    <n v="21.460872719347851"/>
    <n v="19.490609933266978"/>
  </r>
  <r>
    <x v="38"/>
    <n v="8"/>
    <m/>
    <m/>
    <n v="21.460872719347851"/>
    <n v="19.490609933266978"/>
  </r>
  <r>
    <x v="38"/>
    <n v="9"/>
    <m/>
    <m/>
    <n v="21.460872719347851"/>
    <n v="19.490609933266978"/>
  </r>
  <r>
    <x v="38"/>
    <n v="10"/>
    <m/>
    <m/>
    <n v="21.460872719347851"/>
    <n v="19.490609933266978"/>
  </r>
  <r>
    <x v="38"/>
    <n v="11"/>
    <m/>
    <m/>
    <n v="21.460872719347851"/>
    <n v="19.490609933266978"/>
  </r>
  <r>
    <x v="38"/>
    <n v="12"/>
    <m/>
    <m/>
    <n v="21.460872719347851"/>
    <n v="19.490609933266978"/>
  </r>
  <r>
    <x v="39"/>
    <n v="1"/>
    <m/>
    <m/>
    <n v="21.997394537331548"/>
    <n v="19.880422131932317"/>
  </r>
  <r>
    <x v="39"/>
    <n v="2"/>
    <m/>
    <m/>
    <n v="21.997394537331548"/>
    <n v="19.880422131932317"/>
  </r>
  <r>
    <x v="39"/>
    <n v="3"/>
    <m/>
    <m/>
    <n v="21.997394537331548"/>
    <n v="19.880422131932317"/>
  </r>
  <r>
    <x v="39"/>
    <n v="4"/>
    <m/>
    <m/>
    <n v="21.997394537331548"/>
    <n v="19.880422131932317"/>
  </r>
  <r>
    <x v="39"/>
    <n v="5"/>
    <m/>
    <m/>
    <n v="21.997394537331548"/>
    <n v="19.880422131932317"/>
  </r>
  <r>
    <x v="39"/>
    <n v="6"/>
    <m/>
    <m/>
    <n v="21.997394537331548"/>
    <n v="19.880422131932317"/>
  </r>
  <r>
    <x v="39"/>
    <n v="7"/>
    <m/>
    <m/>
    <n v="21.997394537331548"/>
    <n v="19.880422131932317"/>
  </r>
  <r>
    <x v="39"/>
    <n v="8"/>
    <m/>
    <m/>
    <n v="21.997394537331548"/>
    <n v="19.880422131932317"/>
  </r>
  <r>
    <x v="39"/>
    <n v="9"/>
    <m/>
    <m/>
    <n v="21.997394537331548"/>
    <n v="19.880422131932317"/>
  </r>
  <r>
    <x v="39"/>
    <n v="10"/>
    <m/>
    <m/>
    <n v="21.997394537331548"/>
    <n v="19.880422131932317"/>
  </r>
  <r>
    <x v="39"/>
    <n v="11"/>
    <m/>
    <m/>
    <n v="21.997394537331548"/>
    <n v="19.880422131932317"/>
  </r>
  <r>
    <x v="39"/>
    <n v="12"/>
    <m/>
    <m/>
    <n v="21.997394537331548"/>
    <n v="19.880422131932317"/>
  </r>
  <r>
    <x v="40"/>
    <n v="1"/>
    <m/>
    <m/>
    <n v="22.547329400764834"/>
    <n v="20.278030574570963"/>
  </r>
  <r>
    <x v="40"/>
    <n v="2"/>
    <m/>
    <m/>
    <n v="22.547329400764834"/>
    <n v="20.278030574570963"/>
  </r>
  <r>
    <x v="40"/>
    <n v="3"/>
    <m/>
    <m/>
    <n v="22.547329400764834"/>
    <n v="20.278030574570963"/>
  </r>
  <r>
    <x v="40"/>
    <n v="4"/>
    <m/>
    <m/>
    <n v="22.547329400764834"/>
    <n v="20.278030574570963"/>
  </r>
  <r>
    <x v="40"/>
    <n v="5"/>
    <m/>
    <m/>
    <n v="22.547329400764834"/>
    <n v="20.278030574570963"/>
  </r>
  <r>
    <x v="40"/>
    <n v="6"/>
    <m/>
    <m/>
    <n v="22.547329400764834"/>
    <n v="20.278030574570963"/>
  </r>
  <r>
    <x v="40"/>
    <n v="7"/>
    <m/>
    <m/>
    <n v="22.547329400764834"/>
    <n v="20.278030574570963"/>
  </r>
  <r>
    <x v="40"/>
    <n v="8"/>
    <m/>
    <m/>
    <n v="22.547329400764834"/>
    <n v="20.278030574570963"/>
  </r>
  <r>
    <x v="40"/>
    <n v="9"/>
    <m/>
    <m/>
    <n v="22.547329400764834"/>
    <n v="20.278030574570963"/>
  </r>
  <r>
    <x v="40"/>
    <n v="10"/>
    <m/>
    <m/>
    <n v="22.547329400764834"/>
    <n v="20.278030574570963"/>
  </r>
  <r>
    <x v="40"/>
    <n v="11"/>
    <m/>
    <m/>
    <n v="22.547329400764834"/>
    <n v="20.278030574570963"/>
  </r>
  <r>
    <x v="40"/>
    <n v="12"/>
    <m/>
    <m/>
    <n v="22.547329400764834"/>
    <n v="20.278030574570963"/>
  </r>
  <r>
    <x v="41"/>
    <n v="1"/>
    <m/>
    <m/>
    <n v="23.111012635783954"/>
    <n v="20.683591186062383"/>
  </r>
  <r>
    <x v="41"/>
    <n v="2"/>
    <m/>
    <m/>
    <n v="23.111012635783954"/>
    <n v="20.683591186062383"/>
  </r>
  <r>
    <x v="41"/>
    <n v="3"/>
    <m/>
    <m/>
    <n v="23.111012635783954"/>
    <n v="20.683591186062383"/>
  </r>
  <r>
    <x v="41"/>
    <n v="4"/>
    <m/>
    <m/>
    <n v="23.111012635783954"/>
    <n v="20.683591186062383"/>
  </r>
  <r>
    <x v="41"/>
    <n v="5"/>
    <m/>
    <m/>
    <n v="23.111012635783954"/>
    <n v="20.683591186062383"/>
  </r>
  <r>
    <x v="41"/>
    <n v="6"/>
    <m/>
    <m/>
    <n v="23.111012635783954"/>
    <n v="20.683591186062383"/>
  </r>
  <r>
    <x v="41"/>
    <n v="7"/>
    <m/>
    <m/>
    <n v="23.111012635783954"/>
    <n v="20.683591186062383"/>
  </r>
  <r>
    <x v="41"/>
    <n v="8"/>
    <m/>
    <m/>
    <n v="23.111012635783954"/>
    <n v="20.683591186062383"/>
  </r>
  <r>
    <x v="41"/>
    <n v="9"/>
    <m/>
    <m/>
    <n v="23.111012635783954"/>
    <n v="20.683591186062383"/>
  </r>
  <r>
    <x v="41"/>
    <n v="10"/>
    <m/>
    <m/>
    <n v="23.111012635783954"/>
    <n v="20.683591186062383"/>
  </r>
  <r>
    <x v="41"/>
    <n v="11"/>
    <m/>
    <m/>
    <n v="23.111012635783954"/>
    <n v="20.683591186062383"/>
  </r>
  <r>
    <x v="41"/>
    <n v="12"/>
    <m/>
    <m/>
    <n v="23.111012635783954"/>
    <n v="20.68359118606238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8">
  <r>
    <x v="0"/>
    <n v="3.4119999999999999"/>
    <n v="6.6145431549056699"/>
    <n v="3.22"/>
    <n v="672.80825918693779"/>
    <n v="9.0326946012654545"/>
    <n v="10.100210866762"/>
    <n v="12.759999999999987"/>
    <n v="8.2767889420950311"/>
    <n v="0.86162231376373388"/>
    <n v="332.28448403002676"/>
    <n v="785.42382844601207"/>
    <n v="706.88144560141018"/>
    <n v="597.8861696134619"/>
    <n v="516.35370934786215"/>
    <n v="121.61550489098488"/>
    <n v="974.17608841809999"/>
    <n v="192.30104310978115"/>
    <n v="417.63542342875638"/>
    <n v="1994.4411425298797"/>
    <m/>
    <n v="2926.6635745911367"/>
  </r>
  <r>
    <x v="1"/>
    <n v="3.4119999999999999"/>
    <n v="6.65948938012379"/>
    <n v="3.2280000000000002"/>
    <n v="668.07399668742369"/>
    <n v="9.2484880402426786"/>
    <n v="10.242073513409206"/>
    <n v="12.863999999999988"/>
    <n v="8.3952412804142877"/>
    <n v="0.86373287526832121"/>
    <n v="332.19678296536182"/>
    <n v="773.24932431927755"/>
    <n v="695.9243918873492"/>
    <n v="591.15569892400902"/>
    <n v="508.12395663771969"/>
    <n v="120.50651716030856"/>
    <n v="969.00782764597238"/>
    <n v="195.52111265043322"/>
    <n v="424.14445165734008"/>
    <n v="1995.9372186985383"/>
    <m/>
    <n v="3033.7744795638791"/>
  </r>
  <r>
    <x v="2"/>
    <n v="3.4119999999999999"/>
    <n v="6.7044356053419101"/>
    <n v="3.2360000000000002"/>
    <n v="663.33973418790958"/>
    <n v="9.4642814792199026"/>
    <n v="10.383936160056413"/>
    <n v="12.967999999999989"/>
    <n v="8.5136936187335444"/>
    <n v="0.86584343677290854"/>
    <n v="332.10908190069688"/>
    <n v="761.07482019254303"/>
    <n v="684.96733817328823"/>
    <n v="584.42522823455613"/>
    <n v="499.89420392757722"/>
    <n v="119.39752942963224"/>
    <n v="963.83956687384477"/>
    <n v="198.7411821910853"/>
    <n v="430.65347988592379"/>
    <n v="1997.433294867197"/>
    <m/>
    <n v="3140.8853845366216"/>
  </r>
  <r>
    <x v="3"/>
    <n v="3.4119999999999999"/>
    <n v="6.7493818305600302"/>
    <n v="3.2440000000000002"/>
    <n v="658.60547168839548"/>
    <n v="9.6800749181971266"/>
    <n v="10.525798806703619"/>
    <n v="13.07199999999999"/>
    <n v="8.632145957052801"/>
    <n v="0.86795399827749586"/>
    <n v="332.02138083603194"/>
    <n v="748.90031606580851"/>
    <n v="674.01028445922725"/>
    <n v="577.69475754510324"/>
    <n v="491.66445121743476"/>
    <n v="118.28854169895592"/>
    <n v="958.67130610171716"/>
    <n v="201.96125173173738"/>
    <n v="437.16250811450749"/>
    <n v="1998.9293710358556"/>
    <m/>
    <n v="3247.996289509364"/>
  </r>
  <r>
    <x v="4"/>
    <n v="3.4119999999999999"/>
    <n v="6.7943280557781502"/>
    <n v="3.2520000000000002"/>
    <n v="653.87120918888138"/>
    <n v="9.8958683571743506"/>
    <n v="10.667661453350826"/>
    <n v="13.175999999999991"/>
    <n v="8.7505982953720576"/>
    <n v="0.87006455978208319"/>
    <n v="331.933679771367"/>
    <n v="736.72581193907399"/>
    <n v="663.05323074516627"/>
    <n v="570.96428685565036"/>
    <n v="483.4346985072923"/>
    <n v="117.17955396827961"/>
    <n v="953.50304532958955"/>
    <n v="205.18132127238945"/>
    <n v="443.67153634309119"/>
    <n v="2000.4254472045143"/>
    <m/>
    <n v="3355.1071944821065"/>
  </r>
  <r>
    <x v="5"/>
    <n v="3.4119999999999999"/>
    <n v="6.8392742809962703"/>
    <n v="3.2600000000000002"/>
    <n v="649.13694668936728"/>
    <n v="10.111661796151575"/>
    <n v="10.809524099998033"/>
    <n v="13.279999999999992"/>
    <n v="8.8690506336913142"/>
    <n v="0.87217512128667052"/>
    <n v="331.84597870670206"/>
    <n v="724.55130781233947"/>
    <n v="652.0961770311053"/>
    <n v="564.23381616619747"/>
    <n v="475.20494579714983"/>
    <n v="116.07056623760329"/>
    <n v="948.33478455746194"/>
    <n v="208.40139081304153"/>
    <n v="450.18056457167489"/>
    <n v="2001.9215233731729"/>
    <m/>
    <n v="3462.2180994548489"/>
  </r>
  <r>
    <x v="6"/>
    <n v="3.4119999999999999"/>
    <n v="6.8842205062143904"/>
    <n v="3.2680000000000002"/>
    <n v="644.40268418985318"/>
    <n v="10.327455235128799"/>
    <n v="10.951386746645239"/>
    <n v="13.383999999999993"/>
    <n v="8.9875029720105708"/>
    <n v="0.87428568279125785"/>
    <n v="331.75827764203711"/>
    <n v="712.37680368560495"/>
    <n v="641.13912331704432"/>
    <n v="557.50334547674458"/>
    <n v="466.97519308700737"/>
    <n v="114.96157850692697"/>
    <n v="943.16652378533433"/>
    <n v="211.62146035369361"/>
    <n v="456.68959280025859"/>
    <n v="2003.4175995418316"/>
    <m/>
    <n v="3569.3290044275914"/>
  </r>
  <r>
    <x v="7"/>
    <n v="3.4119999999999999"/>
    <n v="6.9291667314325105"/>
    <n v="3.2760000000000002"/>
    <n v="639.66842169033907"/>
    <n v="10.543248674106023"/>
    <n v="11.093249393292446"/>
    <n v="13.487999999999994"/>
    <n v="9.1059553103298274"/>
    <n v="0.87639624429584517"/>
    <n v="331.67057657737217"/>
    <n v="700.20229955887044"/>
    <n v="630.18206960298335"/>
    <n v="550.7728747872917"/>
    <n v="458.74544037686491"/>
    <n v="113.85259077625065"/>
    <n v="937.99826301320672"/>
    <n v="214.84152989434568"/>
    <n v="463.1986210288423"/>
    <n v="2004.9136757104902"/>
    <m/>
    <n v="3676.4399094003338"/>
  </r>
  <r>
    <x v="8"/>
    <n v="3.4119999999999999"/>
    <n v="6.9741129566506306"/>
    <n v="3.2840000000000003"/>
    <n v="634.93415919082497"/>
    <n v="10.759042113083247"/>
    <n v="11.235112039939652"/>
    <n v="13.591999999999995"/>
    <n v="9.224407648649084"/>
    <n v="0.8785068058004325"/>
    <n v="331.58287551270723"/>
    <n v="688.02779543213592"/>
    <n v="619.22501588892237"/>
    <n v="544.04240409783881"/>
    <n v="450.51568766672244"/>
    <n v="112.74360304557433"/>
    <n v="932.83000224107911"/>
    <n v="218.06159943499776"/>
    <n v="469.707649257426"/>
    <n v="2006.4097518791489"/>
    <m/>
    <n v="3783.5508143730763"/>
  </r>
  <r>
    <x v="9"/>
    <n v="3.4119999999999999"/>
    <n v="7.0190591818687507"/>
    <n v="3.2920000000000003"/>
    <n v="630.19989669131087"/>
    <n v="10.974835552060471"/>
    <n v="11.376974686586859"/>
    <n v="13.695999999999996"/>
    <n v="9.3428599869683406"/>
    <n v="0.88061736730501983"/>
    <n v="331.49517444804229"/>
    <n v="675.8532913054014"/>
    <n v="608.2679621748614"/>
    <n v="537.31193340838593"/>
    <n v="442.28593495657998"/>
    <n v="111.63461531489801"/>
    <n v="927.6617414689515"/>
    <n v="221.28166897564984"/>
    <n v="476.2166774860097"/>
    <n v="2007.9058280478075"/>
    <m/>
    <n v="3890.6617193458187"/>
  </r>
  <r>
    <x v="10"/>
    <n v="3.4119999999999999"/>
    <n v="7.0640054070868681"/>
    <n v="3.3"/>
    <n v="625.46563419179665"/>
    <n v="11.190628991037693"/>
    <n v="11.518837333234069"/>
    <n v="13.8"/>
    <n v="9.4613123252875919"/>
    <n v="0.88272792880960704"/>
    <n v="331.40747338337758"/>
    <n v="663.67878717866665"/>
    <n v="597.31090846079996"/>
    <n v="530.58146271893293"/>
    <n v="434.05618224643769"/>
    <n v="110.52562758422165"/>
    <n v="922.49348069682435"/>
    <n v="224.50173851630203"/>
    <n v="482.72570571459363"/>
    <n v="2009.4019042164659"/>
    <m/>
    <n v="3997.7726243185602"/>
  </r>
  <r>
    <x v="11"/>
    <n v="3.4119999999999999"/>
    <n v="7.1509267544549466"/>
    <n v="3.3015590000000001"/>
    <n v="608.1527330872525"/>
    <n v="11.401529818829824"/>
    <n v="11.725685088053469"/>
    <n v="13.886512"/>
    <n v="9.5224392825295894"/>
    <n v="0.88500750520619786"/>
    <n v="331.11625407322299"/>
    <n v="647.46748751540326"/>
    <n v="582.72073876386298"/>
    <n v="518.47639290197708"/>
    <n v="423.37992276068093"/>
    <n v="108.28898047912446"/>
    <n v="908.94754083650048"/>
    <n v="224.21212322543218"/>
    <n v="494.96475916607523"/>
    <n v="1994.2060049955637"/>
    <m/>
    <n v="4071.1647895096144"/>
  </r>
  <r>
    <x v="12"/>
    <n v="3.4119999999999999"/>
    <n v="7.2389176537546671"/>
    <n v="3.30253"/>
    <n v="590.83983198270835"/>
    <n v="11.616405325721676"/>
    <n v="11.93624727970673"/>
    <n v="13.954171000000001"/>
    <n v="9.5839611643627212"/>
    <n v="0.88729296843198968"/>
    <n v="330.9257571682009"/>
    <n v="631.65217193638227"/>
    <n v="568.48695474274405"/>
    <n v="506.64749691612809"/>
    <n v="413.03471971289258"/>
    <n v="106.05233337402728"/>
    <n v="895.40160097617661"/>
    <n v="223.92250793456233"/>
    <n v="507.20381261755682"/>
    <n v="1962.1164142451546"/>
    <m/>
    <n v="4217.4901363808576"/>
  </r>
  <r>
    <x v="13"/>
    <n v="3.4119999999999999"/>
    <n v="7.302377720492446"/>
    <n v="3.3036409999999998"/>
    <n v="573.52693087816419"/>
    <n v="11.802056259305916"/>
    <n v="12.08833891284468"/>
    <n v="13.997324000000001"/>
    <n v="9.6531179818082791"/>
    <n v="0.88925478972545646"/>
    <n v="331.30107414508501"/>
    <n v="617.91187523118072"/>
    <n v="556.12068770806263"/>
    <n v="497.00853788104638"/>
    <n v="404.74184677448062"/>
    <n v="103.81568626893011"/>
    <n v="881.85566111585274"/>
    <n v="223.63289264369249"/>
    <n v="519.44286606903836"/>
    <n v="1932.8784015467093"/>
    <m/>
    <n v="4282.0119933923825"/>
  </r>
  <r>
    <x v="14"/>
    <n v="3.4119999999999999"/>
    <n v="7.4469618234936279"/>
    <n v="3.3131979999999999"/>
    <n v="556.21402977362004"/>
    <n v="12.111568890511583"/>
    <n v="12.357536678854581"/>
    <n v="14.100529"/>
    <n v="9.7274060500263637"/>
    <n v="0.8924520000414683"/>
    <n v="330.07754356289564"/>
    <n v="604.50392112234965"/>
    <n v="544.05352901011474"/>
    <n v="487.85587729521859"/>
    <n v="394.81578406430697"/>
    <n v="101.57903916383293"/>
    <n v="868.30972125552887"/>
    <n v="223.34327735282264"/>
    <n v="531.68191952051995"/>
    <n v="1889.2139181923412"/>
    <m/>
    <n v="4307.3495057401396"/>
  </r>
  <r>
    <x v="15"/>
    <n v="3.4119999999999999"/>
    <n v="7.5579488575039955"/>
    <n v="3.3880159999999999"/>
    <n v="538.90112866907589"/>
    <n v="12.378665525149154"/>
    <n v="12.614787706568169"/>
    <n v="14.824436"/>
    <n v="9.8066675844966884"/>
    <n v="0.89494059863781383"/>
    <n v="330.26058639828216"/>
    <n v="591.85248951264384"/>
    <n v="532.66724056137946"/>
    <n v="479.45148196275602"/>
    <n v="386.25915595615032"/>
    <n v="99.342392058735754"/>
    <n v="854.763781395205"/>
    <n v="223.05366206195279"/>
    <n v="543.92097297200155"/>
    <n v="1865.6788210078303"/>
    <m/>
    <n v="4268.1226930839966"/>
  </r>
  <r>
    <x v="16"/>
    <n v="3.4119999999999999"/>
    <n v="7.5714163701222743"/>
    <n v="3.4313090000000002"/>
    <n v="521.58822756453208"/>
    <n v="12.463080238937028"/>
    <n v="12.680915008767705"/>
    <n v="15.217358000000001"/>
    <n v="9.8741992696547687"/>
    <n v="0.89628488788144389"/>
    <n v="329.85134261423076"/>
    <n v="581.11669764603766"/>
    <n v="523.00502788143388"/>
    <n v="472.68560384871955"/>
    <n v="378.4903821942803"/>
    <n v="97.105744953638549"/>
    <n v="841.21784153488113"/>
    <n v="222.76404677108295"/>
    <n v="556.16002642348315"/>
    <n v="1818.8624107485023"/>
    <m/>
    <n v="4266.4474007373328"/>
  </r>
  <r>
    <x v="17"/>
    <n v="3.4119999999999999"/>
    <n v="7.6178553973680234"/>
    <n v="3.4590559999999999"/>
    <n v="499.45843221443903"/>
    <n v="12.610954691482007"/>
    <n v="12.790951865091673"/>
    <n v="15.475415999999999"/>
    <n v="9.9418246440066174"/>
    <n v="0.8979712989076909"/>
    <n v="331.36141135862437"/>
    <n v="572.006354242724"/>
    <n v="514.80571881845162"/>
    <n v="467.14811296909187"/>
    <n v="372.63790918317289"/>
    <n v="94.708031475446276"/>
    <n v="827.67190167455692"/>
    <n v="222.47443148021304"/>
    <n v="568.39907987496463"/>
    <n v="1797.2757481829826"/>
    <m/>
    <n v="4297.3542156431349"/>
  </r>
  <r>
    <x v="18"/>
    <n v="3.4119999999999999"/>
    <n v="7.6654421259684886"/>
    <n v="3.4801530000000001"/>
    <n v="488.51412650213001"/>
    <n v="12.751851183406297"/>
    <n v="12.901668223589098"/>
    <n v="15.677279"/>
    <n v="10.005839215101393"/>
    <n v="0.89972220862440766"/>
    <n v="330.64722634540823"/>
    <n v="563.91505667829995"/>
    <n v="507.52355101046999"/>
    <n v="462.02771229636926"/>
    <n v="363.84300670541199"/>
    <n v="91.878092906421344"/>
    <n v="815.86445548581162"/>
    <n v="221.84023210125414"/>
    <n v="576.46895799881497"/>
    <n v="1573.9481557582549"/>
    <m/>
    <n v="4299.3780605789443"/>
  </r>
  <r>
    <x v="19"/>
    <n v="3.4119999999999999"/>
    <n v="7.7059003345348707"/>
    <n v="3.495698"/>
    <n v="478.76667382776276"/>
    <n v="12.878074814699044"/>
    <n v="12.996027578247961"/>
    <n v="15.826098999999999"/>
    <n v="10.211785920877965"/>
    <n v="0.90140245620864856"/>
    <n v="330.67242878060813"/>
    <n v="545.67366719453264"/>
    <n v="491.10630047507937"/>
    <n v="454.11836854776146"/>
    <n v="356.5337535473372"/>
    <n v="89.320606806414332"/>
    <n v="804.44644550360329"/>
    <n v="221.47803551729379"/>
    <n v="585.63411049743127"/>
    <n v="1484.1432935859859"/>
    <m/>
    <n v="4348.1333795286018"/>
  </r>
  <r>
    <x v="20"/>
    <n v="3.4119999999999999"/>
    <n v="7.8387325465471704"/>
    <n v="3.50861"/>
    <n v="469.20530508386429"/>
    <n v="13.138373175403679"/>
    <n v="13.247079244027672"/>
    <n v="15.950364"/>
    <n v="10.324847527955672"/>
    <n v="0.91536854940737056"/>
    <n v="330.71056486493057"/>
    <n v="534.21468321252462"/>
    <n v="480.79321489127216"/>
    <n v="448.55981214949412"/>
    <n v="349.621366750763"/>
    <n v="86.671267163192766"/>
    <n v="789.97207818690231"/>
    <n v="221.23286660026929"/>
    <n v="593.78906159250687"/>
    <n v="1432.8602460861189"/>
    <m/>
    <n v="4394.4722488570169"/>
  </r>
  <r>
    <x v="21"/>
    <n v="3.4119999999999999"/>
    <n v="7.9123995670631304"/>
    <n v="3.5193159999999999"/>
    <n v="460.80141953108614"/>
    <n v="13.311284566269569"/>
    <n v="13.392730273524553"/>
    <n v="16.053467000000001"/>
    <n v="10.422133705949232"/>
    <n v="0.92228773719655299"/>
    <n v="331.7408410556875"/>
    <n v="523.74696086204528"/>
    <n v="471.37226477584079"/>
    <n v="443.56034491393473"/>
    <n v="344.27768549243234"/>
    <n v="84.077648389412488"/>
    <n v="776.50114529808343"/>
    <n v="221.16242480581636"/>
    <n v="603.54902549531459"/>
    <n v="1400.0557484766291"/>
    <m/>
    <n v="4451.0655384659776"/>
  </r>
  <r>
    <x v="22"/>
    <n v="3.4119999999999999"/>
    <n v="7.9798498222430796"/>
    <n v="3.5227819999999999"/>
    <n v="448.9680588574933"/>
    <n v="13.467351130942429"/>
    <n v="13.526187078456436"/>
    <n v="16.093312999999998"/>
    <n v="10.509140481611231"/>
    <n v="0.92886814738333401"/>
    <n v="330.71991389870954"/>
    <n v="514.24394680031855"/>
    <n v="462.81955212028669"/>
    <n v="439.13899391397274"/>
    <n v="337.58189096149357"/>
    <n v="81.013387467327419"/>
    <n v="756.07411269173133"/>
    <n v="219.01356061798984"/>
    <n v="609.77760735319009"/>
    <n v="1365.1062828763347"/>
    <n v="-2.4962909968636704E-2"/>
    <n v="4482.8025509059607"/>
  </r>
  <r>
    <x v="23"/>
    <n v="3.4119999999999999"/>
    <n v="8.0406899700096481"/>
    <n v="3.5268039999999998"/>
    <n v="438.64933343630025"/>
    <n v="13.60481137872558"/>
    <n v="13.645944257636755"/>
    <n v="16.138203000000001"/>
    <n v="10.592155525540097"/>
    <n v="0.93537774623941372"/>
    <n v="330.60680978363189"/>
    <n v="505.45953644476799"/>
    <n v="454.91358280029118"/>
    <n v="435.22116351054132"/>
    <n v="332.74292029568323"/>
    <n v="78.092325966999098"/>
    <n v="738.97511995197067"/>
    <n v="217.5062407325257"/>
    <n v="617.5355605659513"/>
    <n v="1340.8743680735377"/>
    <n v="-1.7750936397230133E-2"/>
    <n v="4538.935816731233"/>
  </r>
  <r>
    <x v="24"/>
    <n v="3.4119999999999999"/>
    <n v="8.097919671547853"/>
    <n v="3.5309159999999999"/>
    <n v="428.49068464517916"/>
    <n v="13.730995849146662"/>
    <n v="13.757258943764725"/>
    <n v="16.182312"/>
    <n v="10.669701489609984"/>
    <n v="0.94157686041445254"/>
    <n v="330.55294722110727"/>
    <n v="497.34026418637325"/>
    <n v="447.60623776773593"/>
    <n v="431.67782190624621"/>
    <n v="328.78692724967812"/>
    <n v="75.547186339676443"/>
    <n v="724.24061724552689"/>
    <n v="216.24502078549645"/>
    <n v="624.34485359478913"/>
    <n v="1321.9903250769321"/>
    <n v="-1.4083379805176377E-2"/>
    <n v="4611.419753530774"/>
  </r>
  <r>
    <x v="25"/>
    <n v="3.4119999999999999"/>
    <n v="8.1442056963501859"/>
    <n v="3.5525690000000001"/>
    <n v="419.96632373958204"/>
    <n v="13.856800920134059"/>
    <n v="13.854035504868611"/>
    <n v="16.343616000000001"/>
    <n v="10.73640826694389"/>
    <n v="0.9476431484775153"/>
    <n v="331.47817747684871"/>
    <n v="489.66660590760102"/>
    <n v="440.69994531684091"/>
    <n v="428.54515812200174"/>
    <n v="326.45875537598249"/>
    <n v="73.557104440479094"/>
    <n v="714.10506721254205"/>
    <n v="215.98241467192588"/>
    <n v="632.1738356474624"/>
    <n v="1269.755719250777"/>
    <n v="-3.9512093874904397E-2"/>
    <n v="4703.31521126594"/>
  </r>
  <r>
    <x v="26"/>
    <n v="3.4119999999999999"/>
    <n v="8.190389842037554"/>
    <n v="3.571126"/>
    <n v="409.20794973943828"/>
    <n v="13.962350937101309"/>
    <n v="13.945349522989035"/>
    <n v="16.477599999999999"/>
    <n v="10.794933364893012"/>
    <n v="0.95346645711965128"/>
    <n v="330.49955641127411"/>
    <n v="482.48162171628343"/>
    <n v="434.23345954465509"/>
    <n v="425.67586007042604"/>
    <n v="323.00687117341255"/>
    <n v="71.580049523243872"/>
    <n v="702.11188868464501"/>
    <n v="214.87369112535382"/>
    <n v="635.68338378535623"/>
    <n v="1238.8641198064383"/>
    <n v="-2.4328773618414012E-2"/>
    <n v="4769.3422936381139"/>
  </r>
  <r>
    <x v="27"/>
    <n v="3.4119999999999999"/>
    <n v="8.2332268822196752"/>
    <n v="3.5890789999999999"/>
    <n v="399.99777718645038"/>
    <n v="14.056521674320575"/>
    <n v="14.029313704122087"/>
    <n v="16.606939000000001"/>
    <n v="10.848665500903758"/>
    <n v="0.95919143200787138"/>
    <n v="330.49845894926551"/>
    <n v="475.9490726916689"/>
    <n v="428.35416542250204"/>
    <n v="423.01941682911723"/>
    <n v="321.08715964599293"/>
    <n v="70.269077300066343"/>
    <n v="694.36081355544411"/>
    <n v="214.64096812911305"/>
    <n v="640.46196297382551"/>
    <n v="1219.4333830649186"/>
    <n v="-1.5684316327246317E-2"/>
    <n v="4846.6956681214724"/>
  </r>
  <r>
    <x v="28"/>
    <n v="3.4119999999999999"/>
    <n v="8.2697894035397219"/>
    <n v="3.6062970000000001"/>
    <n v="390.91180449753591"/>
    <n v="14.136098504584176"/>
    <n v="14.101060796918411"/>
    <n v="16.730574000000001"/>
    <n v="10.899056144516432"/>
    <n v="0.9646849986418109"/>
    <n v="330.55121730146027"/>
    <n v="470.13786233879659"/>
    <n v="423.12407610491692"/>
    <n v="420.62805703977875"/>
    <n v="319.55444708637162"/>
    <n v="69.492706259570554"/>
    <n v="688.81210476729075"/>
    <n v="214.80559204893063"/>
    <n v="644.3605745394625"/>
    <n v="1205.6044323480062"/>
    <n v="-1.1340472475958374E-2"/>
    <n v="4933.1468940860677"/>
  </r>
  <r>
    <x v="29"/>
    <n v="3.4119999999999999"/>
    <n v="8.3010546150143298"/>
    <n v="3.623122"/>
    <n v="383.06877552965955"/>
    <n v="14.202269064005705"/>
    <n v="14.162568346324433"/>
    <n v="16.850977"/>
    <n v="10.943632750534501"/>
    <n v="0.97012409558935375"/>
    <n v="331.51235626754573"/>
    <n v="465.03036657069157"/>
    <n v="418.5273299136224"/>
    <n v="418.50725969556311"/>
    <n v="319.29192758826025"/>
    <n v="69.270346446215157"/>
    <n v="686.87307163244111"/>
    <n v="215.76662123037423"/>
    <n v="649.73602395822979"/>
    <n v="1198.4258865858853"/>
    <n v="-5.9543126829254556E-3"/>
    <n v="5031.9627347048136"/>
  </r>
  <r>
    <x v="30"/>
    <n v="3.4119999999999999"/>
    <n v="8.3275989943828534"/>
    <n v="3.6397010000000001"/>
    <n v="372.89261827547023"/>
    <n v="14.257660809486611"/>
    <n v="14.214877761536375"/>
    <n v="16.969263000000002"/>
    <n v="10.981582822701254"/>
    <n v="0.97538625690068848"/>
    <n v="330.5724525297955"/>
    <n v="460.59611535548845"/>
    <n v="414.53650381993964"/>
    <n v="416.42666994176869"/>
    <n v="317.48873805314884"/>
    <n v="69.088351765119057"/>
    <n v="681.83158310216493"/>
    <n v="215.3838096456148"/>
    <n v="651.11539399671483"/>
    <n v="1185.1242283098265"/>
    <n v="-1.109927482787687E-2"/>
    <n v="5106.3784194892005"/>
  </r>
  <r>
    <x v="31"/>
    <n v="3.4119999999999999"/>
    <n v="8.3494125211931092"/>
    <n v="3.6560069999999998"/>
    <n v="363.40195405575997"/>
    <n v="14.30328424720304"/>
    <n v="14.258012834356226"/>
    <n v="17.085235999999998"/>
    <n v="11.012506139039157"/>
    <n v="0.98007867816816163"/>
    <n v="330.42019434888834"/>
    <n v="456.87448998397741"/>
    <n v="411.1870409855797"/>
    <n v="414.52127371504622"/>
    <n v="316.75906844902772"/>
    <n v="69.096914198654005"/>
    <n v="679.14419471165479"/>
    <n v="215.32643186869478"/>
    <n v="653.82267965171081"/>
    <n v="1174.6918590547461"/>
    <n v="-8.8027643059483962E-3"/>
    <n v="5194.1820392811978"/>
  </r>
  <r>
    <x v="32"/>
    <n v="3.4119999999999999"/>
    <n v="8.3668992443359684"/>
    <n v="3.6720199999999998"/>
    <n v="354.01670363087203"/>
    <n v="14.33977331883257"/>
    <n v="14.292741239117538"/>
    <n v="17.198823999999998"/>
    <n v="11.0365098007554"/>
    <n v="0.98429763655557467"/>
    <n v="330.22830310790187"/>
    <n v="453.87905072495818"/>
    <n v="408.49114565246236"/>
    <n v="412.76444890663794"/>
    <n v="316.18866387824568"/>
    <n v="69.102726492425504"/>
    <n v="677.29312871746174"/>
    <n v="215.32191801218977"/>
    <n v="656.22281892092496"/>
    <n v="1165.1227952647812"/>
    <n v="-8.1460203509582385E-3"/>
    <n v="5275.6032530634193"/>
  </r>
  <r>
    <x v="33"/>
    <n v="3.4119999999999999"/>
    <n v="8.3820133515158552"/>
    <n v="3.6878350000000002"/>
    <n v="345.61365104914455"/>
    <n v="14.371698710856524"/>
    <n v="14.322822084287804"/>
    <n v="17.310966000000001"/>
    <n v="11.053065298474133"/>
    <n v="0.98810952618150916"/>
    <n v="330.93029938973899"/>
    <n v="451.27329007356576"/>
    <n v="406.14596106620917"/>
    <n v="411.15410932159227"/>
    <n v="316.62927262134241"/>
    <n v="69.292832204904883"/>
    <n v="677.47048870015078"/>
    <n v="215.97685260711106"/>
    <n v="660.42299242267268"/>
    <n v="1159.4596184884074"/>
    <n v="-4.8605836220780851E-3"/>
    <n v="5359.256897805185"/>
  </r>
  <r>
    <x v="34"/>
    <n v="3.4119999999999999"/>
    <n v="8.3945062409389717"/>
    <n v="3.7035469999999999"/>
    <n v="335.31520701696746"/>
    <n v="14.398754962505095"/>
    <n v="14.347722981616645"/>
    <n v="17.422353999999999"/>
    <n v="11.06150710486053"/>
    <n v="0.99146862554272841"/>
    <n v="329.81921028319863"/>
    <n v="448.92414645913277"/>
    <n v="404.03173181321949"/>
    <n v="409.68696562672051"/>
    <n v="315.48431158699367"/>
    <n v="69.10064719926315"/>
    <n v="674.29231234221595"/>
    <n v="215.54449635579306"/>
    <n v="660.41878387762711"/>
    <n v="1148.3961477918631"/>
    <n v="-9.5419198048206644E-3"/>
    <n v="5409.8047095777374"/>
  </r>
  <r>
    <x v="35"/>
    <n v="3.4119999999999999"/>
    <n v="8.405648247040185"/>
    <n v="3.7192210000000001"/>
    <n v="326.32083832269967"/>
    <n v="14.421297347885083"/>
    <n v="14.374589757458491"/>
    <n v="17.533472"/>
    <n v="11.061324610560973"/>
    <n v="0.99435966112915053"/>
    <n v="329.70775549960115"/>
    <n v="446.81914432469313"/>
    <n v="402.13722989222384"/>
    <n v="408.35116049756937"/>
    <n v="315.35039504397855"/>
    <n v="69.099013800494049"/>
    <n v="674.08999057112578"/>
    <n v="216.09082431746859"/>
    <n v="661.87033342277857"/>
    <n v="1142.7026533663559"/>
    <n v="-4.9577791047581421E-3"/>
    <n v="5480.87412810562"/>
  </r>
  <r>
    <x v="36"/>
    <n v="3.4119999999999999"/>
    <n v="8.4157941304593287"/>
    <n v="3.7342439999999999"/>
    <n v="317.27929729435795"/>
    <n v="14.442716324292093"/>
    <n v="14.396076002539097"/>
    <n v="17.640267999999999"/>
    <n v="11.061161808558927"/>
    <n v="0.99678594057528325"/>
    <n v="329.59197692239553"/>
    <n v="444.93363732543077"/>
    <n v="400.44027359288771"/>
    <n v="407.18001880876142"/>
    <n v="315.35075649430536"/>
    <n v="69.098269733041036"/>
    <n v="673.74294545438158"/>
    <n v="216.56805681692848"/>
    <n v="662.45367395940343"/>
    <n v="1138.2527795901376"/>
    <n v="-3.8941659609428303E-3"/>
    <n v="5552.877196279107"/>
  </r>
  <r>
    <x v="37"/>
    <n v="3.4119999999999999"/>
    <n v="8.4249576911533275"/>
    <n v="3.7486199999999998"/>
    <n v="309.0327885386979"/>
    <n v="14.463387768104882"/>
    <n v="14.415573627853872"/>
    <n v="17.742751999999999"/>
    <n v="11.060984269870238"/>
    <n v="0.99883765299838911"/>
    <n v="330.38425668389834"/>
    <n v="443.23224032927942"/>
    <n v="398.90901629635147"/>
    <n v="406.16617227636692"/>
    <n v="316.21501157090557"/>
    <n v="69.287929119915759"/>
    <n v="676.01698519000036"/>
    <n v="217.86563789678891"/>
    <n v="664.09491960269349"/>
    <n v="1139.0083511970365"/>
    <n v="6.6379948324923888E-4"/>
    <n v="5625.826179594088"/>
  </r>
  <r>
    <x v="38"/>
    <n v="3.4119999999999999"/>
    <n v="8.4317027270645557"/>
    <n v="3.7624629999999999"/>
    <n v="299.08207866584496"/>
    <n v="14.479360058071141"/>
    <n v="14.430632056057418"/>
    <n v="17.841685999999999"/>
    <n v="11.060819877644116"/>
    <n v="1.000515791422204"/>
    <n v="329.30082876880681"/>
    <n v="441.72625620838903"/>
    <n v="397.55363058755012"/>
    <n v="405.24884432213236"/>
    <n v="315.35133277187407"/>
    <n v="69.099841707048881"/>
    <n v="674.18015291632946"/>
    <n v="217.82135298035433"/>
    <n v="662.19985842912183"/>
    <n v="1133.2958452543965"/>
    <n v="-5.0153327994799657E-3"/>
    <n v="5699.7335046801154"/>
  </r>
  <r>
    <x v="39"/>
    <n v="3.4119999999999999"/>
    <n v="8.436276245805697"/>
    <n v="3.7758560000000001"/>
    <n v="289.94106646626875"/>
    <n v="14.490826281137791"/>
    <n v="14.441786791770996"/>
    <n v="17.937657999999999"/>
    <n v="11.060728336680551"/>
    <n v="1.0017630316729063"/>
    <n v="329.08521921166783"/>
    <n v="440.43760058613827"/>
    <n v="396.39384052752445"/>
    <n v="404.44344892440404"/>
    <n v="315.35172316890521"/>
    <n v="69.101084056966499"/>
    <n v="674.11916095875756"/>
    <n v="218.30877179722594"/>
    <n v="662.10923900502735"/>
    <n v="1130.9268049418979"/>
    <n v="-2.0903988331191226E-3"/>
    <n v="5774.6117614172472"/>
  </r>
  <r>
    <x v="40"/>
    <n v="3.4119999999999999"/>
    <n v="8.4384683863519196"/>
    <n v="3.7888030000000001"/>
    <n v="281.05143254228147"/>
    <n v="14.497546310944491"/>
    <n v="14.448640967099756"/>
    <n v="18.030645"/>
    <n v="11.060691187179341"/>
    <n v="1.0025683368435454"/>
    <n v="329.01940173233208"/>
    <n v="439.3508566860047"/>
    <n v="395.41577101740427"/>
    <n v="403.74965954711087"/>
    <n v="315.35202464956387"/>
    <n v="69.102773757170596"/>
    <n v="675.82131711470868"/>
    <n v="219.32918139597865"/>
    <n v="661.47069408085599"/>
    <n v="1131.8971653838944"/>
    <n v="8.5802232094622788E-4"/>
    <n v="5850.4737050806871"/>
  </r>
  <r>
    <x v="41"/>
    <n v="3.4119999999999999"/>
    <n v="8.4406605268981423"/>
    <n v="3.8017500000000002"/>
    <n v="272.43435604613853"/>
    <n v="14.504266340751192"/>
    <n v="14.455495142428516"/>
    <n v="18.123632000000001"/>
    <n v="11.06065403767813"/>
    <n v="1.0033736420141846"/>
    <n v="328.95359741657933"/>
    <n v="438.26411278587113"/>
    <n v="394.43770150728403"/>
    <n v="403.05587016981769"/>
    <n v="315.35232613051073"/>
    <n v="69.104463498692226"/>
    <n v="677.52777122827206"/>
    <n v="220.35436054998397"/>
    <n v="660.83276497594238"/>
    <n v="1132.8683584168095"/>
    <m/>
    <n v="5927.3322585136057"/>
  </r>
  <r>
    <x v="42"/>
    <n v="3.4119999999999999"/>
    <n v="8.4428526674443649"/>
    <n v="3.8146970000000002"/>
    <n v="264.08148032872396"/>
    <n v="14.510986370557893"/>
    <n v="14.462349317757276"/>
    <n v="18.216619000000001"/>
    <n v="11.06061688817692"/>
    <n v="1.0041789471848237"/>
    <n v="328.88780626177669"/>
    <n v="437.17736888573756"/>
    <n v="393.4596319971638"/>
    <n v="402.36208079252452"/>
    <n v="315.35262761174585"/>
    <n v="69.106153281532414"/>
    <n v="679.23853415182384"/>
    <n v="221.38433155289479"/>
    <n v="660.19545109638432"/>
    <n v="1133.8403847550246"/>
    <m/>
    <n v="6005.2005143285196"/>
  </r>
  <r>
    <x v="43"/>
    <n v="3.4119999999999999"/>
    <n v="8.4450448079905875"/>
    <n v="3.8276440000000003"/>
    <n v="255.98470495696014"/>
    <n v="14.517706400364593"/>
    <n v="14.469203493086036"/>
    <n v="18.309606000000002"/>
    <n v="11.06057973867571"/>
    <n v="1.0049842523554628"/>
    <n v="328.8220282652922"/>
    <n v="436.09062498560399"/>
    <n v="392.48156248704362"/>
    <n v="401.66829141523135"/>
    <n v="315.35292909326915"/>
    <n v="69.107843105692154"/>
    <n v="680.95361676514312"/>
    <n v="222.41911680256794"/>
    <n v="659.55875184885201"/>
    <n v="1134.813245113535"/>
    <m/>
    <n v="6084.0917371375544"/>
  </r>
  <r>
    <x v="44"/>
    <n v="3.4119999999999999"/>
    <n v="8.4472369485368102"/>
    <n v="3.8405910000000003"/>
    <n v="248.13617785818846"/>
    <n v="14.524426430171294"/>
    <n v="14.476057668414796"/>
    <n v="18.402593000000003"/>
    <n v="11.060542589174499"/>
    <n v="1.005789557526102"/>
    <n v="328.75626342449397"/>
    <n v="435.00388108547043"/>
    <n v="391.50349297692338"/>
    <n v="400.97450203793818"/>
    <n v="315.35323057508066"/>
    <n v="69.10953297117247"/>
    <n v="682.67302997548063"/>
    <n v="223.45873880155131"/>
    <n v="658.9226666405882"/>
    <n v="1135.7869402079475"/>
    <m/>
    <n v="6164.0193658120461"/>
  </r>
  <r>
    <x v="45"/>
    <n v="3.4119999999999999"/>
    <n v="8.4494290890830328"/>
    <n v="3.8535380000000004"/>
    <n v="240.52828770540347"/>
    <n v="14.531146459977995"/>
    <n v="14.482911843743556"/>
    <n v="18.495580000000004"/>
    <n v="11.060505439673289"/>
    <n v="1.0065948626967411"/>
    <n v="328.69051173675098"/>
    <n v="433.91713718533686"/>
    <n v="390.5254234668032"/>
    <n v="400.28071266064501"/>
    <n v="315.35353205718042"/>
    <n v="69.111222877974356"/>
    <n v="684.39678471762738"/>
    <n v="224.50322015757334"/>
    <n v="658.28719487940702"/>
    <n v="1136.7614707544849"/>
    <m/>
    <n v="6244.9970157718099"/>
  </r>
  <r>
    <x v="46"/>
    <n v="3.4119999999999999"/>
    <n v="8.4516212296292554"/>
    <n v="3.8664850000000004"/>
    <n v="233.15365653595757"/>
    <n v="14.537866489784696"/>
    <n v="14.489766019072317"/>
    <n v="18.588567000000005"/>
    <n v="11.060468290172079"/>
    <n v="1.0074001678673803"/>
    <n v="328.62477319943252"/>
    <n v="432.83039328520329"/>
    <n v="389.54735395668297"/>
    <n v="399.58692328335184"/>
    <n v="315.35383353956837"/>
    <n v="69.112912826098835"/>
    <n v="686.12489195398507"/>
    <n v="225.55258358403458"/>
    <n v="657.65233597369388"/>
    <n v="1137.7368374699838"/>
    <m/>
    <n v="6327.0384813044739"/>
  </r>
  <r>
    <x v="47"/>
    <n v="3.4119999999999999"/>
    <n v="8.4538133701754781"/>
    <n v="3.8794320000000004"/>
    <n v="226.00513259657671"/>
    <n v="14.544586519591396"/>
    <n v="14.496620194401077"/>
    <n v="18.681554000000006"/>
    <n v="11.060431140670868"/>
    <n v="1.0082054730380194"/>
    <n v="328.55904780990846"/>
    <n v="431.74364938506972"/>
    <n v="388.56928444656273"/>
    <n v="398.89313390605867"/>
    <n v="315.35413502224458"/>
    <n v="69.114602815546931"/>
    <n v="687.85736267463608"/>
    <n v="226.60685190050145"/>
    <n v="657.01808933240477"/>
    <n v="1138.7130410718958"/>
    <m/>
    <n v="6409.28998156143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8">
  <r>
    <x v="0"/>
    <n v="3.4119999999999999"/>
    <n v="6.6145431549056699"/>
    <n v="3.22"/>
    <n v="672.80825918693779"/>
    <n v="9.0326946012654545"/>
    <n v="10.100210866762"/>
    <n v="12.759999999999987"/>
    <n v="8.2767889420950311"/>
    <n v="0.86162231376373388"/>
    <n v="332.28448403002676"/>
    <n v="785.42382844601207"/>
    <n v="706.88144560141018"/>
    <n v="597.8861696134619"/>
    <n v="516.35370934786215"/>
    <n v="121.61550489098488"/>
    <n v="974.17608841809999"/>
    <n v="192.30104310978115"/>
    <n v="417.63542342875638"/>
    <n v="1994.4411425298797"/>
    <m/>
    <n v="2926.6635745911367"/>
  </r>
  <r>
    <x v="1"/>
    <n v="3.4119999999999999"/>
    <n v="6.65948938012379"/>
    <n v="3.2280000000000002"/>
    <n v="668.07399668742369"/>
    <n v="9.2484880402426786"/>
    <n v="10.242073513409206"/>
    <n v="12.863999999999988"/>
    <n v="8.3952412804142877"/>
    <n v="0.86373287526832121"/>
    <n v="332.19678296536182"/>
    <n v="773.24932431927755"/>
    <n v="695.9243918873492"/>
    <n v="591.15569892400902"/>
    <n v="508.12395663771969"/>
    <n v="120.50651716030856"/>
    <n v="969.00782764597238"/>
    <n v="195.52111265043322"/>
    <n v="424.14445165734008"/>
    <n v="1995.9372186985383"/>
    <m/>
    <n v="3033.7744795638791"/>
  </r>
  <r>
    <x v="2"/>
    <n v="3.4119999999999999"/>
    <n v="6.7044356053419101"/>
    <n v="3.2360000000000002"/>
    <n v="663.33973418790958"/>
    <n v="9.4642814792199026"/>
    <n v="10.383936160056413"/>
    <n v="12.967999999999989"/>
    <n v="8.5136936187335444"/>
    <n v="0.86584343677290854"/>
    <n v="332.10908190069688"/>
    <n v="761.07482019254303"/>
    <n v="684.96733817328823"/>
    <n v="584.42522823455613"/>
    <n v="499.89420392757722"/>
    <n v="119.39752942963224"/>
    <n v="963.83956687384477"/>
    <n v="198.7411821910853"/>
    <n v="430.65347988592379"/>
    <n v="1997.433294867197"/>
    <m/>
    <n v="3140.8853845366216"/>
  </r>
  <r>
    <x v="3"/>
    <n v="3.4119999999999999"/>
    <n v="6.7493818305600302"/>
    <n v="3.2440000000000002"/>
    <n v="658.60547168839548"/>
    <n v="9.6800749181971266"/>
    <n v="10.525798806703619"/>
    <n v="13.07199999999999"/>
    <n v="8.632145957052801"/>
    <n v="0.86795399827749586"/>
    <n v="332.02138083603194"/>
    <n v="748.90031606580851"/>
    <n v="674.01028445922725"/>
    <n v="577.69475754510324"/>
    <n v="491.66445121743476"/>
    <n v="118.28854169895592"/>
    <n v="958.67130610171716"/>
    <n v="201.96125173173738"/>
    <n v="437.16250811450749"/>
    <n v="1998.9293710358556"/>
    <m/>
    <n v="3247.996289509364"/>
  </r>
  <r>
    <x v="4"/>
    <n v="3.4119999999999999"/>
    <n v="6.7943280557781502"/>
    <n v="3.2520000000000002"/>
    <n v="653.87120918888138"/>
    <n v="9.8958683571743506"/>
    <n v="10.667661453350826"/>
    <n v="13.175999999999991"/>
    <n v="8.7505982953720576"/>
    <n v="0.87006455978208319"/>
    <n v="331.933679771367"/>
    <n v="736.72581193907399"/>
    <n v="663.05323074516627"/>
    <n v="570.96428685565036"/>
    <n v="483.4346985072923"/>
    <n v="117.17955396827961"/>
    <n v="953.50304532958955"/>
    <n v="205.18132127238945"/>
    <n v="443.67153634309119"/>
    <n v="2000.4254472045143"/>
    <m/>
    <n v="3355.1071944821065"/>
  </r>
  <r>
    <x v="5"/>
    <n v="3.4119999999999999"/>
    <n v="6.8392742809962703"/>
    <n v="3.2600000000000002"/>
    <n v="649.13694668936728"/>
    <n v="10.111661796151575"/>
    <n v="10.809524099998033"/>
    <n v="13.279999999999992"/>
    <n v="8.8690506336913142"/>
    <n v="0.87217512128667052"/>
    <n v="331.84597870670206"/>
    <n v="724.55130781233947"/>
    <n v="652.0961770311053"/>
    <n v="564.23381616619747"/>
    <n v="475.20494579714983"/>
    <n v="116.07056623760329"/>
    <n v="948.33478455746194"/>
    <n v="208.40139081304153"/>
    <n v="450.18056457167489"/>
    <n v="2001.9215233731729"/>
    <m/>
    <n v="3462.2180994548489"/>
  </r>
  <r>
    <x v="6"/>
    <n v="3.4119999999999999"/>
    <n v="6.8842205062143904"/>
    <n v="3.2680000000000002"/>
    <n v="644.40268418985318"/>
    <n v="10.327455235128799"/>
    <n v="10.951386746645239"/>
    <n v="13.383999999999993"/>
    <n v="8.9875029720105708"/>
    <n v="0.87428568279125785"/>
    <n v="331.75827764203711"/>
    <n v="712.37680368560495"/>
    <n v="641.13912331704432"/>
    <n v="557.50334547674458"/>
    <n v="466.97519308700737"/>
    <n v="114.96157850692697"/>
    <n v="943.16652378533433"/>
    <n v="211.62146035369361"/>
    <n v="456.68959280025859"/>
    <n v="2003.4175995418316"/>
    <m/>
    <n v="3569.3290044275914"/>
  </r>
  <r>
    <x v="7"/>
    <n v="3.4119999999999999"/>
    <n v="6.9291667314325105"/>
    <n v="3.2760000000000002"/>
    <n v="639.66842169033907"/>
    <n v="10.543248674106023"/>
    <n v="11.093249393292446"/>
    <n v="13.487999999999994"/>
    <n v="9.1059553103298274"/>
    <n v="0.87639624429584517"/>
    <n v="331.67057657737217"/>
    <n v="700.20229955887044"/>
    <n v="630.18206960298335"/>
    <n v="550.7728747872917"/>
    <n v="458.74544037686491"/>
    <n v="113.85259077625065"/>
    <n v="937.99826301320672"/>
    <n v="214.84152989434568"/>
    <n v="463.1986210288423"/>
    <n v="2004.9136757104902"/>
    <m/>
    <n v="3676.4399094003338"/>
  </r>
  <r>
    <x v="8"/>
    <n v="3.4119999999999999"/>
    <n v="6.9741129566506306"/>
    <n v="3.2840000000000003"/>
    <n v="634.93415919082497"/>
    <n v="10.759042113083247"/>
    <n v="11.235112039939652"/>
    <n v="13.591999999999995"/>
    <n v="9.224407648649084"/>
    <n v="0.8785068058004325"/>
    <n v="331.58287551270723"/>
    <n v="688.02779543213592"/>
    <n v="619.22501588892237"/>
    <n v="544.04240409783881"/>
    <n v="450.51568766672244"/>
    <n v="112.74360304557433"/>
    <n v="932.83000224107911"/>
    <n v="218.06159943499776"/>
    <n v="469.707649257426"/>
    <n v="2006.4097518791489"/>
    <m/>
    <n v="3783.5508143730763"/>
  </r>
  <r>
    <x v="9"/>
    <n v="3.4119999999999999"/>
    <n v="7.0190591818687507"/>
    <n v="3.2920000000000003"/>
    <n v="630.19989669131087"/>
    <n v="10.974835552060471"/>
    <n v="11.376974686586859"/>
    <n v="13.695999999999996"/>
    <n v="9.3428599869683406"/>
    <n v="0.88061736730501983"/>
    <n v="331.49517444804229"/>
    <n v="675.8532913054014"/>
    <n v="608.2679621748614"/>
    <n v="537.31193340838593"/>
    <n v="442.28593495657998"/>
    <n v="111.63461531489801"/>
    <n v="927.6617414689515"/>
    <n v="221.28166897564984"/>
    <n v="476.2166774860097"/>
    <n v="2007.9058280478075"/>
    <m/>
    <n v="3890.6617193458187"/>
  </r>
  <r>
    <x v="10"/>
    <n v="3.4119999999999999"/>
    <n v="7.0640054070868681"/>
    <n v="3.3"/>
    <n v="625.46563419179665"/>
    <n v="11.190628991037693"/>
    <n v="11.518837333234069"/>
    <n v="13.8"/>
    <n v="9.4613123252875919"/>
    <n v="0.88272792880960704"/>
    <n v="331.40747338337758"/>
    <n v="663.67878717866665"/>
    <n v="597.31090846079996"/>
    <n v="530.58146271893293"/>
    <n v="434.05618224643769"/>
    <n v="110.52562758422165"/>
    <n v="922.49348069682435"/>
    <n v="224.50173851630203"/>
    <n v="482.72570571459363"/>
    <n v="2009.4019042164659"/>
    <m/>
    <n v="3997.7726243185602"/>
  </r>
  <r>
    <x v="11"/>
    <n v="3.4119999999999999"/>
    <n v="7.1509267544549466"/>
    <n v="3.3015590000000001"/>
    <n v="608.1527330872525"/>
    <n v="11.401529818829824"/>
    <n v="11.725685088053469"/>
    <n v="13.886512"/>
    <n v="9.5224392825295894"/>
    <n v="0.88500750520619786"/>
    <n v="331.11625407322299"/>
    <n v="647.46748751540326"/>
    <n v="582.72073876386298"/>
    <n v="518.47639290197708"/>
    <n v="423.37992276068093"/>
    <n v="108.28898047912446"/>
    <n v="908.94754083650048"/>
    <n v="224.21212322543218"/>
    <n v="494.96475916607523"/>
    <n v="1994.2060049955637"/>
    <m/>
    <n v="4071.1647895096144"/>
  </r>
  <r>
    <x v="12"/>
    <n v="3.4119999999999999"/>
    <n v="7.2389176537546671"/>
    <n v="3.30253"/>
    <n v="590.83983198270835"/>
    <n v="11.616405325721676"/>
    <n v="11.93624727970673"/>
    <n v="13.954171000000001"/>
    <n v="9.5839611643627212"/>
    <n v="0.88729296843198968"/>
    <n v="330.9257571682009"/>
    <n v="631.65217193638227"/>
    <n v="568.48695474274405"/>
    <n v="506.64749691612809"/>
    <n v="413.03471971289258"/>
    <n v="106.05233337402728"/>
    <n v="895.40160097617661"/>
    <n v="223.92250793456233"/>
    <n v="507.20381261755682"/>
    <n v="1962.1164142451546"/>
    <m/>
    <n v="4217.4901363808576"/>
  </r>
  <r>
    <x v="13"/>
    <n v="3.4119999999999999"/>
    <n v="7.302377720492446"/>
    <n v="3.3036409999999998"/>
    <n v="573.52693087816419"/>
    <n v="11.802056259305916"/>
    <n v="12.08833891284468"/>
    <n v="13.997324000000001"/>
    <n v="9.6531179818082791"/>
    <n v="0.88925478972545646"/>
    <n v="331.30107414508501"/>
    <n v="617.91187523118072"/>
    <n v="556.12068770806263"/>
    <n v="497.00853788104638"/>
    <n v="404.74184677448062"/>
    <n v="103.81568626893011"/>
    <n v="881.85566111585274"/>
    <n v="223.63289264369249"/>
    <n v="519.44286606903836"/>
    <n v="1932.8784015467093"/>
    <m/>
    <n v="4282.0119933923825"/>
  </r>
  <r>
    <x v="14"/>
    <n v="3.4119999999999999"/>
    <n v="7.4469618234936279"/>
    <n v="3.3131979999999999"/>
    <n v="556.21402977362004"/>
    <n v="12.111568890511583"/>
    <n v="12.357536678854581"/>
    <n v="14.100529"/>
    <n v="9.7274060500263637"/>
    <n v="0.8924520000414683"/>
    <n v="330.07754356289564"/>
    <n v="604.50392112234965"/>
    <n v="544.05352901011474"/>
    <n v="487.85587729521859"/>
    <n v="394.81578406430697"/>
    <n v="101.57903916383293"/>
    <n v="868.30972125552887"/>
    <n v="223.34327735282264"/>
    <n v="531.68191952051995"/>
    <n v="1889.2139181923412"/>
    <m/>
    <n v="4307.3495057401396"/>
  </r>
  <r>
    <x v="15"/>
    <n v="3.4119999999999999"/>
    <n v="7.5579488575039955"/>
    <n v="3.3880159999999999"/>
    <n v="538.90112866907589"/>
    <n v="12.378665525149154"/>
    <n v="12.614787706568169"/>
    <n v="14.824436"/>
    <n v="9.8066675844966884"/>
    <n v="0.89494059863781383"/>
    <n v="330.26058639828216"/>
    <n v="591.85248951264384"/>
    <n v="532.66724056137946"/>
    <n v="479.45148196275602"/>
    <n v="386.25915595615032"/>
    <n v="99.342392058735754"/>
    <n v="854.763781395205"/>
    <n v="223.05366206195279"/>
    <n v="543.92097297200155"/>
    <n v="1865.6788210078303"/>
    <m/>
    <n v="4268.1226930839966"/>
  </r>
  <r>
    <x v="16"/>
    <n v="3.4119999999999999"/>
    <n v="7.5714163701222743"/>
    <n v="3.4313090000000002"/>
    <n v="521.58822756453208"/>
    <n v="12.463080238937028"/>
    <n v="12.680915008767705"/>
    <n v="15.217358000000001"/>
    <n v="9.8741992696547687"/>
    <n v="0.89628488788144389"/>
    <n v="329.85134261423076"/>
    <n v="581.11669764603766"/>
    <n v="523.00502788143388"/>
    <n v="472.68560384871955"/>
    <n v="378.4903821942803"/>
    <n v="97.105744953638549"/>
    <n v="841.21784153488113"/>
    <n v="222.76404677108295"/>
    <n v="556.16002642348315"/>
    <n v="1818.8624107485023"/>
    <m/>
    <n v="4266.4474007373328"/>
  </r>
  <r>
    <x v="17"/>
    <n v="3.4119999999999999"/>
    <n v="7.6178553973680234"/>
    <n v="3.4590559999999999"/>
    <n v="499.45843221443903"/>
    <n v="12.610954691482007"/>
    <n v="12.790951865091673"/>
    <n v="15.475415999999999"/>
    <n v="9.9418246440066174"/>
    <n v="0.8979712989076909"/>
    <n v="331.36141135862437"/>
    <n v="572.006354242724"/>
    <n v="514.80571881845162"/>
    <n v="467.14811296909187"/>
    <n v="372.63790918317289"/>
    <n v="94.708031475446276"/>
    <n v="827.67190167455692"/>
    <n v="222.47443148021304"/>
    <n v="568.39907987496463"/>
    <n v="1797.2757481829826"/>
    <m/>
    <n v="4297.3542156431349"/>
  </r>
  <r>
    <x v="18"/>
    <n v="3.4119999999999999"/>
    <n v="7.6654421259684886"/>
    <n v="3.4801530000000001"/>
    <n v="488.51412650213001"/>
    <n v="12.751851183406297"/>
    <n v="12.901668223589098"/>
    <n v="15.677279"/>
    <n v="10.005839215101393"/>
    <n v="0.89972220862440766"/>
    <n v="330.64722634540823"/>
    <n v="563.91505667829995"/>
    <n v="507.52355101046999"/>
    <n v="462.02771229636926"/>
    <n v="363.84300670541199"/>
    <n v="91.878092906421344"/>
    <n v="815.86445548581162"/>
    <n v="221.84023210125414"/>
    <n v="576.46895799881497"/>
    <n v="1573.9481557582549"/>
    <m/>
    <n v="4299.3780605789443"/>
  </r>
  <r>
    <x v="19"/>
    <n v="3.4119999999999999"/>
    <n v="7.7059003345348707"/>
    <n v="3.495698"/>
    <n v="478.76667382776276"/>
    <n v="12.878074814699044"/>
    <n v="12.996027578247961"/>
    <n v="15.826098999999999"/>
    <n v="10.211785920877965"/>
    <n v="0.90140245620864856"/>
    <n v="330.67242878060813"/>
    <n v="545.67366719453264"/>
    <n v="491.10630047507937"/>
    <n v="454.11836854776146"/>
    <n v="356.5337535473372"/>
    <n v="89.320606806414332"/>
    <n v="804.44644550360329"/>
    <n v="221.47803551729379"/>
    <n v="585.63411049743127"/>
    <n v="1484.1432935859859"/>
    <m/>
    <n v="4348.1333795286018"/>
  </r>
  <r>
    <x v="20"/>
    <n v="3.4119999999999999"/>
    <n v="7.8387325465471704"/>
    <n v="3.50861"/>
    <n v="469.20530508386429"/>
    <n v="13.138373175403679"/>
    <n v="13.247079244027672"/>
    <n v="15.950364"/>
    <n v="10.324847527955672"/>
    <n v="0.91536854940737056"/>
    <n v="330.71056486493057"/>
    <n v="534.21468321252462"/>
    <n v="480.79321489127216"/>
    <n v="448.55981214949412"/>
    <n v="349.621366750763"/>
    <n v="86.671267163192766"/>
    <n v="789.97207818690231"/>
    <n v="221.23286660026929"/>
    <n v="593.78906159250687"/>
    <n v="1432.8602460861189"/>
    <m/>
    <n v="4394.4722488570169"/>
  </r>
  <r>
    <x v="21"/>
    <n v="3.4119999999999999"/>
    <n v="7.9123995670631304"/>
    <n v="3.5193159999999999"/>
    <n v="460.80141953108614"/>
    <n v="13.311284566269569"/>
    <n v="13.392730273524553"/>
    <n v="16.053467000000001"/>
    <n v="10.422133705949232"/>
    <n v="0.92228773719655299"/>
    <n v="331.7408410556875"/>
    <n v="523.74696086204528"/>
    <n v="471.37226477584079"/>
    <n v="443.56034491393473"/>
    <n v="344.27768549243234"/>
    <n v="84.077648389412488"/>
    <n v="776.50114529808343"/>
    <n v="221.16242480581636"/>
    <n v="603.54902549531459"/>
    <n v="1400.0557484766291"/>
    <m/>
    <n v="4451.0655384659776"/>
  </r>
  <r>
    <x v="22"/>
    <n v="3.4119999999999999"/>
    <n v="7.9798498222430796"/>
    <n v="3.5227819999999999"/>
    <n v="448.9680588574933"/>
    <n v="13.467351130942429"/>
    <n v="13.526187078456436"/>
    <n v="16.093312999999998"/>
    <n v="10.509140481611231"/>
    <n v="0.92886814738333401"/>
    <n v="330.71991389870954"/>
    <n v="514.24394680031855"/>
    <n v="462.81955212028669"/>
    <n v="439.13899391397274"/>
    <n v="337.58189096149357"/>
    <n v="81.013387467327419"/>
    <n v="756.07411269173133"/>
    <n v="219.01356061798984"/>
    <n v="609.77760735319009"/>
    <n v="1365.1062828763347"/>
    <n v="-2.4962909968636704E-2"/>
    <n v="4482.8025509059607"/>
  </r>
  <r>
    <x v="23"/>
    <n v="3.4119999999999999"/>
    <n v="8.0406899700096481"/>
    <n v="3.5268039999999998"/>
    <n v="438.64933343630025"/>
    <n v="13.60481137872558"/>
    <n v="13.645944257636755"/>
    <n v="16.138203000000001"/>
    <n v="10.592155525540097"/>
    <n v="0.93537774623941372"/>
    <n v="330.60680978363189"/>
    <n v="505.45953644476799"/>
    <n v="454.91358280029118"/>
    <n v="435.22116351054132"/>
    <n v="332.74292029568323"/>
    <n v="78.092325966999098"/>
    <n v="738.97511995197067"/>
    <n v="217.5062407325257"/>
    <n v="617.5355605659513"/>
    <n v="1340.8743680735377"/>
    <n v="-1.7750936397230133E-2"/>
    <n v="4538.935816731233"/>
  </r>
  <r>
    <x v="24"/>
    <n v="3.4119999999999999"/>
    <n v="8.097919671547853"/>
    <n v="3.5309159999999999"/>
    <n v="428.49068464517916"/>
    <n v="13.730995849146662"/>
    <n v="13.757258943764725"/>
    <n v="16.182312"/>
    <n v="10.669701489609984"/>
    <n v="0.94157686041445254"/>
    <n v="330.55294722110727"/>
    <n v="497.34026418637325"/>
    <n v="447.60623776773593"/>
    <n v="431.67782190624621"/>
    <n v="328.78692724967812"/>
    <n v="75.547186339676443"/>
    <n v="724.24061724552689"/>
    <n v="216.24502078549645"/>
    <n v="624.34485359478913"/>
    <n v="1321.9903250769321"/>
    <n v="-1.4083379805176377E-2"/>
    <n v="4611.419753530774"/>
  </r>
  <r>
    <x v="25"/>
    <n v="3.4119999999999999"/>
    <n v="8.1442056963501859"/>
    <n v="3.5525690000000001"/>
    <n v="419.96632373958204"/>
    <n v="13.856800920134059"/>
    <n v="13.854035504868611"/>
    <n v="16.343616000000001"/>
    <n v="10.73640826694389"/>
    <n v="0.9476431484775153"/>
    <n v="331.47817747684871"/>
    <n v="489.66660590760102"/>
    <n v="440.69994531684091"/>
    <n v="428.54515812200174"/>
    <n v="326.45875537598249"/>
    <n v="73.557104440479094"/>
    <n v="714.10506721254205"/>
    <n v="215.98241467192588"/>
    <n v="632.1738356474624"/>
    <n v="1269.755719250777"/>
    <n v="-3.9512093874904397E-2"/>
    <n v="4703.31521126594"/>
  </r>
  <r>
    <x v="26"/>
    <n v="3.4119999999999999"/>
    <n v="8.190389842037554"/>
    <n v="3.571126"/>
    <n v="409.20794973943828"/>
    <n v="13.962350937101309"/>
    <n v="13.945349522989035"/>
    <n v="16.477599999999999"/>
    <n v="10.794933364893012"/>
    <n v="0.95346645711965128"/>
    <n v="330.49955641127411"/>
    <n v="482.48162171628343"/>
    <n v="434.23345954465509"/>
    <n v="425.67586007042604"/>
    <n v="323.00687117341255"/>
    <n v="71.580049523243872"/>
    <n v="702.11188868464501"/>
    <n v="214.87369112535382"/>
    <n v="635.68338378535623"/>
    <n v="1238.8641198064383"/>
    <n v="-2.4328773618414012E-2"/>
    <n v="4769.3422936381139"/>
  </r>
  <r>
    <x v="27"/>
    <n v="3.4119999999999999"/>
    <n v="8.2332268822196752"/>
    <n v="3.5890789999999999"/>
    <n v="399.99777718645038"/>
    <n v="14.056521674320575"/>
    <n v="14.029313704122087"/>
    <n v="16.606939000000001"/>
    <n v="10.848665500903758"/>
    <n v="0.95919143200787138"/>
    <n v="330.49845894926551"/>
    <n v="475.9490726916689"/>
    <n v="428.35416542250204"/>
    <n v="423.01941682911723"/>
    <n v="321.08715964599293"/>
    <n v="70.269077300066343"/>
    <n v="694.36081355544411"/>
    <n v="214.64096812911305"/>
    <n v="640.46196297382551"/>
    <n v="1219.4333830649186"/>
    <n v="-1.5684316327246317E-2"/>
    <n v="4846.6956681214724"/>
  </r>
  <r>
    <x v="28"/>
    <n v="3.4119999999999999"/>
    <n v="8.2697894035397219"/>
    <n v="3.6062970000000001"/>
    <n v="390.91180449753591"/>
    <n v="14.136098504584176"/>
    <n v="14.101060796918411"/>
    <n v="16.730574000000001"/>
    <n v="10.899056144516432"/>
    <n v="0.9646849986418109"/>
    <n v="330.55121730146027"/>
    <n v="470.13786233879659"/>
    <n v="423.12407610491692"/>
    <n v="420.62805703977875"/>
    <n v="319.55444708637162"/>
    <n v="69.492706259570554"/>
    <n v="688.81210476729075"/>
    <n v="214.80559204893063"/>
    <n v="644.3605745394625"/>
    <n v="1205.6044323480062"/>
    <n v="-1.1340472475958374E-2"/>
    <n v="4933.1468940860677"/>
  </r>
  <r>
    <x v="29"/>
    <n v="3.4119999999999999"/>
    <n v="8.3010546150143298"/>
    <n v="3.623122"/>
    <n v="383.06877552965955"/>
    <n v="14.202269064005705"/>
    <n v="14.162568346324433"/>
    <n v="16.850977"/>
    <n v="10.943632750534501"/>
    <n v="0.97012409558935375"/>
    <n v="331.51235626754573"/>
    <n v="465.03036657069157"/>
    <n v="418.5273299136224"/>
    <n v="418.50725969556311"/>
    <n v="319.29192758826025"/>
    <n v="69.270346446215157"/>
    <n v="686.87307163244111"/>
    <n v="215.76662123037423"/>
    <n v="649.73602395822979"/>
    <n v="1198.4258865858853"/>
    <n v="-5.9543126829254556E-3"/>
    <n v="5031.9627347048136"/>
  </r>
  <r>
    <x v="30"/>
    <n v="3.4119999999999999"/>
    <n v="8.3275989943828534"/>
    <n v="3.6397010000000001"/>
    <n v="372.89261827547023"/>
    <n v="14.257660809486611"/>
    <n v="14.214877761536375"/>
    <n v="16.969263000000002"/>
    <n v="10.981582822701254"/>
    <n v="0.97538625690068848"/>
    <n v="330.5724525297955"/>
    <n v="460.59611535548845"/>
    <n v="414.53650381993964"/>
    <n v="416.42666994176869"/>
    <n v="317.48873805314884"/>
    <n v="69.088351765119057"/>
    <n v="681.83158310216493"/>
    <n v="215.3838096456148"/>
    <n v="651.11539399671483"/>
    <n v="1185.1242283098265"/>
    <n v="-1.109927482787687E-2"/>
    <n v="5106.3784194892005"/>
  </r>
  <r>
    <x v="31"/>
    <n v="3.4119999999999999"/>
    <n v="8.3494125211931092"/>
    <n v="3.6560069999999998"/>
    <n v="363.40195405575997"/>
    <n v="14.30328424720304"/>
    <n v="14.258012834356226"/>
    <n v="17.085235999999998"/>
    <n v="11.012506139039157"/>
    <n v="0.98007867816816163"/>
    <n v="330.42019434888834"/>
    <n v="456.87448998397741"/>
    <n v="411.1870409855797"/>
    <n v="414.52127371504622"/>
    <n v="316.75906844902772"/>
    <n v="69.096914198654005"/>
    <n v="679.14419471165479"/>
    <n v="215.32643186869478"/>
    <n v="653.82267965171081"/>
    <n v="1174.6918590547461"/>
    <n v="-8.8027643059483962E-3"/>
    <n v="5194.1820392811978"/>
  </r>
  <r>
    <x v="32"/>
    <n v="3.4119999999999999"/>
    <n v="8.3668992443359684"/>
    <n v="3.6720199999999998"/>
    <n v="354.01670363087203"/>
    <n v="14.33977331883257"/>
    <n v="14.292741239117538"/>
    <n v="17.198823999999998"/>
    <n v="11.0365098007554"/>
    <n v="0.98429763655557467"/>
    <n v="330.22830310790187"/>
    <n v="453.87905072495818"/>
    <n v="408.49114565246236"/>
    <n v="412.76444890663794"/>
    <n v="316.18866387824568"/>
    <n v="69.102726492425504"/>
    <n v="677.29312871746174"/>
    <n v="215.32191801218977"/>
    <n v="656.22281892092496"/>
    <n v="1165.1227952647812"/>
    <n v="-8.1460203509582385E-3"/>
    <n v="5275.6032530634193"/>
  </r>
  <r>
    <x v="33"/>
    <n v="3.4119999999999999"/>
    <n v="8.3820133515158552"/>
    <n v="3.6878350000000002"/>
    <n v="345.61365104914455"/>
    <n v="14.371698710856524"/>
    <n v="14.322822084287804"/>
    <n v="17.310966000000001"/>
    <n v="11.053065298474133"/>
    <n v="0.98810952618150916"/>
    <n v="330.93029938973899"/>
    <n v="451.27329007356576"/>
    <n v="406.14596106620917"/>
    <n v="411.15410932159227"/>
    <n v="316.62927262134241"/>
    <n v="69.292832204904883"/>
    <n v="677.47048870015078"/>
    <n v="215.97685260711106"/>
    <n v="660.42299242267268"/>
    <n v="1159.4596184884074"/>
    <n v="-4.8605836220780851E-3"/>
    <n v="5359.256897805185"/>
  </r>
  <r>
    <x v="34"/>
    <n v="3.4119999999999999"/>
    <n v="8.3945062409389717"/>
    <n v="3.7035469999999999"/>
    <n v="335.31520701696746"/>
    <n v="14.398754962505095"/>
    <n v="14.347722981616645"/>
    <n v="17.422353999999999"/>
    <n v="11.06150710486053"/>
    <n v="0.99146862554272841"/>
    <n v="329.81921028319863"/>
    <n v="448.92414645913277"/>
    <n v="404.03173181321949"/>
    <n v="409.68696562672051"/>
    <n v="315.48431158699367"/>
    <n v="69.10064719926315"/>
    <n v="674.29231234221595"/>
    <n v="215.54449635579306"/>
    <n v="660.41878387762711"/>
    <n v="1148.3961477918631"/>
    <n v="-9.5419198048206644E-3"/>
    <n v="5409.8047095777374"/>
  </r>
  <r>
    <x v="35"/>
    <n v="3.4119999999999999"/>
    <n v="8.405648247040185"/>
    <n v="3.7192210000000001"/>
    <n v="326.32083832269967"/>
    <n v="14.421297347885083"/>
    <n v="14.374589757458491"/>
    <n v="17.533472"/>
    <n v="11.061324610560973"/>
    <n v="0.99435966112915053"/>
    <n v="329.70775549960115"/>
    <n v="446.81914432469313"/>
    <n v="402.13722989222384"/>
    <n v="408.35116049756937"/>
    <n v="315.35039504397855"/>
    <n v="69.099013800494049"/>
    <n v="674.08999057112578"/>
    <n v="216.09082431746859"/>
    <n v="661.87033342277857"/>
    <n v="1142.7026533663559"/>
    <n v="-4.9577791047581421E-3"/>
    <n v="5480.87412810562"/>
  </r>
  <r>
    <x v="36"/>
    <n v="3.4119999999999999"/>
    <n v="8.4157941304593287"/>
    <n v="3.7342439999999999"/>
    <n v="317.27929729435795"/>
    <n v="14.442716324292093"/>
    <n v="14.396076002539097"/>
    <n v="17.640267999999999"/>
    <n v="11.061161808558927"/>
    <n v="0.99678594057528325"/>
    <n v="329.59197692239553"/>
    <n v="444.93363732543077"/>
    <n v="400.44027359288771"/>
    <n v="407.18001880876142"/>
    <n v="315.35075649430536"/>
    <n v="69.098269733041036"/>
    <n v="673.74294545438158"/>
    <n v="216.56805681692848"/>
    <n v="662.45367395940343"/>
    <n v="1138.2527795901376"/>
    <n v="-3.8941659609428303E-3"/>
    <n v="5552.877196279107"/>
  </r>
  <r>
    <x v="37"/>
    <n v="3.4119999999999999"/>
    <n v="8.4249576911533275"/>
    <n v="3.7486199999999998"/>
    <n v="309.0327885386979"/>
    <n v="14.463387768104882"/>
    <n v="14.415573627853872"/>
    <n v="17.742751999999999"/>
    <n v="11.060984269870238"/>
    <n v="0.99883765299838911"/>
    <n v="330.38425668389834"/>
    <n v="443.23224032927942"/>
    <n v="398.90901629635147"/>
    <n v="406.16617227636692"/>
    <n v="316.21501157090557"/>
    <n v="69.287929119915759"/>
    <n v="676.01698519000036"/>
    <n v="217.86563789678891"/>
    <n v="664.09491960269349"/>
    <n v="1139.0083511970365"/>
    <n v="6.6379948324923888E-4"/>
    <n v="5625.826179594088"/>
  </r>
  <r>
    <x v="38"/>
    <n v="3.4119999999999999"/>
    <n v="8.4317027270645557"/>
    <n v="3.7624629999999999"/>
    <n v="299.08207866584496"/>
    <n v="14.479360058071141"/>
    <n v="14.430632056057418"/>
    <n v="17.841685999999999"/>
    <n v="11.060819877644116"/>
    <n v="1.000515791422204"/>
    <n v="329.30082876880681"/>
    <n v="441.72625620838903"/>
    <n v="397.55363058755012"/>
    <n v="405.24884432213236"/>
    <n v="315.35133277187407"/>
    <n v="69.099841707048881"/>
    <n v="674.18015291632946"/>
    <n v="217.82135298035433"/>
    <n v="662.19985842912183"/>
    <n v="1133.2958452543965"/>
    <n v="-5.0153327994799657E-3"/>
    <n v="5699.7335046801154"/>
  </r>
  <r>
    <x v="39"/>
    <n v="3.4119999999999999"/>
    <n v="8.436276245805697"/>
    <n v="3.7758560000000001"/>
    <n v="289.94106646626875"/>
    <n v="14.490826281137791"/>
    <n v="14.441786791770996"/>
    <n v="17.937657999999999"/>
    <n v="11.060728336680551"/>
    <n v="1.0017630316729063"/>
    <n v="329.08521921166783"/>
    <n v="440.43760058613827"/>
    <n v="396.39384052752445"/>
    <n v="404.44344892440404"/>
    <n v="315.35172316890521"/>
    <n v="69.101084056966499"/>
    <n v="674.11916095875756"/>
    <n v="218.30877179722594"/>
    <n v="662.10923900502735"/>
    <n v="1130.9268049418979"/>
    <n v="-2.0903988331191226E-3"/>
    <n v="5774.6117614172472"/>
  </r>
  <r>
    <x v="40"/>
    <n v="3.4119999999999999"/>
    <n v="8.4384683863519196"/>
    <n v="3.7888030000000001"/>
    <n v="281.05143254228147"/>
    <n v="14.497546310944491"/>
    <n v="14.448640967099756"/>
    <n v="18.030645"/>
    <n v="11.060691187179341"/>
    <n v="1.0025683368435454"/>
    <n v="329.01940173233208"/>
    <n v="439.3508566860047"/>
    <n v="395.41577101740427"/>
    <n v="403.74965954711087"/>
    <n v="315.35202464956387"/>
    <n v="69.102773757170596"/>
    <n v="675.82131711470868"/>
    <n v="219.32918139597865"/>
    <n v="661.47069408085599"/>
    <n v="1131.8971653838944"/>
    <n v="8.5802232094622788E-4"/>
    <n v="5850.4737050806871"/>
  </r>
  <r>
    <x v="41"/>
    <n v="3.4119999999999999"/>
    <n v="8.4406605268981423"/>
    <n v="3.8017500000000002"/>
    <n v="272.43435604613853"/>
    <n v="14.504266340751192"/>
    <n v="14.455495142428516"/>
    <n v="18.123632000000001"/>
    <n v="11.06065403767813"/>
    <n v="1.0033736420141846"/>
    <n v="328.95359741657933"/>
    <n v="438.26411278587113"/>
    <n v="394.43770150728403"/>
    <n v="403.05587016981769"/>
    <n v="315.35232613051073"/>
    <n v="69.104463498692226"/>
    <n v="677.52777122827206"/>
    <n v="220.35436054998397"/>
    <n v="660.83276497594238"/>
    <n v="1132.8683584168095"/>
    <m/>
    <n v="5927.3322585136057"/>
  </r>
  <r>
    <x v="42"/>
    <n v="3.4119999999999999"/>
    <n v="8.4428526674443649"/>
    <n v="3.8146970000000002"/>
    <n v="264.08148032872396"/>
    <n v="14.510986370557893"/>
    <n v="14.462349317757276"/>
    <n v="18.216619000000001"/>
    <n v="11.06061688817692"/>
    <n v="1.0041789471848237"/>
    <n v="328.88780626177669"/>
    <n v="437.17736888573756"/>
    <n v="393.4596319971638"/>
    <n v="402.36208079252452"/>
    <n v="315.35262761174585"/>
    <n v="69.106153281532414"/>
    <n v="679.23853415182384"/>
    <n v="221.38433155289479"/>
    <n v="660.19545109638432"/>
    <n v="1133.8403847550246"/>
    <m/>
    <n v="6005.2005143285196"/>
  </r>
  <r>
    <x v="43"/>
    <n v="3.4119999999999999"/>
    <n v="8.4450448079905875"/>
    <n v="3.8276440000000003"/>
    <n v="255.98470495696014"/>
    <n v="14.517706400364593"/>
    <n v="14.469203493086036"/>
    <n v="18.309606000000002"/>
    <n v="11.06057973867571"/>
    <n v="1.0049842523554628"/>
    <n v="328.8220282652922"/>
    <n v="436.09062498560399"/>
    <n v="392.48156248704362"/>
    <n v="401.66829141523135"/>
    <n v="315.35292909326915"/>
    <n v="69.107843105692154"/>
    <n v="680.95361676514312"/>
    <n v="222.41911680256794"/>
    <n v="659.55875184885201"/>
    <n v="1134.813245113535"/>
    <m/>
    <n v="6084.0917371375544"/>
  </r>
  <r>
    <x v="44"/>
    <n v="3.4119999999999999"/>
    <n v="8.4472369485368102"/>
    <n v="3.8405910000000003"/>
    <n v="248.13617785818846"/>
    <n v="14.524426430171294"/>
    <n v="14.476057668414796"/>
    <n v="18.402593000000003"/>
    <n v="11.060542589174499"/>
    <n v="1.005789557526102"/>
    <n v="328.75626342449397"/>
    <n v="435.00388108547043"/>
    <n v="391.50349297692338"/>
    <n v="400.97450203793818"/>
    <n v="315.35323057508066"/>
    <n v="69.10953297117247"/>
    <n v="682.67302997548063"/>
    <n v="223.45873880155131"/>
    <n v="658.9226666405882"/>
    <n v="1135.7869402079475"/>
    <m/>
    <n v="6164.0193658120461"/>
  </r>
  <r>
    <x v="45"/>
    <n v="3.4119999999999999"/>
    <n v="8.4494290890830328"/>
    <n v="3.8535380000000004"/>
    <n v="240.52828770540347"/>
    <n v="14.531146459977995"/>
    <n v="14.482911843743556"/>
    <n v="18.495580000000004"/>
    <n v="11.060505439673289"/>
    <n v="1.0065948626967411"/>
    <n v="328.69051173675098"/>
    <n v="433.91713718533686"/>
    <n v="390.5254234668032"/>
    <n v="400.28071266064501"/>
    <n v="315.35353205718042"/>
    <n v="69.111222877974356"/>
    <n v="684.39678471762738"/>
    <n v="224.50322015757334"/>
    <n v="658.28719487940702"/>
    <n v="1136.7614707544849"/>
    <m/>
    <n v="6244.9970157718099"/>
  </r>
  <r>
    <x v="46"/>
    <n v="3.4119999999999999"/>
    <n v="8.4516212296292554"/>
    <n v="3.8664850000000004"/>
    <n v="233.15365653595757"/>
    <n v="14.537866489784696"/>
    <n v="14.489766019072317"/>
    <n v="18.588567000000005"/>
    <n v="11.060468290172079"/>
    <n v="1.0074001678673803"/>
    <n v="328.62477319943252"/>
    <n v="432.83039328520329"/>
    <n v="389.54735395668297"/>
    <n v="399.58692328335184"/>
    <n v="315.35383353956837"/>
    <n v="69.112912826098835"/>
    <n v="686.12489195398507"/>
    <n v="225.55258358403458"/>
    <n v="657.65233597369388"/>
    <n v="1137.7368374699838"/>
    <m/>
    <n v="6327.0384813044739"/>
  </r>
  <r>
    <x v="47"/>
    <n v="3.4119999999999999"/>
    <n v="8.4538133701754781"/>
    <n v="3.8794320000000004"/>
    <n v="226.00513259657671"/>
    <n v="14.544586519591396"/>
    <n v="14.496620194401077"/>
    <n v="18.681554000000006"/>
    <n v="11.060431140670868"/>
    <n v="1.0082054730380194"/>
    <n v="328.55904780990846"/>
    <n v="431.74364938506972"/>
    <n v="388.56928444656273"/>
    <n v="398.89313390605867"/>
    <n v="315.35413502224458"/>
    <n v="69.114602815546931"/>
    <n v="687.85736267463608"/>
    <n v="226.60685190050145"/>
    <n v="657.01808933240477"/>
    <n v="1138.7130410718958"/>
    <m/>
    <n v="6409.2899815614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B47" firstHeaderRow="2" firstDataRow="2" firstDataCol="1"/>
  <pivotFields count="19"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167" outline="0" showAll="0">
      <items count="1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t="default"/>
      </items>
    </pivotField>
    <pivotField compact="0" numFmtId="167" outline="0" showAll="0"/>
    <pivotField compact="0" outline="0" showAll="0"/>
    <pivotField compact="0" outline="0" showAll="0"/>
    <pivotField compact="0" outline="0" showAll="0"/>
    <pivotField compact="0" numFmtId="167" outline="0" showAll="0"/>
    <pivotField compact="0" outline="0" showAll="0"/>
    <pivotField compact="0" outline="0" showAll="0"/>
    <pivotField compact="0" numFmtId="1" outline="0" showAll="0"/>
    <pivotField compact="0" numFmtId="1" outline="0" showAll="0"/>
    <pivotField compact="0" outline="0" showAll="0"/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dataFields count="1">
    <dataField name="Sum of ElecPrice" fld="3" baseField="0" baseItem="0"/>
  </dataFields>
  <formats count="1">
    <format dxfId="3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B47" firstHeaderRow="2" firstDataRow="2" firstDataCol="1"/>
  <pivotFields count="19"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numFmtId="167" outline="0" showAll="0"/>
    <pivotField compact="0" numFmtId="167" outline="0" showAll="0"/>
    <pivotField compact="0" outline="0" showAll="0"/>
    <pivotField compact="0" outline="0" showAll="0"/>
    <pivotField compact="0" outline="0" showAll="0"/>
    <pivotField dataField="1" compact="0" numFmtId="167" outline="0" showAll="0"/>
    <pivotField compact="0" outline="0" showAll="0"/>
    <pivotField compact="0" outline="0" showAll="0"/>
    <pivotField compact="0" numFmtId="1" outline="0" showAll="0"/>
    <pivotField compact="0" numFmtId="1" outline="0" showAll="0"/>
    <pivotField compact="0" outline="0" showAll="0"/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dataFields count="1">
    <dataField name="Sum of Real Personal Income (millions)" fld="13" baseField="0" baseItem="0"/>
  </dataFields>
  <formats count="1">
    <format dxfId="2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 chartFormat="1">
  <location ref="A3:B23" firstHeaderRow="2" firstDataRow="2" firstDataCol="1"/>
  <pivotFields count="22">
    <pivotField axis="axisRow" compact="0" outline="0" showAll="0" defaultSubtotal="0">
      <items count="4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numFmtId="43" outline="0" showAll="0"/>
    <pivotField dataField="1" compact="0" numFmtId="43" outline="0" showAll="0"/>
    <pivotField compact="0" numFmtId="43" outline="0" showAll="0"/>
    <pivotField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43" outline="0" showAll="0" defaultSubtotal="0"/>
  </pivotFields>
  <rowFields count="1">
    <field x="0"/>
  </rowFields>
  <rowItems count="19"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Sum of HPHeat" fld="2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3" cacheId="1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 chartFormat="1">
  <location ref="A3:C18" firstHeaderRow="1" firstDataRow="2" firstDataCol="1"/>
  <pivotFields count="6">
    <pivotField axis="axisRow" compact="0" outline="0" showAll="0">
      <items count="43">
        <item h="1" x="0"/>
        <item h="1" x="1"/>
        <item h="1" x="2"/>
        <item h="1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t="default"/>
      </items>
    </pivotField>
    <pivotField compact="0" outline="0" showAll="0"/>
    <pivotField compact="0" outline="0" showAll="0"/>
    <pivotField compact="0" outline="0" showAll="0"/>
    <pivotField dataField="1" compact="0" numFmtId="4" outline="0" showAll="0"/>
    <pivotField dataField="1" compact="0" numFmtId="4" outline="0" showAll="0"/>
  </pivotFields>
  <rowFields count="1">
    <field x="0"/>
  </rowFields>
  <rowItems count="14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ElecPrice" fld="4" subtotal="average" baseField="0" baseItem="0"/>
    <dataField name="Average of ElecPrice2" fld="5" subtotal="average" baseField="0" baseItem="0"/>
  </dataFields>
  <formats count="2">
    <format dxfId="1">
      <pivotArea type="all" dataOnly="0" outline="0" fieldPosition="0"/>
    </format>
    <format dxfId="0">
      <pivotArea outline="0" collapsedLevelsAreSubtotals="1" fieldPosition="0">
        <references count="1">
          <reference field="0" count="0" selected="0"/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13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 chartFormat="1">
  <location ref="A3:B23" firstHeaderRow="2" firstDataRow="2" firstDataCol="1"/>
  <pivotFields count="22">
    <pivotField axis="axisRow" compact="0" outline="0" showAll="0" defaultSubtotal="0">
      <items count="4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numFmtId="43" outline="0" showAll="0"/>
    <pivotField dataField="1" compact="0" numFmtId="43" outline="0" showAll="0"/>
    <pivotField compact="0" numFmtId="43" outline="0" showAll="0"/>
    <pivotField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43" outline="0" showAll="0" defaultSubtotal="0"/>
  </pivotFields>
  <rowFields count="1">
    <field x="0"/>
  </rowFields>
  <rowItems count="19"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Sum of HPHeat" fld="2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 chartFormat="1">
  <location ref="A3:B23" firstHeaderRow="2" firstDataRow="2" firstDataCol="1"/>
  <pivotFields count="22">
    <pivotField axis="axisRow" compact="0" outline="0" showAll="0" defaultSubtotal="0">
      <items count="4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numFmtId="43" outline="0" showAll="0"/>
    <pivotField dataField="1" compact="0" numFmtId="43" outline="0" showAll="0"/>
    <pivotField compact="0" numFmtId="43" outline="0" showAll="0"/>
    <pivotField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43" outline="0" showAll="0" defaultSubtotal="0"/>
  </pivotFields>
  <rowFields count="1">
    <field x="0"/>
  </rowFields>
  <rowItems count="19"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Sum of HPHeat" fld="2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6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5"/>
  <sheetViews>
    <sheetView tabSelected="1" view="pageBreakPreview" zoomScale="60" zoomScaleNormal="100" workbookViewId="0"/>
  </sheetViews>
  <sheetFormatPr defaultRowHeight="12.75" x14ac:dyDescent="0.2"/>
  <cols>
    <col min="2" max="2" width="23.85546875" bestFit="1" customWidth="1"/>
    <col min="3" max="3" width="88.28515625" bestFit="1" customWidth="1"/>
  </cols>
  <sheetData>
    <row r="3" spans="2:3" ht="15" x14ac:dyDescent="0.25">
      <c r="B3" s="7" t="s">
        <v>72</v>
      </c>
    </row>
    <row r="4" spans="2:3" x14ac:dyDescent="0.2">
      <c r="B4" t="s">
        <v>0</v>
      </c>
      <c r="C4" t="s">
        <v>113</v>
      </c>
    </row>
    <row r="5" spans="2:3" x14ac:dyDescent="0.2">
      <c r="B5" t="s">
        <v>1</v>
      </c>
      <c r="C5" t="s">
        <v>20</v>
      </c>
    </row>
    <row r="6" spans="2:3" x14ac:dyDescent="0.2">
      <c r="B6" t="s">
        <v>2</v>
      </c>
      <c r="C6" t="s">
        <v>21</v>
      </c>
    </row>
    <row r="7" spans="2:3" x14ac:dyDescent="0.2">
      <c r="B7" t="s">
        <v>3</v>
      </c>
      <c r="C7" t="s">
        <v>22</v>
      </c>
    </row>
    <row r="8" spans="2:3" x14ac:dyDescent="0.2">
      <c r="B8" t="s">
        <v>4</v>
      </c>
      <c r="C8" t="s">
        <v>23</v>
      </c>
    </row>
    <row r="9" spans="2:3" x14ac:dyDescent="0.2">
      <c r="B9" t="s">
        <v>5</v>
      </c>
      <c r="C9" t="s">
        <v>24</v>
      </c>
    </row>
    <row r="10" spans="2:3" x14ac:dyDescent="0.2">
      <c r="B10" t="s">
        <v>6</v>
      </c>
      <c r="C10" t="s">
        <v>25</v>
      </c>
    </row>
    <row r="11" spans="2:3" x14ac:dyDescent="0.2">
      <c r="B11" t="s">
        <v>7</v>
      </c>
      <c r="C11" t="s">
        <v>26</v>
      </c>
    </row>
    <row r="12" spans="2:3" x14ac:dyDescent="0.2">
      <c r="B12" t="s">
        <v>8</v>
      </c>
      <c r="C12" t="s">
        <v>27</v>
      </c>
    </row>
    <row r="13" spans="2:3" x14ac:dyDescent="0.2">
      <c r="B13" t="s">
        <v>9</v>
      </c>
      <c r="C13" t="s">
        <v>28</v>
      </c>
    </row>
    <row r="14" spans="2:3" x14ac:dyDescent="0.2">
      <c r="B14" t="s">
        <v>10</v>
      </c>
      <c r="C14" t="s">
        <v>29</v>
      </c>
    </row>
    <row r="15" spans="2:3" x14ac:dyDescent="0.2">
      <c r="B15" t="s">
        <v>11</v>
      </c>
      <c r="C15" t="s">
        <v>30</v>
      </c>
    </row>
    <row r="16" spans="2:3" x14ac:dyDescent="0.2">
      <c r="B16" t="s">
        <v>12</v>
      </c>
      <c r="C16" t="s">
        <v>31</v>
      </c>
    </row>
    <row r="17" spans="2:3" x14ac:dyDescent="0.2">
      <c r="B17" t="s">
        <v>100</v>
      </c>
      <c r="C17" t="s">
        <v>116</v>
      </c>
    </row>
    <row r="18" spans="2:3" x14ac:dyDescent="0.2">
      <c r="B18" t="s">
        <v>13</v>
      </c>
      <c r="C18" t="s">
        <v>32</v>
      </c>
    </row>
    <row r="19" spans="2:3" x14ac:dyDescent="0.2">
      <c r="B19" t="s">
        <v>14</v>
      </c>
      <c r="C19" t="s">
        <v>33</v>
      </c>
    </row>
    <row r="21" spans="2:3" ht="15" x14ac:dyDescent="0.25">
      <c r="B21" s="7" t="s">
        <v>34</v>
      </c>
    </row>
    <row r="22" spans="2:3" x14ac:dyDescent="0.2">
      <c r="B22" t="s">
        <v>16</v>
      </c>
      <c r="C22" t="s">
        <v>120</v>
      </c>
    </row>
    <row r="23" spans="2:3" x14ac:dyDescent="0.2">
      <c r="B23" t="s">
        <v>17</v>
      </c>
      <c r="C23" t="s">
        <v>121</v>
      </c>
    </row>
    <row r="24" spans="2:3" x14ac:dyDescent="0.2">
      <c r="B24" t="s">
        <v>5</v>
      </c>
      <c r="C24" t="s">
        <v>122</v>
      </c>
    </row>
    <row r="25" spans="2:3" x14ac:dyDescent="0.2">
      <c r="B25" t="s">
        <v>19</v>
      </c>
      <c r="C25" t="s">
        <v>123</v>
      </c>
    </row>
    <row r="28" spans="2:3" ht="15" x14ac:dyDescent="0.25">
      <c r="B28" s="7" t="s">
        <v>73</v>
      </c>
    </row>
    <row r="29" spans="2:3" x14ac:dyDescent="0.2">
      <c r="B29" t="s">
        <v>57</v>
      </c>
      <c r="C29" t="s">
        <v>57</v>
      </c>
    </row>
    <row r="30" spans="2:3" x14ac:dyDescent="0.2">
      <c r="B30" t="s">
        <v>58</v>
      </c>
      <c r="C30" t="s">
        <v>59</v>
      </c>
    </row>
    <row r="31" spans="2:3" x14ac:dyDescent="0.2">
      <c r="B31" t="s">
        <v>61</v>
      </c>
      <c r="C31" t="s">
        <v>63</v>
      </c>
    </row>
    <row r="32" spans="2:3" x14ac:dyDescent="0.2">
      <c r="B32" t="s">
        <v>62</v>
      </c>
      <c r="C32" t="s">
        <v>64</v>
      </c>
    </row>
    <row r="33" spans="2:3" x14ac:dyDescent="0.2">
      <c r="B33" t="s">
        <v>48</v>
      </c>
      <c r="C33" t="s">
        <v>65</v>
      </c>
    </row>
    <row r="34" spans="2:3" x14ac:dyDescent="0.2">
      <c r="B34" t="s">
        <v>66</v>
      </c>
      <c r="C34" t="s">
        <v>67</v>
      </c>
    </row>
    <row r="35" spans="2:3" x14ac:dyDescent="0.2">
      <c r="B35" t="s">
        <v>118</v>
      </c>
      <c r="C35" t="s">
        <v>119</v>
      </c>
    </row>
    <row r="36" spans="2:3" x14ac:dyDescent="0.2">
      <c r="B36" t="s">
        <v>68</v>
      </c>
      <c r="C36" t="s">
        <v>69</v>
      </c>
    </row>
    <row r="37" spans="2:3" x14ac:dyDescent="0.2">
      <c r="B37" t="s">
        <v>70</v>
      </c>
      <c r="C37" t="s">
        <v>71</v>
      </c>
    </row>
    <row r="39" spans="2:3" x14ac:dyDescent="0.2">
      <c r="B39" s="6" t="s">
        <v>82</v>
      </c>
    </row>
    <row r="40" spans="2:3" x14ac:dyDescent="0.2">
      <c r="B40" t="s">
        <v>83</v>
      </c>
      <c r="C40" t="s">
        <v>81</v>
      </c>
    </row>
    <row r="41" spans="2:3" x14ac:dyDescent="0.2">
      <c r="B41" t="s">
        <v>84</v>
      </c>
      <c r="C41" t="s">
        <v>92</v>
      </c>
    </row>
    <row r="42" spans="2:3" x14ac:dyDescent="0.2">
      <c r="B42" t="s">
        <v>85</v>
      </c>
      <c r="C42" t="s">
        <v>93</v>
      </c>
    </row>
    <row r="43" spans="2:3" x14ac:dyDescent="0.2">
      <c r="B43" t="s">
        <v>86</v>
      </c>
      <c r="C43" t="s">
        <v>94</v>
      </c>
    </row>
    <row r="44" spans="2:3" x14ac:dyDescent="0.2">
      <c r="B44" t="s">
        <v>87</v>
      </c>
      <c r="C44" t="s">
        <v>95</v>
      </c>
    </row>
    <row r="45" spans="2:3" x14ac:dyDescent="0.2">
      <c r="B45" t="s">
        <v>88</v>
      </c>
      <c r="C45" t="s">
        <v>96</v>
      </c>
    </row>
    <row r="46" spans="2:3" x14ac:dyDescent="0.2">
      <c r="B46" t="s">
        <v>89</v>
      </c>
      <c r="C46" t="s">
        <v>97</v>
      </c>
    </row>
    <row r="47" spans="2:3" x14ac:dyDescent="0.2">
      <c r="B47" t="s">
        <v>90</v>
      </c>
      <c r="C47" t="s">
        <v>98</v>
      </c>
    </row>
    <row r="48" spans="2:3" x14ac:dyDescent="0.2">
      <c r="B48" t="s">
        <v>91</v>
      </c>
      <c r="C48" t="s">
        <v>99</v>
      </c>
    </row>
    <row r="50" spans="3:3" x14ac:dyDescent="0.2">
      <c r="C50" s="6" t="s">
        <v>50</v>
      </c>
    </row>
    <row r="52" spans="3:3" x14ac:dyDescent="0.2">
      <c r="C52" s="13" t="s">
        <v>53</v>
      </c>
    </row>
    <row r="53" spans="3:3" x14ac:dyDescent="0.2">
      <c r="C53" s="10" t="s">
        <v>54</v>
      </c>
    </row>
    <row r="54" spans="3:3" x14ac:dyDescent="0.2">
      <c r="C54" s="11" t="s">
        <v>55</v>
      </c>
    </row>
    <row r="55" spans="3:3" x14ac:dyDescent="0.2">
      <c r="C55" s="12" t="s">
        <v>56</v>
      </c>
    </row>
  </sheetData>
  <phoneticPr fontId="0" type="noConversion"/>
  <pageMargins left="0.75" right="0.75" top="1" bottom="1" header="0.5" footer="0.5"/>
  <pageSetup scale="65" orientation="portrait" verticalDpi="300" r:id="rId1"/>
  <headerFooter alignWithMargins="0">
    <oddHeader>&amp;R&amp;"Times New Roman,Bold"&amp;12Attachment to Response to AG-1 Question No. 13 #11
Page &amp;P of &amp;N
Sinclair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/>
  </sheetViews>
  <sheetFormatPr defaultRowHeight="12.75" x14ac:dyDescent="0.2"/>
  <cols>
    <col min="1" max="1" width="14.85546875" bestFit="1" customWidth="1"/>
    <col min="2" max="2" width="12" customWidth="1"/>
  </cols>
  <sheetData>
    <row r="3" spans="1:2" x14ac:dyDescent="0.2">
      <c r="A3" s="218" t="s">
        <v>213</v>
      </c>
    </row>
    <row r="4" spans="1:2" x14ac:dyDescent="0.2">
      <c r="A4" s="218" t="s">
        <v>15</v>
      </c>
      <c r="B4" t="s">
        <v>210</v>
      </c>
    </row>
    <row r="5" spans="1:2" x14ac:dyDescent="0.2">
      <c r="A5">
        <v>2025</v>
      </c>
      <c r="B5" s="219">
        <v>8.3275989943828534</v>
      </c>
    </row>
    <row r="6" spans="1:2" x14ac:dyDescent="0.2">
      <c r="A6">
        <v>2026</v>
      </c>
      <c r="B6" s="219">
        <v>8.3494125211931092</v>
      </c>
    </row>
    <row r="7" spans="1:2" x14ac:dyDescent="0.2">
      <c r="A7">
        <v>2027</v>
      </c>
      <c r="B7" s="219">
        <v>8.3668992443359684</v>
      </c>
    </row>
    <row r="8" spans="1:2" x14ac:dyDescent="0.2">
      <c r="A8">
        <v>2028</v>
      </c>
      <c r="B8" s="219">
        <v>8.3820133515158552</v>
      </c>
    </row>
    <row r="9" spans="1:2" x14ac:dyDescent="0.2">
      <c r="A9">
        <v>2029</v>
      </c>
      <c r="B9" s="219">
        <v>8.3945062409389717</v>
      </c>
    </row>
    <row r="10" spans="1:2" x14ac:dyDescent="0.2">
      <c r="A10">
        <v>2030</v>
      </c>
      <c r="B10" s="219">
        <v>8.405648247040185</v>
      </c>
    </row>
    <row r="11" spans="1:2" x14ac:dyDescent="0.2">
      <c r="A11">
        <v>2031</v>
      </c>
      <c r="B11" s="219">
        <v>8.4157941304593287</v>
      </c>
    </row>
    <row r="12" spans="1:2" x14ac:dyDescent="0.2">
      <c r="A12">
        <v>2032</v>
      </c>
      <c r="B12" s="219">
        <v>8.4249576911533275</v>
      </c>
    </row>
    <row r="13" spans="1:2" x14ac:dyDescent="0.2">
      <c r="A13">
        <v>2033</v>
      </c>
      <c r="B13" s="219">
        <v>8.4317027270645557</v>
      </c>
    </row>
    <row r="14" spans="1:2" x14ac:dyDescent="0.2">
      <c r="A14">
        <v>2034</v>
      </c>
      <c r="B14" s="219">
        <v>8.436276245805697</v>
      </c>
    </row>
    <row r="15" spans="1:2" x14ac:dyDescent="0.2">
      <c r="A15">
        <v>2035</v>
      </c>
      <c r="B15" s="219">
        <v>8.4384683863519196</v>
      </c>
    </row>
    <row r="16" spans="1:2" x14ac:dyDescent="0.2">
      <c r="A16">
        <v>2036</v>
      </c>
      <c r="B16" s="219">
        <v>8.4406605268981423</v>
      </c>
    </row>
    <row r="17" spans="1:2" x14ac:dyDescent="0.2">
      <c r="A17">
        <v>2037</v>
      </c>
      <c r="B17" s="219">
        <v>8.4428526674443649</v>
      </c>
    </row>
    <row r="18" spans="1:2" x14ac:dyDescent="0.2">
      <c r="A18">
        <v>2038</v>
      </c>
      <c r="B18" s="219">
        <v>8.4450448079905875</v>
      </c>
    </row>
    <row r="19" spans="1:2" x14ac:dyDescent="0.2">
      <c r="A19">
        <v>2039</v>
      </c>
      <c r="B19" s="219">
        <v>8.4472369485368102</v>
      </c>
    </row>
    <row r="20" spans="1:2" x14ac:dyDescent="0.2">
      <c r="A20">
        <v>2040</v>
      </c>
      <c r="B20" s="219">
        <v>8.4494290890830328</v>
      </c>
    </row>
    <row r="21" spans="1:2" x14ac:dyDescent="0.2">
      <c r="A21">
        <v>2041</v>
      </c>
      <c r="B21" s="219">
        <v>8.4516212296292554</v>
      </c>
    </row>
    <row r="22" spans="1:2" x14ac:dyDescent="0.2">
      <c r="A22">
        <v>2042</v>
      </c>
      <c r="B22" s="219">
        <v>8.4538133701754781</v>
      </c>
    </row>
    <row r="23" spans="1:2" x14ac:dyDescent="0.2">
      <c r="A23" t="s">
        <v>212</v>
      </c>
      <c r="B23" s="219">
        <v>151.50393641999946</v>
      </c>
    </row>
  </sheetData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view="pageBreakPreview" topLeftCell="A24" zoomScale="60" zoomScaleNormal="136" workbookViewId="0">
      <pane xSplit="1" topLeftCell="V1" activePane="topRight" state="frozen"/>
      <selection activeCell="P1" sqref="P1:Q15"/>
      <selection pane="topRight" activeCell="P1" sqref="P1:Q15"/>
    </sheetView>
  </sheetViews>
  <sheetFormatPr defaultRowHeight="12.75" x14ac:dyDescent="0.2"/>
  <cols>
    <col min="1" max="1" width="5.85546875" customWidth="1"/>
    <col min="2" max="2" width="7" style="9" bestFit="1" customWidth="1"/>
    <col min="3" max="3" width="8.28515625" style="9" bestFit="1" customWidth="1"/>
    <col min="4" max="5" width="8.28515625" style="9" customWidth="1"/>
    <col min="6" max="6" width="7.28515625" style="9" bestFit="1" customWidth="1"/>
    <col min="7" max="7" width="8.28515625" style="9" bestFit="1" customWidth="1"/>
    <col min="8" max="8" width="8.28515625" style="9" customWidth="1"/>
    <col min="9" max="9" width="6.7109375" style="9" bestFit="1" customWidth="1"/>
    <col min="10" max="10" width="8.7109375" style="9" bestFit="1" customWidth="1"/>
    <col min="11" max="11" width="8.7109375" style="44" bestFit="1" customWidth="1"/>
    <col min="12" max="14" width="10.28515625" style="44" bestFit="1" customWidth="1"/>
    <col min="15" max="16" width="8.7109375" style="44" bestFit="1" customWidth="1"/>
    <col min="17" max="17" width="10.28515625" style="44" bestFit="1" customWidth="1"/>
    <col min="18" max="18" width="8.7109375" style="44" bestFit="1" customWidth="1"/>
    <col min="19" max="19" width="8.7109375" style="44" customWidth="1"/>
    <col min="20" max="20" width="10.28515625" style="44" bestFit="1" customWidth="1"/>
    <col min="21" max="21" width="10.28515625" style="44" customWidth="1"/>
    <col min="22" max="22" width="9.42578125" style="236" bestFit="1" customWidth="1"/>
    <col min="23" max="23" width="10.140625" bestFit="1" customWidth="1"/>
    <col min="24" max="24" width="11.42578125" customWidth="1"/>
  </cols>
  <sheetData>
    <row r="1" spans="1:29" s="3" customFormat="1" x14ac:dyDescent="0.2">
      <c r="A1" s="18" t="s">
        <v>15</v>
      </c>
      <c r="B1" s="41" t="s">
        <v>0</v>
      </c>
      <c r="C1" s="41" t="s">
        <v>1</v>
      </c>
      <c r="D1" s="41" t="s">
        <v>163</v>
      </c>
      <c r="E1" s="41" t="s">
        <v>145</v>
      </c>
      <c r="F1" s="41" t="s">
        <v>2</v>
      </c>
      <c r="G1" s="41" t="s">
        <v>3</v>
      </c>
      <c r="H1" s="41" t="s">
        <v>165</v>
      </c>
      <c r="I1" s="41" t="s">
        <v>4</v>
      </c>
      <c r="J1" s="41" t="s">
        <v>5</v>
      </c>
      <c r="K1" s="37" t="s">
        <v>6</v>
      </c>
      <c r="L1" s="38" t="s">
        <v>7</v>
      </c>
      <c r="M1" s="38" t="s">
        <v>8</v>
      </c>
      <c r="N1" s="38" t="s">
        <v>9</v>
      </c>
      <c r="O1" s="37" t="s">
        <v>10</v>
      </c>
      <c r="P1" s="37"/>
      <c r="Q1" s="37"/>
      <c r="R1" s="38" t="s">
        <v>100</v>
      </c>
      <c r="S1" s="38" t="s">
        <v>173</v>
      </c>
      <c r="T1" s="38" t="s">
        <v>13</v>
      </c>
      <c r="U1" s="38" t="s">
        <v>216</v>
      </c>
      <c r="V1" s="38" t="s">
        <v>214</v>
      </c>
      <c r="W1" s="3" t="s">
        <v>217</v>
      </c>
      <c r="X1" s="226" t="s">
        <v>14</v>
      </c>
    </row>
    <row r="2" spans="1:29" hidden="1" x14ac:dyDescent="0.2">
      <c r="A2" s="24">
        <v>1995</v>
      </c>
      <c r="B2" s="114">
        <v>3.4119999999999999</v>
      </c>
      <c r="C2" s="119">
        <v>6.6145431549056699</v>
      </c>
      <c r="D2" s="119">
        <v>3.22</v>
      </c>
      <c r="E2" s="119">
        <v>672.80825918693779</v>
      </c>
      <c r="F2" s="119">
        <v>9.0326946012654545</v>
      </c>
      <c r="G2" s="119">
        <v>10.100210866762</v>
      </c>
      <c r="H2" s="119">
        <v>12.759999999999987</v>
      </c>
      <c r="I2" s="119">
        <v>8.2767889420950311</v>
      </c>
      <c r="J2" s="119">
        <v>0.86162231376373388</v>
      </c>
      <c r="K2" s="119">
        <v>332.28448403002676</v>
      </c>
      <c r="L2" s="119">
        <v>785.42382844601207</v>
      </c>
      <c r="M2" s="119">
        <v>706.88144560141018</v>
      </c>
      <c r="N2" s="119">
        <v>597.8861696134619</v>
      </c>
      <c r="O2" s="119">
        <v>516.35370934786215</v>
      </c>
      <c r="P2" s="119"/>
      <c r="Q2" s="119"/>
      <c r="R2" s="119">
        <v>192.30104310978115</v>
      </c>
      <c r="S2" s="119">
        <v>417.63542342875638</v>
      </c>
      <c r="T2" s="119">
        <v>1994.4411425298797</v>
      </c>
      <c r="U2" s="119"/>
      <c r="V2" s="233">
        <v>2926.6635745911367</v>
      </c>
      <c r="W2" s="129"/>
      <c r="X2" s="227">
        <v>2905.497023945918</v>
      </c>
    </row>
    <row r="3" spans="1:29" hidden="1" x14ac:dyDescent="0.2">
      <c r="A3" s="24">
        <v>1996</v>
      </c>
      <c r="B3" s="114">
        <v>3.4119999999999999</v>
      </c>
      <c r="C3" s="124">
        <f>C2+((C$12-C$2)/10)</f>
        <v>6.65948938012379</v>
      </c>
      <c r="D3" s="124">
        <f t="shared" ref="D3:T11" si="0">D2+((D$12-D$2)/10)</f>
        <v>3.2280000000000002</v>
      </c>
      <c r="E3" s="124">
        <f t="shared" si="0"/>
        <v>668.07399668742369</v>
      </c>
      <c r="F3" s="124">
        <f t="shared" si="0"/>
        <v>9.2484880402426786</v>
      </c>
      <c r="G3" s="124">
        <f t="shared" si="0"/>
        <v>10.242073513409206</v>
      </c>
      <c r="H3" s="124">
        <f t="shared" si="0"/>
        <v>12.863999999999988</v>
      </c>
      <c r="I3" s="124">
        <f t="shared" si="0"/>
        <v>8.3952412804142877</v>
      </c>
      <c r="J3" s="124">
        <f t="shared" si="0"/>
        <v>0.86373287526832121</v>
      </c>
      <c r="K3" s="124">
        <f t="shared" si="0"/>
        <v>332.19678296536182</v>
      </c>
      <c r="L3" s="124">
        <f t="shared" si="0"/>
        <v>773.24932431927755</v>
      </c>
      <c r="M3" s="124">
        <f t="shared" si="0"/>
        <v>695.9243918873492</v>
      </c>
      <c r="N3" s="124">
        <f t="shared" si="0"/>
        <v>591.15569892400902</v>
      </c>
      <c r="O3" s="124">
        <f t="shared" si="0"/>
        <v>508.12395663771969</v>
      </c>
      <c r="P3" s="124"/>
      <c r="Q3" s="124"/>
      <c r="R3" s="124">
        <f t="shared" si="0"/>
        <v>173.07093879880304</v>
      </c>
      <c r="S3" s="124">
        <f t="shared" si="0"/>
        <v>375.87188108588077</v>
      </c>
      <c r="T3" s="124">
        <f t="shared" si="0"/>
        <v>1995.9372186985383</v>
      </c>
      <c r="U3" s="124"/>
      <c r="V3" s="233">
        <v>3033.7744795638791</v>
      </c>
      <c r="W3" s="147"/>
      <c r="X3" s="228">
        <v>3007.1968255423126</v>
      </c>
      <c r="Y3" s="147"/>
      <c r="Z3" s="147"/>
      <c r="AA3" s="147"/>
      <c r="AB3" s="147"/>
      <c r="AC3" s="147"/>
    </row>
    <row r="4" spans="1:29" hidden="1" x14ac:dyDescent="0.2">
      <c r="A4" s="24">
        <v>1997</v>
      </c>
      <c r="B4" s="114">
        <v>3.4119999999999999</v>
      </c>
      <c r="C4" s="124">
        <f t="shared" ref="C4:C11" si="1">C3+((C$12-C$2)/10)</f>
        <v>6.7044356053419101</v>
      </c>
      <c r="D4" s="124">
        <f t="shared" si="0"/>
        <v>3.2360000000000002</v>
      </c>
      <c r="E4" s="124">
        <f t="shared" si="0"/>
        <v>663.33973418790958</v>
      </c>
      <c r="F4" s="124">
        <f t="shared" si="0"/>
        <v>9.4642814792199026</v>
      </c>
      <c r="G4" s="124">
        <f t="shared" si="0"/>
        <v>10.383936160056413</v>
      </c>
      <c r="H4" s="124">
        <f t="shared" si="0"/>
        <v>12.967999999999989</v>
      </c>
      <c r="I4" s="124">
        <f t="shared" si="0"/>
        <v>8.5136936187335444</v>
      </c>
      <c r="J4" s="124">
        <f t="shared" si="0"/>
        <v>0.86584343677290854</v>
      </c>
      <c r="K4" s="124">
        <f t="shared" si="0"/>
        <v>332.10908190069688</v>
      </c>
      <c r="L4" s="124">
        <f t="shared" si="0"/>
        <v>761.07482019254303</v>
      </c>
      <c r="M4" s="124">
        <f t="shared" si="0"/>
        <v>684.96733817328823</v>
      </c>
      <c r="N4" s="124">
        <f t="shared" si="0"/>
        <v>584.42522823455613</v>
      </c>
      <c r="O4" s="124">
        <f t="shared" si="0"/>
        <v>499.89420392757722</v>
      </c>
      <c r="P4" s="124"/>
      <c r="Q4" s="124"/>
      <c r="R4" s="124">
        <f t="shared" si="0"/>
        <v>153.84083448782494</v>
      </c>
      <c r="S4" s="124">
        <f t="shared" si="0"/>
        <v>334.10833874300511</v>
      </c>
      <c r="T4" s="124">
        <f t="shared" si="0"/>
        <v>1997.433294867197</v>
      </c>
      <c r="U4" s="124"/>
      <c r="V4" s="233">
        <v>3140.8853845366216</v>
      </c>
      <c r="W4" s="147"/>
      <c r="X4" s="228">
        <v>3108.8966271387071</v>
      </c>
      <c r="Y4" s="147"/>
      <c r="Z4" s="147"/>
      <c r="AA4" s="147"/>
      <c r="AB4" s="147"/>
      <c r="AC4" s="147"/>
    </row>
    <row r="5" spans="1:29" hidden="1" x14ac:dyDescent="0.2">
      <c r="A5" s="24">
        <v>1998</v>
      </c>
      <c r="B5" s="114">
        <v>3.4119999999999999</v>
      </c>
      <c r="C5" s="124">
        <f t="shared" si="1"/>
        <v>6.7493818305600302</v>
      </c>
      <c r="D5" s="124">
        <f t="shared" si="0"/>
        <v>3.2440000000000002</v>
      </c>
      <c r="E5" s="124">
        <f t="shared" si="0"/>
        <v>658.60547168839548</v>
      </c>
      <c r="F5" s="124">
        <f t="shared" si="0"/>
        <v>9.6800749181971266</v>
      </c>
      <c r="G5" s="124">
        <f t="shared" si="0"/>
        <v>10.525798806703619</v>
      </c>
      <c r="H5" s="124">
        <f t="shared" si="0"/>
        <v>13.07199999999999</v>
      </c>
      <c r="I5" s="124">
        <f t="shared" si="0"/>
        <v>8.632145957052801</v>
      </c>
      <c r="J5" s="124">
        <f t="shared" si="0"/>
        <v>0.86795399827749586</v>
      </c>
      <c r="K5" s="124">
        <f t="shared" si="0"/>
        <v>332.02138083603194</v>
      </c>
      <c r="L5" s="124">
        <f t="shared" si="0"/>
        <v>748.90031606580851</v>
      </c>
      <c r="M5" s="124">
        <f t="shared" si="0"/>
        <v>674.01028445922725</v>
      </c>
      <c r="N5" s="124">
        <f t="shared" si="0"/>
        <v>577.69475754510324</v>
      </c>
      <c r="O5" s="124">
        <f t="shared" si="0"/>
        <v>491.66445121743476</v>
      </c>
      <c r="P5" s="124"/>
      <c r="Q5" s="124"/>
      <c r="R5" s="124">
        <f t="shared" si="0"/>
        <v>134.61073017684683</v>
      </c>
      <c r="S5" s="124">
        <f t="shared" si="0"/>
        <v>292.34479640012944</v>
      </c>
      <c r="T5" s="124">
        <f t="shared" si="0"/>
        <v>1998.9293710358556</v>
      </c>
      <c r="U5" s="124"/>
      <c r="V5" s="233">
        <v>3247.996289509364</v>
      </c>
      <c r="W5" s="147"/>
      <c r="X5" s="228">
        <v>3210.5964287351017</v>
      </c>
      <c r="Y5" s="147"/>
      <c r="Z5" s="147"/>
      <c r="AA5" s="147"/>
      <c r="AB5" s="147"/>
      <c r="AC5" s="147"/>
    </row>
    <row r="6" spans="1:29" hidden="1" x14ac:dyDescent="0.2">
      <c r="A6" s="24">
        <v>1999</v>
      </c>
      <c r="B6" s="114">
        <v>3.4119999999999999</v>
      </c>
      <c r="C6" s="124">
        <f t="shared" si="1"/>
        <v>6.7943280557781502</v>
      </c>
      <c r="D6" s="124">
        <f t="shared" si="0"/>
        <v>3.2520000000000002</v>
      </c>
      <c r="E6" s="124">
        <f t="shared" si="0"/>
        <v>653.87120918888138</v>
      </c>
      <c r="F6" s="124">
        <f t="shared" si="0"/>
        <v>9.8958683571743506</v>
      </c>
      <c r="G6" s="124">
        <f t="shared" si="0"/>
        <v>10.667661453350826</v>
      </c>
      <c r="H6" s="124">
        <f t="shared" si="0"/>
        <v>13.175999999999991</v>
      </c>
      <c r="I6" s="124">
        <f t="shared" si="0"/>
        <v>8.7505982953720576</v>
      </c>
      <c r="J6" s="124">
        <f t="shared" si="0"/>
        <v>0.87006455978208319</v>
      </c>
      <c r="K6" s="124">
        <f t="shared" si="0"/>
        <v>331.933679771367</v>
      </c>
      <c r="L6" s="124">
        <f t="shared" si="0"/>
        <v>736.72581193907399</v>
      </c>
      <c r="M6" s="124">
        <f t="shared" si="0"/>
        <v>663.05323074516627</v>
      </c>
      <c r="N6" s="124">
        <f t="shared" si="0"/>
        <v>570.96428685565036</v>
      </c>
      <c r="O6" s="124">
        <f t="shared" si="0"/>
        <v>483.4346985072923</v>
      </c>
      <c r="P6" s="124"/>
      <c r="Q6" s="124"/>
      <c r="R6" s="124">
        <f t="shared" si="0"/>
        <v>115.38062586586872</v>
      </c>
      <c r="S6" s="124">
        <f t="shared" si="0"/>
        <v>250.5812540572538</v>
      </c>
      <c r="T6" s="124">
        <f t="shared" si="0"/>
        <v>2000.4254472045143</v>
      </c>
      <c r="U6" s="124"/>
      <c r="V6" s="233">
        <v>3355.1071944821065</v>
      </c>
      <c r="W6" s="147"/>
      <c r="X6" s="228">
        <v>3312.2962303314962</v>
      </c>
      <c r="Y6" s="147"/>
      <c r="Z6" s="147"/>
      <c r="AA6" s="147"/>
      <c r="AB6" s="147"/>
      <c r="AC6" s="147"/>
    </row>
    <row r="7" spans="1:29" hidden="1" x14ac:dyDescent="0.2">
      <c r="A7" s="24">
        <v>2000</v>
      </c>
      <c r="B7" s="114">
        <v>3.4119999999999999</v>
      </c>
      <c r="C7" s="124">
        <f t="shared" si="1"/>
        <v>6.8392742809962703</v>
      </c>
      <c r="D7" s="124">
        <f t="shared" si="0"/>
        <v>3.2600000000000002</v>
      </c>
      <c r="E7" s="124">
        <f t="shared" si="0"/>
        <v>649.13694668936728</v>
      </c>
      <c r="F7" s="124">
        <f t="shared" si="0"/>
        <v>10.111661796151575</v>
      </c>
      <c r="G7" s="124">
        <f t="shared" si="0"/>
        <v>10.809524099998033</v>
      </c>
      <c r="H7" s="124">
        <f t="shared" si="0"/>
        <v>13.279999999999992</v>
      </c>
      <c r="I7" s="124">
        <f t="shared" si="0"/>
        <v>8.8690506336913142</v>
      </c>
      <c r="J7" s="124">
        <f t="shared" si="0"/>
        <v>0.87217512128667052</v>
      </c>
      <c r="K7" s="124">
        <f t="shared" si="0"/>
        <v>331.84597870670206</v>
      </c>
      <c r="L7" s="124">
        <f t="shared" si="0"/>
        <v>724.55130781233947</v>
      </c>
      <c r="M7" s="124">
        <f t="shared" si="0"/>
        <v>652.0961770311053</v>
      </c>
      <c r="N7" s="124">
        <f t="shared" si="0"/>
        <v>564.23381616619747</v>
      </c>
      <c r="O7" s="124">
        <f t="shared" si="0"/>
        <v>475.20494579714983</v>
      </c>
      <c r="P7" s="124"/>
      <c r="Q7" s="124"/>
      <c r="R7" s="124">
        <f t="shared" si="0"/>
        <v>96.150521554890616</v>
      </c>
      <c r="S7" s="124">
        <f t="shared" si="0"/>
        <v>208.81771171437816</v>
      </c>
      <c r="T7" s="124">
        <f t="shared" si="0"/>
        <v>2001.9215233731729</v>
      </c>
      <c r="U7" s="124"/>
      <c r="V7" s="233">
        <v>3462.2180994548489</v>
      </c>
      <c r="W7" s="147"/>
      <c r="X7" s="228">
        <v>3413.9960319278907</v>
      </c>
      <c r="Y7" s="147"/>
      <c r="Z7" s="147"/>
      <c r="AA7" s="147"/>
      <c r="AB7" s="147"/>
      <c r="AC7" s="147"/>
    </row>
    <row r="8" spans="1:29" hidden="1" x14ac:dyDescent="0.2">
      <c r="A8" s="24">
        <v>2001</v>
      </c>
      <c r="B8" s="112">
        <v>3.4119999999999999</v>
      </c>
      <c r="C8" s="124">
        <f t="shared" si="1"/>
        <v>6.8842205062143904</v>
      </c>
      <c r="D8" s="124">
        <f t="shared" si="0"/>
        <v>3.2680000000000002</v>
      </c>
      <c r="E8" s="124">
        <f t="shared" si="0"/>
        <v>644.40268418985318</v>
      </c>
      <c r="F8" s="124">
        <f t="shared" si="0"/>
        <v>10.327455235128799</v>
      </c>
      <c r="G8" s="124">
        <f t="shared" si="0"/>
        <v>10.951386746645239</v>
      </c>
      <c r="H8" s="124">
        <f t="shared" si="0"/>
        <v>13.383999999999993</v>
      </c>
      <c r="I8" s="124">
        <f t="shared" si="0"/>
        <v>8.9875029720105708</v>
      </c>
      <c r="J8" s="124">
        <f t="shared" si="0"/>
        <v>0.87428568279125785</v>
      </c>
      <c r="K8" s="124">
        <f t="shared" si="0"/>
        <v>331.75827764203711</v>
      </c>
      <c r="L8" s="124">
        <f t="shared" si="0"/>
        <v>712.37680368560495</v>
      </c>
      <c r="M8" s="124">
        <f t="shared" si="0"/>
        <v>641.13912331704432</v>
      </c>
      <c r="N8" s="124">
        <f t="shared" si="0"/>
        <v>557.50334547674458</v>
      </c>
      <c r="O8" s="124">
        <f t="shared" si="0"/>
        <v>466.97519308700737</v>
      </c>
      <c r="P8" s="124"/>
      <c r="Q8" s="124"/>
      <c r="R8" s="124">
        <f t="shared" si="0"/>
        <v>76.92041724391251</v>
      </c>
      <c r="S8" s="124">
        <f t="shared" si="0"/>
        <v>167.05416937150252</v>
      </c>
      <c r="T8" s="124">
        <f t="shared" si="0"/>
        <v>2003.4175995418316</v>
      </c>
      <c r="U8" s="124"/>
      <c r="V8" s="233">
        <v>3569.3290044275914</v>
      </c>
      <c r="W8" s="147"/>
      <c r="X8" s="228">
        <v>3515.6958335242853</v>
      </c>
      <c r="Y8" s="147"/>
      <c r="Z8" s="147"/>
      <c r="AA8" s="147"/>
      <c r="AB8" s="147"/>
      <c r="AC8" s="147"/>
    </row>
    <row r="9" spans="1:29" hidden="1" x14ac:dyDescent="0.2">
      <c r="A9" s="24">
        <v>2002</v>
      </c>
      <c r="B9" s="112">
        <v>3.4119999999999999</v>
      </c>
      <c r="C9" s="124">
        <f t="shared" si="1"/>
        <v>6.9291667314325105</v>
      </c>
      <c r="D9" s="124">
        <f t="shared" si="0"/>
        <v>3.2760000000000002</v>
      </c>
      <c r="E9" s="124">
        <f t="shared" si="0"/>
        <v>639.66842169033907</v>
      </c>
      <c r="F9" s="124">
        <f t="shared" si="0"/>
        <v>10.543248674106023</v>
      </c>
      <c r="G9" s="124">
        <f t="shared" si="0"/>
        <v>11.093249393292446</v>
      </c>
      <c r="H9" s="124">
        <f t="shared" si="0"/>
        <v>13.487999999999994</v>
      </c>
      <c r="I9" s="124">
        <f t="shared" si="0"/>
        <v>9.1059553103298274</v>
      </c>
      <c r="J9" s="124">
        <f t="shared" si="0"/>
        <v>0.87639624429584517</v>
      </c>
      <c r="K9" s="124">
        <f t="shared" si="0"/>
        <v>331.67057657737217</v>
      </c>
      <c r="L9" s="124">
        <f t="shared" si="0"/>
        <v>700.20229955887044</v>
      </c>
      <c r="M9" s="124">
        <f t="shared" si="0"/>
        <v>630.18206960298335</v>
      </c>
      <c r="N9" s="124">
        <f t="shared" si="0"/>
        <v>550.7728747872917</v>
      </c>
      <c r="O9" s="124">
        <f t="shared" si="0"/>
        <v>458.74544037686491</v>
      </c>
      <c r="P9" s="124"/>
      <c r="Q9" s="124"/>
      <c r="R9" s="124">
        <f t="shared" si="0"/>
        <v>57.690312932934397</v>
      </c>
      <c r="S9" s="124">
        <f t="shared" si="0"/>
        <v>125.29062702862689</v>
      </c>
      <c r="T9" s="124">
        <f t="shared" si="0"/>
        <v>2004.9136757104902</v>
      </c>
      <c r="U9" s="124"/>
      <c r="V9" s="233">
        <v>3676.4399094003338</v>
      </c>
      <c r="W9" s="147"/>
      <c r="X9" s="228">
        <v>3617.3956351206798</v>
      </c>
      <c r="Y9" s="147"/>
      <c r="Z9" s="147"/>
      <c r="AA9" s="147"/>
      <c r="AB9" s="147"/>
      <c r="AC9" s="147"/>
    </row>
    <row r="10" spans="1:29" hidden="1" x14ac:dyDescent="0.2">
      <c r="A10" s="24">
        <v>2003</v>
      </c>
      <c r="B10" s="112">
        <v>3.4119999999999999</v>
      </c>
      <c r="C10" s="124">
        <f t="shared" si="1"/>
        <v>6.9741129566506306</v>
      </c>
      <c r="D10" s="124">
        <f t="shared" si="0"/>
        <v>3.2840000000000003</v>
      </c>
      <c r="E10" s="124">
        <f t="shared" si="0"/>
        <v>634.93415919082497</v>
      </c>
      <c r="F10" s="124">
        <f t="shared" si="0"/>
        <v>10.759042113083247</v>
      </c>
      <c r="G10" s="124">
        <f t="shared" si="0"/>
        <v>11.235112039939652</v>
      </c>
      <c r="H10" s="124">
        <f t="shared" si="0"/>
        <v>13.591999999999995</v>
      </c>
      <c r="I10" s="124">
        <f t="shared" si="0"/>
        <v>9.224407648649084</v>
      </c>
      <c r="J10" s="124">
        <f t="shared" si="0"/>
        <v>0.8785068058004325</v>
      </c>
      <c r="K10" s="124">
        <f t="shared" si="0"/>
        <v>331.58287551270723</v>
      </c>
      <c r="L10" s="124">
        <f t="shared" si="0"/>
        <v>688.02779543213592</v>
      </c>
      <c r="M10" s="124">
        <f t="shared" si="0"/>
        <v>619.22501588892237</v>
      </c>
      <c r="N10" s="124">
        <f t="shared" si="0"/>
        <v>544.04240409783881</v>
      </c>
      <c r="O10" s="124">
        <f t="shared" si="0"/>
        <v>450.51568766672244</v>
      </c>
      <c r="P10" s="124"/>
      <c r="Q10" s="124"/>
      <c r="R10" s="124">
        <f t="shared" si="0"/>
        <v>38.460208621956284</v>
      </c>
      <c r="S10" s="124">
        <f t="shared" si="0"/>
        <v>83.527084685751248</v>
      </c>
      <c r="T10" s="124">
        <f t="shared" si="0"/>
        <v>2006.4097518791489</v>
      </c>
      <c r="U10" s="124"/>
      <c r="V10" s="233">
        <v>3783.5508143730763</v>
      </c>
      <c r="W10" s="147"/>
      <c r="X10" s="228">
        <v>3719.0954367170743</v>
      </c>
      <c r="Y10" s="147"/>
      <c r="Z10" s="147"/>
      <c r="AA10" s="147"/>
      <c r="AB10" s="147"/>
      <c r="AC10" s="147"/>
    </row>
    <row r="11" spans="1:29" hidden="1" x14ac:dyDescent="0.2">
      <c r="A11" s="24">
        <v>2004</v>
      </c>
      <c r="B11" s="112">
        <v>3.4119999999999999</v>
      </c>
      <c r="C11" s="124">
        <f t="shared" si="1"/>
        <v>7.0190591818687507</v>
      </c>
      <c r="D11" s="124">
        <f t="shared" si="0"/>
        <v>3.2920000000000003</v>
      </c>
      <c r="E11" s="124">
        <f t="shared" si="0"/>
        <v>630.19989669131087</v>
      </c>
      <c r="F11" s="124">
        <f t="shared" si="0"/>
        <v>10.974835552060471</v>
      </c>
      <c r="G11" s="124">
        <f t="shared" si="0"/>
        <v>11.376974686586859</v>
      </c>
      <c r="H11" s="124">
        <f t="shared" si="0"/>
        <v>13.695999999999996</v>
      </c>
      <c r="I11" s="124">
        <f t="shared" si="0"/>
        <v>9.3428599869683406</v>
      </c>
      <c r="J11" s="124">
        <f t="shared" si="0"/>
        <v>0.88061736730501983</v>
      </c>
      <c r="K11" s="124">
        <f t="shared" si="0"/>
        <v>331.49517444804229</v>
      </c>
      <c r="L11" s="124">
        <f t="shared" si="0"/>
        <v>675.8532913054014</v>
      </c>
      <c r="M11" s="124">
        <f t="shared" si="0"/>
        <v>608.2679621748614</v>
      </c>
      <c r="N11" s="124">
        <f t="shared" si="0"/>
        <v>537.31193340838593</v>
      </c>
      <c r="O11" s="124">
        <f t="shared" si="0"/>
        <v>442.28593495657998</v>
      </c>
      <c r="P11" s="124"/>
      <c r="Q11" s="124"/>
      <c r="R11" s="124">
        <f t="shared" si="0"/>
        <v>19.23010431097817</v>
      </c>
      <c r="S11" s="124">
        <f t="shared" si="0"/>
        <v>41.76354234287561</v>
      </c>
      <c r="T11" s="124">
        <f t="shared" si="0"/>
        <v>2007.9058280478075</v>
      </c>
      <c r="U11" s="124"/>
      <c r="V11" s="233">
        <v>3890.6617193458187</v>
      </c>
      <c r="W11" s="147"/>
      <c r="X11" s="228">
        <v>3820.7952383134689</v>
      </c>
      <c r="Y11" s="147"/>
      <c r="Z11" s="147"/>
      <c r="AA11" s="147"/>
      <c r="AB11" s="147"/>
      <c r="AC11" s="147"/>
    </row>
    <row r="12" spans="1:29" x14ac:dyDescent="0.2">
      <c r="A12" s="24">
        <v>2005</v>
      </c>
      <c r="B12" s="112">
        <v>3.4119999999999999</v>
      </c>
      <c r="C12" s="112">
        <f>'KU EIAData'!B4</f>
        <v>7.0640054070868681</v>
      </c>
      <c r="D12" s="112">
        <f>'KU EIAData'!C4</f>
        <v>3.3</v>
      </c>
      <c r="E12" s="112">
        <f>'KU EIAData'!D4</f>
        <v>625.46563419179665</v>
      </c>
      <c r="F12" s="112">
        <f>'KU EIAData'!G4</f>
        <v>11.190628991037693</v>
      </c>
      <c r="G12" s="112">
        <f>'KU EIAData'!E4</f>
        <v>11.518837333234069</v>
      </c>
      <c r="H12" s="112">
        <f>'KU EIAData'!F4</f>
        <v>13.8</v>
      </c>
      <c r="I12" s="112">
        <f>'KU EIAData'!H4</f>
        <v>9.4613123252875919</v>
      </c>
      <c r="J12" s="112">
        <f>'KU EIAData'!I4</f>
        <v>0.88272792880960704</v>
      </c>
      <c r="K12" s="112">
        <f>'KU EIAData'!L4</f>
        <v>331.40747338337758</v>
      </c>
      <c r="L12" s="112">
        <f>'KU EIAData'!J4</f>
        <v>663.67878717866665</v>
      </c>
      <c r="M12" s="112">
        <f t="shared" ref="M12:M37" si="2">L12*0.9</f>
        <v>597.31090846079996</v>
      </c>
      <c r="N12" s="112">
        <f>'KU EIAData'!K4</f>
        <v>530.58146271893293</v>
      </c>
      <c r="O12" s="112">
        <f>'KU EIAData'!M4</f>
        <v>434.05618224643769</v>
      </c>
      <c r="P12" s="112"/>
      <c r="Q12" s="112"/>
      <c r="R12" s="112">
        <f>'KU EIAData'!P4</f>
        <v>0</v>
      </c>
      <c r="S12" s="112">
        <f>'KU EIAData'!Q4</f>
        <v>0</v>
      </c>
      <c r="T12" s="112">
        <f>'KU EIAData'!R4</f>
        <v>2009.4019042164659</v>
      </c>
      <c r="U12" s="112"/>
      <c r="V12" s="233">
        <v>3997.7726243185602</v>
      </c>
      <c r="W12" s="149"/>
      <c r="X12" s="237">
        <f>'KU EIAData'!S4</f>
        <v>3922.4950399098643</v>
      </c>
      <c r="Y12" s="149"/>
      <c r="Z12" s="149"/>
      <c r="AA12" s="149"/>
      <c r="AB12" s="149"/>
      <c r="AC12" s="149"/>
    </row>
    <row r="13" spans="1:29" x14ac:dyDescent="0.2">
      <c r="A13" s="24">
        <v>2006</v>
      </c>
      <c r="B13" s="112">
        <v>3.4119999999999999</v>
      </c>
      <c r="C13" s="112">
        <f>'KU EIAData'!B5</f>
        <v>7.1509267544549466</v>
      </c>
      <c r="D13" s="112">
        <f>'KU EIAData'!C5</f>
        <v>3.3015590000000001</v>
      </c>
      <c r="E13" s="112">
        <v>608.1527330872525</v>
      </c>
      <c r="F13" s="112">
        <f>'KU EIAData'!G5</f>
        <v>11.401529818829824</v>
      </c>
      <c r="G13" s="112">
        <f>'KU EIAData'!E5</f>
        <v>11.725685088053469</v>
      </c>
      <c r="H13" s="112">
        <f>'KU EIAData'!F5</f>
        <v>13.886512</v>
      </c>
      <c r="I13" s="112">
        <f>'KU EIAData'!H5</f>
        <v>9.5224392825295894</v>
      </c>
      <c r="J13" s="112">
        <f>'KU EIAData'!I5</f>
        <v>0.88500750520619786</v>
      </c>
      <c r="K13" s="112">
        <f>'KU EIAData'!L5</f>
        <v>331.11625407322299</v>
      </c>
      <c r="L13" s="112">
        <f>'KU EIAData'!J5</f>
        <v>647.46748751540326</v>
      </c>
      <c r="M13" s="112">
        <f t="shared" si="2"/>
        <v>582.72073876386298</v>
      </c>
      <c r="N13" s="112">
        <f>'KU EIAData'!K5</f>
        <v>518.47639290197708</v>
      </c>
      <c r="O13" s="112">
        <f>'KU EIAData'!M5</f>
        <v>423.37992276068093</v>
      </c>
      <c r="P13" s="112"/>
      <c r="Q13" s="148"/>
      <c r="R13" s="112">
        <v>224.21212322543218</v>
      </c>
      <c r="S13" s="112">
        <v>494.96475916607523</v>
      </c>
      <c r="T13" s="112">
        <f>'KU EIAData'!R5</f>
        <v>1994.2060049955637</v>
      </c>
      <c r="U13" s="112"/>
      <c r="V13" s="233">
        <v>4071.1647895096144</v>
      </c>
      <c r="W13" s="147"/>
      <c r="X13" s="237">
        <f>'KU EIAData'!S5</f>
        <v>4189.9485003693344</v>
      </c>
    </row>
    <row r="14" spans="1:29" x14ac:dyDescent="0.2">
      <c r="A14" s="24">
        <v>2007</v>
      </c>
      <c r="B14" s="112">
        <v>3.4119999999999999</v>
      </c>
      <c r="C14" s="112">
        <f>'KU EIAData'!B6</f>
        <v>7.2389176537546671</v>
      </c>
      <c r="D14" s="112">
        <f>'KU EIAData'!C6</f>
        <v>3.30253</v>
      </c>
      <c r="E14" s="112">
        <v>590.83983198270835</v>
      </c>
      <c r="F14" s="112">
        <f>'KU EIAData'!G6</f>
        <v>11.616405325721676</v>
      </c>
      <c r="G14" s="112">
        <f>'KU EIAData'!E6</f>
        <v>11.93624727970673</v>
      </c>
      <c r="H14" s="112">
        <f>'KU EIAData'!F6</f>
        <v>13.954171000000001</v>
      </c>
      <c r="I14" s="112">
        <f>'KU EIAData'!H6</f>
        <v>9.5839611643627212</v>
      </c>
      <c r="J14" s="112">
        <f>'KU EIAData'!I6</f>
        <v>0.88729296843198968</v>
      </c>
      <c r="K14" s="112">
        <f>'KU EIAData'!L6</f>
        <v>330.9257571682009</v>
      </c>
      <c r="L14" s="112">
        <f>'KU EIAData'!J6</f>
        <v>631.65217193638227</v>
      </c>
      <c r="M14" s="112">
        <f t="shared" si="2"/>
        <v>568.48695474274405</v>
      </c>
      <c r="N14" s="112">
        <f>'KU EIAData'!K6</f>
        <v>506.64749691612809</v>
      </c>
      <c r="O14" s="112">
        <f>'KU EIAData'!M6</f>
        <v>413.03471971289258</v>
      </c>
      <c r="P14" s="112"/>
      <c r="Q14" s="148"/>
      <c r="R14" s="112">
        <v>223.92250793456233</v>
      </c>
      <c r="S14" s="112">
        <v>507.20381261755682</v>
      </c>
      <c r="T14" s="112">
        <f>'KU EIAData'!R6</f>
        <v>1962.1164142451546</v>
      </c>
      <c r="U14" s="112"/>
      <c r="V14" s="233">
        <v>4217.4901363808576</v>
      </c>
      <c r="W14" s="129"/>
      <c r="X14" s="237">
        <f>'KU EIAData'!S6</f>
        <v>4512.1743147094294</v>
      </c>
    </row>
    <row r="15" spans="1:29" x14ac:dyDescent="0.2">
      <c r="A15" s="24">
        <v>2008</v>
      </c>
      <c r="B15" s="112">
        <v>3.4119999999999999</v>
      </c>
      <c r="C15" s="112">
        <f>'KU EIAData'!B7</f>
        <v>7.302377720492446</v>
      </c>
      <c r="D15" s="112">
        <f>'KU EIAData'!C7</f>
        <v>3.3036409999999998</v>
      </c>
      <c r="E15" s="112">
        <v>573.52693087816419</v>
      </c>
      <c r="F15" s="112">
        <f>'KU EIAData'!G7</f>
        <v>11.802056259305916</v>
      </c>
      <c r="G15" s="112">
        <f>'KU EIAData'!E7</f>
        <v>12.08833891284468</v>
      </c>
      <c r="H15" s="112">
        <f>'KU EIAData'!F7</f>
        <v>13.997324000000001</v>
      </c>
      <c r="I15" s="112">
        <f>'KU EIAData'!H7</f>
        <v>9.6531179818082791</v>
      </c>
      <c r="J15" s="112">
        <f>'KU EIAData'!I7</f>
        <v>0.88925478972545646</v>
      </c>
      <c r="K15" s="112">
        <f>'KU EIAData'!L7</f>
        <v>331.30107414508501</v>
      </c>
      <c r="L15" s="112">
        <f>'KU EIAData'!J7</f>
        <v>617.91187523118072</v>
      </c>
      <c r="M15" s="112">
        <f t="shared" si="2"/>
        <v>556.12068770806263</v>
      </c>
      <c r="N15" s="112">
        <f>'KU EIAData'!K7</f>
        <v>497.00853788104638</v>
      </c>
      <c r="O15" s="112">
        <f>'KU EIAData'!M7</f>
        <v>404.74184677448062</v>
      </c>
      <c r="P15" s="112"/>
      <c r="Q15" s="148"/>
      <c r="R15" s="112">
        <v>223.63289264369249</v>
      </c>
      <c r="S15" s="112">
        <v>519.44286606903836</v>
      </c>
      <c r="T15" s="112">
        <f>'KU EIAData'!R7</f>
        <v>1932.8784015467093</v>
      </c>
      <c r="U15" s="112"/>
      <c r="V15" s="233">
        <v>4282.0119933923825</v>
      </c>
      <c r="W15" s="129"/>
      <c r="X15" s="237">
        <f>'KU EIAData'!S7</f>
        <v>4735.3504576439354</v>
      </c>
    </row>
    <row r="16" spans="1:29" x14ac:dyDescent="0.2">
      <c r="A16" s="24">
        <v>2009</v>
      </c>
      <c r="B16" s="112">
        <v>3.4119999999999999</v>
      </c>
      <c r="C16" s="112">
        <f>'KU EIAData'!B8</f>
        <v>7.4469618234936279</v>
      </c>
      <c r="D16" s="112">
        <f>'KU EIAData'!C8</f>
        <v>3.3131979999999999</v>
      </c>
      <c r="E16" s="112">
        <v>556.21402977362004</v>
      </c>
      <c r="F16" s="112">
        <f>'KU EIAData'!G8</f>
        <v>12.111568890511583</v>
      </c>
      <c r="G16" s="112">
        <f>'KU EIAData'!E8</f>
        <v>12.357536678854581</v>
      </c>
      <c r="H16" s="112">
        <f>'KU EIAData'!F8</f>
        <v>14.100529</v>
      </c>
      <c r="I16" s="112">
        <f>'KU EIAData'!H8</f>
        <v>9.7274060500263637</v>
      </c>
      <c r="J16" s="112">
        <f>'KU EIAData'!I8</f>
        <v>0.8924520000414683</v>
      </c>
      <c r="K16" s="112">
        <f>'KU EIAData'!L8</f>
        <v>330.07754356289564</v>
      </c>
      <c r="L16" s="112">
        <f>'KU EIAData'!J8</f>
        <v>604.50392112234965</v>
      </c>
      <c r="M16" s="112">
        <f t="shared" si="2"/>
        <v>544.05352901011474</v>
      </c>
      <c r="N16" s="112">
        <f>'KU EIAData'!K8</f>
        <v>487.85587729521859</v>
      </c>
      <c r="O16" s="112">
        <f>'KU EIAData'!M8</f>
        <v>394.81578406430697</v>
      </c>
      <c r="P16" s="112">
        <v>101.57903916383293</v>
      </c>
      <c r="Q16" s="148">
        <v>868.30972125552887</v>
      </c>
      <c r="R16" s="112">
        <v>223.34327735282264</v>
      </c>
      <c r="S16" s="112">
        <v>531.68191952051995</v>
      </c>
      <c r="T16" s="112">
        <f>'KU EIAData'!R8</f>
        <v>1889.2139181923412</v>
      </c>
      <c r="U16" s="112"/>
      <c r="V16" s="233">
        <v>4307.3495057401396</v>
      </c>
      <c r="W16" s="129"/>
      <c r="X16" s="237">
        <f>'KU EIAData'!S8</f>
        <v>4693.5828928706769</v>
      </c>
    </row>
    <row r="17" spans="1:26" x14ac:dyDescent="0.2">
      <c r="A17" s="24">
        <v>2010</v>
      </c>
      <c r="B17" s="112">
        <v>3.4119999999999999</v>
      </c>
      <c r="C17" s="112">
        <f>'KU EIAData'!B9</f>
        <v>7.5579488575039955</v>
      </c>
      <c r="D17" s="112">
        <f>'KU EIAData'!C9</f>
        <v>3.3880159999999999</v>
      </c>
      <c r="E17" s="112">
        <v>538.90112866907589</v>
      </c>
      <c r="F17" s="112">
        <f>'KU EIAData'!G9</f>
        <v>12.378665525149154</v>
      </c>
      <c r="G17" s="112">
        <f>'KU EIAData'!E9</f>
        <v>12.614787706568169</v>
      </c>
      <c r="H17" s="112">
        <f>'KU EIAData'!F9</f>
        <v>14.824436</v>
      </c>
      <c r="I17" s="112">
        <f>'KU EIAData'!H9</f>
        <v>9.8066675844966884</v>
      </c>
      <c r="J17" s="112">
        <f>'KU EIAData'!I9</f>
        <v>0.89494059863781383</v>
      </c>
      <c r="K17" s="112">
        <f>'KU EIAData'!L9</f>
        <v>330.26058639828216</v>
      </c>
      <c r="L17" s="112">
        <f>'KU EIAData'!J9</f>
        <v>591.85248951264384</v>
      </c>
      <c r="M17" s="112">
        <f t="shared" si="2"/>
        <v>532.66724056137946</v>
      </c>
      <c r="N17" s="112">
        <f>'KU EIAData'!K9</f>
        <v>479.45148196275602</v>
      </c>
      <c r="O17" s="112">
        <f>'KU EIAData'!M9</f>
        <v>386.25915595615032</v>
      </c>
      <c r="P17" s="112">
        <v>99.342392058735754</v>
      </c>
      <c r="Q17" s="148">
        <v>854.763781395205</v>
      </c>
      <c r="R17" s="112">
        <v>223.05366206195279</v>
      </c>
      <c r="S17" s="112">
        <v>543.92097297200155</v>
      </c>
      <c r="T17" s="112">
        <f>'KU EIAData'!R9</f>
        <v>1865.6788210078303</v>
      </c>
      <c r="U17" s="112"/>
      <c r="V17" s="233">
        <v>4268.1226930839966</v>
      </c>
      <c r="W17" s="129"/>
      <c r="X17" s="237">
        <f>'KU EIAData'!S9</f>
        <v>4831.6574697068691</v>
      </c>
    </row>
    <row r="18" spans="1:26" x14ac:dyDescent="0.2">
      <c r="A18" s="24">
        <v>2011</v>
      </c>
      <c r="B18" s="112">
        <v>3.4119999999999999</v>
      </c>
      <c r="C18" s="112">
        <f>'KU EIAData'!B10</f>
        <v>7.5714163701222743</v>
      </c>
      <c r="D18" s="112">
        <f>'KU EIAData'!C10</f>
        <v>3.4313090000000002</v>
      </c>
      <c r="E18" s="112">
        <f>'KU EIAData'!D10</f>
        <v>521.58822756453208</v>
      </c>
      <c r="F18" s="112">
        <f>'KU EIAData'!G10</f>
        <v>12.463080238937028</v>
      </c>
      <c r="G18" s="112">
        <f>'KU EIAData'!E10</f>
        <v>12.680915008767705</v>
      </c>
      <c r="H18" s="112">
        <f>'KU EIAData'!F10</f>
        <v>15.217358000000001</v>
      </c>
      <c r="I18" s="112">
        <f>'KU EIAData'!H10</f>
        <v>9.8741992696547687</v>
      </c>
      <c r="J18" s="112">
        <f>'KU EIAData'!I10</f>
        <v>0.89628488788144389</v>
      </c>
      <c r="K18" s="112">
        <f>'KU EIAData'!L10</f>
        <v>329.85134261423076</v>
      </c>
      <c r="L18" s="112">
        <f>'KU EIAData'!J10</f>
        <v>581.11669764603766</v>
      </c>
      <c r="M18" s="112">
        <f t="shared" si="2"/>
        <v>523.00502788143388</v>
      </c>
      <c r="N18" s="112">
        <f>'KU EIAData'!K10</f>
        <v>472.68560384871955</v>
      </c>
      <c r="O18" s="112">
        <f>'KU EIAData'!M10</f>
        <v>378.4903821942803</v>
      </c>
      <c r="P18" s="112">
        <f>'KU EIAData'!N10</f>
        <v>97.105744953638549</v>
      </c>
      <c r="Q18" s="148">
        <v>841.21784153488113</v>
      </c>
      <c r="R18" s="112">
        <v>222.76404677108295</v>
      </c>
      <c r="S18" s="112">
        <v>556.16002642348315</v>
      </c>
      <c r="T18" s="112">
        <f>'KU EIAData'!R10</f>
        <v>1818.8624107485023</v>
      </c>
      <c r="U18" s="112"/>
      <c r="V18" s="233">
        <v>4266.4474007373328</v>
      </c>
      <c r="W18" s="129"/>
      <c r="X18" s="237">
        <f>'KU EIAData'!S10</f>
        <v>4727.7771386018567</v>
      </c>
    </row>
    <row r="19" spans="1:26" x14ac:dyDescent="0.2">
      <c r="A19" s="24">
        <v>2012</v>
      </c>
      <c r="B19" s="112">
        <v>3.4119999999999999</v>
      </c>
      <c r="C19" s="112">
        <f>'KU EIAData'!B11</f>
        <v>7.6178553973680234</v>
      </c>
      <c r="D19" s="112">
        <f>'KU EIAData'!C11</f>
        <v>3.4590559999999999</v>
      </c>
      <c r="E19" s="112">
        <f>'KU EIAData'!D11</f>
        <v>499.45843221443903</v>
      </c>
      <c r="F19" s="112">
        <f>'KU EIAData'!G11</f>
        <v>12.610954691482007</v>
      </c>
      <c r="G19" s="112">
        <f>'KU EIAData'!E11</f>
        <v>12.790951865091673</v>
      </c>
      <c r="H19" s="112">
        <f>'KU EIAData'!F11</f>
        <v>15.475415999999999</v>
      </c>
      <c r="I19" s="112">
        <f>'KU EIAData'!H11</f>
        <v>9.9418246440066174</v>
      </c>
      <c r="J19" s="112">
        <f>'KU EIAData'!I11</f>
        <v>0.8979712989076909</v>
      </c>
      <c r="K19" s="112">
        <f>'KU EIAData'!L11</f>
        <v>331.36141135862437</v>
      </c>
      <c r="L19" s="112">
        <f>'KU EIAData'!J11</f>
        <v>572.006354242724</v>
      </c>
      <c r="M19" s="112">
        <f t="shared" si="2"/>
        <v>514.80571881845162</v>
      </c>
      <c r="N19" s="112">
        <f>'KU EIAData'!K11</f>
        <v>467.14811296909187</v>
      </c>
      <c r="O19" s="112">
        <f>'KU EIAData'!M11</f>
        <v>372.63790918317289</v>
      </c>
      <c r="P19" s="112">
        <f>'KU EIAData'!N11</f>
        <v>94.708031475446276</v>
      </c>
      <c r="Q19" s="112">
        <f>'KU EIAData'!O11</f>
        <v>827.67190167455692</v>
      </c>
      <c r="R19" s="112">
        <f>'KU EIAData'!P11</f>
        <v>0</v>
      </c>
      <c r="S19" s="112">
        <f>'KU EIAData'!Q11</f>
        <v>0</v>
      </c>
      <c r="T19" s="112">
        <f>'KU EIAData'!R11</f>
        <v>1797.2757481829826</v>
      </c>
      <c r="U19" s="112"/>
      <c r="V19" s="233">
        <v>4297.3542156431349</v>
      </c>
      <c r="W19" s="129">
        <f>T19/T18-1</f>
        <v>-1.1868221828080006E-2</v>
      </c>
      <c r="X19" s="288">
        <f>'KU EIAData'!S11+30</f>
        <v>4854.3600022852979</v>
      </c>
    </row>
    <row r="20" spans="1:26" x14ac:dyDescent="0.2">
      <c r="A20" s="24">
        <v>2013</v>
      </c>
      <c r="B20" s="112">
        <v>3.4119999999999999</v>
      </c>
      <c r="C20" s="112">
        <f>'KU EIAData'!B12</f>
        <v>7.6654421259684886</v>
      </c>
      <c r="D20" s="112">
        <f>'KU EIAData'!C12</f>
        <v>3.4801530000000001</v>
      </c>
      <c r="E20" s="112">
        <f>'KU EIAData'!D12</f>
        <v>488.51412650213001</v>
      </c>
      <c r="F20" s="112">
        <f>'KU EIAData'!G12</f>
        <v>12.751851183406297</v>
      </c>
      <c r="G20" s="112">
        <f>'KU EIAData'!E12</f>
        <v>12.901668223589098</v>
      </c>
      <c r="H20" s="112">
        <f>'KU EIAData'!F12</f>
        <v>15.677279</v>
      </c>
      <c r="I20" s="112">
        <f>'KU EIAData'!H12</f>
        <v>10.005839215101393</v>
      </c>
      <c r="J20" s="112">
        <f>'KU EIAData'!I12</f>
        <v>0.89972220862440766</v>
      </c>
      <c r="K20" s="112">
        <f>'KU EIAData'!L12</f>
        <v>330.64722634540823</v>
      </c>
      <c r="L20" s="112">
        <f>'KU EIAData'!J12</f>
        <v>563.91505667829995</v>
      </c>
      <c r="M20" s="112">
        <f t="shared" si="2"/>
        <v>507.52355101046999</v>
      </c>
      <c r="N20" s="112">
        <f>'KU EIAData'!K12</f>
        <v>462.02771229636926</v>
      </c>
      <c r="O20" s="112">
        <f>'KU EIAData'!M12</f>
        <v>363.84300670541199</v>
      </c>
      <c r="P20" s="112">
        <f>'KU EIAData'!N12</f>
        <v>91.878092906421344</v>
      </c>
      <c r="Q20" s="112">
        <f>'KU EIAData'!O12</f>
        <v>815.86445548581162</v>
      </c>
      <c r="R20" s="112">
        <f>'KU EIAData'!P12</f>
        <v>0</v>
      </c>
      <c r="S20" s="112">
        <f>'KU EIAData'!Q12</f>
        <v>0</v>
      </c>
      <c r="T20" s="112">
        <f>'KU EIAData'!R12</f>
        <v>1573.9481557582549</v>
      </c>
      <c r="U20" s="129">
        <f t="shared" ref="U20:U23" si="3">T20/T19-1</f>
        <v>-0.12425894727089504</v>
      </c>
      <c r="V20" s="233">
        <v>4299.3780605789443</v>
      </c>
      <c r="W20" s="129">
        <f t="shared" ref="W20:Y37" si="4">V20/V19-1</f>
        <v>4.7095138875041798E-4</v>
      </c>
      <c r="X20" s="237">
        <f>'KU EIAData'!S12</f>
        <v>4868.6296664538995</v>
      </c>
    </row>
    <row r="21" spans="1:26" x14ac:dyDescent="0.2">
      <c r="A21" s="24">
        <v>2014</v>
      </c>
      <c r="B21" s="112">
        <v>3.4119999999999999</v>
      </c>
      <c r="C21" s="112">
        <f>'KU EIAData'!B13</f>
        <v>7.7059003345348707</v>
      </c>
      <c r="D21" s="112">
        <f>'KU EIAData'!C13</f>
        <v>3.495698</v>
      </c>
      <c r="E21" s="112">
        <f>'KU EIAData'!D13</f>
        <v>478.76667382776276</v>
      </c>
      <c r="F21" s="112">
        <f>'KU EIAData'!G13</f>
        <v>12.878074814699044</v>
      </c>
      <c r="G21" s="112">
        <f>'KU EIAData'!E13</f>
        <v>12.996027578247961</v>
      </c>
      <c r="H21" s="112">
        <f>'KU EIAData'!F13</f>
        <v>15.826098999999999</v>
      </c>
      <c r="I21" s="112">
        <f>'KU EIAData'!H13</f>
        <v>10.211785920877965</v>
      </c>
      <c r="J21" s="112">
        <f>'KU EIAData'!I13</f>
        <v>0.90140245620864856</v>
      </c>
      <c r="K21" s="112">
        <f>'KU EIAData'!L13</f>
        <v>330.67242878060813</v>
      </c>
      <c r="L21" s="112">
        <f>'KU EIAData'!J13</f>
        <v>545.67366719453264</v>
      </c>
      <c r="M21" s="112">
        <f t="shared" si="2"/>
        <v>491.10630047507937</v>
      </c>
      <c r="N21" s="112">
        <f>'KU EIAData'!K13</f>
        <v>454.11836854776146</v>
      </c>
      <c r="O21" s="112">
        <f>'KU EIAData'!M13</f>
        <v>356.5337535473372</v>
      </c>
      <c r="P21" s="112">
        <f>'KU EIAData'!N13</f>
        <v>89.320606806414332</v>
      </c>
      <c r="Q21" s="112">
        <f>'KU EIAData'!O13</f>
        <v>804.44644550360329</v>
      </c>
      <c r="R21" s="112">
        <f>'KU EIAData'!P13</f>
        <v>0</v>
      </c>
      <c r="S21" s="112">
        <f>'KU EIAData'!Q13</f>
        <v>0</v>
      </c>
      <c r="T21" s="112">
        <f>'KU EIAData'!R13</f>
        <v>1484.1432935859859</v>
      </c>
      <c r="U21" s="129">
        <f t="shared" si="3"/>
        <v>-5.7057064963493165E-2</v>
      </c>
      <c r="V21" s="233">
        <v>4348.1333795286018</v>
      </c>
      <c r="W21" s="129">
        <f t="shared" si="4"/>
        <v>1.1340086464294741E-2</v>
      </c>
      <c r="X21" s="237">
        <f>'KU EIAData'!S13</f>
        <v>4963.2621415882741</v>
      </c>
    </row>
    <row r="22" spans="1:26" x14ac:dyDescent="0.2">
      <c r="A22" s="24">
        <v>2015</v>
      </c>
      <c r="B22" s="112">
        <v>3.4119999999999999</v>
      </c>
      <c r="C22" s="112">
        <f>'KU EIAData'!B14</f>
        <v>7.8387325465471704</v>
      </c>
      <c r="D22" s="112">
        <f>'KU EIAData'!C14</f>
        <v>3.50861</v>
      </c>
      <c r="E22" s="112">
        <f>'KU EIAData'!D14</f>
        <v>469.20530508386429</v>
      </c>
      <c r="F22" s="112">
        <f>'KU EIAData'!G14</f>
        <v>13.138373175403679</v>
      </c>
      <c r="G22" s="112">
        <f>'KU EIAData'!E14</f>
        <v>13.247079244027672</v>
      </c>
      <c r="H22" s="112">
        <f>'KU EIAData'!F14</f>
        <v>15.950364</v>
      </c>
      <c r="I22" s="112">
        <f>'KU EIAData'!H14</f>
        <v>10.324847527955672</v>
      </c>
      <c r="J22" s="112">
        <f>'KU EIAData'!I14</f>
        <v>0.91536854940737056</v>
      </c>
      <c r="K22" s="112">
        <f>'KU EIAData'!L14</f>
        <v>330.71056486493057</v>
      </c>
      <c r="L22" s="112">
        <f>'KU EIAData'!J14</f>
        <v>534.21468321252462</v>
      </c>
      <c r="M22" s="112">
        <f t="shared" si="2"/>
        <v>480.79321489127216</v>
      </c>
      <c r="N22" s="112">
        <f>'KU EIAData'!K14</f>
        <v>448.55981214949412</v>
      </c>
      <c r="O22" s="112">
        <f>'KU EIAData'!M14</f>
        <v>349.621366750763</v>
      </c>
      <c r="P22" s="112">
        <f>'KU EIAData'!N14</f>
        <v>86.671267163192766</v>
      </c>
      <c r="Q22" s="112">
        <f>'KU EIAData'!O14</f>
        <v>789.97207818690231</v>
      </c>
      <c r="R22" s="112">
        <f>'KU EIAData'!P14</f>
        <v>0</v>
      </c>
      <c r="S22" s="112">
        <f>'KU EIAData'!Q14</f>
        <v>0</v>
      </c>
      <c r="T22" s="112">
        <f>'KU EIAData'!R14</f>
        <v>1432.8602460861189</v>
      </c>
      <c r="U22" s="129">
        <f t="shared" si="3"/>
        <v>-3.4553973138238603E-2</v>
      </c>
      <c r="V22" s="233">
        <v>4394.4722488570169</v>
      </c>
      <c r="W22" s="129">
        <f t="shared" si="4"/>
        <v>1.0657186724441825E-2</v>
      </c>
      <c r="X22" s="237">
        <f>'KU EIAData'!S14</f>
        <v>5048.8818390060842</v>
      </c>
    </row>
    <row r="23" spans="1:26" x14ac:dyDescent="0.2">
      <c r="A23" s="24">
        <v>2016</v>
      </c>
      <c r="B23" s="112">
        <v>3.4119999999999999</v>
      </c>
      <c r="C23" s="112">
        <f>'KU EIAData'!B15</f>
        <v>7.9123995670631304</v>
      </c>
      <c r="D23" s="112">
        <f>'KU EIAData'!C15</f>
        <v>3.5193159999999999</v>
      </c>
      <c r="E23" s="112">
        <f>'KU EIAData'!D15</f>
        <v>460.80141953108614</v>
      </c>
      <c r="F23" s="112">
        <f>'KU EIAData'!G15</f>
        <v>13.311284566269569</v>
      </c>
      <c r="G23" s="112">
        <f>'KU EIAData'!E15</f>
        <v>13.392730273524553</v>
      </c>
      <c r="H23" s="112">
        <f>'KU EIAData'!F15</f>
        <v>16.053467000000001</v>
      </c>
      <c r="I23" s="112">
        <f>'KU EIAData'!H15</f>
        <v>10.422133705949232</v>
      </c>
      <c r="J23" s="112">
        <f>'KU EIAData'!I15</f>
        <v>0.92228773719655299</v>
      </c>
      <c r="K23" s="112">
        <f>'KU EIAData'!L15</f>
        <v>331.7408410556875</v>
      </c>
      <c r="L23" s="112">
        <f>'KU EIAData'!J15</f>
        <v>523.74696086204528</v>
      </c>
      <c r="M23" s="112">
        <f t="shared" si="2"/>
        <v>471.37226477584079</v>
      </c>
      <c r="N23" s="112">
        <f>'KU EIAData'!K15</f>
        <v>443.56034491393473</v>
      </c>
      <c r="O23" s="112">
        <f>'KU EIAData'!M15</f>
        <v>344.27768549243234</v>
      </c>
      <c r="P23" s="112">
        <f>'KU EIAData'!N15</f>
        <v>84.077648389412488</v>
      </c>
      <c r="Q23" s="112">
        <f>'KU EIAData'!O15</f>
        <v>776.50114529808343</v>
      </c>
      <c r="R23" s="112">
        <f>'KU EIAData'!P15</f>
        <v>0</v>
      </c>
      <c r="S23" s="112">
        <f>'KU EIAData'!Q15</f>
        <v>0</v>
      </c>
      <c r="T23" s="112">
        <f>'KU EIAData'!R15</f>
        <v>1400.0557484766291</v>
      </c>
      <c r="U23" s="129">
        <f t="shared" si="3"/>
        <v>-2.2894415347969765E-2</v>
      </c>
      <c r="V23" s="233">
        <v>4451.0655384659776</v>
      </c>
      <c r="W23" s="129">
        <f t="shared" si="4"/>
        <v>1.2878290362097644E-2</v>
      </c>
      <c r="X23" s="237">
        <f>'KU EIAData'!S15</f>
        <v>5166.1868630040572</v>
      </c>
    </row>
    <row r="24" spans="1:26" x14ac:dyDescent="0.2">
      <c r="A24" s="24">
        <v>2017</v>
      </c>
      <c r="B24" s="112">
        <v>3.4119999999999999</v>
      </c>
      <c r="C24" s="112">
        <f>'KU EIAData'!B16</f>
        <v>7.9798498222430796</v>
      </c>
      <c r="D24" s="112">
        <f>'KU EIAData'!C16</f>
        <v>3.5227819999999999</v>
      </c>
      <c r="E24" s="112">
        <f>'KU EIAData'!D16</f>
        <v>448.9680588574933</v>
      </c>
      <c r="F24" s="112">
        <f>'KU EIAData'!G16</f>
        <v>13.467351130942429</v>
      </c>
      <c r="G24" s="112">
        <f>'KU EIAData'!E16</f>
        <v>13.526187078456436</v>
      </c>
      <c r="H24" s="112">
        <f>'KU EIAData'!F16</f>
        <v>16.093312999999998</v>
      </c>
      <c r="I24" s="112">
        <f>'KU EIAData'!H16</f>
        <v>10.509140481611231</v>
      </c>
      <c r="J24" s="112">
        <f>'KU EIAData'!I16</f>
        <v>0.92886814738333401</v>
      </c>
      <c r="K24" s="112">
        <f>'KU EIAData'!L16</f>
        <v>330.71991389870954</v>
      </c>
      <c r="L24" s="112">
        <f>'KU EIAData'!J16</f>
        <v>514.24394680031855</v>
      </c>
      <c r="M24" s="112">
        <f t="shared" si="2"/>
        <v>462.81955212028669</v>
      </c>
      <c r="N24" s="112">
        <f>'KU EIAData'!K16</f>
        <v>439.13899391397274</v>
      </c>
      <c r="O24" s="112">
        <f>'KU EIAData'!M16</f>
        <v>337.58189096149357</v>
      </c>
      <c r="P24" s="112">
        <f>'KU EIAData'!N16</f>
        <v>81.013387467327419</v>
      </c>
      <c r="Q24" s="112">
        <f>'KU EIAData'!O16</f>
        <v>756.07411269173133</v>
      </c>
      <c r="R24" s="112">
        <f>'KU EIAData'!P16</f>
        <v>219.01356061798984</v>
      </c>
      <c r="S24" s="112">
        <f>'KU EIAData'!Q16</f>
        <v>609.77760735319009</v>
      </c>
      <c r="T24" s="112">
        <f>'KU EIAData'!R16</f>
        <v>1365.1062828763347</v>
      </c>
      <c r="U24" s="129">
        <f t="shared" ref="U24:U37" si="5">T24/T23-1</f>
        <v>-2.4962909968636704E-2</v>
      </c>
      <c r="V24" s="233">
        <v>4482.8025509059607</v>
      </c>
      <c r="W24" s="129">
        <f t="shared" si="4"/>
        <v>7.1302056026163463E-3</v>
      </c>
      <c r="X24" s="237">
        <f>'KU EIAData'!S16</f>
        <v>5221.8571740841071</v>
      </c>
    </row>
    <row r="25" spans="1:26" x14ac:dyDescent="0.2">
      <c r="A25" s="24">
        <v>2018</v>
      </c>
      <c r="B25" s="112">
        <v>3.4119999999999999</v>
      </c>
      <c r="C25" s="112">
        <f>'KU EIAData'!B17</f>
        <v>8.0406899700096481</v>
      </c>
      <c r="D25" s="112">
        <f>'KU EIAData'!C17</f>
        <v>3.5268039999999998</v>
      </c>
      <c r="E25" s="112">
        <f>'KU EIAData'!D17</f>
        <v>438.64933343630025</v>
      </c>
      <c r="F25" s="112">
        <f>'KU EIAData'!G17</f>
        <v>13.60481137872558</v>
      </c>
      <c r="G25" s="112">
        <f>'KU EIAData'!E17</f>
        <v>13.645944257636755</v>
      </c>
      <c r="H25" s="112">
        <f>'KU EIAData'!F17</f>
        <v>16.138203000000001</v>
      </c>
      <c r="I25" s="112">
        <f>'KU EIAData'!H17</f>
        <v>10.592155525540097</v>
      </c>
      <c r="J25" s="112">
        <f>'KU EIAData'!I17</f>
        <v>0.93537774623941372</v>
      </c>
      <c r="K25" s="112">
        <f>'KU EIAData'!L17</f>
        <v>330.60680978363189</v>
      </c>
      <c r="L25" s="112">
        <f>'KU EIAData'!J17</f>
        <v>505.45953644476799</v>
      </c>
      <c r="M25" s="112">
        <f t="shared" si="2"/>
        <v>454.91358280029118</v>
      </c>
      <c r="N25" s="112">
        <f>'KU EIAData'!K17</f>
        <v>435.22116351054132</v>
      </c>
      <c r="O25" s="112">
        <f>'KU EIAData'!M17</f>
        <v>332.74292029568323</v>
      </c>
      <c r="P25" s="112">
        <f>'KU EIAData'!N17</f>
        <v>78.092325966999098</v>
      </c>
      <c r="Q25" s="112">
        <f>'KU EIAData'!O17</f>
        <v>738.97511995197067</v>
      </c>
      <c r="R25" s="112">
        <f>'KU EIAData'!P17</f>
        <v>217.5062407325257</v>
      </c>
      <c r="S25" s="112">
        <f>'KU EIAData'!Q17</f>
        <v>617.5355605659513</v>
      </c>
      <c r="T25" s="112">
        <f>'KU EIAData'!R17</f>
        <v>1340.8743680735377</v>
      </c>
      <c r="U25" s="129">
        <f t="shared" si="5"/>
        <v>-1.7750936397230133E-2</v>
      </c>
      <c r="V25" s="233">
        <v>4538.935816731233</v>
      </c>
      <c r="W25" s="129">
        <f t="shared" si="4"/>
        <v>1.2521913510093796E-2</v>
      </c>
      <c r="X25" s="237">
        <f>'KU EIAData'!S17</f>
        <v>5287.8620929867147</v>
      </c>
    </row>
    <row r="26" spans="1:26" x14ac:dyDescent="0.2">
      <c r="A26" s="24">
        <v>2019</v>
      </c>
      <c r="B26" s="112">
        <v>3.4119999999999999</v>
      </c>
      <c r="C26" s="112">
        <f>'KU EIAData'!B18</f>
        <v>8.097919671547853</v>
      </c>
      <c r="D26" s="112">
        <f>'KU EIAData'!C18</f>
        <v>3.5309159999999999</v>
      </c>
      <c r="E26" s="112">
        <f>'KU EIAData'!D18</f>
        <v>428.49068464517916</v>
      </c>
      <c r="F26" s="112">
        <f>'KU EIAData'!G18</f>
        <v>13.730995849146662</v>
      </c>
      <c r="G26" s="112">
        <f>'KU EIAData'!E18</f>
        <v>13.757258943764725</v>
      </c>
      <c r="H26" s="112">
        <f>'KU EIAData'!F18</f>
        <v>16.182312</v>
      </c>
      <c r="I26" s="112">
        <f>'KU EIAData'!H18</f>
        <v>10.669701489609984</v>
      </c>
      <c r="J26" s="112">
        <f>'KU EIAData'!I18</f>
        <v>0.94157686041445254</v>
      </c>
      <c r="K26" s="112">
        <f>'KU EIAData'!L18</f>
        <v>330.55294722110727</v>
      </c>
      <c r="L26" s="112">
        <f>'KU EIAData'!J18</f>
        <v>497.34026418637325</v>
      </c>
      <c r="M26" s="112">
        <f t="shared" si="2"/>
        <v>447.60623776773593</v>
      </c>
      <c r="N26" s="112">
        <f>'KU EIAData'!K18</f>
        <v>431.67782190624621</v>
      </c>
      <c r="O26" s="112">
        <f>'KU EIAData'!M18</f>
        <v>328.78692724967812</v>
      </c>
      <c r="P26" s="112">
        <f>'KU EIAData'!N18</f>
        <v>75.547186339676443</v>
      </c>
      <c r="Q26" s="112">
        <f>'KU EIAData'!O18</f>
        <v>724.24061724552689</v>
      </c>
      <c r="R26" s="112">
        <f>'KU EIAData'!P18</f>
        <v>216.24502078549645</v>
      </c>
      <c r="S26" s="112">
        <f>'KU EIAData'!Q18</f>
        <v>624.34485359478913</v>
      </c>
      <c r="T26" s="112">
        <f>'KU EIAData'!R18</f>
        <v>1321.9903250769321</v>
      </c>
      <c r="U26" s="129">
        <f t="shared" si="5"/>
        <v>-1.4083379805176377E-2</v>
      </c>
      <c r="V26" s="233">
        <v>4611.419753530774</v>
      </c>
      <c r="W26" s="129">
        <f t="shared" si="4"/>
        <v>1.5969368091162117E-2</v>
      </c>
      <c r="X26" s="237">
        <f>'KU EIAData'!S18</f>
        <v>5356.4103957635853</v>
      </c>
    </row>
    <row r="27" spans="1:26" x14ac:dyDescent="0.2">
      <c r="A27" s="24">
        <v>2020</v>
      </c>
      <c r="B27" s="112">
        <v>3.4119999999999999</v>
      </c>
      <c r="C27" s="112">
        <f>'KU EIAData'!B19</f>
        <v>8.1442056963501859</v>
      </c>
      <c r="D27" s="112">
        <f>'KU EIAData'!C19</f>
        <v>3.5525690000000001</v>
      </c>
      <c r="E27" s="112">
        <f>'KU EIAData'!D19</f>
        <v>419.96632373958204</v>
      </c>
      <c r="F27" s="112">
        <f>'KU EIAData'!G19</f>
        <v>13.856800920134059</v>
      </c>
      <c r="G27" s="112">
        <f>'KU EIAData'!E19</f>
        <v>13.854035504868611</v>
      </c>
      <c r="H27" s="112">
        <f>'KU EIAData'!F19</f>
        <v>16.343616000000001</v>
      </c>
      <c r="I27" s="112">
        <f>'KU EIAData'!H19</f>
        <v>10.73640826694389</v>
      </c>
      <c r="J27" s="112">
        <f>'KU EIAData'!I19</f>
        <v>0.9476431484775153</v>
      </c>
      <c r="K27" s="112">
        <f>'KU EIAData'!L19</f>
        <v>331.47817747684871</v>
      </c>
      <c r="L27" s="112">
        <f>'KU EIAData'!J19</f>
        <v>489.66660590760102</v>
      </c>
      <c r="M27" s="112">
        <f t="shared" si="2"/>
        <v>440.69994531684091</v>
      </c>
      <c r="N27" s="112">
        <f>'KU EIAData'!K19</f>
        <v>428.54515812200174</v>
      </c>
      <c r="O27" s="112">
        <f>'KU EIAData'!M19</f>
        <v>326.45875537598249</v>
      </c>
      <c r="P27" s="112">
        <f>'KU EIAData'!N19</f>
        <v>73.557104440479094</v>
      </c>
      <c r="Q27" s="112">
        <f>'KU EIAData'!O19</f>
        <v>714.10506721254205</v>
      </c>
      <c r="R27" s="112">
        <f>'KU EIAData'!P19</f>
        <v>215.98241467192588</v>
      </c>
      <c r="S27" s="112">
        <f>'KU EIAData'!Q19</f>
        <v>632.1738356474624</v>
      </c>
      <c r="T27" s="112">
        <f>'KU EIAData'!R19</f>
        <v>1269.755719250777</v>
      </c>
      <c r="U27" s="129">
        <f t="shared" si="5"/>
        <v>-3.9512093874904397E-2</v>
      </c>
      <c r="V27" s="233">
        <v>4703.31521126594</v>
      </c>
      <c r="W27" s="129">
        <f t="shared" si="4"/>
        <v>1.9927801554999514E-2</v>
      </c>
      <c r="X27" s="237">
        <f>'KU EIAData'!S19</f>
        <v>5460.8604459210665</v>
      </c>
    </row>
    <row r="28" spans="1:26" x14ac:dyDescent="0.2">
      <c r="A28" s="25">
        <v>2021</v>
      </c>
      <c r="B28" s="112">
        <v>3.4119999999999999</v>
      </c>
      <c r="C28" s="112">
        <f>'KU EIAData'!B20</f>
        <v>8.190389842037554</v>
      </c>
      <c r="D28" s="112">
        <f>'KU EIAData'!C20</f>
        <v>3.571126</v>
      </c>
      <c r="E28" s="112">
        <f>'KU EIAData'!D20</f>
        <v>409.20794973943828</v>
      </c>
      <c r="F28" s="112">
        <f>'KU EIAData'!G20</f>
        <v>13.962350937101309</v>
      </c>
      <c r="G28" s="112">
        <f>'KU EIAData'!E20</f>
        <v>13.945349522989035</v>
      </c>
      <c r="H28" s="112">
        <f>'KU EIAData'!F20</f>
        <v>16.477599999999999</v>
      </c>
      <c r="I28" s="112">
        <f>'KU EIAData'!H20</f>
        <v>10.794933364893012</v>
      </c>
      <c r="J28" s="112">
        <f>'KU EIAData'!I20</f>
        <v>0.95346645711965128</v>
      </c>
      <c r="K28" s="112">
        <f>'KU EIAData'!L20</f>
        <v>330.49955641127411</v>
      </c>
      <c r="L28" s="112">
        <f>'KU EIAData'!J20</f>
        <v>482.48162171628343</v>
      </c>
      <c r="M28" s="112">
        <f t="shared" si="2"/>
        <v>434.23345954465509</v>
      </c>
      <c r="N28" s="112">
        <f>'KU EIAData'!K20</f>
        <v>425.67586007042604</v>
      </c>
      <c r="O28" s="112">
        <f>'KU EIAData'!M20</f>
        <v>323.00687117341255</v>
      </c>
      <c r="P28" s="112">
        <f>'KU EIAData'!N20</f>
        <v>71.580049523243872</v>
      </c>
      <c r="Q28" s="112">
        <f>'KU EIAData'!O20</f>
        <v>702.11188868464501</v>
      </c>
      <c r="R28" s="112">
        <f>'KU EIAData'!P20</f>
        <v>214.87369112535382</v>
      </c>
      <c r="S28" s="112">
        <f>'KU EIAData'!Q20</f>
        <v>635.68338378535623</v>
      </c>
      <c r="T28" s="112">
        <f>'KU EIAData'!R20</f>
        <v>1238.8641198064383</v>
      </c>
      <c r="U28" s="129">
        <f t="shared" si="5"/>
        <v>-2.4328773618414012E-2</v>
      </c>
      <c r="V28" s="233">
        <v>4769.3422936381139</v>
      </c>
      <c r="W28" s="129">
        <f t="shared" si="4"/>
        <v>1.4038413205650802E-2</v>
      </c>
      <c r="X28" s="237">
        <f>'KU EIAData'!S20</f>
        <v>5539.0529985668145</v>
      </c>
      <c r="Y28" s="129">
        <f t="shared" si="4"/>
        <v>1.4318723838502967E-2</v>
      </c>
    </row>
    <row r="29" spans="1:26" x14ac:dyDescent="0.2">
      <c r="A29" s="25">
        <v>2022</v>
      </c>
      <c r="B29" s="112">
        <v>3.4119999999999999</v>
      </c>
      <c r="C29" s="112">
        <f>'KU EIAData'!B21</f>
        <v>8.2332268822196752</v>
      </c>
      <c r="D29" s="112">
        <f>'KU EIAData'!C21</f>
        <v>3.5890789999999999</v>
      </c>
      <c r="E29" s="112">
        <f>'KU EIAData'!D21</f>
        <v>399.99777718645038</v>
      </c>
      <c r="F29" s="112">
        <f>'KU EIAData'!G21</f>
        <v>14.056521674320575</v>
      </c>
      <c r="G29" s="112">
        <f>'KU EIAData'!E21</f>
        <v>14.029313704122087</v>
      </c>
      <c r="H29" s="112">
        <f>'KU EIAData'!F21</f>
        <v>16.606939000000001</v>
      </c>
      <c r="I29" s="112">
        <f>'KU EIAData'!H21</f>
        <v>10.848665500903758</v>
      </c>
      <c r="J29" s="112">
        <f>'KU EIAData'!I21</f>
        <v>0.95919143200787138</v>
      </c>
      <c r="K29" s="112">
        <f>'KU EIAData'!L21</f>
        <v>330.49845894926551</v>
      </c>
      <c r="L29" s="112">
        <f>'KU EIAData'!J21</f>
        <v>475.9490726916689</v>
      </c>
      <c r="M29" s="112">
        <f t="shared" si="2"/>
        <v>428.35416542250204</v>
      </c>
      <c r="N29" s="112">
        <f>'KU EIAData'!K21</f>
        <v>423.01941682911723</v>
      </c>
      <c r="O29" s="112">
        <f>'KU EIAData'!M21</f>
        <v>321.08715964599293</v>
      </c>
      <c r="P29" s="112">
        <f>'KU EIAData'!N21</f>
        <v>70.269077300066343</v>
      </c>
      <c r="Q29" s="112">
        <f>'KU EIAData'!O21</f>
        <v>694.36081355544411</v>
      </c>
      <c r="R29" s="112">
        <f>'KU EIAData'!P21</f>
        <v>214.64096812911305</v>
      </c>
      <c r="S29" s="112">
        <f>'KU EIAData'!Q21</f>
        <v>640.46196297382551</v>
      </c>
      <c r="T29" s="112">
        <f>'KU EIAData'!R21</f>
        <v>1219.4333830649186</v>
      </c>
      <c r="U29" s="129">
        <f t="shared" si="5"/>
        <v>-1.5684316327246317E-2</v>
      </c>
      <c r="V29" s="233">
        <v>4846.6956681214724</v>
      </c>
      <c r="W29" s="129">
        <f t="shared" si="4"/>
        <v>1.6218876675415217E-2</v>
      </c>
      <c r="X29" s="237">
        <f>'KU EIAData'!S21</f>
        <v>5649.0095827592913</v>
      </c>
      <c r="Y29" s="129">
        <f t="shared" si="4"/>
        <v>1.9851152213370638E-2</v>
      </c>
      <c r="Z29" s="287"/>
    </row>
    <row r="30" spans="1:26" x14ac:dyDescent="0.2">
      <c r="A30" s="25">
        <v>2023</v>
      </c>
      <c r="B30" s="112">
        <v>3.4119999999999999</v>
      </c>
      <c r="C30" s="112">
        <f>'KU EIAData'!B22</f>
        <v>8.2697894035397219</v>
      </c>
      <c r="D30" s="112">
        <f>'KU EIAData'!C22</f>
        <v>3.6062970000000001</v>
      </c>
      <c r="E30" s="112">
        <f>'KU EIAData'!D22</f>
        <v>390.91180449753591</v>
      </c>
      <c r="F30" s="112">
        <f>'KU EIAData'!G22</f>
        <v>14.136098504584176</v>
      </c>
      <c r="G30" s="112">
        <f>'KU EIAData'!E22</f>
        <v>14.101060796918411</v>
      </c>
      <c r="H30" s="112">
        <f>'KU EIAData'!F22</f>
        <v>16.730574000000001</v>
      </c>
      <c r="I30" s="112">
        <f>'KU EIAData'!H22</f>
        <v>10.899056144516432</v>
      </c>
      <c r="J30" s="112">
        <f>'KU EIAData'!I22</f>
        <v>0.9646849986418109</v>
      </c>
      <c r="K30" s="112">
        <f>'KU EIAData'!L22</f>
        <v>330.55121730146027</v>
      </c>
      <c r="L30" s="112">
        <f>'KU EIAData'!J22</f>
        <v>470.13786233879659</v>
      </c>
      <c r="M30" s="112">
        <f t="shared" si="2"/>
        <v>423.12407610491692</v>
      </c>
      <c r="N30" s="112">
        <f>'KU EIAData'!K22</f>
        <v>420.62805703977875</v>
      </c>
      <c r="O30" s="112">
        <f>'KU EIAData'!M22</f>
        <v>319.55444708637162</v>
      </c>
      <c r="P30" s="112">
        <f>'KU EIAData'!N22</f>
        <v>69.492706259570554</v>
      </c>
      <c r="Q30" s="112">
        <f>'KU EIAData'!O22</f>
        <v>688.81210476729075</v>
      </c>
      <c r="R30" s="112">
        <f>'KU EIAData'!P22</f>
        <v>214.80559204893063</v>
      </c>
      <c r="S30" s="112">
        <f>'KU EIAData'!Q22</f>
        <v>644.3605745394625</v>
      </c>
      <c r="T30" s="112">
        <f>'KU EIAData'!R22</f>
        <v>1205.6044323480062</v>
      </c>
      <c r="U30" s="129">
        <f t="shared" si="5"/>
        <v>-1.1340472475958374E-2</v>
      </c>
      <c r="V30" s="233">
        <v>4933.1468940860677</v>
      </c>
      <c r="W30" s="129">
        <f t="shared" si="4"/>
        <v>1.7837147591753588E-2</v>
      </c>
      <c r="X30" s="237">
        <f>'KU EIAData'!S22</f>
        <v>5759.1814045754709</v>
      </c>
      <c r="Y30" s="129">
        <f t="shared" si="4"/>
        <v>1.9502856244468569E-2</v>
      </c>
      <c r="Z30" s="287"/>
    </row>
    <row r="31" spans="1:26" x14ac:dyDescent="0.2">
      <c r="A31" s="25">
        <v>2024</v>
      </c>
      <c r="B31" s="112">
        <v>3.4119999999999999</v>
      </c>
      <c r="C31" s="112">
        <f>'KU EIAData'!B23</f>
        <v>8.3010546150143298</v>
      </c>
      <c r="D31" s="112">
        <f>'KU EIAData'!C23</f>
        <v>3.623122</v>
      </c>
      <c r="E31" s="112">
        <f>'KU EIAData'!D23</f>
        <v>383.06877552965955</v>
      </c>
      <c r="F31" s="112">
        <f>'KU EIAData'!G23</f>
        <v>14.202269064005705</v>
      </c>
      <c r="G31" s="112">
        <f>'KU EIAData'!E23</f>
        <v>14.162568346324433</v>
      </c>
      <c r="H31" s="112">
        <f>'KU EIAData'!F23</f>
        <v>16.850977</v>
      </c>
      <c r="I31" s="112">
        <f>'KU EIAData'!H23</f>
        <v>10.943632750534501</v>
      </c>
      <c r="J31" s="112">
        <f>'KU EIAData'!I23</f>
        <v>0.97012409558935375</v>
      </c>
      <c r="K31" s="112">
        <f>'KU EIAData'!L23</f>
        <v>331.51235626754573</v>
      </c>
      <c r="L31" s="112">
        <f>'KU EIAData'!J23</f>
        <v>465.03036657069157</v>
      </c>
      <c r="M31" s="112">
        <f t="shared" si="2"/>
        <v>418.5273299136224</v>
      </c>
      <c r="N31" s="112">
        <f>'KU EIAData'!K23</f>
        <v>418.50725969556311</v>
      </c>
      <c r="O31" s="112">
        <f>'KU EIAData'!M23</f>
        <v>319.29192758826025</v>
      </c>
      <c r="P31" s="112">
        <f>'KU EIAData'!N23</f>
        <v>69.270346446215157</v>
      </c>
      <c r="Q31" s="112">
        <f>'KU EIAData'!O23</f>
        <v>686.87307163244111</v>
      </c>
      <c r="R31" s="112">
        <f>'KU EIAData'!P23</f>
        <v>215.76662123037423</v>
      </c>
      <c r="S31" s="112">
        <f>'KU EIAData'!Q23</f>
        <v>649.73602395822979</v>
      </c>
      <c r="T31" s="112">
        <f>'KU EIAData'!R23</f>
        <v>1198.4258865858853</v>
      </c>
      <c r="U31" s="129">
        <f t="shared" si="5"/>
        <v>-5.9543126829254556E-3</v>
      </c>
      <c r="V31" s="233">
        <v>5031.9627347048136</v>
      </c>
      <c r="W31" s="129">
        <f t="shared" si="4"/>
        <v>2.0030994969399307E-2</v>
      </c>
      <c r="X31" s="237">
        <f>'KU EIAData'!S23</f>
        <v>5889.7412465591842</v>
      </c>
      <c r="Y31" s="129">
        <f t="shared" si="4"/>
        <v>2.2669861011842318E-2</v>
      </c>
      <c r="Z31" s="287"/>
    </row>
    <row r="32" spans="1:26" x14ac:dyDescent="0.2">
      <c r="A32" s="25">
        <v>2025</v>
      </c>
      <c r="B32" s="112">
        <v>3.4119999999999999</v>
      </c>
      <c r="C32" s="112">
        <f>'KU EIAData'!B24</f>
        <v>8.3275989943828534</v>
      </c>
      <c r="D32" s="112">
        <f>'KU EIAData'!C24</f>
        <v>3.6397010000000001</v>
      </c>
      <c r="E32" s="112">
        <f>'KU EIAData'!D24</f>
        <v>372.89261827547023</v>
      </c>
      <c r="F32" s="112">
        <f>'KU EIAData'!G24</f>
        <v>14.257660809486611</v>
      </c>
      <c r="G32" s="112">
        <f>'KU EIAData'!E24</f>
        <v>14.214877761536375</v>
      </c>
      <c r="H32" s="112">
        <f>'KU EIAData'!F24</f>
        <v>16.969263000000002</v>
      </c>
      <c r="I32" s="112">
        <f>'KU EIAData'!H24</f>
        <v>10.981582822701254</v>
      </c>
      <c r="J32" s="112">
        <f>'KU EIAData'!I24</f>
        <v>0.97538625690068848</v>
      </c>
      <c r="K32" s="112">
        <f>'KU EIAData'!L24</f>
        <v>330.5724525297955</v>
      </c>
      <c r="L32" s="112">
        <f>'KU EIAData'!J24</f>
        <v>460.59611535548845</v>
      </c>
      <c r="M32" s="112">
        <f t="shared" si="2"/>
        <v>414.53650381993964</v>
      </c>
      <c r="N32" s="112">
        <f>'KU EIAData'!K24</f>
        <v>416.42666994176869</v>
      </c>
      <c r="O32" s="112">
        <f>'KU EIAData'!M24</f>
        <v>317.48873805314884</v>
      </c>
      <c r="P32" s="112">
        <f>'KU EIAData'!N24</f>
        <v>69.088351765119057</v>
      </c>
      <c r="Q32" s="112">
        <f>'KU EIAData'!O24</f>
        <v>681.83158310216493</v>
      </c>
      <c r="R32" s="112">
        <f>'KU EIAData'!P24</f>
        <v>215.3838096456148</v>
      </c>
      <c r="S32" s="112">
        <f>'KU EIAData'!Q24</f>
        <v>651.11539399671483</v>
      </c>
      <c r="T32" s="112">
        <f>'KU EIAData'!R24</f>
        <v>1185.1242283098265</v>
      </c>
      <c r="U32" s="129">
        <f t="shared" si="5"/>
        <v>-1.109927482787687E-2</v>
      </c>
      <c r="V32" s="233">
        <v>5106.3784194892005</v>
      </c>
      <c r="W32" s="129">
        <f t="shared" si="4"/>
        <v>1.4788600136314889E-2</v>
      </c>
      <c r="X32" s="237">
        <f>'KU EIAData'!S24</f>
        <v>5991.41585105992</v>
      </c>
      <c r="Y32" s="129">
        <f t="shared" si="4"/>
        <v>1.7263000231145131E-2</v>
      </c>
      <c r="Z32" s="287"/>
    </row>
    <row r="33" spans="1:25" x14ac:dyDescent="0.2">
      <c r="A33" s="25">
        <f t="shared" ref="A33:A49" si="6">A32+1</f>
        <v>2026</v>
      </c>
      <c r="B33" s="112">
        <v>3.4119999999999999</v>
      </c>
      <c r="C33" s="114">
        <f>'KU EIAData'!B25</f>
        <v>8.3494125211931092</v>
      </c>
      <c r="D33" s="112">
        <f>'KU EIAData'!C25</f>
        <v>3.6560069999999998</v>
      </c>
      <c r="E33" s="112">
        <f>'KU EIAData'!D25</f>
        <v>363.40195405575997</v>
      </c>
      <c r="F33" s="112">
        <f>'KU EIAData'!G25</f>
        <v>14.30328424720304</v>
      </c>
      <c r="G33" s="112">
        <f>'KU EIAData'!E25</f>
        <v>14.258012834356226</v>
      </c>
      <c r="H33" s="112">
        <f>'KU EIAData'!F25</f>
        <v>17.085235999999998</v>
      </c>
      <c r="I33" s="112">
        <f>'KU EIAData'!H25</f>
        <v>11.012506139039157</v>
      </c>
      <c r="J33" s="112">
        <f>'KU EIAData'!I25</f>
        <v>0.98007867816816163</v>
      </c>
      <c r="K33" s="112">
        <f>'KU EIAData'!L25</f>
        <v>330.42019434888834</v>
      </c>
      <c r="L33" s="112">
        <f>'KU EIAData'!J25</f>
        <v>456.87448998397741</v>
      </c>
      <c r="M33" s="112">
        <f t="shared" si="2"/>
        <v>411.1870409855797</v>
      </c>
      <c r="N33" s="112">
        <f>'KU EIAData'!K25</f>
        <v>414.52127371504622</v>
      </c>
      <c r="O33" s="112">
        <f>'KU EIAData'!M25</f>
        <v>316.75906844902772</v>
      </c>
      <c r="P33" s="112">
        <f>'KU EIAData'!N25</f>
        <v>69.096914198654005</v>
      </c>
      <c r="Q33" s="112">
        <f>'KU EIAData'!O25</f>
        <v>679.14419471165479</v>
      </c>
      <c r="R33" s="112">
        <f>'KU EIAData'!P25</f>
        <v>215.32643186869478</v>
      </c>
      <c r="S33" s="112">
        <f>'KU EIAData'!Q25</f>
        <v>653.82267965171081</v>
      </c>
      <c r="T33" s="112">
        <f>'KU EIAData'!R25</f>
        <v>1174.6918590547461</v>
      </c>
      <c r="U33" s="129">
        <f t="shared" si="5"/>
        <v>-8.8027643059483962E-3</v>
      </c>
      <c r="V33" s="233">
        <v>5194.1820392811978</v>
      </c>
      <c r="W33" s="129">
        <f t="shared" si="4"/>
        <v>1.7194890895058323E-2</v>
      </c>
      <c r="X33" s="237">
        <f>'KU EIAData'!S25</f>
        <v>6091.6870853659957</v>
      </c>
      <c r="Y33" s="129">
        <f t="shared" si="4"/>
        <v>1.6735816174124674E-2</v>
      </c>
    </row>
    <row r="34" spans="1:25" x14ac:dyDescent="0.2">
      <c r="A34" s="25">
        <f t="shared" si="6"/>
        <v>2027</v>
      </c>
      <c r="B34" s="112">
        <v>3.4119999999999999</v>
      </c>
      <c r="C34" s="114">
        <f>'KU EIAData'!B26</f>
        <v>8.3668992443359684</v>
      </c>
      <c r="D34" s="112">
        <f>'KU EIAData'!C26</f>
        <v>3.6720199999999998</v>
      </c>
      <c r="E34" s="112">
        <f>'KU EIAData'!D26</f>
        <v>354.01670363087203</v>
      </c>
      <c r="F34" s="112">
        <f>'KU EIAData'!G26</f>
        <v>14.33977331883257</v>
      </c>
      <c r="G34" s="112">
        <f>'KU EIAData'!E26</f>
        <v>14.292741239117538</v>
      </c>
      <c r="H34" s="112">
        <f>'KU EIAData'!F26</f>
        <v>17.198823999999998</v>
      </c>
      <c r="I34" s="112">
        <f>'KU EIAData'!H26</f>
        <v>11.0365098007554</v>
      </c>
      <c r="J34" s="112">
        <f>'KU EIAData'!I26</f>
        <v>0.98429763655557467</v>
      </c>
      <c r="K34" s="112">
        <f>'KU EIAData'!L26</f>
        <v>330.22830310790187</v>
      </c>
      <c r="L34" s="112">
        <f>'KU EIAData'!J26</f>
        <v>453.87905072495818</v>
      </c>
      <c r="M34" s="112">
        <f t="shared" si="2"/>
        <v>408.49114565246236</v>
      </c>
      <c r="N34" s="112">
        <f>'KU EIAData'!K26</f>
        <v>412.76444890663794</v>
      </c>
      <c r="O34" s="112">
        <f>'KU EIAData'!M26</f>
        <v>316.18866387824568</v>
      </c>
      <c r="P34" s="112">
        <f>'KU EIAData'!N26</f>
        <v>69.102726492425504</v>
      </c>
      <c r="Q34" s="112">
        <f>'KU EIAData'!O26</f>
        <v>677.29312871746174</v>
      </c>
      <c r="R34" s="112">
        <f>'KU EIAData'!P26</f>
        <v>215.32191801218977</v>
      </c>
      <c r="S34" s="112">
        <f>'KU EIAData'!Q26</f>
        <v>656.22281892092496</v>
      </c>
      <c r="T34" s="112">
        <f>'KU EIAData'!R26</f>
        <v>1165.1227952647812</v>
      </c>
      <c r="U34" s="129">
        <f t="shared" si="5"/>
        <v>-8.1460203509582385E-3</v>
      </c>
      <c r="V34" s="233">
        <v>5275.6032530634193</v>
      </c>
      <c r="W34" s="129">
        <f t="shared" si="4"/>
        <v>1.567546404158926E-2</v>
      </c>
      <c r="X34" s="237">
        <f>'KU EIAData'!S26</f>
        <v>6194.6977557610198</v>
      </c>
      <c r="Y34" s="129">
        <f t="shared" si="4"/>
        <v>1.691003969039806E-2</v>
      </c>
    </row>
    <row r="35" spans="1:25" x14ac:dyDescent="0.2">
      <c r="A35" s="25">
        <f t="shared" si="6"/>
        <v>2028</v>
      </c>
      <c r="B35" s="112">
        <v>3.4119999999999999</v>
      </c>
      <c r="C35" s="114">
        <f>'KU EIAData'!B27</f>
        <v>8.3820133515158552</v>
      </c>
      <c r="D35" s="112">
        <f>'KU EIAData'!C27</f>
        <v>3.6878350000000002</v>
      </c>
      <c r="E35" s="112">
        <f>'KU EIAData'!D27</f>
        <v>345.61365104914455</v>
      </c>
      <c r="F35" s="112">
        <f>'KU EIAData'!G27</f>
        <v>14.371698710856524</v>
      </c>
      <c r="G35" s="112">
        <f>'KU EIAData'!E27</f>
        <v>14.322822084287804</v>
      </c>
      <c r="H35" s="112">
        <f>'KU EIAData'!F27</f>
        <v>17.310966000000001</v>
      </c>
      <c r="I35" s="112">
        <f>'KU EIAData'!H27</f>
        <v>11.053065298474133</v>
      </c>
      <c r="J35" s="112">
        <f>'KU EIAData'!I27</f>
        <v>0.98810952618150916</v>
      </c>
      <c r="K35" s="112">
        <f>'KU EIAData'!L27</f>
        <v>330.93029938973899</v>
      </c>
      <c r="L35" s="112">
        <f>'KU EIAData'!J27</f>
        <v>451.27329007356576</v>
      </c>
      <c r="M35" s="112">
        <f t="shared" si="2"/>
        <v>406.14596106620917</v>
      </c>
      <c r="N35" s="112">
        <f>'KU EIAData'!K27</f>
        <v>411.15410932159227</v>
      </c>
      <c r="O35" s="112">
        <f>'KU EIAData'!M27</f>
        <v>316.62927262134241</v>
      </c>
      <c r="P35" s="112">
        <f>'KU EIAData'!N27</f>
        <v>69.292832204904883</v>
      </c>
      <c r="Q35" s="112">
        <f>'KU EIAData'!O27</f>
        <v>677.47048870015078</v>
      </c>
      <c r="R35" s="112">
        <f>'KU EIAData'!P27</f>
        <v>215.97685260711106</v>
      </c>
      <c r="S35" s="112">
        <f>'KU EIAData'!Q27</f>
        <v>660.42299242267268</v>
      </c>
      <c r="T35" s="112">
        <f>'KU EIAData'!R27</f>
        <v>1159.4596184884074</v>
      </c>
      <c r="U35" s="129">
        <f t="shared" si="5"/>
        <v>-4.8605836220780851E-3</v>
      </c>
      <c r="V35" s="233">
        <v>5359.256897805185</v>
      </c>
      <c r="W35" s="129">
        <f t="shared" si="4"/>
        <v>1.5856697467382608E-2</v>
      </c>
      <c r="X35" s="237">
        <f>'KU EIAData'!S27</f>
        <v>6317.2391123234102</v>
      </c>
      <c r="Y35" s="129">
        <f t="shared" si="4"/>
        <v>1.9781652211914302E-2</v>
      </c>
    </row>
    <row r="36" spans="1:25" x14ac:dyDescent="0.2">
      <c r="A36" s="25">
        <f t="shared" si="6"/>
        <v>2029</v>
      </c>
      <c r="B36" s="112">
        <v>3.4119999999999999</v>
      </c>
      <c r="C36" s="114">
        <f>'KU EIAData'!B28</f>
        <v>8.3945062409389717</v>
      </c>
      <c r="D36" s="112">
        <f>'KU EIAData'!C28</f>
        <v>3.7035469999999999</v>
      </c>
      <c r="E36" s="112">
        <f>'KU EIAData'!D28</f>
        <v>335.31520701696746</v>
      </c>
      <c r="F36" s="112">
        <f>'KU EIAData'!G28</f>
        <v>14.398754962505095</v>
      </c>
      <c r="G36" s="112">
        <f>'KU EIAData'!E28</f>
        <v>14.347722981616645</v>
      </c>
      <c r="H36" s="112">
        <f>'KU EIAData'!F28</f>
        <v>17.422353999999999</v>
      </c>
      <c r="I36" s="112">
        <f>'KU EIAData'!H28</f>
        <v>11.06150710486053</v>
      </c>
      <c r="J36" s="112">
        <f>'KU EIAData'!I28</f>
        <v>0.99146862554272841</v>
      </c>
      <c r="K36" s="112">
        <f>'KU EIAData'!L28</f>
        <v>329.81921028319863</v>
      </c>
      <c r="L36" s="112">
        <f>'KU EIAData'!J28</f>
        <v>448.92414645913277</v>
      </c>
      <c r="M36" s="112">
        <f t="shared" si="2"/>
        <v>404.03173181321949</v>
      </c>
      <c r="N36" s="112">
        <f>'KU EIAData'!K28</f>
        <v>409.68696562672051</v>
      </c>
      <c r="O36" s="112">
        <f>'KU EIAData'!M28</f>
        <v>315.48431158699367</v>
      </c>
      <c r="P36" s="112">
        <f>'KU EIAData'!N28</f>
        <v>69.10064719926315</v>
      </c>
      <c r="Q36" s="112">
        <f>'KU EIAData'!O28</f>
        <v>674.29231234221595</v>
      </c>
      <c r="R36" s="112">
        <f>'KU EIAData'!P28</f>
        <v>215.54449635579306</v>
      </c>
      <c r="S36" s="112">
        <f>'KU EIAData'!Q28</f>
        <v>660.41878387762711</v>
      </c>
      <c r="T36" s="112">
        <f>'KU EIAData'!R28</f>
        <v>1148.3961477918631</v>
      </c>
      <c r="U36" s="129">
        <f t="shared" si="5"/>
        <v>-9.5419198048206644E-3</v>
      </c>
      <c r="V36" s="233">
        <v>5409.8047095777374</v>
      </c>
      <c r="W36" s="129">
        <f t="shared" si="4"/>
        <v>9.4318695178157164E-3</v>
      </c>
      <c r="X36" s="237">
        <f>'KU EIAData'!S28</f>
        <v>6396.5913263988132</v>
      </c>
      <c r="Y36" s="129">
        <f t="shared" si="4"/>
        <v>1.2561217434465366E-2</v>
      </c>
    </row>
    <row r="37" spans="1:25" x14ac:dyDescent="0.2">
      <c r="A37" s="25">
        <f t="shared" si="6"/>
        <v>2030</v>
      </c>
      <c r="B37" s="112">
        <v>3.4119999999999999</v>
      </c>
      <c r="C37" s="114">
        <f>'KU EIAData'!B29</f>
        <v>8.405648247040185</v>
      </c>
      <c r="D37" s="112">
        <f>'KU EIAData'!C29</f>
        <v>3.7192210000000001</v>
      </c>
      <c r="E37" s="112">
        <f>'KU EIAData'!D29</f>
        <v>326.32083832269967</v>
      </c>
      <c r="F37" s="112">
        <f>'KU EIAData'!G29</f>
        <v>14.421297347885083</v>
      </c>
      <c r="G37" s="112">
        <f>'KU EIAData'!E29</f>
        <v>14.374589757458491</v>
      </c>
      <c r="H37" s="112">
        <f>'KU EIAData'!F29</f>
        <v>17.533472</v>
      </c>
      <c r="I37" s="112">
        <f>'KU EIAData'!H29</f>
        <v>11.061324610560973</v>
      </c>
      <c r="J37" s="112">
        <f>'KU EIAData'!I29</f>
        <v>0.99435966112915053</v>
      </c>
      <c r="K37" s="112">
        <f>'KU EIAData'!L29</f>
        <v>329.70775549960115</v>
      </c>
      <c r="L37" s="112">
        <f>'KU EIAData'!J29</f>
        <v>446.81914432469313</v>
      </c>
      <c r="M37" s="112">
        <f t="shared" si="2"/>
        <v>402.13722989222384</v>
      </c>
      <c r="N37" s="112">
        <f>'KU EIAData'!K29</f>
        <v>408.35116049756937</v>
      </c>
      <c r="O37" s="112">
        <f>'KU EIAData'!M29</f>
        <v>315.35039504397855</v>
      </c>
      <c r="P37" s="112">
        <f>'KU EIAData'!N29</f>
        <v>69.099013800494049</v>
      </c>
      <c r="Q37" s="112">
        <f>'KU EIAData'!O29</f>
        <v>674.08999057112578</v>
      </c>
      <c r="R37" s="112">
        <f>'KU EIAData'!P29</f>
        <v>216.09082431746859</v>
      </c>
      <c r="S37" s="112">
        <f>'KU EIAData'!Q29</f>
        <v>661.87033342277857</v>
      </c>
      <c r="T37" s="112">
        <f>'KU EIAData'!R29</f>
        <v>1142.7026533663559</v>
      </c>
      <c r="U37" s="129">
        <f t="shared" si="5"/>
        <v>-4.9577791047581421E-3</v>
      </c>
      <c r="V37" s="233">
        <v>5480.87412810562</v>
      </c>
      <c r="W37" s="129">
        <f t="shared" si="4"/>
        <v>1.3137150478289561E-2</v>
      </c>
      <c r="X37" s="237">
        <f>'KU EIAData'!S29</f>
        <v>6512.5928463861974</v>
      </c>
      <c r="Y37" s="129">
        <f t="shared" si="4"/>
        <v>1.8134896238977127E-2</v>
      </c>
    </row>
    <row r="38" spans="1:25" x14ac:dyDescent="0.2">
      <c r="A38" s="25">
        <f t="shared" si="6"/>
        <v>2031</v>
      </c>
      <c r="B38" s="112">
        <v>3.4119999999999999</v>
      </c>
      <c r="C38" s="114">
        <f>'KU EIAData'!B30</f>
        <v>8.4157941304593287</v>
      </c>
      <c r="D38" s="112">
        <f>'KU EIAData'!C30</f>
        <v>3.7342439999999999</v>
      </c>
      <c r="E38" s="112">
        <f>'KU EIAData'!D30</f>
        <v>317.27929729435795</v>
      </c>
      <c r="F38" s="112">
        <f>'KU EIAData'!G30</f>
        <v>14.442716324292093</v>
      </c>
      <c r="G38" s="112">
        <f>'KU EIAData'!E30</f>
        <v>14.396076002539097</v>
      </c>
      <c r="H38" s="112">
        <f>'KU EIAData'!F30</f>
        <v>17.640267999999999</v>
      </c>
      <c r="I38" s="112">
        <f>'KU EIAData'!H30</f>
        <v>11.061161808558927</v>
      </c>
      <c r="J38" s="112">
        <f>'KU EIAData'!I30</f>
        <v>0.99678594057528325</v>
      </c>
      <c r="K38" s="112">
        <f>'KU EIAData'!L30</f>
        <v>329.59197692239553</v>
      </c>
      <c r="L38" s="112">
        <f>'KU EIAData'!J30</f>
        <v>444.93363732543077</v>
      </c>
      <c r="M38" s="112">
        <f>L38*0.9</f>
        <v>400.44027359288771</v>
      </c>
      <c r="N38" s="112">
        <f>'KU EIAData'!K30</f>
        <v>407.18001880876142</v>
      </c>
      <c r="O38" s="112">
        <f>'KU EIAData'!M30</f>
        <v>315.35075649430536</v>
      </c>
      <c r="P38" s="112">
        <f>'KU EIAData'!N30</f>
        <v>69.098269733041036</v>
      </c>
      <c r="Q38" s="112">
        <f>'KU EIAData'!O30</f>
        <v>673.74294545438158</v>
      </c>
      <c r="R38" s="112">
        <f>'KU EIAData'!P30</f>
        <v>216.56805681692848</v>
      </c>
      <c r="S38" s="112">
        <f>'KU EIAData'!Q30</f>
        <v>662.45367395940343</v>
      </c>
      <c r="T38" s="112">
        <f>'KU EIAData'!R30</f>
        <v>1138.2527795901376</v>
      </c>
      <c r="U38" s="129">
        <f>T38/T37-1</f>
        <v>-3.8941659609428303E-3</v>
      </c>
      <c r="V38" s="233">
        <v>5552.877196279107</v>
      </c>
      <c r="W38" s="129">
        <f t="shared" ref="W38:W49" si="7">V38/V37-1</f>
        <v>1.3137150478289339E-2</v>
      </c>
      <c r="X38" s="237">
        <f>'KU EIAData'!S30</f>
        <v>6610.9367706067169</v>
      </c>
      <c r="Y38" s="129">
        <f t="shared" ref="Y38:Y49" si="8">X38/X37-1</f>
        <v>1.5100579222465882E-2</v>
      </c>
    </row>
    <row r="39" spans="1:25" x14ac:dyDescent="0.2">
      <c r="A39" s="25">
        <f t="shared" si="6"/>
        <v>2032</v>
      </c>
      <c r="B39" s="112">
        <v>3.4119999999999999</v>
      </c>
      <c r="C39" s="114">
        <f>'KU EIAData'!B31</f>
        <v>8.4249576911533275</v>
      </c>
      <c r="D39" s="112">
        <f>'KU EIAData'!C31</f>
        <v>3.7486199999999998</v>
      </c>
      <c r="E39" s="112">
        <f>'KU EIAData'!D31</f>
        <v>309.0327885386979</v>
      </c>
      <c r="F39" s="112">
        <f>'KU EIAData'!G31</f>
        <v>14.463387768104882</v>
      </c>
      <c r="G39" s="112">
        <f>'KU EIAData'!E31</f>
        <v>14.415573627853872</v>
      </c>
      <c r="H39" s="112">
        <f>'KU EIAData'!F31</f>
        <v>17.742751999999999</v>
      </c>
      <c r="I39" s="112">
        <f>'KU EIAData'!H31</f>
        <v>11.060984269870238</v>
      </c>
      <c r="J39" s="112">
        <f>'KU EIAData'!I31</f>
        <v>0.99883765299838911</v>
      </c>
      <c r="K39" s="112">
        <f>'KU EIAData'!L31</f>
        <v>330.38425668389834</v>
      </c>
      <c r="L39" s="112">
        <f>'KU EIAData'!J31</f>
        <v>443.23224032927942</v>
      </c>
      <c r="M39" s="112">
        <f>L39*0.9</f>
        <v>398.90901629635147</v>
      </c>
      <c r="N39" s="112">
        <f>'KU EIAData'!K31</f>
        <v>406.16617227636692</v>
      </c>
      <c r="O39" s="112">
        <f>'KU EIAData'!M31</f>
        <v>316.21501157090557</v>
      </c>
      <c r="P39" s="112">
        <f>'KU EIAData'!N31</f>
        <v>69.287929119915759</v>
      </c>
      <c r="Q39" s="112">
        <f>'KU EIAData'!O31</f>
        <v>676.01698519000036</v>
      </c>
      <c r="R39" s="112">
        <f>'KU EIAData'!P31</f>
        <v>217.86563789678891</v>
      </c>
      <c r="S39" s="112">
        <f>'KU EIAData'!Q31</f>
        <v>664.09491960269349</v>
      </c>
      <c r="T39" s="112">
        <f>'KU EIAData'!R31</f>
        <v>1139.0083511970365</v>
      </c>
      <c r="U39" s="129">
        <f>T39/T38-1</f>
        <v>6.6379948324923888E-4</v>
      </c>
      <c r="V39" s="233">
        <v>5625.826179594088</v>
      </c>
      <c r="W39" s="129">
        <f t="shared" si="7"/>
        <v>1.3137150478289561E-2</v>
      </c>
      <c r="X39" s="237">
        <f>'KU EIAData'!S31</f>
        <v>6731.9791840402013</v>
      </c>
      <c r="Y39" s="129">
        <f t="shared" si="8"/>
        <v>1.8309419320369003E-2</v>
      </c>
    </row>
    <row r="40" spans="1:25" x14ac:dyDescent="0.2">
      <c r="A40" s="25">
        <f t="shared" si="6"/>
        <v>2033</v>
      </c>
      <c r="B40" s="112">
        <v>3.4119999999999999</v>
      </c>
      <c r="C40" s="114">
        <f>'KU EIAData'!B32</f>
        <v>8.4317027270645557</v>
      </c>
      <c r="D40" s="112">
        <f>'KU EIAData'!C32</f>
        <v>3.7624629999999999</v>
      </c>
      <c r="E40" s="112">
        <f>'KU EIAData'!D32</f>
        <v>299.08207866584496</v>
      </c>
      <c r="F40" s="112">
        <f>'KU EIAData'!G32</f>
        <v>14.479360058071141</v>
      </c>
      <c r="G40" s="112">
        <f>'KU EIAData'!E32</f>
        <v>14.430632056057418</v>
      </c>
      <c r="H40" s="112">
        <f>'KU EIAData'!F32</f>
        <v>17.841685999999999</v>
      </c>
      <c r="I40" s="112">
        <f>'KU EIAData'!H32</f>
        <v>11.060819877644116</v>
      </c>
      <c r="J40" s="112">
        <f>'KU EIAData'!I32</f>
        <v>1.000515791422204</v>
      </c>
      <c r="K40" s="112">
        <f>'KU EIAData'!L32</f>
        <v>329.30082876880681</v>
      </c>
      <c r="L40" s="112">
        <f>'KU EIAData'!J32</f>
        <v>441.72625620838903</v>
      </c>
      <c r="M40" s="112">
        <f>L40*0.9</f>
        <v>397.55363058755012</v>
      </c>
      <c r="N40" s="112">
        <f>'KU EIAData'!K32</f>
        <v>405.24884432213236</v>
      </c>
      <c r="O40" s="112">
        <f>'KU EIAData'!M32</f>
        <v>315.35133277187407</v>
      </c>
      <c r="P40" s="112">
        <f>'KU EIAData'!N32</f>
        <v>69.099841707048881</v>
      </c>
      <c r="Q40" s="112">
        <f>'KU EIAData'!O32</f>
        <v>674.18015291632946</v>
      </c>
      <c r="R40" s="112">
        <f>'KU EIAData'!P32</f>
        <v>217.82135298035433</v>
      </c>
      <c r="S40" s="112">
        <f>'KU EIAData'!Q32</f>
        <v>662.19985842912183</v>
      </c>
      <c r="T40" s="112">
        <f>'KU EIAData'!R32</f>
        <v>1133.2958452543965</v>
      </c>
      <c r="U40" s="129">
        <f>T40/T39-1</f>
        <v>-5.0153327994799657E-3</v>
      </c>
      <c r="V40" s="233">
        <v>5699.7335046801154</v>
      </c>
      <c r="W40" s="129">
        <f t="shared" si="7"/>
        <v>1.3137150478289339E-2</v>
      </c>
      <c r="X40" s="237">
        <f>'KU EIAData'!S32</f>
        <v>6806.7880342934886</v>
      </c>
      <c r="Y40" s="129">
        <f t="shared" si="8"/>
        <v>1.1112460126234458E-2</v>
      </c>
    </row>
    <row r="41" spans="1:25" x14ac:dyDescent="0.2">
      <c r="A41" s="25">
        <f t="shared" si="6"/>
        <v>2034</v>
      </c>
      <c r="B41" s="112">
        <v>3.4119999999999999</v>
      </c>
      <c r="C41" s="114">
        <f>'KU EIAData'!B33</f>
        <v>8.436276245805697</v>
      </c>
      <c r="D41" s="112">
        <f>'KU EIAData'!C33</f>
        <v>3.7758560000000001</v>
      </c>
      <c r="E41" s="112">
        <f>'KU EIAData'!D33</f>
        <v>289.94106646626875</v>
      </c>
      <c r="F41" s="112">
        <f>'KU EIAData'!G33</f>
        <v>14.490826281137791</v>
      </c>
      <c r="G41" s="112">
        <f>'KU EIAData'!E33</f>
        <v>14.441786791770996</v>
      </c>
      <c r="H41" s="112">
        <f>'KU EIAData'!F33</f>
        <v>17.937657999999999</v>
      </c>
      <c r="I41" s="112">
        <f>'KU EIAData'!H33</f>
        <v>11.060728336680551</v>
      </c>
      <c r="J41" s="112">
        <f>'KU EIAData'!I33</f>
        <v>1.0017630316729063</v>
      </c>
      <c r="K41" s="112">
        <f>'KU EIAData'!L33</f>
        <v>329.08521921166783</v>
      </c>
      <c r="L41" s="112">
        <f>'KU EIAData'!J33</f>
        <v>440.43760058613827</v>
      </c>
      <c r="M41" s="112">
        <f>L41*0.9</f>
        <v>396.39384052752445</v>
      </c>
      <c r="N41" s="112">
        <f>'KU EIAData'!K33</f>
        <v>404.44344892440404</v>
      </c>
      <c r="O41" s="112">
        <f>'KU EIAData'!M33</f>
        <v>315.35172316890521</v>
      </c>
      <c r="P41" s="112">
        <f>'KU EIAData'!N33</f>
        <v>69.101084056966499</v>
      </c>
      <c r="Q41" s="112">
        <f>'KU EIAData'!O33</f>
        <v>674.11916095875756</v>
      </c>
      <c r="R41" s="112">
        <f>'KU EIAData'!P33</f>
        <v>218.30877179722594</v>
      </c>
      <c r="S41" s="112">
        <f>'KU EIAData'!Q33</f>
        <v>662.10923900502735</v>
      </c>
      <c r="T41" s="112">
        <f>'KU EIAData'!R33</f>
        <v>1130.9268049418979</v>
      </c>
      <c r="U41" s="129">
        <f>T41/T40-1</f>
        <v>-2.0903988331191226E-3</v>
      </c>
      <c r="V41" s="233">
        <v>5774.6117614172472</v>
      </c>
      <c r="W41" s="129">
        <f t="shared" si="7"/>
        <v>1.3137150478289561E-2</v>
      </c>
      <c r="X41" s="237">
        <f>'KU EIAData'!S33</f>
        <v>6899.8315882134048</v>
      </c>
      <c r="Y41" s="129">
        <f t="shared" si="8"/>
        <v>1.3669230399294241E-2</v>
      </c>
    </row>
    <row r="42" spans="1:25" x14ac:dyDescent="0.2">
      <c r="A42" s="25">
        <f t="shared" si="6"/>
        <v>2035</v>
      </c>
      <c r="B42" s="112">
        <v>3.4119999999999999</v>
      </c>
      <c r="C42" s="114">
        <f>'KU EIAData'!B34</f>
        <v>8.4384683863519196</v>
      </c>
      <c r="D42" s="112">
        <f>'KU EIAData'!C34</f>
        <v>3.7888030000000001</v>
      </c>
      <c r="E42" s="112">
        <f>'KU EIAData'!D34</f>
        <v>281.05143254228147</v>
      </c>
      <c r="F42" s="112">
        <f>'KU EIAData'!G34</f>
        <v>14.497546310944491</v>
      </c>
      <c r="G42" s="112">
        <f>'KU EIAData'!E34</f>
        <v>14.448640967099756</v>
      </c>
      <c r="H42" s="112">
        <f>'KU EIAData'!F34</f>
        <v>18.030645</v>
      </c>
      <c r="I42" s="112">
        <f>'KU EIAData'!H34</f>
        <v>11.060691187179341</v>
      </c>
      <c r="J42" s="112">
        <f>'KU EIAData'!I34</f>
        <v>1.0025683368435454</v>
      </c>
      <c r="K42" s="112">
        <f>'KU EIAData'!L34</f>
        <v>329.01940173233208</v>
      </c>
      <c r="L42" s="112">
        <f>'KU EIAData'!J34</f>
        <v>439.3508566860047</v>
      </c>
      <c r="M42" s="112">
        <f>L42*0.9</f>
        <v>395.41577101740427</v>
      </c>
      <c r="N42" s="112">
        <f>'KU EIAData'!K34</f>
        <v>403.74965954711087</v>
      </c>
      <c r="O42" s="112">
        <f>'KU EIAData'!M34</f>
        <v>315.35202464956387</v>
      </c>
      <c r="P42" s="112">
        <f>'KU EIAData'!N34</f>
        <v>69.102773757170596</v>
      </c>
      <c r="Q42" s="112">
        <f>'KU EIAData'!O34</f>
        <v>675.82131711470868</v>
      </c>
      <c r="R42" s="112">
        <f>'KU EIAData'!P34</f>
        <v>219.32918139597865</v>
      </c>
      <c r="S42" s="112">
        <f>'KU EIAData'!Q34</f>
        <v>661.47069408085599</v>
      </c>
      <c r="T42" s="112">
        <f>'KU EIAData'!R34</f>
        <v>1131.8971653838944</v>
      </c>
      <c r="U42" s="129">
        <f>T42/T41-1</f>
        <v>8.5802232094622788E-4</v>
      </c>
      <c r="V42" s="233">
        <v>5850.4737050806871</v>
      </c>
      <c r="W42" s="129">
        <f t="shared" si="7"/>
        <v>1.3137150478289783E-2</v>
      </c>
      <c r="X42" s="237">
        <f>'KU EIAData'!S34</f>
        <v>7007.5833776881846</v>
      </c>
      <c r="Y42" s="129">
        <f t="shared" si="8"/>
        <v>1.5616582534977441E-2</v>
      </c>
    </row>
    <row r="43" spans="1:25" x14ac:dyDescent="0.2">
      <c r="A43" s="25">
        <f t="shared" si="6"/>
        <v>2036</v>
      </c>
      <c r="B43" s="112">
        <v>3.4119999999999999</v>
      </c>
      <c r="C43" s="114">
        <f>'KU EIAData'!B35</f>
        <v>8.4406605268981423</v>
      </c>
      <c r="D43" s="112">
        <f>'KU EIAData'!C35</f>
        <v>3.8017500000000002</v>
      </c>
      <c r="E43" s="112">
        <f>'KU EIAData'!D35</f>
        <v>272.43435604613853</v>
      </c>
      <c r="F43" s="112">
        <f>'KU EIAData'!G35</f>
        <v>14.504266340751192</v>
      </c>
      <c r="G43" s="112">
        <f>'KU EIAData'!E35</f>
        <v>14.455495142428516</v>
      </c>
      <c r="H43" s="112">
        <f>'KU EIAData'!F35</f>
        <v>18.123632000000001</v>
      </c>
      <c r="I43" s="112">
        <f>'KU EIAData'!H35</f>
        <v>11.06065403767813</v>
      </c>
      <c r="J43" s="112">
        <f>'KU EIAData'!I35</f>
        <v>1.0033736420141846</v>
      </c>
      <c r="K43" s="112">
        <f>'KU EIAData'!L35</f>
        <v>328.95359741657933</v>
      </c>
      <c r="L43" s="112">
        <f>'KU EIAData'!J35</f>
        <v>438.26411278587113</v>
      </c>
      <c r="M43" s="112">
        <f t="shared" ref="M43:M49" si="9">L43*0.9</f>
        <v>394.43770150728403</v>
      </c>
      <c r="N43" s="112">
        <f>'KU EIAData'!K35</f>
        <v>403.05587016981769</v>
      </c>
      <c r="O43" s="112">
        <f>'KU EIAData'!M35</f>
        <v>315.35232613051073</v>
      </c>
      <c r="P43" s="112">
        <f>'KU EIAData'!N35</f>
        <v>69.104463498692226</v>
      </c>
      <c r="Q43" s="112">
        <f>'KU EIAData'!O35</f>
        <v>677.52777122827206</v>
      </c>
      <c r="R43" s="112">
        <f>'KU EIAData'!P35</f>
        <v>220.35436054998397</v>
      </c>
      <c r="S43" s="112">
        <f>'KU EIAData'!Q35</f>
        <v>660.83276497594238</v>
      </c>
      <c r="T43" s="112">
        <f>'KU EIAData'!R35</f>
        <v>1132.8683584168095</v>
      </c>
      <c r="U43" s="129">
        <f t="shared" ref="U43:U49" si="10">T43/T42-1</f>
        <v>8.5802232094622788E-4</v>
      </c>
      <c r="V43" s="233">
        <v>5927.3322585136057</v>
      </c>
      <c r="W43" s="129">
        <f t="shared" si="7"/>
        <v>1.3137150478289117E-2</v>
      </c>
      <c r="X43" s="237">
        <f>'KU EIAData'!S35</f>
        <v>7117.0178818765871</v>
      </c>
      <c r="Y43" s="129">
        <f t="shared" si="8"/>
        <v>1.5616582534977219E-2</v>
      </c>
    </row>
    <row r="44" spans="1:25" x14ac:dyDescent="0.2">
      <c r="A44" s="25">
        <f t="shared" si="6"/>
        <v>2037</v>
      </c>
      <c r="B44" s="112">
        <v>3.4119999999999999</v>
      </c>
      <c r="C44" s="114">
        <f>'KU EIAData'!B36</f>
        <v>8.4428526674443649</v>
      </c>
      <c r="D44" s="112">
        <f>'KU EIAData'!C36</f>
        <v>3.8146970000000002</v>
      </c>
      <c r="E44" s="112">
        <f>'KU EIAData'!D36</f>
        <v>264.08148032872396</v>
      </c>
      <c r="F44" s="112">
        <f>'KU EIAData'!G36</f>
        <v>14.510986370557893</v>
      </c>
      <c r="G44" s="112">
        <f>'KU EIAData'!E36</f>
        <v>14.462349317757276</v>
      </c>
      <c r="H44" s="112">
        <f>'KU EIAData'!F36</f>
        <v>18.216619000000001</v>
      </c>
      <c r="I44" s="112">
        <f>'KU EIAData'!H36</f>
        <v>11.06061688817692</v>
      </c>
      <c r="J44" s="112">
        <f>'KU EIAData'!I36</f>
        <v>1.0041789471848237</v>
      </c>
      <c r="K44" s="112">
        <f>'KU EIAData'!L36</f>
        <v>328.88780626177669</v>
      </c>
      <c r="L44" s="112">
        <f>'KU EIAData'!J36</f>
        <v>437.17736888573756</v>
      </c>
      <c r="M44" s="112">
        <f t="shared" si="9"/>
        <v>393.4596319971638</v>
      </c>
      <c r="N44" s="112">
        <f>'KU EIAData'!K36</f>
        <v>402.36208079252452</v>
      </c>
      <c r="O44" s="112">
        <f>'KU EIAData'!M36</f>
        <v>315.35262761174585</v>
      </c>
      <c r="P44" s="112">
        <f>'KU EIAData'!N36</f>
        <v>69.106153281532414</v>
      </c>
      <c r="Q44" s="112">
        <f>'KU EIAData'!O36</f>
        <v>679.23853415182384</v>
      </c>
      <c r="R44" s="112">
        <f>'KU EIAData'!P36</f>
        <v>221.38433155289479</v>
      </c>
      <c r="S44" s="112">
        <f>'KU EIAData'!Q36</f>
        <v>660.19545109638432</v>
      </c>
      <c r="T44" s="112">
        <f>'KU EIAData'!R36</f>
        <v>1133.8403847550246</v>
      </c>
      <c r="U44" s="129">
        <f t="shared" si="10"/>
        <v>8.5802232094600583E-4</v>
      </c>
      <c r="V44" s="233">
        <v>6005.2005143285196</v>
      </c>
      <c r="W44" s="129">
        <f t="shared" si="7"/>
        <v>1.3137150478289783E-2</v>
      </c>
      <c r="X44" s="237">
        <f>'KU EIAData'!S36</f>
        <v>7228.1613790318224</v>
      </c>
      <c r="Y44" s="129">
        <f t="shared" si="8"/>
        <v>1.5616582534977441E-2</v>
      </c>
    </row>
    <row r="45" spans="1:25" x14ac:dyDescent="0.2">
      <c r="A45" s="25">
        <f t="shared" si="6"/>
        <v>2038</v>
      </c>
      <c r="B45" s="112">
        <v>3.4119999999999999</v>
      </c>
      <c r="C45" s="114">
        <f>'KU EIAData'!B37</f>
        <v>8.4450448079905875</v>
      </c>
      <c r="D45" s="112">
        <f>'KU EIAData'!C37</f>
        <v>3.8276440000000003</v>
      </c>
      <c r="E45" s="112">
        <f>'KU EIAData'!D37</f>
        <v>255.98470495696014</v>
      </c>
      <c r="F45" s="112">
        <f>'KU EIAData'!G37</f>
        <v>14.517706400364593</v>
      </c>
      <c r="G45" s="112">
        <f>'KU EIAData'!E37</f>
        <v>14.469203493086036</v>
      </c>
      <c r="H45" s="112">
        <f>'KU EIAData'!F37</f>
        <v>18.309606000000002</v>
      </c>
      <c r="I45" s="112">
        <f>'KU EIAData'!H37</f>
        <v>11.06057973867571</v>
      </c>
      <c r="J45" s="112">
        <f>'KU EIAData'!I37</f>
        <v>1.0049842523554628</v>
      </c>
      <c r="K45" s="112">
        <f>'KU EIAData'!L37</f>
        <v>328.8220282652922</v>
      </c>
      <c r="L45" s="112">
        <f>'KU EIAData'!J37</f>
        <v>436.09062498560399</v>
      </c>
      <c r="M45" s="112">
        <f t="shared" si="9"/>
        <v>392.48156248704362</v>
      </c>
      <c r="N45" s="112">
        <f>'KU EIAData'!K37</f>
        <v>401.66829141523135</v>
      </c>
      <c r="O45" s="112">
        <f>'KU EIAData'!M37</f>
        <v>315.35292909326915</v>
      </c>
      <c r="P45" s="112">
        <f>'KU EIAData'!N37</f>
        <v>69.107843105692154</v>
      </c>
      <c r="Q45" s="112">
        <f>'KU EIAData'!O37</f>
        <v>680.95361676514312</v>
      </c>
      <c r="R45" s="112">
        <f>'KU EIAData'!P37</f>
        <v>222.41911680256794</v>
      </c>
      <c r="S45" s="112">
        <f>'KU EIAData'!Q37</f>
        <v>659.55875184885201</v>
      </c>
      <c r="T45" s="112">
        <f>'KU EIAData'!R37</f>
        <v>1134.813245113535</v>
      </c>
      <c r="U45" s="129">
        <f t="shared" si="10"/>
        <v>8.5802232094644992E-4</v>
      </c>
      <c r="V45" s="233">
        <v>6084.0917371375544</v>
      </c>
      <c r="W45" s="129">
        <f t="shared" si="7"/>
        <v>1.3137150478289339E-2</v>
      </c>
      <c r="X45" s="237">
        <f>'KU EIAData'!S37</f>
        <v>7341.0405577836091</v>
      </c>
      <c r="Y45" s="129">
        <f t="shared" si="8"/>
        <v>1.5616582534977441E-2</v>
      </c>
    </row>
    <row r="46" spans="1:25" x14ac:dyDescent="0.2">
      <c r="A46" s="25">
        <f t="shared" si="6"/>
        <v>2039</v>
      </c>
      <c r="B46" s="112">
        <v>3.4119999999999999</v>
      </c>
      <c r="C46" s="114">
        <f>'KU EIAData'!B38</f>
        <v>8.4472369485368102</v>
      </c>
      <c r="D46" s="112">
        <f>'KU EIAData'!C38</f>
        <v>3.8405910000000003</v>
      </c>
      <c r="E46" s="112">
        <f>'KU EIAData'!D38</f>
        <v>248.13617785818846</v>
      </c>
      <c r="F46" s="112">
        <f>'KU EIAData'!G38</f>
        <v>14.524426430171294</v>
      </c>
      <c r="G46" s="112">
        <f>'KU EIAData'!E38</f>
        <v>14.476057668414796</v>
      </c>
      <c r="H46" s="112">
        <f>'KU EIAData'!F38</f>
        <v>18.402593000000003</v>
      </c>
      <c r="I46" s="112">
        <f>'KU EIAData'!H38</f>
        <v>11.060542589174499</v>
      </c>
      <c r="J46" s="112">
        <f>'KU EIAData'!I38</f>
        <v>1.005789557526102</v>
      </c>
      <c r="K46" s="112">
        <f>'KU EIAData'!L38</f>
        <v>328.75626342449397</v>
      </c>
      <c r="L46" s="112">
        <f>'KU EIAData'!J38</f>
        <v>435.00388108547043</v>
      </c>
      <c r="M46" s="112">
        <f t="shared" si="9"/>
        <v>391.50349297692338</v>
      </c>
      <c r="N46" s="112">
        <f>'KU EIAData'!K38</f>
        <v>400.97450203793818</v>
      </c>
      <c r="O46" s="112">
        <f>'KU EIAData'!M38</f>
        <v>315.35323057508066</v>
      </c>
      <c r="P46" s="112">
        <f>'KU EIAData'!N38</f>
        <v>69.10953297117247</v>
      </c>
      <c r="Q46" s="112">
        <f>'KU EIAData'!O38</f>
        <v>682.67302997548063</v>
      </c>
      <c r="R46" s="112">
        <f>'KU EIAData'!P38</f>
        <v>223.45873880155131</v>
      </c>
      <c r="S46" s="112">
        <f>'KU EIAData'!Q38</f>
        <v>658.9226666405882</v>
      </c>
      <c r="T46" s="112">
        <f>'KU EIAData'!R38</f>
        <v>1135.7869402079475</v>
      </c>
      <c r="U46" s="129">
        <f t="shared" si="10"/>
        <v>8.5802232094600583E-4</v>
      </c>
      <c r="V46" s="233">
        <v>6164.0193658120461</v>
      </c>
      <c r="W46" s="129">
        <f t="shared" si="7"/>
        <v>1.3137150478289117E-2</v>
      </c>
      <c r="X46" s="237">
        <f>'KU EIAData'!S38</f>
        <v>7455.6825235468532</v>
      </c>
      <c r="Y46" s="129">
        <f t="shared" si="8"/>
        <v>1.5616582534977441E-2</v>
      </c>
    </row>
    <row r="47" spans="1:25" x14ac:dyDescent="0.2">
      <c r="A47" s="25">
        <f t="shared" si="6"/>
        <v>2040</v>
      </c>
      <c r="B47" s="112">
        <v>3.4119999999999999</v>
      </c>
      <c r="C47" s="114">
        <f>'KU EIAData'!B39</f>
        <v>8.4494290890830328</v>
      </c>
      <c r="D47" s="112">
        <f>'KU EIAData'!C39</f>
        <v>3.8535380000000004</v>
      </c>
      <c r="E47" s="112">
        <f>'KU EIAData'!D39</f>
        <v>240.52828770540347</v>
      </c>
      <c r="F47" s="112">
        <f>'KU EIAData'!G39</f>
        <v>14.531146459977995</v>
      </c>
      <c r="G47" s="112">
        <f>'KU EIAData'!E39</f>
        <v>14.482911843743556</v>
      </c>
      <c r="H47" s="112">
        <f>'KU EIAData'!F39</f>
        <v>18.495580000000004</v>
      </c>
      <c r="I47" s="112">
        <f>'KU EIAData'!H39</f>
        <v>11.060505439673289</v>
      </c>
      <c r="J47" s="112">
        <f>'KU EIAData'!I39</f>
        <v>1.0065948626967411</v>
      </c>
      <c r="K47" s="112">
        <f>'KU EIAData'!L39</f>
        <v>328.69051173675098</v>
      </c>
      <c r="L47" s="112">
        <f>'KU EIAData'!J39</f>
        <v>433.91713718533686</v>
      </c>
      <c r="M47" s="112">
        <f t="shared" si="9"/>
        <v>390.5254234668032</v>
      </c>
      <c r="N47" s="112">
        <f>'KU EIAData'!K39</f>
        <v>400.28071266064501</v>
      </c>
      <c r="O47" s="112">
        <f>'KU EIAData'!M39</f>
        <v>315.35353205718042</v>
      </c>
      <c r="P47" s="112">
        <f>'KU EIAData'!N39</f>
        <v>69.111222877974356</v>
      </c>
      <c r="Q47" s="112">
        <f>'KU EIAData'!O39</f>
        <v>684.39678471762738</v>
      </c>
      <c r="R47" s="112">
        <f>'KU EIAData'!P39</f>
        <v>224.50322015757334</v>
      </c>
      <c r="S47" s="112">
        <f>'KU EIAData'!Q39</f>
        <v>658.28719487940702</v>
      </c>
      <c r="T47" s="112">
        <f>'KU EIAData'!R39</f>
        <v>1136.7614707544849</v>
      </c>
      <c r="U47" s="129">
        <f t="shared" si="10"/>
        <v>8.5802232094600583E-4</v>
      </c>
      <c r="V47" s="233">
        <v>6244.9970157718099</v>
      </c>
      <c r="W47" s="129">
        <f t="shared" si="7"/>
        <v>1.3137150478289561E-2</v>
      </c>
      <c r="X47" s="237">
        <f>'KU EIAData'!S39</f>
        <v>7572.1148050304091</v>
      </c>
      <c r="Y47" s="129">
        <f t="shared" si="8"/>
        <v>1.5616582534977219E-2</v>
      </c>
    </row>
    <row r="48" spans="1:25" x14ac:dyDescent="0.2">
      <c r="A48" s="25">
        <f t="shared" si="6"/>
        <v>2041</v>
      </c>
      <c r="B48" s="112">
        <v>3.4119999999999999</v>
      </c>
      <c r="C48" s="114">
        <f>'KU EIAData'!B40</f>
        <v>8.4516212296292554</v>
      </c>
      <c r="D48" s="112">
        <f>'KU EIAData'!C40</f>
        <v>3.8664850000000004</v>
      </c>
      <c r="E48" s="112">
        <f>'KU EIAData'!D40</f>
        <v>233.15365653595757</v>
      </c>
      <c r="F48" s="112">
        <f>'KU EIAData'!G40</f>
        <v>14.537866489784696</v>
      </c>
      <c r="G48" s="112">
        <f>'KU EIAData'!E40</f>
        <v>14.489766019072317</v>
      </c>
      <c r="H48" s="112">
        <f>'KU EIAData'!F40</f>
        <v>18.588567000000005</v>
      </c>
      <c r="I48" s="112">
        <f>'KU EIAData'!H40</f>
        <v>11.060468290172079</v>
      </c>
      <c r="J48" s="112">
        <f>'KU EIAData'!I40</f>
        <v>1.0074001678673803</v>
      </c>
      <c r="K48" s="112">
        <f>'KU EIAData'!L40</f>
        <v>328.62477319943252</v>
      </c>
      <c r="L48" s="112">
        <f>'KU EIAData'!J40</f>
        <v>432.83039328520329</v>
      </c>
      <c r="M48" s="112">
        <f t="shared" si="9"/>
        <v>389.54735395668297</v>
      </c>
      <c r="N48" s="112">
        <f>'KU EIAData'!K40</f>
        <v>399.58692328335184</v>
      </c>
      <c r="O48" s="112">
        <f>'KU EIAData'!M40</f>
        <v>315.35383353956837</v>
      </c>
      <c r="P48" s="112">
        <f>'KU EIAData'!N40</f>
        <v>69.112912826098835</v>
      </c>
      <c r="Q48" s="112">
        <f>'KU EIAData'!O40</f>
        <v>686.12489195398507</v>
      </c>
      <c r="R48" s="112">
        <f>'KU EIAData'!P40</f>
        <v>225.55258358403458</v>
      </c>
      <c r="S48" s="112">
        <f>'KU EIAData'!Q40</f>
        <v>657.65233597369388</v>
      </c>
      <c r="T48" s="112">
        <f>'KU EIAData'!R40</f>
        <v>1137.7368374699838</v>
      </c>
      <c r="U48" s="129">
        <f t="shared" si="10"/>
        <v>8.5802232094622788E-4</v>
      </c>
      <c r="V48" s="233">
        <v>6327.0384813044739</v>
      </c>
      <c r="W48" s="129">
        <f t="shared" si="7"/>
        <v>1.3137150478289561E-2</v>
      </c>
      <c r="X48" s="237">
        <f>'KU EIAData'!S40</f>
        <v>7690.3653608474915</v>
      </c>
      <c r="Y48" s="129">
        <f t="shared" si="8"/>
        <v>1.5616582534977441E-2</v>
      </c>
    </row>
    <row r="49" spans="1:25" x14ac:dyDescent="0.2">
      <c r="A49" s="25">
        <f t="shared" si="6"/>
        <v>2042</v>
      </c>
      <c r="B49" s="112">
        <v>3.4119999999999999</v>
      </c>
      <c r="C49" s="114">
        <f>'KU EIAData'!B41</f>
        <v>8.4538133701754781</v>
      </c>
      <c r="D49" s="112">
        <f>'KU EIAData'!C41</f>
        <v>3.8794320000000004</v>
      </c>
      <c r="E49" s="112">
        <f>'KU EIAData'!D41</f>
        <v>226.00513259657671</v>
      </c>
      <c r="F49" s="112">
        <f>'KU EIAData'!G41</f>
        <v>14.544586519591396</v>
      </c>
      <c r="G49" s="112">
        <f>'KU EIAData'!E41</f>
        <v>14.496620194401077</v>
      </c>
      <c r="H49" s="112">
        <f>'KU EIAData'!F41</f>
        <v>18.681554000000006</v>
      </c>
      <c r="I49" s="112">
        <f>'KU EIAData'!H41</f>
        <v>11.060431140670868</v>
      </c>
      <c r="J49" s="112">
        <f>'KU EIAData'!I41</f>
        <v>1.0082054730380194</v>
      </c>
      <c r="K49" s="112">
        <f>'KU EIAData'!L41</f>
        <v>328.55904780990846</v>
      </c>
      <c r="L49" s="112">
        <f>'KU EIAData'!J41</f>
        <v>431.74364938506972</v>
      </c>
      <c r="M49" s="112">
        <f t="shared" si="9"/>
        <v>388.56928444656273</v>
      </c>
      <c r="N49" s="112">
        <f>'KU EIAData'!K41</f>
        <v>398.89313390605867</v>
      </c>
      <c r="O49" s="112">
        <f>'KU EIAData'!M41</f>
        <v>315.35413502224458</v>
      </c>
      <c r="P49" s="112">
        <f>'KU EIAData'!N41</f>
        <v>69.114602815546931</v>
      </c>
      <c r="Q49" s="112">
        <f>'KU EIAData'!O41</f>
        <v>687.85736267463608</v>
      </c>
      <c r="R49" s="112">
        <f>'KU EIAData'!P41</f>
        <v>226.60685190050145</v>
      </c>
      <c r="S49" s="112">
        <f>'KU EIAData'!Q41</f>
        <v>657.01808933240477</v>
      </c>
      <c r="T49" s="112">
        <f>'KU EIAData'!R41</f>
        <v>1138.7130410718958</v>
      </c>
      <c r="U49" s="129">
        <f t="shared" si="10"/>
        <v>8.5802232094622788E-4</v>
      </c>
      <c r="V49" s="233">
        <f>V48*(1+1.3%)</f>
        <v>6409.289981561431</v>
      </c>
      <c r="W49" s="129">
        <f t="shared" si="7"/>
        <v>1.2999999999999901E-2</v>
      </c>
      <c r="X49" s="237">
        <f>'KU EIAData'!S41</f>
        <v>7810.4625862292987</v>
      </c>
      <c r="Y49" s="129">
        <f t="shared" si="8"/>
        <v>1.5616582534977441E-2</v>
      </c>
    </row>
    <row r="50" spans="1:25" x14ac:dyDescent="0.2">
      <c r="A50" s="25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233"/>
      <c r="W50" s="129"/>
      <c r="X50" s="227"/>
    </row>
    <row r="51" spans="1:25" x14ac:dyDescent="0.2">
      <c r="A51" s="25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233"/>
      <c r="W51" s="129"/>
      <c r="X51" s="227"/>
    </row>
    <row r="52" spans="1:25" x14ac:dyDescent="0.2">
      <c r="A52" s="21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3"/>
      <c r="N52" s="43"/>
      <c r="O52" s="43"/>
      <c r="P52" s="43"/>
      <c r="Q52" s="43"/>
      <c r="R52" s="42"/>
      <c r="S52" s="42"/>
      <c r="T52" s="43"/>
      <c r="U52" s="43"/>
      <c r="V52" s="234"/>
      <c r="X52" s="9"/>
    </row>
    <row r="53" spans="1:25" x14ac:dyDescent="0.2">
      <c r="A53" s="6" t="s">
        <v>60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3"/>
      <c r="N53" s="43"/>
      <c r="O53" s="43"/>
      <c r="P53" s="43"/>
      <c r="Q53" s="43"/>
      <c r="R53" s="42"/>
      <c r="S53" s="42"/>
      <c r="T53" s="43"/>
      <c r="U53" s="43"/>
      <c r="V53" s="234"/>
      <c r="X53" s="9"/>
    </row>
    <row r="54" spans="1:25" x14ac:dyDescent="0.2">
      <c r="A54" s="4"/>
      <c r="B54" s="146">
        <f>'KU EIAData'!BM5</f>
        <v>974.64765069379848</v>
      </c>
      <c r="C54" s="146">
        <f>'KU EIAData'!BM6</f>
        <v>444.18955716177072</v>
      </c>
      <c r="D54" s="146">
        <f>'KU EIAData'!BM7</f>
        <v>9.9240440130295084</v>
      </c>
      <c r="E54" s="146">
        <f>'KU EIAData'!BM8</f>
        <v>105.25222078313359</v>
      </c>
      <c r="F54" s="146">
        <f>'KU EIAData'!BM9</f>
        <v>3039.5681588949683</v>
      </c>
      <c r="G54" s="146">
        <f>'KU EIAData'!BM10</f>
        <v>704.65059240432311</v>
      </c>
      <c r="H54" s="146">
        <f>'KU EIAData'!BM11</f>
        <v>17.590394764141919</v>
      </c>
      <c r="I54" s="146">
        <f>'KU EIAData'!BM12</f>
        <v>467.53896490687259</v>
      </c>
      <c r="J54" s="146">
        <f>'KU EIAData'!BM13</f>
        <v>2269.2485253366031</v>
      </c>
      <c r="K54" s="146">
        <f>'KU EIAData'!BM14</f>
        <v>612.05672933029723</v>
      </c>
      <c r="L54" s="146">
        <f>'KU EIAData'!BM15</f>
        <v>742.29749968960505</v>
      </c>
      <c r="M54" s="146">
        <f>'KU EIAData'!BM16</f>
        <v>134.5559535674243</v>
      </c>
      <c r="N54" s="146">
        <f>'KU EIAData'!BM17</f>
        <v>272.12798829135977</v>
      </c>
      <c r="O54" s="146">
        <f>'KU EIAData'!BM18</f>
        <v>286.62978934550466</v>
      </c>
      <c r="P54" s="146">
        <f>'KU EIAData'!BM19</f>
        <v>111.15523762306778</v>
      </c>
      <c r="Q54" s="146">
        <f>'KU EIAData'!BM20</f>
        <v>847.50051821010345</v>
      </c>
      <c r="R54" s="146">
        <f>'KU EIAData'!BM21</f>
        <v>0</v>
      </c>
      <c r="S54" s="146">
        <f>'KU EIAData'!BM22</f>
        <v>0</v>
      </c>
      <c r="T54" s="146">
        <f>'KU EIAData'!BM23</f>
        <v>2247.4336052116014</v>
      </c>
      <c r="U54" s="146"/>
      <c r="V54" s="235">
        <v>3129.8778002153022</v>
      </c>
      <c r="X54" s="44">
        <v>4138.583394638028</v>
      </c>
    </row>
  </sheetData>
  <phoneticPr fontId="0" type="noConversion"/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view="pageBreakPreview" zoomScale="60" zoomScaleNormal="100" workbookViewId="0">
      <pane xSplit="1" ySplit="1" topLeftCell="B2" activePane="bottomRight" state="frozenSplit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9.140625" defaultRowHeight="12.75" x14ac:dyDescent="0.2"/>
  <cols>
    <col min="1" max="1" width="5" style="17" bestFit="1" customWidth="1"/>
    <col min="2" max="2" width="8" style="16" bestFit="1" customWidth="1"/>
    <col min="3" max="3" width="8.28515625" style="16" bestFit="1" customWidth="1"/>
    <col min="4" max="4" width="8.42578125" style="16" bestFit="1" customWidth="1"/>
    <col min="5" max="5" width="2.28515625" style="16" customWidth="1"/>
    <col min="6" max="6" width="13.85546875" style="16" bestFit="1" customWidth="1"/>
    <col min="7" max="7" width="9.140625" style="16"/>
    <col min="8" max="8" width="7.5703125" style="16" bestFit="1" customWidth="1"/>
    <col min="9" max="9" width="11.5703125" style="16" bestFit="1" customWidth="1"/>
    <col min="10" max="10" width="2" style="16" customWidth="1"/>
    <col min="11" max="11" width="13.85546875" style="48" bestFit="1" customWidth="1"/>
    <col min="12" max="12" width="11.140625" style="48" customWidth="1"/>
    <col min="13" max="13" width="14.42578125" style="52" bestFit="1" customWidth="1"/>
    <col min="14" max="14" width="14.28515625" style="52" bestFit="1" customWidth="1"/>
    <col min="15" max="15" width="10.140625" style="48" bestFit="1" customWidth="1"/>
    <col min="16" max="16" width="10" style="48" bestFit="1" customWidth="1"/>
    <col min="17" max="17" width="12.5703125" style="52" bestFit="1" customWidth="1"/>
    <col min="18" max="18" width="12.42578125" style="17" bestFit="1" customWidth="1"/>
    <col min="19" max="16384" width="9.140625" style="17"/>
  </cols>
  <sheetData>
    <row r="1" spans="1:18" s="19" customFormat="1" ht="25.5" x14ac:dyDescent="0.2">
      <c r="A1" s="19" t="s">
        <v>15</v>
      </c>
      <c r="B1" s="107" t="s">
        <v>138</v>
      </c>
      <c r="C1" s="108" t="s">
        <v>139</v>
      </c>
      <c r="D1" s="108" t="s">
        <v>140</v>
      </c>
      <c r="E1" s="45"/>
      <c r="F1" s="46" t="s">
        <v>107</v>
      </c>
      <c r="G1" s="46" t="s">
        <v>108</v>
      </c>
      <c r="H1" s="46" t="s">
        <v>109</v>
      </c>
      <c r="I1" s="47" t="s">
        <v>110</v>
      </c>
      <c r="J1" s="46"/>
      <c r="K1" s="48" t="s">
        <v>111</v>
      </c>
      <c r="L1" s="48" t="s">
        <v>112</v>
      </c>
      <c r="M1" s="52" t="s">
        <v>141</v>
      </c>
      <c r="N1" s="52" t="s">
        <v>142</v>
      </c>
      <c r="O1" s="48" t="s">
        <v>143</v>
      </c>
      <c r="P1" s="48"/>
      <c r="Q1" s="52"/>
      <c r="R1" s="52" t="s">
        <v>144</v>
      </c>
    </row>
    <row r="2" spans="1:18" x14ac:dyDescent="0.2">
      <c r="A2" s="17">
        <v>1995</v>
      </c>
      <c r="J2" s="49"/>
      <c r="K2" s="103">
        <f t="shared" ref="K2:K11" si="0">(K3/K4)*K3</f>
        <v>1332.6541440036592</v>
      </c>
      <c r="L2" s="103">
        <f t="shared" ref="L2:L37" si="1">892 + 1.44*K2</f>
        <v>2811.0219673652691</v>
      </c>
      <c r="M2" s="134">
        <v>1.0769109708374249</v>
      </c>
      <c r="N2" s="135">
        <v>1.02</v>
      </c>
      <c r="O2" s="103">
        <f t="shared" ref="O2:O32" si="2">L2*M2</f>
        <v>3027.2203959206604</v>
      </c>
      <c r="P2" s="103"/>
      <c r="Q2" s="104"/>
      <c r="R2" s="116" t="e">
        <f t="shared" ref="R2:R42" si="3">P2/P$12</f>
        <v>#DIV/0!</v>
      </c>
    </row>
    <row r="3" spans="1:18" x14ac:dyDescent="0.2">
      <c r="A3" s="17">
        <v>1996</v>
      </c>
      <c r="J3" s="49"/>
      <c r="K3" s="103">
        <f t="shared" si="0"/>
        <v>1351.5699151142167</v>
      </c>
      <c r="L3" s="103">
        <f t="shared" si="1"/>
        <v>2838.2606777644719</v>
      </c>
      <c r="M3" s="134">
        <v>1.0705869871632039</v>
      </c>
      <c r="N3" s="135">
        <v>1.018</v>
      </c>
      <c r="O3" s="103">
        <f t="shared" si="2"/>
        <v>3038.604947791659</v>
      </c>
      <c r="P3" s="103"/>
      <c r="Q3" s="104"/>
      <c r="R3" s="116" t="e">
        <f t="shared" si="3"/>
        <v>#DIV/0!</v>
      </c>
    </row>
    <row r="4" spans="1:18" x14ac:dyDescent="0.2">
      <c r="A4" s="17">
        <v>1997</v>
      </c>
      <c r="B4" s="50"/>
      <c r="C4" s="50"/>
      <c r="D4" s="50"/>
      <c r="E4" s="50"/>
      <c r="F4" s="109"/>
      <c r="I4" s="50"/>
      <c r="J4" s="49"/>
      <c r="K4" s="103">
        <f t="shared" si="0"/>
        <v>1370.7541777897588</v>
      </c>
      <c r="L4" s="103">
        <f t="shared" si="1"/>
        <v>2865.8860160172526</v>
      </c>
      <c r="M4" s="134">
        <v>1.0638591592086974</v>
      </c>
      <c r="N4" s="135">
        <v>1.016</v>
      </c>
      <c r="O4" s="103">
        <f t="shared" si="2"/>
        <v>3048.899087388078</v>
      </c>
      <c r="P4" s="103"/>
      <c r="Q4" s="104"/>
      <c r="R4" s="116" t="e">
        <f t="shared" si="3"/>
        <v>#DIV/0!</v>
      </c>
    </row>
    <row r="5" spans="1:18" x14ac:dyDescent="0.2">
      <c r="A5" s="17">
        <v>1998</v>
      </c>
      <c r="B5" s="50"/>
      <c r="C5" s="50"/>
      <c r="D5" s="50"/>
      <c r="E5" s="50"/>
      <c r="I5" s="50"/>
      <c r="J5" s="49"/>
      <c r="K5" s="103">
        <f t="shared" si="0"/>
        <v>1390.2107430153123</v>
      </c>
      <c r="L5" s="103">
        <f t="shared" si="1"/>
        <v>2893.9034699420499</v>
      </c>
      <c r="M5" s="134">
        <v>1.05674953017865</v>
      </c>
      <c r="N5" s="135">
        <v>1.014</v>
      </c>
      <c r="O5" s="103">
        <f t="shared" si="2"/>
        <v>3058.1311322436263</v>
      </c>
      <c r="P5" s="103"/>
      <c r="Q5" s="104"/>
      <c r="R5" s="116" t="e">
        <f t="shared" si="3"/>
        <v>#DIV/0!</v>
      </c>
    </row>
    <row r="6" spans="1:18" x14ac:dyDescent="0.2">
      <c r="A6" s="17">
        <v>1999</v>
      </c>
      <c r="B6" s="50"/>
      <c r="C6" s="50"/>
      <c r="D6" s="50"/>
      <c r="E6" s="50"/>
      <c r="I6" s="50"/>
      <c r="J6" s="49"/>
      <c r="K6" s="103">
        <f t="shared" si="0"/>
        <v>1409.9434758692487</v>
      </c>
      <c r="L6" s="103">
        <f t="shared" si="1"/>
        <v>2922.3186052517181</v>
      </c>
      <c r="M6" s="134">
        <v>1.0492894712926248</v>
      </c>
      <c r="N6" s="135">
        <v>1.012</v>
      </c>
      <c r="O6" s="103">
        <f t="shared" si="2"/>
        <v>3066.3581442531763</v>
      </c>
      <c r="P6" s="103"/>
      <c r="Q6" s="104"/>
      <c r="R6" s="116" t="e">
        <f t="shared" si="3"/>
        <v>#DIV/0!</v>
      </c>
    </row>
    <row r="7" spans="1:18" x14ac:dyDescent="0.2">
      <c r="A7" s="17">
        <v>2000</v>
      </c>
      <c r="B7" s="50"/>
      <c r="C7" s="50"/>
      <c r="D7" s="50"/>
      <c r="E7" s="50"/>
      <c r="I7" s="50"/>
      <c r="J7" s="49"/>
      <c r="K7" s="103">
        <f t="shared" si="0"/>
        <v>1429.9562962910888</v>
      </c>
      <c r="L7" s="103">
        <f t="shared" si="1"/>
        <v>2951.1370666591679</v>
      </c>
      <c r="M7" s="134">
        <v>1.0415196731996021</v>
      </c>
      <c r="N7" s="135">
        <v>1.01</v>
      </c>
      <c r="O7" s="103">
        <f t="shared" si="2"/>
        <v>3073.6673132340889</v>
      </c>
      <c r="P7" s="103"/>
      <c r="Q7" s="104"/>
      <c r="R7" s="116" t="e">
        <f t="shared" si="3"/>
        <v>#DIV/0!</v>
      </c>
    </row>
    <row r="8" spans="1:18" x14ac:dyDescent="0.2">
      <c r="A8" s="17">
        <v>2001</v>
      </c>
      <c r="B8" s="117"/>
      <c r="C8" s="117"/>
      <c r="D8" s="117"/>
      <c r="E8" s="39"/>
      <c r="F8" s="39"/>
      <c r="G8" s="39"/>
      <c r="H8" s="39"/>
      <c r="I8" s="102"/>
      <c r="J8" s="49"/>
      <c r="K8" s="103">
        <f t="shared" si="0"/>
        <v>1450.2531798602051</v>
      </c>
      <c r="L8" s="103">
        <f t="shared" si="1"/>
        <v>2980.3645789986954</v>
      </c>
      <c r="M8" s="134">
        <v>1.0334896671545859</v>
      </c>
      <c r="N8" s="135">
        <v>1.008</v>
      </c>
      <c r="O8" s="103">
        <f t="shared" si="2"/>
        <v>3080.1759967486792</v>
      </c>
      <c r="P8" s="103"/>
      <c r="Q8" s="104"/>
      <c r="R8" s="116" t="e">
        <f t="shared" si="3"/>
        <v>#DIV/0!</v>
      </c>
    </row>
    <row r="9" spans="1:18" x14ac:dyDescent="0.2">
      <c r="A9" s="17">
        <v>2002</v>
      </c>
      <c r="B9" s="118"/>
      <c r="C9" s="118"/>
      <c r="D9" s="118"/>
      <c r="E9" s="51"/>
      <c r="F9" s="39"/>
      <c r="G9" s="39"/>
      <c r="H9" s="39"/>
      <c r="I9" s="102"/>
      <c r="J9" s="49"/>
      <c r="K9" s="103">
        <f t="shared" si="0"/>
        <v>1470.8381585855766</v>
      </c>
      <c r="L9" s="103">
        <f t="shared" si="1"/>
        <v>3010.0069483632301</v>
      </c>
      <c r="M9" s="134">
        <v>1.0252568484637279</v>
      </c>
      <c r="N9" s="135">
        <v>1.006</v>
      </c>
      <c r="O9" s="103">
        <f t="shared" si="2"/>
        <v>3086.030237732808</v>
      </c>
      <c r="P9" s="103"/>
      <c r="Q9" s="104"/>
      <c r="R9" s="116" t="e">
        <f t="shared" si="3"/>
        <v>#DIV/0!</v>
      </c>
    </row>
    <row r="10" spans="1:18" x14ac:dyDescent="0.2">
      <c r="A10" s="17">
        <v>2003</v>
      </c>
      <c r="B10" s="118"/>
      <c r="C10" s="118"/>
      <c r="D10" s="118"/>
      <c r="E10" s="51"/>
      <c r="F10" s="39"/>
      <c r="G10" s="39"/>
      <c r="H10" s="39"/>
      <c r="I10" s="102"/>
      <c r="J10" s="49"/>
      <c r="K10" s="103">
        <f t="shared" si="0"/>
        <v>1491.7153217067546</v>
      </c>
      <c r="L10" s="103">
        <f t="shared" si="1"/>
        <v>3040.0700632577264</v>
      </c>
      <c r="M10" s="134">
        <v>1.0168850184771556</v>
      </c>
      <c r="N10" s="135">
        <v>1.004</v>
      </c>
      <c r="O10" s="103">
        <f t="shared" si="2"/>
        <v>3091.4017024476807</v>
      </c>
      <c r="P10" s="103"/>
      <c r="Q10" s="104"/>
      <c r="R10" s="116" t="e">
        <f t="shared" si="3"/>
        <v>#DIV/0!</v>
      </c>
    </row>
    <row r="11" spans="1:18" x14ac:dyDescent="0.2">
      <c r="A11" s="17">
        <v>2004</v>
      </c>
      <c r="B11" s="118"/>
      <c r="C11" s="118"/>
      <c r="D11" s="118"/>
      <c r="E11" s="51"/>
      <c r="F11" s="39"/>
      <c r="G11" s="39"/>
      <c r="H11" s="39"/>
      <c r="I11" s="102"/>
      <c r="J11" s="49"/>
      <c r="K11" s="103">
        <f t="shared" si="0"/>
        <v>1512.8888165061965</v>
      </c>
      <c r="L11" s="103">
        <f t="shared" si="1"/>
        <v>3070.5598957689226</v>
      </c>
      <c r="M11" s="136">
        <v>1.0084425092385778</v>
      </c>
      <c r="N11" s="135">
        <v>1.002</v>
      </c>
      <c r="O11" s="103">
        <f t="shared" si="2"/>
        <v>3096.4831260565584</v>
      </c>
      <c r="P11" s="103"/>
      <c r="Q11" s="104"/>
      <c r="R11" s="116" t="e">
        <f t="shared" si="3"/>
        <v>#DIV/0!</v>
      </c>
    </row>
    <row r="12" spans="1:18" x14ac:dyDescent="0.2">
      <c r="A12" s="17">
        <v>2005</v>
      </c>
      <c r="B12" s="123">
        <f>B13*(B13/B14)</f>
        <v>9274.3641366420943</v>
      </c>
      <c r="C12" s="123">
        <f>C13*(C13/C14)</f>
        <v>579.32232704402509</v>
      </c>
      <c r="D12" s="123">
        <f>D13*(D13/D14)</f>
        <v>722.29920212765956</v>
      </c>
      <c r="E12" s="51"/>
      <c r="F12" s="139">
        <v>5438660</v>
      </c>
      <c r="G12" s="139">
        <v>729591</v>
      </c>
      <c r="H12" s="139">
        <v>724503</v>
      </c>
      <c r="I12" s="102">
        <f>(F12+G12+H12)</f>
        <v>6892754</v>
      </c>
      <c r="J12" s="49"/>
      <c r="K12" s="103">
        <f t="shared" ref="K12:K37" si="4">(SUM(B12:D12)*1000000)/I12</f>
        <v>1534.3628491331301</v>
      </c>
      <c r="L12" s="103">
        <f t="shared" si="1"/>
        <v>3101.4825027517072</v>
      </c>
      <c r="M12" s="115">
        <v>1</v>
      </c>
      <c r="N12" s="115">
        <v>1</v>
      </c>
      <c r="O12" s="103">
        <f t="shared" si="2"/>
        <v>3101.4825027517072</v>
      </c>
      <c r="P12" s="103"/>
      <c r="Q12" s="104"/>
      <c r="R12" s="116" t="e">
        <f t="shared" si="3"/>
        <v>#DIV/0!</v>
      </c>
    </row>
    <row r="13" spans="1:18" x14ac:dyDescent="0.2">
      <c r="A13" s="17">
        <v>2006</v>
      </c>
      <c r="B13" s="140">
        <v>9451</v>
      </c>
      <c r="C13" s="140">
        <v>607</v>
      </c>
      <c r="D13" s="140">
        <v>737</v>
      </c>
      <c r="E13" s="51"/>
      <c r="F13" s="139">
        <v>5479696</v>
      </c>
      <c r="G13" s="139">
        <v>738675</v>
      </c>
      <c r="H13" s="139">
        <v>718658</v>
      </c>
      <c r="I13" s="102">
        <f t="shared" ref="I13:I49" si="5">(F13+G13+H13)</f>
        <v>6937029</v>
      </c>
      <c r="J13" s="49"/>
      <c r="K13" s="103">
        <f t="shared" si="4"/>
        <v>1556.1416854391123</v>
      </c>
      <c r="L13" s="103">
        <f t="shared" si="1"/>
        <v>3132.8440270323217</v>
      </c>
      <c r="M13" s="115">
        <v>0.98675200000000007</v>
      </c>
      <c r="N13" s="115">
        <v>0.98675200000000007</v>
      </c>
      <c r="O13" s="103">
        <f t="shared" si="2"/>
        <v>3091.3401093621978</v>
      </c>
      <c r="P13" s="103"/>
      <c r="Q13" s="104"/>
      <c r="R13" s="116" t="e">
        <f t="shared" si="3"/>
        <v>#DIV/0!</v>
      </c>
    </row>
    <row r="14" spans="1:18" x14ac:dyDescent="0.2">
      <c r="A14" s="17">
        <v>2007</v>
      </c>
      <c r="B14" s="140">
        <v>9631</v>
      </c>
      <c r="C14" s="140">
        <v>636</v>
      </c>
      <c r="D14" s="140">
        <v>752</v>
      </c>
      <c r="E14" s="51"/>
      <c r="F14" s="139">
        <v>5530456</v>
      </c>
      <c r="G14" s="139">
        <v>754291</v>
      </c>
      <c r="H14" s="139">
        <v>718645</v>
      </c>
      <c r="I14" s="102">
        <f t="shared" si="5"/>
        <v>7003392</v>
      </c>
      <c r="J14" s="49"/>
      <c r="K14" s="103">
        <f t="shared" si="4"/>
        <v>1573.3804419344226</v>
      </c>
      <c r="L14" s="103">
        <f t="shared" si="1"/>
        <v>3157.6678363855685</v>
      </c>
      <c r="M14" s="137">
        <v>0.97367950950400017</v>
      </c>
      <c r="N14" s="137">
        <v>0.97367950950400017</v>
      </c>
      <c r="O14" s="103">
        <f t="shared" si="2"/>
        <v>3074.5564701084577</v>
      </c>
      <c r="P14" s="103"/>
      <c r="Q14" s="104"/>
      <c r="R14" s="116" t="e">
        <f t="shared" si="3"/>
        <v>#DIV/0!</v>
      </c>
    </row>
    <row r="15" spans="1:18" x14ac:dyDescent="0.2">
      <c r="A15" s="17">
        <v>2008</v>
      </c>
      <c r="B15" s="140">
        <v>9742</v>
      </c>
      <c r="C15" s="140">
        <v>664</v>
      </c>
      <c r="D15" s="140">
        <v>764</v>
      </c>
      <c r="E15" s="51"/>
      <c r="F15" s="139">
        <v>5554271</v>
      </c>
      <c r="G15" s="139">
        <v>769767</v>
      </c>
      <c r="H15" s="139">
        <v>717115</v>
      </c>
      <c r="I15" s="102">
        <f t="shared" si="5"/>
        <v>7041153</v>
      </c>
      <c r="J15" s="49"/>
      <c r="K15" s="103">
        <f t="shared" si="4"/>
        <v>1586.3879111844324</v>
      </c>
      <c r="L15" s="103">
        <f t="shared" si="1"/>
        <v>3176.3985921055823</v>
      </c>
      <c r="M15" s="137">
        <v>0.96660054966217168</v>
      </c>
      <c r="N15" s="137">
        <v>0.97097535534007362</v>
      </c>
      <c r="O15" s="103">
        <f t="shared" si="2"/>
        <v>3070.3086250754041</v>
      </c>
      <c r="P15" s="103"/>
      <c r="Q15" s="104"/>
      <c r="R15" s="116" t="e">
        <f t="shared" si="3"/>
        <v>#DIV/0!</v>
      </c>
    </row>
    <row r="16" spans="1:18" x14ac:dyDescent="0.2">
      <c r="A16" s="17">
        <v>2009</v>
      </c>
      <c r="B16" s="140">
        <v>9881</v>
      </c>
      <c r="C16" s="140">
        <v>684</v>
      </c>
      <c r="D16" s="140">
        <v>777</v>
      </c>
      <c r="E16" s="51"/>
      <c r="F16" s="139">
        <v>5589344</v>
      </c>
      <c r="G16" s="139">
        <v>780233</v>
      </c>
      <c r="H16" s="139">
        <v>716683</v>
      </c>
      <c r="I16" s="102">
        <f t="shared" si="5"/>
        <v>7086260</v>
      </c>
      <c r="J16" s="49"/>
      <c r="K16" s="103">
        <f t="shared" si="4"/>
        <v>1600.5622147649112</v>
      </c>
      <c r="L16" s="103">
        <f t="shared" si="1"/>
        <v>3196.809589261472</v>
      </c>
      <c r="M16" s="137">
        <v>0.95605790735749019</v>
      </c>
      <c r="N16" s="137">
        <v>0.96629608857490634</v>
      </c>
      <c r="O16" s="103">
        <f t="shared" si="2"/>
        <v>3056.3350861296808</v>
      </c>
      <c r="P16" s="103">
        <f t="shared" ref="P16:P37" si="6">L16*N16</f>
        <v>3089.0646020221134</v>
      </c>
      <c r="Q16" s="104">
        <f t="shared" ref="Q16:Q42" si="7">O16/$O$12</f>
        <v>0.98544327863143821</v>
      </c>
      <c r="R16" s="116" t="e">
        <f t="shared" si="3"/>
        <v>#DIV/0!</v>
      </c>
    </row>
    <row r="17" spans="1:18" x14ac:dyDescent="0.2">
      <c r="A17" s="17">
        <v>2010</v>
      </c>
      <c r="B17" s="140">
        <v>10097</v>
      </c>
      <c r="C17" s="140">
        <v>707</v>
      </c>
      <c r="D17" s="140">
        <v>797</v>
      </c>
      <c r="E17" s="51"/>
      <c r="F17" s="139">
        <v>5656276</v>
      </c>
      <c r="G17" s="139">
        <v>792543</v>
      </c>
      <c r="H17" s="139">
        <v>720945</v>
      </c>
      <c r="I17" s="102">
        <f t="shared" si="5"/>
        <v>7169764</v>
      </c>
      <c r="J17" s="49"/>
      <c r="K17" s="103">
        <f t="shared" si="4"/>
        <v>1618.0448896225873</v>
      </c>
      <c r="L17" s="103">
        <f t="shared" si="1"/>
        <v>3221.9846410565256</v>
      </c>
      <c r="M17" s="137">
        <v>0.94352048505307318</v>
      </c>
      <c r="N17" s="137">
        <v>0.9609157818434253</v>
      </c>
      <c r="O17" s="103">
        <f t="shared" si="2"/>
        <v>3040.0085113632049</v>
      </c>
      <c r="P17" s="103">
        <f t="shared" si="6"/>
        <v>3096.0558904483391</v>
      </c>
      <c r="Q17" s="104">
        <f t="shared" si="7"/>
        <v>0.98017915905249786</v>
      </c>
      <c r="R17" s="116" t="e">
        <f t="shared" si="3"/>
        <v>#DIV/0!</v>
      </c>
    </row>
    <row r="18" spans="1:18" x14ac:dyDescent="0.2">
      <c r="A18" s="17">
        <v>2011</v>
      </c>
      <c r="B18" s="140">
        <v>10326</v>
      </c>
      <c r="C18" s="140">
        <v>732</v>
      </c>
      <c r="D18" s="140">
        <v>812</v>
      </c>
      <c r="E18" s="51"/>
      <c r="F18" s="139">
        <v>5728091</v>
      </c>
      <c r="G18" s="139">
        <v>805973</v>
      </c>
      <c r="H18" s="139">
        <v>721935</v>
      </c>
      <c r="I18" s="102">
        <f t="shared" si="5"/>
        <v>7255999</v>
      </c>
      <c r="J18" s="49"/>
      <c r="K18" s="103">
        <f t="shared" si="4"/>
        <v>1635.8877667982038</v>
      </c>
      <c r="L18" s="103">
        <f t="shared" si="1"/>
        <v>3247.6783841894135</v>
      </c>
      <c r="M18" s="137">
        <v>0.93637147790517428</v>
      </c>
      <c r="N18" s="137">
        <v>0.95830363292472109</v>
      </c>
      <c r="O18" s="103">
        <f t="shared" si="2"/>
        <v>3041.0334083641296</v>
      </c>
      <c r="P18" s="103">
        <f t="shared" si="6"/>
        <v>3112.2619941398029</v>
      </c>
      <c r="Q18" s="104">
        <f t="shared" si="7"/>
        <v>0.98050961295640204</v>
      </c>
      <c r="R18" s="116" t="e">
        <f t="shared" si="3"/>
        <v>#DIV/0!</v>
      </c>
    </row>
    <row r="19" spans="1:18" x14ac:dyDescent="0.2">
      <c r="A19" s="17">
        <v>2012</v>
      </c>
      <c r="B19" s="140">
        <v>10495</v>
      </c>
      <c r="C19" s="140">
        <v>750</v>
      </c>
      <c r="D19" s="140">
        <v>826</v>
      </c>
      <c r="E19" s="51"/>
      <c r="F19" s="139">
        <v>5775463</v>
      </c>
      <c r="G19" s="139">
        <v>814693</v>
      </c>
      <c r="H19" s="139">
        <v>722055</v>
      </c>
      <c r="I19" s="102">
        <f t="shared" si="5"/>
        <v>7312211</v>
      </c>
      <c r="J19" s="49"/>
      <c r="K19" s="103">
        <f t="shared" si="4"/>
        <v>1650.8002846197955</v>
      </c>
      <c r="L19" s="103">
        <f t="shared" si="1"/>
        <v>3269.1524098525056</v>
      </c>
      <c r="M19" s="137">
        <v>0.92953088800042116</v>
      </c>
      <c r="N19" s="137">
        <v>0.95636352231894539</v>
      </c>
      <c r="O19" s="103">
        <f t="shared" si="2"/>
        <v>3038.7781425389162</v>
      </c>
      <c r="P19" s="103">
        <f t="shared" si="6"/>
        <v>3126.4981136840106</v>
      </c>
      <c r="Q19" s="104">
        <f t="shared" si="7"/>
        <v>0.97978245559755428</v>
      </c>
      <c r="R19" s="116" t="e">
        <f t="shared" si="3"/>
        <v>#DIV/0!</v>
      </c>
    </row>
    <row r="20" spans="1:18" x14ac:dyDescent="0.2">
      <c r="A20" s="17">
        <v>2013</v>
      </c>
      <c r="B20" s="140">
        <v>10675</v>
      </c>
      <c r="C20" s="140">
        <v>771</v>
      </c>
      <c r="D20" s="140">
        <v>840</v>
      </c>
      <c r="E20" s="51"/>
      <c r="F20" s="139">
        <v>5827188</v>
      </c>
      <c r="G20" s="139">
        <v>824978</v>
      </c>
      <c r="H20" s="139">
        <v>723003</v>
      </c>
      <c r="I20" s="102">
        <f t="shared" si="5"/>
        <v>7375169</v>
      </c>
      <c r="J20" s="49"/>
      <c r="K20" s="103">
        <f t="shared" si="4"/>
        <v>1665.8601314763093</v>
      </c>
      <c r="L20" s="103">
        <f t="shared" si="1"/>
        <v>3290.8385893258856</v>
      </c>
      <c r="M20" s="137">
        <v>0.92293075899710353</v>
      </c>
      <c r="N20" s="137">
        <v>0.95501844563607519</v>
      </c>
      <c r="O20" s="103">
        <f t="shared" si="2"/>
        <v>3037.2161569834971</v>
      </c>
      <c r="P20" s="103">
        <f t="shared" si="6"/>
        <v>3142.8115544172215</v>
      </c>
      <c r="Q20" s="104">
        <f t="shared" si="7"/>
        <v>0.97927883013649386</v>
      </c>
      <c r="R20" s="116" t="e">
        <f t="shared" si="3"/>
        <v>#DIV/0!</v>
      </c>
    </row>
    <row r="21" spans="1:18" x14ac:dyDescent="0.2">
      <c r="A21" s="17">
        <v>2014</v>
      </c>
      <c r="B21" s="140">
        <v>10842</v>
      </c>
      <c r="C21" s="140">
        <v>792</v>
      </c>
      <c r="D21" s="140">
        <v>855</v>
      </c>
      <c r="E21" s="51"/>
      <c r="F21" s="139">
        <v>5873515</v>
      </c>
      <c r="G21" s="139">
        <v>835435</v>
      </c>
      <c r="H21" s="139">
        <v>724335</v>
      </c>
      <c r="I21" s="102">
        <f t="shared" si="5"/>
        <v>7433285</v>
      </c>
      <c r="J21" s="49"/>
      <c r="K21" s="103">
        <f t="shared" si="4"/>
        <v>1680.1454538605744</v>
      </c>
      <c r="L21" s="103">
        <f t="shared" si="1"/>
        <v>3311.4094535592271</v>
      </c>
      <c r="M21" s="137">
        <v>0.91627417395605759</v>
      </c>
      <c r="N21" s="137">
        <v>0.9535783635369427</v>
      </c>
      <c r="O21" s="103">
        <f t="shared" si="2"/>
        <v>3034.1589616902611</v>
      </c>
      <c r="P21" s="103">
        <f t="shared" si="6"/>
        <v>3157.6884077257696</v>
      </c>
      <c r="Q21" s="104">
        <f t="shared" si="7"/>
        <v>0.97829310950433701</v>
      </c>
      <c r="R21" s="116" t="e">
        <f t="shared" si="3"/>
        <v>#DIV/0!</v>
      </c>
    </row>
    <row r="22" spans="1:18" x14ac:dyDescent="0.2">
      <c r="A22" s="17">
        <v>2015</v>
      </c>
      <c r="B22" s="140">
        <v>11010</v>
      </c>
      <c r="C22" s="140">
        <v>813</v>
      </c>
      <c r="D22" s="140">
        <v>873</v>
      </c>
      <c r="E22" s="51"/>
      <c r="F22" s="139">
        <v>5920461</v>
      </c>
      <c r="G22" s="139">
        <v>846684</v>
      </c>
      <c r="H22" s="139">
        <v>728171</v>
      </c>
      <c r="I22" s="102">
        <f t="shared" si="5"/>
        <v>7495316</v>
      </c>
      <c r="J22" s="49"/>
      <c r="K22" s="103">
        <f t="shared" si="4"/>
        <v>1693.8578707021825</v>
      </c>
      <c r="L22" s="103">
        <f t="shared" si="1"/>
        <v>3331.1553338111426</v>
      </c>
      <c r="M22" s="137">
        <v>0.90954545064458092</v>
      </c>
      <c r="N22" s="137">
        <v>0.9521262807536508</v>
      </c>
      <c r="O22" s="103">
        <f t="shared" si="2"/>
        <v>3029.8371792583553</v>
      </c>
      <c r="P22" s="103">
        <f t="shared" si="6"/>
        <v>3171.6805385942894</v>
      </c>
      <c r="Q22" s="104">
        <f t="shared" si="7"/>
        <v>0.97689965252752953</v>
      </c>
      <c r="R22" s="116" t="e">
        <f t="shared" si="3"/>
        <v>#DIV/0!</v>
      </c>
    </row>
    <row r="23" spans="1:18" x14ac:dyDescent="0.2">
      <c r="A23" s="17">
        <v>2016</v>
      </c>
      <c r="B23" s="140">
        <v>11178</v>
      </c>
      <c r="C23" s="140">
        <v>837</v>
      </c>
      <c r="D23" s="140">
        <v>896</v>
      </c>
      <c r="E23" s="51"/>
      <c r="F23" s="139">
        <v>5966805</v>
      </c>
      <c r="G23" s="139">
        <v>859066</v>
      </c>
      <c r="H23" s="139">
        <v>734573</v>
      </c>
      <c r="I23" s="102">
        <f t="shared" si="5"/>
        <v>7560444</v>
      </c>
      <c r="J23" s="49"/>
      <c r="K23" s="103">
        <f t="shared" si="4"/>
        <v>1707.7039390808266</v>
      </c>
      <c r="L23" s="103">
        <f t="shared" si="1"/>
        <v>3351.09367227639</v>
      </c>
      <c r="M23" s="137">
        <v>0.90293800326600226</v>
      </c>
      <c r="N23" s="137">
        <v>0.9507602028735016</v>
      </c>
      <c r="O23" s="103">
        <f t="shared" si="2"/>
        <v>3025.8298292025784</v>
      </c>
      <c r="P23" s="103">
        <f t="shared" si="6"/>
        <v>3186.0864997016079</v>
      </c>
      <c r="Q23" s="104">
        <f t="shared" si="7"/>
        <v>0.9756075768662219</v>
      </c>
      <c r="R23" s="116" t="e">
        <f t="shared" si="3"/>
        <v>#DIV/0!</v>
      </c>
    </row>
    <row r="24" spans="1:18" x14ac:dyDescent="0.2">
      <c r="A24" s="17">
        <v>2017</v>
      </c>
      <c r="B24" s="140">
        <v>11340</v>
      </c>
      <c r="C24" s="140">
        <v>862</v>
      </c>
      <c r="D24" s="140">
        <v>920</v>
      </c>
      <c r="E24" s="51"/>
      <c r="F24" s="139">
        <v>6011157</v>
      </c>
      <c r="G24" s="139">
        <v>872254</v>
      </c>
      <c r="H24" s="139">
        <v>741956</v>
      </c>
      <c r="I24" s="102">
        <f t="shared" si="5"/>
        <v>7625367</v>
      </c>
      <c r="J24" s="49"/>
      <c r="K24" s="103">
        <f t="shared" si="4"/>
        <v>1720.8352070136427</v>
      </c>
      <c r="L24" s="103">
        <f t="shared" si="1"/>
        <v>3370.0026980996454</v>
      </c>
      <c r="M24" s="137">
        <v>0.89642046735491698</v>
      </c>
      <c r="N24" s="137">
        <v>0.94943812750193679</v>
      </c>
      <c r="O24" s="103">
        <f t="shared" si="2"/>
        <v>3020.9393936178153</v>
      </c>
      <c r="P24" s="103">
        <f t="shared" si="6"/>
        <v>3199.6090513602021</v>
      </c>
      <c r="Q24" s="104">
        <f t="shared" si="7"/>
        <v>0.97403077107079206</v>
      </c>
      <c r="R24" s="116" t="e">
        <f t="shared" si="3"/>
        <v>#DIV/0!</v>
      </c>
    </row>
    <row r="25" spans="1:18" x14ac:dyDescent="0.2">
      <c r="A25" s="17">
        <v>2018</v>
      </c>
      <c r="B25" s="140">
        <v>11499</v>
      </c>
      <c r="C25" s="140">
        <v>887</v>
      </c>
      <c r="D25" s="140">
        <v>944</v>
      </c>
      <c r="E25" s="51"/>
      <c r="F25" s="139">
        <v>6053969</v>
      </c>
      <c r="G25" s="139">
        <v>885766</v>
      </c>
      <c r="H25" s="139">
        <v>749644</v>
      </c>
      <c r="I25" s="102">
        <f t="shared" si="5"/>
        <v>7689379</v>
      </c>
      <c r="J25" s="49"/>
      <c r="K25" s="103">
        <f t="shared" si="4"/>
        <v>1733.5600183057695</v>
      </c>
      <c r="L25" s="103">
        <f t="shared" si="1"/>
        <v>3388.3264263603082</v>
      </c>
      <c r="M25" s="137">
        <v>0.89009530016498017</v>
      </c>
      <c r="N25" s="137">
        <v>0.94816905515207639</v>
      </c>
      <c r="O25" s="103">
        <f t="shared" si="2"/>
        <v>3015.933427528113</v>
      </c>
      <c r="P25" s="103">
        <f t="shared" si="6"/>
        <v>3212.7062662288649</v>
      </c>
      <c r="Q25" s="104">
        <f t="shared" si="7"/>
        <v>0.97241671518453088</v>
      </c>
      <c r="R25" s="116" t="e">
        <f t="shared" si="3"/>
        <v>#DIV/0!</v>
      </c>
    </row>
    <row r="26" spans="1:18" x14ac:dyDescent="0.2">
      <c r="A26" s="17">
        <v>2019</v>
      </c>
      <c r="B26" s="140">
        <v>11656</v>
      </c>
      <c r="C26" s="140">
        <v>913</v>
      </c>
      <c r="D26" s="140">
        <v>968</v>
      </c>
      <c r="E26" s="51"/>
      <c r="F26" s="139">
        <v>6095837</v>
      </c>
      <c r="G26" s="139">
        <v>899451</v>
      </c>
      <c r="H26" s="139">
        <v>757048</v>
      </c>
      <c r="I26" s="102">
        <f t="shared" si="5"/>
        <v>7752336</v>
      </c>
      <c r="J26" s="49"/>
      <c r="K26" s="103">
        <f t="shared" si="4"/>
        <v>1746.1833439623877</v>
      </c>
      <c r="L26" s="103">
        <f t="shared" si="1"/>
        <v>3406.504015305838</v>
      </c>
      <c r="M26" s="137">
        <v>0.88397713844671388</v>
      </c>
      <c r="N26" s="137">
        <v>0.94694898559586693</v>
      </c>
      <c r="O26" s="103">
        <f t="shared" si="2"/>
        <v>3011.2716715572956</v>
      </c>
      <c r="P26" s="103">
        <f t="shared" si="6"/>
        <v>3225.7855217221108</v>
      </c>
      <c r="Q26" s="104">
        <f t="shared" si="7"/>
        <v>0.97091364174572181</v>
      </c>
      <c r="R26" s="116" t="e">
        <f t="shared" si="3"/>
        <v>#DIV/0!</v>
      </c>
    </row>
    <row r="27" spans="1:18" x14ac:dyDescent="0.2">
      <c r="A27" s="17">
        <v>2020</v>
      </c>
      <c r="B27" s="140">
        <v>11807</v>
      </c>
      <c r="C27" s="140">
        <v>939</v>
      </c>
      <c r="D27" s="140">
        <v>991</v>
      </c>
      <c r="E27" s="51"/>
      <c r="F27" s="139">
        <v>6135818</v>
      </c>
      <c r="G27" s="139">
        <v>913264</v>
      </c>
      <c r="H27" s="139">
        <v>764020</v>
      </c>
      <c r="I27" s="102">
        <f t="shared" si="5"/>
        <v>7813102</v>
      </c>
      <c r="J27" s="49"/>
      <c r="K27" s="103">
        <f t="shared" si="4"/>
        <v>1758.2005201007232</v>
      </c>
      <c r="L27" s="103">
        <f t="shared" si="1"/>
        <v>3423.8087489450413</v>
      </c>
      <c r="M27" s="137">
        <v>0.87803670869907402</v>
      </c>
      <c r="N27" s="137">
        <v>0.94575091729394978</v>
      </c>
      <c r="O27" s="103">
        <f t="shared" si="2"/>
        <v>3006.2297651387985</v>
      </c>
      <c r="P27" s="103">
        <f t="shared" si="6"/>
        <v>3238.0702649538234</v>
      </c>
      <c r="Q27" s="104">
        <f t="shared" si="7"/>
        <v>0.96928799774675556</v>
      </c>
      <c r="R27" s="116" t="e">
        <f t="shared" si="3"/>
        <v>#DIV/0!</v>
      </c>
    </row>
    <row r="28" spans="1:18" x14ac:dyDescent="0.2">
      <c r="A28" s="17">
        <v>2021</v>
      </c>
      <c r="B28" s="140">
        <v>11953</v>
      </c>
      <c r="C28" s="140">
        <v>966</v>
      </c>
      <c r="D28" s="140">
        <v>1013</v>
      </c>
      <c r="E28" s="51"/>
      <c r="F28" s="139">
        <v>6173304</v>
      </c>
      <c r="G28" s="139">
        <v>927768</v>
      </c>
      <c r="H28" s="139">
        <v>770926</v>
      </c>
      <c r="I28" s="102">
        <f t="shared" si="5"/>
        <v>7871998</v>
      </c>
      <c r="J28" s="49"/>
      <c r="K28" s="103">
        <f t="shared" si="4"/>
        <v>1769.8175228194925</v>
      </c>
      <c r="L28" s="103">
        <f t="shared" si="1"/>
        <v>3440.5372328600693</v>
      </c>
      <c r="M28" s="137">
        <v>0.87229073863694284</v>
      </c>
      <c r="N28" s="137">
        <v>0.94459785155763054</v>
      </c>
      <c r="O28" s="103">
        <f t="shared" si="2"/>
        <v>3001.1487641594131</v>
      </c>
      <c r="P28" s="103">
        <f t="shared" si="6"/>
        <v>3249.9240783636565</v>
      </c>
      <c r="Q28" s="104">
        <f t="shared" si="7"/>
        <v>0.96764974862722075</v>
      </c>
      <c r="R28" s="116" t="e">
        <f t="shared" si="3"/>
        <v>#DIV/0!</v>
      </c>
    </row>
    <row r="29" spans="1:18" x14ac:dyDescent="0.2">
      <c r="A29" s="17">
        <v>2022</v>
      </c>
      <c r="B29" s="140">
        <v>12097</v>
      </c>
      <c r="C29" s="140">
        <v>994</v>
      </c>
      <c r="D29" s="140">
        <v>1037</v>
      </c>
      <c r="E29" s="51"/>
      <c r="F29" s="139">
        <v>6210246</v>
      </c>
      <c r="G29" s="139">
        <v>942800</v>
      </c>
      <c r="H29" s="139">
        <v>778546</v>
      </c>
      <c r="I29" s="102">
        <f t="shared" si="5"/>
        <v>7931592</v>
      </c>
      <c r="J29" s="49"/>
      <c r="K29" s="103">
        <f t="shared" si="4"/>
        <v>1781.2313089225972</v>
      </c>
      <c r="L29" s="103">
        <f t="shared" si="1"/>
        <v>3456.9730848485401</v>
      </c>
      <c r="M29" s="137">
        <v>0.86670472734837545</v>
      </c>
      <c r="N29" s="137">
        <v>0.9434787877597629</v>
      </c>
      <c r="O29" s="103">
        <f t="shared" si="2"/>
        <v>2996.1749149543261</v>
      </c>
      <c r="P29" s="103">
        <f t="shared" si="6"/>
        <v>3261.5807754110288</v>
      </c>
      <c r="Q29" s="104">
        <f t="shared" si="7"/>
        <v>0.96604604807412275</v>
      </c>
      <c r="R29" s="116" t="e">
        <f t="shared" si="3"/>
        <v>#DIV/0!</v>
      </c>
    </row>
    <row r="30" spans="1:18" x14ac:dyDescent="0.2">
      <c r="A30" s="17">
        <v>2023</v>
      </c>
      <c r="B30" s="140">
        <v>12238</v>
      </c>
      <c r="C30" s="140">
        <v>1022</v>
      </c>
      <c r="D30" s="140">
        <v>1059</v>
      </c>
      <c r="E30" s="51"/>
      <c r="F30" s="139">
        <v>6245845</v>
      </c>
      <c r="G30" s="139">
        <v>957907</v>
      </c>
      <c r="H30" s="139">
        <v>785637</v>
      </c>
      <c r="I30" s="102">
        <f t="shared" si="5"/>
        <v>7989389</v>
      </c>
      <c r="J30" s="49"/>
      <c r="K30" s="103">
        <f t="shared" si="4"/>
        <v>1792.2521985097985</v>
      </c>
      <c r="L30" s="103">
        <f t="shared" si="1"/>
        <v>3472.8431658541099</v>
      </c>
      <c r="M30" s="137">
        <v>0.8612525377788679</v>
      </c>
      <c r="N30" s="137">
        <v>0.94237072458904148</v>
      </c>
      <c r="O30" s="103">
        <f t="shared" si="2"/>
        <v>2990.9949898998498</v>
      </c>
      <c r="P30" s="103">
        <f t="shared" si="6"/>
        <v>3272.7057305900385</v>
      </c>
      <c r="Q30" s="104">
        <f t="shared" si="7"/>
        <v>0.96437590321601674</v>
      </c>
      <c r="R30" s="116" t="e">
        <f t="shared" si="3"/>
        <v>#DIV/0!</v>
      </c>
    </row>
    <row r="31" spans="1:18" x14ac:dyDescent="0.2">
      <c r="A31" s="17">
        <v>2024</v>
      </c>
      <c r="B31" s="140">
        <v>12377</v>
      </c>
      <c r="C31" s="140">
        <v>1050</v>
      </c>
      <c r="D31" s="140">
        <v>1081</v>
      </c>
      <c r="E31" s="51"/>
      <c r="F31" s="139">
        <v>6280699</v>
      </c>
      <c r="G31" s="139">
        <v>972952</v>
      </c>
      <c r="H31" s="139">
        <v>792143</v>
      </c>
      <c r="I31" s="102">
        <f t="shared" si="5"/>
        <v>8045794</v>
      </c>
      <c r="J31" s="49"/>
      <c r="K31" s="103">
        <f t="shared" si="4"/>
        <v>1803.1781574323181</v>
      </c>
      <c r="L31" s="103">
        <f t="shared" si="1"/>
        <v>3488.5765467025381</v>
      </c>
      <c r="M31" s="137">
        <v>0.85596344342946451</v>
      </c>
      <c r="N31" s="137">
        <v>0.94128666278663897</v>
      </c>
      <c r="O31" s="103">
        <f t="shared" si="2"/>
        <v>2986.0939935827746</v>
      </c>
      <c r="P31" s="103">
        <f t="shared" si="6"/>
        <v>3283.7505755213692</v>
      </c>
      <c r="Q31" s="104">
        <f t="shared" si="7"/>
        <v>0.9627956923611346</v>
      </c>
      <c r="R31" s="116" t="e">
        <f t="shared" si="3"/>
        <v>#DIV/0!</v>
      </c>
    </row>
    <row r="32" spans="1:18" x14ac:dyDescent="0.2">
      <c r="A32" s="17">
        <v>2025</v>
      </c>
      <c r="B32" s="140">
        <v>12519</v>
      </c>
      <c r="C32" s="140">
        <v>1078</v>
      </c>
      <c r="D32" s="140">
        <v>1102</v>
      </c>
      <c r="E32" s="51"/>
      <c r="F32" s="139">
        <v>6316379</v>
      </c>
      <c r="G32" s="139">
        <v>988083</v>
      </c>
      <c r="H32" s="139">
        <v>798578</v>
      </c>
      <c r="I32" s="102">
        <f t="shared" si="5"/>
        <v>8103040</v>
      </c>
      <c r="J32" s="49"/>
      <c r="K32" s="103">
        <f t="shared" si="4"/>
        <v>1814.0105441908222</v>
      </c>
      <c r="L32" s="103">
        <f t="shared" si="1"/>
        <v>3504.1751836347839</v>
      </c>
      <c r="M32" s="137">
        <v>0.85080503435258037</v>
      </c>
      <c r="N32" s="137">
        <v>0.94022260212450215</v>
      </c>
      <c r="O32" s="103">
        <f t="shared" si="2"/>
        <v>2981.3698874898519</v>
      </c>
      <c r="P32" s="103">
        <f t="shared" si="6"/>
        <v>3294.7047094572017</v>
      </c>
      <c r="Q32" s="104">
        <f t="shared" si="7"/>
        <v>0.96127251559365923</v>
      </c>
      <c r="R32" s="116" t="e">
        <f t="shared" si="3"/>
        <v>#DIV/0!</v>
      </c>
    </row>
    <row r="33" spans="1:18" x14ac:dyDescent="0.2">
      <c r="A33" s="17">
        <f t="shared" ref="A33:A49" si="8">A32+1</f>
        <v>2026</v>
      </c>
      <c r="B33" s="140">
        <v>12659</v>
      </c>
      <c r="C33" s="140">
        <v>1106</v>
      </c>
      <c r="D33" s="140">
        <v>1123</v>
      </c>
      <c r="E33" s="39"/>
      <c r="F33" s="139">
        <v>6351578</v>
      </c>
      <c r="G33" s="139">
        <v>1003379</v>
      </c>
      <c r="H33" s="139">
        <v>805445</v>
      </c>
      <c r="I33" s="102">
        <f t="shared" si="5"/>
        <v>8160402</v>
      </c>
      <c r="K33" s="103">
        <f t="shared" si="4"/>
        <v>1824.4199244105866</v>
      </c>
      <c r="L33" s="103">
        <f t="shared" si="1"/>
        <v>3519.1646911512448</v>
      </c>
      <c r="M33" s="137">
        <v>0.84582644821068298</v>
      </c>
      <c r="N33" s="137">
        <v>0.93919654362887017</v>
      </c>
      <c r="O33" s="103">
        <f t="shared" ref="O33:O42" si="9">L33*M33</f>
        <v>2976.6025713849026</v>
      </c>
      <c r="P33" s="103">
        <f t="shared" si="6"/>
        <v>3305.1873143900098</v>
      </c>
      <c r="Q33" s="104">
        <f t="shared" si="7"/>
        <v>0.95973540677530556</v>
      </c>
      <c r="R33" s="116" t="e">
        <f t="shared" si="3"/>
        <v>#DIV/0!</v>
      </c>
    </row>
    <row r="34" spans="1:18" x14ac:dyDescent="0.2">
      <c r="A34" s="17">
        <f t="shared" si="8"/>
        <v>2027</v>
      </c>
      <c r="B34" s="140">
        <v>12792</v>
      </c>
      <c r="C34" s="140">
        <v>1135</v>
      </c>
      <c r="D34" s="140">
        <v>1145</v>
      </c>
      <c r="E34" s="39"/>
      <c r="F34" s="139">
        <v>6384297</v>
      </c>
      <c r="G34" s="139">
        <v>1018801</v>
      </c>
      <c r="H34" s="139">
        <v>812780</v>
      </c>
      <c r="I34" s="102">
        <f t="shared" si="5"/>
        <v>8215878</v>
      </c>
      <c r="K34" s="103">
        <f t="shared" si="4"/>
        <v>1834.4965687173058</v>
      </c>
      <c r="L34" s="103">
        <f t="shared" si="1"/>
        <v>3533.6750589529202</v>
      </c>
      <c r="M34" s="137">
        <v>0.84104859464737525</v>
      </c>
      <c r="N34" s="137">
        <v>0.93821148747078309</v>
      </c>
      <c r="O34" s="103">
        <f t="shared" si="9"/>
        <v>2971.9924422728345</v>
      </c>
      <c r="P34" s="103">
        <f t="shared" si="6"/>
        <v>3315.3345332986264</v>
      </c>
      <c r="Q34" s="104">
        <f t="shared" si="7"/>
        <v>0.95824897920140251</v>
      </c>
      <c r="R34" s="116" t="e">
        <f t="shared" si="3"/>
        <v>#DIV/0!</v>
      </c>
    </row>
    <row r="35" spans="1:18" x14ac:dyDescent="0.2">
      <c r="A35" s="17">
        <f t="shared" si="8"/>
        <v>2028</v>
      </c>
      <c r="B35" s="140">
        <v>12917</v>
      </c>
      <c r="C35" s="140">
        <v>1164</v>
      </c>
      <c r="D35" s="140">
        <v>1167</v>
      </c>
      <c r="E35" s="39"/>
      <c r="F35" s="139">
        <v>6413743</v>
      </c>
      <c r="G35" s="139">
        <v>1034392</v>
      </c>
      <c r="H35" s="139">
        <v>819960</v>
      </c>
      <c r="I35" s="102">
        <f t="shared" si="5"/>
        <v>8268095</v>
      </c>
      <c r="K35" s="103">
        <f t="shared" si="4"/>
        <v>1844.1974844265819</v>
      </c>
      <c r="L35" s="103">
        <f t="shared" si="1"/>
        <v>3547.6443775742778</v>
      </c>
      <c r="M35" s="137">
        <v>0.83647983752009858</v>
      </c>
      <c r="N35" s="137">
        <v>0.93727243393530713</v>
      </c>
      <c r="O35" s="103">
        <f t="shared" si="9"/>
        <v>2967.5329925324231</v>
      </c>
      <c r="P35" s="103">
        <f t="shared" si="6"/>
        <v>3325.1092805059511</v>
      </c>
      <c r="Q35" s="104">
        <f t="shared" si="7"/>
        <v>0.95681113464272616</v>
      </c>
      <c r="R35" s="116" t="e">
        <f t="shared" si="3"/>
        <v>#DIV/0!</v>
      </c>
    </row>
    <row r="36" spans="1:18" x14ac:dyDescent="0.2">
      <c r="A36" s="17">
        <f t="shared" si="8"/>
        <v>2029</v>
      </c>
      <c r="B36" s="140">
        <v>13037</v>
      </c>
      <c r="C36" s="140">
        <v>1193</v>
      </c>
      <c r="D36" s="140">
        <v>1188</v>
      </c>
      <c r="E36" s="39"/>
      <c r="F36" s="139">
        <v>6441042</v>
      </c>
      <c r="G36" s="139">
        <v>1049807</v>
      </c>
      <c r="H36" s="139">
        <v>826532</v>
      </c>
      <c r="I36" s="102">
        <f t="shared" si="5"/>
        <v>8317381</v>
      </c>
      <c r="K36" s="103">
        <f t="shared" si="4"/>
        <v>1853.7085171401911</v>
      </c>
      <c r="L36" s="103">
        <f t="shared" si="1"/>
        <v>3561.3402646818749</v>
      </c>
      <c r="M36" s="137">
        <v>0.83205744789804359</v>
      </c>
      <c r="N36" s="137">
        <v>0.93635738176814998</v>
      </c>
      <c r="O36" s="103">
        <f t="shared" si="9"/>
        <v>2963.2396917277438</v>
      </c>
      <c r="P36" s="103">
        <f t="shared" si="6"/>
        <v>3334.6872458230105</v>
      </c>
      <c r="Q36" s="104">
        <f t="shared" si="7"/>
        <v>0.95542686089593887</v>
      </c>
      <c r="R36" s="116" t="e">
        <f t="shared" si="3"/>
        <v>#DIV/0!</v>
      </c>
    </row>
    <row r="37" spans="1:18" x14ac:dyDescent="0.2">
      <c r="A37" s="17">
        <f t="shared" si="8"/>
        <v>2030</v>
      </c>
      <c r="B37" s="140">
        <v>13156</v>
      </c>
      <c r="C37" s="140">
        <v>1222</v>
      </c>
      <c r="D37" s="140">
        <v>1207</v>
      </c>
      <c r="E37" s="39"/>
      <c r="F37" s="139">
        <v>6468311</v>
      </c>
      <c r="G37" s="139">
        <v>1065172</v>
      </c>
      <c r="H37" s="139">
        <v>832661</v>
      </c>
      <c r="I37" s="102">
        <f t="shared" si="5"/>
        <v>8366144</v>
      </c>
      <c r="K37" s="103">
        <f t="shared" si="4"/>
        <v>1862.8653774068437</v>
      </c>
      <c r="L37" s="103">
        <f t="shared" si="1"/>
        <v>3574.5261434658546</v>
      </c>
      <c r="M37" s="137">
        <v>0.82776678903068801</v>
      </c>
      <c r="N37" s="137">
        <v>0.93545933057021868</v>
      </c>
      <c r="O37" s="103">
        <f t="shared" si="9"/>
        <v>2958.8740280829788</v>
      </c>
      <c r="P37" s="103">
        <f t="shared" si="6"/>
        <v>3343.823833272314</v>
      </c>
      <c r="Q37" s="104">
        <f t="shared" si="7"/>
        <v>0.95401925545534982</v>
      </c>
      <c r="R37" s="116" t="e">
        <f t="shared" si="3"/>
        <v>#DIV/0!</v>
      </c>
    </row>
    <row r="38" spans="1:18" x14ac:dyDescent="0.2">
      <c r="A38" s="17">
        <f t="shared" si="8"/>
        <v>2031</v>
      </c>
      <c r="B38" s="140">
        <v>13273</v>
      </c>
      <c r="C38" s="140">
        <v>1250</v>
      </c>
      <c r="D38" s="140">
        <v>1226</v>
      </c>
      <c r="F38" s="139">
        <v>6494479</v>
      </c>
      <c r="G38" s="139">
        <v>1080456</v>
      </c>
      <c r="H38" s="139">
        <v>838440</v>
      </c>
      <c r="I38" s="102">
        <f t="shared" si="5"/>
        <v>8413375</v>
      </c>
      <c r="K38" s="103">
        <f>(SUM(B38:D38)*1000000)/I38</f>
        <v>1871.9003966897944</v>
      </c>
      <c r="L38" s="103">
        <f>892 + 1.44*K38</f>
        <v>3587.5365712333037</v>
      </c>
      <c r="M38" s="137">
        <v>0.82355035939812338</v>
      </c>
      <c r="N38" s="137">
        <v>0.93455627908722105</v>
      </c>
      <c r="O38" s="103">
        <f t="shared" si="9"/>
        <v>2954.5170325930985</v>
      </c>
      <c r="P38" s="103">
        <f>L38*N38</f>
        <v>3352.7548291011235</v>
      </c>
      <c r="Q38" s="104">
        <f t="shared" si="7"/>
        <v>0.9526144448571876</v>
      </c>
      <c r="R38" s="116" t="e">
        <f t="shared" si="3"/>
        <v>#DIV/0!</v>
      </c>
    </row>
    <row r="39" spans="1:18" x14ac:dyDescent="0.2">
      <c r="A39" s="17">
        <f t="shared" si="8"/>
        <v>2032</v>
      </c>
      <c r="B39" s="140">
        <v>13382</v>
      </c>
      <c r="C39" s="140">
        <v>1279</v>
      </c>
      <c r="D39" s="140">
        <v>1245</v>
      </c>
      <c r="F39" s="139">
        <v>6517734</v>
      </c>
      <c r="G39" s="139">
        <v>1095640</v>
      </c>
      <c r="H39" s="139">
        <v>843929</v>
      </c>
      <c r="I39" s="102">
        <f t="shared" si="5"/>
        <v>8457303</v>
      </c>
      <c r="K39" s="103">
        <f>(SUM(B39:D39)*1000000)/I39</f>
        <v>1880.7414136634338</v>
      </c>
      <c r="L39" s="103">
        <f>892 + 1.44*K39</f>
        <v>3600.2676356753445</v>
      </c>
      <c r="M39" s="138">
        <v>0.8192408818515251</v>
      </c>
      <c r="N39" s="138">
        <v>0.93348921825404452</v>
      </c>
      <c r="O39" s="103">
        <f t="shared" si="9"/>
        <v>2949.4864327521746</v>
      </c>
      <c r="P39" s="103">
        <f>L39*N39</f>
        <v>3360.8110207319146</v>
      </c>
      <c r="Q39" s="104">
        <f t="shared" si="7"/>
        <v>0.95099244639791514</v>
      </c>
      <c r="R39" s="116" t="e">
        <f t="shared" si="3"/>
        <v>#DIV/0!</v>
      </c>
    </row>
    <row r="40" spans="1:18" x14ac:dyDescent="0.2">
      <c r="A40" s="17">
        <f t="shared" si="8"/>
        <v>2033</v>
      </c>
      <c r="B40" s="140">
        <v>13488</v>
      </c>
      <c r="C40" s="140">
        <v>1307</v>
      </c>
      <c r="D40" s="140">
        <v>1262</v>
      </c>
      <c r="F40" s="139">
        <v>6539772</v>
      </c>
      <c r="G40" s="139">
        <v>1110714</v>
      </c>
      <c r="H40" s="139">
        <v>848764</v>
      </c>
      <c r="I40" s="102">
        <f t="shared" si="5"/>
        <v>8499250</v>
      </c>
      <c r="K40" s="103">
        <f>(SUM(B40:D40)*1000000)/I40</f>
        <v>1889.2255198988146</v>
      </c>
      <c r="L40" s="103">
        <f>892 + 1.44*K40</f>
        <v>3612.4847486542931</v>
      </c>
      <c r="M40" s="138">
        <v>0.81500354257535756</v>
      </c>
      <c r="N40" s="138">
        <v>0.93242215742086787</v>
      </c>
      <c r="O40" s="103">
        <f t="shared" si="9"/>
        <v>2944.187867652699</v>
      </c>
      <c r="P40" s="103">
        <f>L40*N40</f>
        <v>3368.3608229902175</v>
      </c>
      <c r="Q40" s="104">
        <f t="shared" si="7"/>
        <v>0.94928404885100826</v>
      </c>
      <c r="R40" s="116" t="e">
        <f t="shared" si="3"/>
        <v>#DIV/0!</v>
      </c>
    </row>
    <row r="41" spans="1:18" x14ac:dyDescent="0.2">
      <c r="A41" s="17">
        <f t="shared" si="8"/>
        <v>2034</v>
      </c>
      <c r="B41" s="140">
        <v>13593</v>
      </c>
      <c r="C41" s="140">
        <v>1336</v>
      </c>
      <c r="D41" s="140">
        <v>1277</v>
      </c>
      <c r="F41" s="139">
        <v>6561750</v>
      </c>
      <c r="G41" s="139">
        <v>1125762</v>
      </c>
      <c r="H41" s="139">
        <v>852885</v>
      </c>
      <c r="I41" s="102">
        <f t="shared" si="5"/>
        <v>8540397</v>
      </c>
      <c r="K41" s="103">
        <f>(SUM(B41:D41)*1000000)/I41</f>
        <v>1897.5698670682405</v>
      </c>
      <c r="L41" s="103">
        <f>892 + 1.44*K41</f>
        <v>3624.5006085782661</v>
      </c>
      <c r="M41" s="138">
        <v>0.81082265933691833</v>
      </c>
      <c r="N41" s="138">
        <v>0.93135709670171785</v>
      </c>
      <c r="O41" s="103">
        <f t="shared" si="9"/>
        <v>2938.8272222157088</v>
      </c>
      <c r="P41" s="103">
        <f>L41*N41</f>
        <v>3375.7043637990632</v>
      </c>
      <c r="Q41" s="104">
        <f t="shared" si="7"/>
        <v>0.94755563496112361</v>
      </c>
      <c r="R41" s="116" t="e">
        <f t="shared" si="3"/>
        <v>#DIV/0!</v>
      </c>
    </row>
    <row r="42" spans="1:18" x14ac:dyDescent="0.2">
      <c r="A42" s="17">
        <f t="shared" si="8"/>
        <v>2035</v>
      </c>
      <c r="B42" s="140">
        <v>13699</v>
      </c>
      <c r="C42" s="140">
        <v>1364</v>
      </c>
      <c r="D42" s="140">
        <v>1291</v>
      </c>
      <c r="F42" s="139">
        <v>6583855</v>
      </c>
      <c r="G42" s="139">
        <v>1140699</v>
      </c>
      <c r="H42" s="139">
        <v>856390</v>
      </c>
      <c r="I42" s="102">
        <f t="shared" si="5"/>
        <v>8580944</v>
      </c>
      <c r="K42" s="103">
        <f>(SUM(B42:D42)*1000000)/I42</f>
        <v>1905.850918034193</v>
      </c>
      <c r="L42" s="103">
        <f>892 + 1.44*K42</f>
        <v>3636.4253219692378</v>
      </c>
      <c r="M42" s="138">
        <v>0.80672018726199057</v>
      </c>
      <c r="N42" s="138">
        <v>0.93030403666672723</v>
      </c>
      <c r="O42" s="103">
        <f t="shared" si="9"/>
        <v>2933.5777167032679</v>
      </c>
      <c r="P42" s="103">
        <f>L42*N42</f>
        <v>3382.9811560650851</v>
      </c>
      <c r="Q42" s="104">
        <f t="shared" si="7"/>
        <v>0.94586305552281202</v>
      </c>
      <c r="R42" s="116" t="e">
        <f t="shared" si="3"/>
        <v>#DIV/0!</v>
      </c>
    </row>
    <row r="43" spans="1:18" x14ac:dyDescent="0.2">
      <c r="A43" s="17">
        <f t="shared" si="8"/>
        <v>2036</v>
      </c>
      <c r="B43" s="220">
        <f>B42</f>
        <v>13699</v>
      </c>
      <c r="C43" s="220">
        <f t="shared" ref="C43:F49" si="10">C42</f>
        <v>1364</v>
      </c>
      <c r="D43" s="220">
        <f t="shared" si="10"/>
        <v>1291</v>
      </c>
      <c r="F43" s="220">
        <f t="shared" si="10"/>
        <v>6583855</v>
      </c>
      <c r="G43" s="220">
        <f t="shared" ref="G43:G49" si="11">G42</f>
        <v>1140699</v>
      </c>
      <c r="H43" s="220">
        <f t="shared" ref="H43:H49" si="12">H42</f>
        <v>856390</v>
      </c>
      <c r="I43" s="102">
        <f t="shared" si="5"/>
        <v>8580944</v>
      </c>
      <c r="K43" s="103">
        <f t="shared" ref="K43:K49" si="13">(SUM(B43:D43)*1000000)/I43</f>
        <v>1905.850918034193</v>
      </c>
      <c r="L43" s="103">
        <f t="shared" ref="L43:L49" si="14">892 + 1.44*K43</f>
        <v>3636.4253219692378</v>
      </c>
      <c r="M43" s="221">
        <f>M42</f>
        <v>0.80672018726199057</v>
      </c>
      <c r="N43" s="221">
        <f>N42</f>
        <v>0.93030403666672723</v>
      </c>
      <c r="O43" s="103">
        <f t="shared" ref="O43:O49" si="15">L43*M43</f>
        <v>2933.5777167032679</v>
      </c>
      <c r="P43" s="103">
        <f t="shared" ref="P43:P49" si="16">L43*N43</f>
        <v>3382.9811560650851</v>
      </c>
      <c r="Q43" s="104">
        <f t="shared" ref="Q43:Q49" si="17">O43/$O$12</f>
        <v>0.94586305552281202</v>
      </c>
      <c r="R43" s="116" t="e">
        <f t="shared" ref="R43:R49" si="18">P43/P$12</f>
        <v>#DIV/0!</v>
      </c>
    </row>
    <row r="44" spans="1:18" x14ac:dyDescent="0.2">
      <c r="A44" s="17">
        <f t="shared" si="8"/>
        <v>2037</v>
      </c>
      <c r="B44" s="220">
        <f t="shared" ref="B44:B49" si="19">B43</f>
        <v>13699</v>
      </c>
      <c r="C44" s="220">
        <f t="shared" si="10"/>
        <v>1364</v>
      </c>
      <c r="D44" s="220">
        <f t="shared" si="10"/>
        <v>1291</v>
      </c>
      <c r="F44" s="220">
        <f t="shared" si="10"/>
        <v>6583855</v>
      </c>
      <c r="G44" s="220">
        <f t="shared" si="11"/>
        <v>1140699</v>
      </c>
      <c r="H44" s="220">
        <f t="shared" si="12"/>
        <v>856390</v>
      </c>
      <c r="I44" s="102">
        <f t="shared" si="5"/>
        <v>8580944</v>
      </c>
      <c r="K44" s="103">
        <f t="shared" si="13"/>
        <v>1905.850918034193</v>
      </c>
      <c r="L44" s="103">
        <f t="shared" si="14"/>
        <v>3636.4253219692378</v>
      </c>
      <c r="M44" s="221">
        <f t="shared" ref="M44:M49" si="20">M43</f>
        <v>0.80672018726199057</v>
      </c>
      <c r="N44" s="221">
        <f t="shared" ref="N44:N49" si="21">N43</f>
        <v>0.93030403666672723</v>
      </c>
      <c r="O44" s="103">
        <f t="shared" si="15"/>
        <v>2933.5777167032679</v>
      </c>
      <c r="P44" s="103">
        <f t="shared" si="16"/>
        <v>3382.9811560650851</v>
      </c>
      <c r="Q44" s="104">
        <f t="shared" si="17"/>
        <v>0.94586305552281202</v>
      </c>
      <c r="R44" s="116" t="e">
        <f t="shared" si="18"/>
        <v>#DIV/0!</v>
      </c>
    </row>
    <row r="45" spans="1:18" x14ac:dyDescent="0.2">
      <c r="A45" s="17">
        <f t="shared" si="8"/>
        <v>2038</v>
      </c>
      <c r="B45" s="220">
        <f t="shared" si="19"/>
        <v>13699</v>
      </c>
      <c r="C45" s="220">
        <f t="shared" si="10"/>
        <v>1364</v>
      </c>
      <c r="D45" s="220">
        <f t="shared" si="10"/>
        <v>1291</v>
      </c>
      <c r="F45" s="220">
        <f t="shared" si="10"/>
        <v>6583855</v>
      </c>
      <c r="G45" s="220">
        <f t="shared" si="11"/>
        <v>1140699</v>
      </c>
      <c r="H45" s="220">
        <f t="shared" si="12"/>
        <v>856390</v>
      </c>
      <c r="I45" s="102">
        <f t="shared" si="5"/>
        <v>8580944</v>
      </c>
      <c r="K45" s="103">
        <f t="shared" si="13"/>
        <v>1905.850918034193</v>
      </c>
      <c r="L45" s="103">
        <f t="shared" si="14"/>
        <v>3636.4253219692378</v>
      </c>
      <c r="M45" s="221">
        <f t="shared" si="20"/>
        <v>0.80672018726199057</v>
      </c>
      <c r="N45" s="221">
        <f t="shared" si="21"/>
        <v>0.93030403666672723</v>
      </c>
      <c r="O45" s="103">
        <f t="shared" si="15"/>
        <v>2933.5777167032679</v>
      </c>
      <c r="P45" s="103">
        <f t="shared" si="16"/>
        <v>3382.9811560650851</v>
      </c>
      <c r="Q45" s="104">
        <f t="shared" si="17"/>
        <v>0.94586305552281202</v>
      </c>
      <c r="R45" s="116" t="e">
        <f t="shared" si="18"/>
        <v>#DIV/0!</v>
      </c>
    </row>
    <row r="46" spans="1:18" x14ac:dyDescent="0.2">
      <c r="A46" s="17">
        <f t="shared" si="8"/>
        <v>2039</v>
      </c>
      <c r="B46" s="220">
        <f t="shared" si="19"/>
        <v>13699</v>
      </c>
      <c r="C46" s="220">
        <f t="shared" si="10"/>
        <v>1364</v>
      </c>
      <c r="D46" s="220">
        <f t="shared" si="10"/>
        <v>1291</v>
      </c>
      <c r="F46" s="220">
        <f t="shared" si="10"/>
        <v>6583855</v>
      </c>
      <c r="G46" s="220">
        <f t="shared" si="11"/>
        <v>1140699</v>
      </c>
      <c r="H46" s="220">
        <f t="shared" si="12"/>
        <v>856390</v>
      </c>
      <c r="I46" s="102">
        <f t="shared" si="5"/>
        <v>8580944</v>
      </c>
      <c r="K46" s="103">
        <f t="shared" si="13"/>
        <v>1905.850918034193</v>
      </c>
      <c r="L46" s="103">
        <f t="shared" si="14"/>
        <v>3636.4253219692378</v>
      </c>
      <c r="M46" s="221">
        <f t="shared" si="20"/>
        <v>0.80672018726199057</v>
      </c>
      <c r="N46" s="221">
        <f t="shared" si="21"/>
        <v>0.93030403666672723</v>
      </c>
      <c r="O46" s="103">
        <f t="shared" si="15"/>
        <v>2933.5777167032679</v>
      </c>
      <c r="P46" s="103">
        <f t="shared" si="16"/>
        <v>3382.9811560650851</v>
      </c>
      <c r="Q46" s="104">
        <f t="shared" si="17"/>
        <v>0.94586305552281202</v>
      </c>
      <c r="R46" s="116" t="e">
        <f t="shared" si="18"/>
        <v>#DIV/0!</v>
      </c>
    </row>
    <row r="47" spans="1:18" x14ac:dyDescent="0.2">
      <c r="A47" s="17">
        <f t="shared" si="8"/>
        <v>2040</v>
      </c>
      <c r="B47" s="220">
        <f t="shared" si="19"/>
        <v>13699</v>
      </c>
      <c r="C47" s="220">
        <f t="shared" si="10"/>
        <v>1364</v>
      </c>
      <c r="D47" s="220">
        <f t="shared" si="10"/>
        <v>1291</v>
      </c>
      <c r="F47" s="220">
        <f t="shared" si="10"/>
        <v>6583855</v>
      </c>
      <c r="G47" s="220">
        <f t="shared" si="11"/>
        <v>1140699</v>
      </c>
      <c r="H47" s="220">
        <f t="shared" si="12"/>
        <v>856390</v>
      </c>
      <c r="I47" s="102">
        <f t="shared" si="5"/>
        <v>8580944</v>
      </c>
      <c r="K47" s="103">
        <f t="shared" si="13"/>
        <v>1905.850918034193</v>
      </c>
      <c r="L47" s="103">
        <f t="shared" si="14"/>
        <v>3636.4253219692378</v>
      </c>
      <c r="M47" s="221">
        <f t="shared" si="20"/>
        <v>0.80672018726199057</v>
      </c>
      <c r="N47" s="221">
        <f t="shared" si="21"/>
        <v>0.93030403666672723</v>
      </c>
      <c r="O47" s="103">
        <f t="shared" si="15"/>
        <v>2933.5777167032679</v>
      </c>
      <c r="P47" s="103">
        <f t="shared" si="16"/>
        <v>3382.9811560650851</v>
      </c>
      <c r="Q47" s="104">
        <f t="shared" si="17"/>
        <v>0.94586305552281202</v>
      </c>
      <c r="R47" s="116" t="e">
        <f t="shared" si="18"/>
        <v>#DIV/0!</v>
      </c>
    </row>
    <row r="48" spans="1:18" x14ac:dyDescent="0.2">
      <c r="A48" s="17">
        <f t="shared" si="8"/>
        <v>2041</v>
      </c>
      <c r="B48" s="220">
        <f t="shared" si="19"/>
        <v>13699</v>
      </c>
      <c r="C48" s="220">
        <f t="shared" si="10"/>
        <v>1364</v>
      </c>
      <c r="D48" s="220">
        <f t="shared" si="10"/>
        <v>1291</v>
      </c>
      <c r="F48" s="220">
        <f t="shared" si="10"/>
        <v>6583855</v>
      </c>
      <c r="G48" s="220">
        <f t="shared" si="11"/>
        <v>1140699</v>
      </c>
      <c r="H48" s="220">
        <f t="shared" si="12"/>
        <v>856390</v>
      </c>
      <c r="I48" s="102">
        <f t="shared" si="5"/>
        <v>8580944</v>
      </c>
      <c r="K48" s="103">
        <f t="shared" si="13"/>
        <v>1905.850918034193</v>
      </c>
      <c r="L48" s="103">
        <f t="shared" si="14"/>
        <v>3636.4253219692378</v>
      </c>
      <c r="M48" s="221">
        <f t="shared" si="20"/>
        <v>0.80672018726199057</v>
      </c>
      <c r="N48" s="221">
        <f t="shared" si="21"/>
        <v>0.93030403666672723</v>
      </c>
      <c r="O48" s="103">
        <f t="shared" si="15"/>
        <v>2933.5777167032679</v>
      </c>
      <c r="P48" s="103">
        <f t="shared" si="16"/>
        <v>3382.9811560650851</v>
      </c>
      <c r="Q48" s="104">
        <f t="shared" si="17"/>
        <v>0.94586305552281202</v>
      </c>
      <c r="R48" s="116" t="e">
        <f t="shared" si="18"/>
        <v>#DIV/0!</v>
      </c>
    </row>
    <row r="49" spans="1:18" x14ac:dyDescent="0.2">
      <c r="A49" s="17">
        <f t="shared" si="8"/>
        <v>2042</v>
      </c>
      <c r="B49" s="220">
        <f t="shared" si="19"/>
        <v>13699</v>
      </c>
      <c r="C49" s="220">
        <f t="shared" si="10"/>
        <v>1364</v>
      </c>
      <c r="D49" s="220">
        <f t="shared" si="10"/>
        <v>1291</v>
      </c>
      <c r="F49" s="220">
        <f t="shared" si="10"/>
        <v>6583855</v>
      </c>
      <c r="G49" s="220">
        <f t="shared" si="11"/>
        <v>1140699</v>
      </c>
      <c r="H49" s="220">
        <f t="shared" si="12"/>
        <v>856390</v>
      </c>
      <c r="I49" s="102">
        <f t="shared" si="5"/>
        <v>8580944</v>
      </c>
      <c r="K49" s="103">
        <f t="shared" si="13"/>
        <v>1905.850918034193</v>
      </c>
      <c r="L49" s="103">
        <f t="shared" si="14"/>
        <v>3636.4253219692378</v>
      </c>
      <c r="M49" s="221">
        <f t="shared" si="20"/>
        <v>0.80672018726199057</v>
      </c>
      <c r="N49" s="221">
        <f t="shared" si="21"/>
        <v>0.93030403666672723</v>
      </c>
      <c r="O49" s="103">
        <f t="shared" si="15"/>
        <v>2933.5777167032679</v>
      </c>
      <c r="P49" s="103">
        <f t="shared" si="16"/>
        <v>3382.9811560650851</v>
      </c>
      <c r="Q49" s="104">
        <f t="shared" si="17"/>
        <v>0.94586305552281202</v>
      </c>
      <c r="R49" s="116" t="e">
        <f t="shared" si="18"/>
        <v>#DIV/0!</v>
      </c>
    </row>
  </sheetData>
  <phoneticPr fontId="14" type="noConversion"/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31"/>
  <sheetViews>
    <sheetView view="pageBreakPreview" zoomScale="60" zoomScaleNormal="112" workbookViewId="0">
      <selection activeCell="P1" sqref="P1:Q15"/>
    </sheetView>
  </sheetViews>
  <sheetFormatPr defaultColWidth="9.140625" defaultRowHeight="12.75" x14ac:dyDescent="0.2"/>
  <cols>
    <col min="1" max="1" width="7.140625" style="14" customWidth="1"/>
    <col min="2" max="2" width="12" style="14" bestFit="1" customWidth="1"/>
    <col min="3" max="4" width="12" style="14" customWidth="1"/>
    <col min="5" max="5" width="12" style="14" bestFit="1" customWidth="1"/>
    <col min="6" max="6" width="12" style="14" customWidth="1"/>
    <col min="7" max="7" width="6.140625" style="14" bestFit="1" customWidth="1"/>
    <col min="8" max="8" width="6.42578125" style="14" bestFit="1" customWidth="1"/>
    <col min="9" max="9" width="8.140625" style="14" bestFit="1" customWidth="1"/>
    <col min="10" max="10" width="7.7109375" style="14" bestFit="1" customWidth="1"/>
    <col min="11" max="12" width="10.28515625" style="14" bestFit="1" customWidth="1"/>
    <col min="13" max="13" width="7.42578125" style="30" bestFit="1" customWidth="1"/>
    <col min="14" max="14" width="7.5703125" style="30" bestFit="1" customWidth="1"/>
    <col min="15" max="16" width="7" style="30" bestFit="1" customWidth="1"/>
    <col min="17" max="17" width="8.5703125" style="30" bestFit="1" customWidth="1"/>
    <col min="18" max="18" width="7" style="30" bestFit="1" customWidth="1"/>
    <col min="19" max="19" width="11.85546875" style="30" bestFit="1" customWidth="1"/>
    <col min="20" max="20" width="12.28515625" style="14" bestFit="1" customWidth="1"/>
    <col min="21" max="21" width="5.28515625" style="60" bestFit="1" customWidth="1"/>
    <col min="22" max="23" width="10.140625" style="60" customWidth="1"/>
    <col min="24" max="24" width="10.28515625" style="60" bestFit="1" customWidth="1"/>
    <col min="25" max="25" width="10.140625" style="60" customWidth="1"/>
    <col min="26" max="29" width="10.28515625" style="60" customWidth="1"/>
    <col min="30" max="30" width="10.28515625" style="60" bestFit="1" customWidth="1"/>
    <col min="31" max="31" width="10.28515625" style="60" customWidth="1"/>
    <col min="32" max="32" width="10.28515625" style="60" bestFit="1" customWidth="1"/>
    <col min="33" max="33" width="10.28515625" style="60" customWidth="1"/>
    <col min="34" max="34" width="10.28515625" style="60" bestFit="1" customWidth="1"/>
    <col min="35" max="36" width="10.28515625" style="60" customWidth="1"/>
    <col min="37" max="37" width="10.28515625" style="60" bestFit="1" customWidth="1"/>
    <col min="38" max="38" width="10.28515625" style="60" customWidth="1"/>
    <col min="39" max="39" width="10.28515625" style="60" bestFit="1" customWidth="1"/>
    <col min="40" max="40" width="10.28515625" style="60" customWidth="1"/>
    <col min="41" max="41" width="10.28515625" style="60" bestFit="1" customWidth="1"/>
    <col min="42" max="42" width="10.28515625" style="60" customWidth="1"/>
    <col min="43" max="43" width="10.28515625" style="60" bestFit="1" customWidth="1"/>
    <col min="44" max="44" width="10.28515625" style="60" customWidth="1"/>
    <col min="45" max="45" width="10.28515625" style="60" bestFit="1" customWidth="1"/>
    <col min="46" max="46" width="10.28515625" style="60" customWidth="1"/>
    <col min="47" max="47" width="10.28515625" style="60" bestFit="1" customWidth="1"/>
    <col min="48" max="48" width="10.28515625" style="60" customWidth="1"/>
    <col min="49" max="49" width="10.28515625" style="60" bestFit="1" customWidth="1"/>
    <col min="50" max="50" width="10.28515625" style="60" customWidth="1"/>
    <col min="51" max="51" width="10.28515625" style="60" bestFit="1" customWidth="1"/>
    <col min="52" max="54" width="10.28515625" style="60" customWidth="1"/>
    <col min="55" max="55" width="11.28515625" style="60" bestFit="1" customWidth="1"/>
    <col min="56" max="56" width="12.5703125" style="60" bestFit="1" customWidth="1"/>
    <col min="57" max="57" width="14.28515625" style="60" bestFit="1" customWidth="1"/>
    <col min="58" max="58" width="11.28515625" style="14" bestFit="1" customWidth="1"/>
    <col min="59" max="59" width="39.42578125" style="14" bestFit="1" customWidth="1"/>
    <col min="60" max="60" width="8.140625" style="14" bestFit="1" customWidth="1"/>
    <col min="61" max="61" width="10.5703125" style="14" bestFit="1" customWidth="1"/>
    <col min="62" max="62" width="11.5703125" style="14" bestFit="1" customWidth="1"/>
    <col min="63" max="63" width="14.7109375" style="14" bestFit="1" customWidth="1"/>
    <col min="64" max="64" width="13.140625" style="14" bestFit="1" customWidth="1"/>
    <col min="65" max="65" width="12.28515625" style="14" bestFit="1" customWidth="1"/>
    <col min="66" max="66" width="5.7109375" style="14" customWidth="1"/>
    <col min="67" max="67" width="6.28515625" style="14" customWidth="1"/>
    <col min="68" max="76" width="6.7109375" style="14" bestFit="1" customWidth="1"/>
    <col min="77" max="77" width="9.140625" style="14"/>
    <col min="78" max="87" width="7.7109375" style="14" customWidth="1"/>
    <col min="88" max="16384" width="9.140625" style="14"/>
  </cols>
  <sheetData>
    <row r="1" spans="1:87" ht="18" x14ac:dyDescent="0.25">
      <c r="A1" s="59" t="s">
        <v>80</v>
      </c>
      <c r="J1" s="30"/>
      <c r="M1" s="14"/>
      <c r="N1" s="14"/>
      <c r="O1" s="14"/>
      <c r="P1" s="14"/>
      <c r="Q1" s="14"/>
      <c r="R1" s="14"/>
      <c r="S1" s="14"/>
    </row>
    <row r="2" spans="1:87" ht="18" x14ac:dyDescent="0.25">
      <c r="A2" s="60"/>
      <c r="B2" s="61" t="s">
        <v>101</v>
      </c>
      <c r="C2" s="61" t="s">
        <v>168</v>
      </c>
      <c r="D2" s="61" t="s">
        <v>114</v>
      </c>
      <c r="E2" s="61" t="s">
        <v>102</v>
      </c>
      <c r="F2" s="61" t="s">
        <v>103</v>
      </c>
      <c r="G2" s="61" t="s">
        <v>102</v>
      </c>
      <c r="H2" s="61" t="s">
        <v>103</v>
      </c>
      <c r="I2" s="61" t="s">
        <v>104</v>
      </c>
      <c r="J2" s="61" t="s">
        <v>114</v>
      </c>
      <c r="K2" s="61" t="s">
        <v>114</v>
      </c>
      <c r="L2" s="61" t="s">
        <v>114</v>
      </c>
      <c r="M2" s="61" t="s">
        <v>114</v>
      </c>
      <c r="N2" s="61" t="s">
        <v>114</v>
      </c>
      <c r="O2" s="61" t="s">
        <v>114</v>
      </c>
      <c r="P2" s="61"/>
      <c r="Q2" s="61"/>
      <c r="R2" s="62" t="s">
        <v>114</v>
      </c>
      <c r="S2" s="62" t="s">
        <v>114</v>
      </c>
      <c r="T2" s="62"/>
      <c r="V2" s="63" t="s">
        <v>48</v>
      </c>
      <c r="W2" s="63"/>
      <c r="Y2" s="63"/>
      <c r="BG2" s="59" t="s">
        <v>152</v>
      </c>
      <c r="BO2" s="59" t="s">
        <v>147</v>
      </c>
      <c r="BZ2" s="59" t="s">
        <v>148</v>
      </c>
    </row>
    <row r="3" spans="1:87" x14ac:dyDescent="0.2">
      <c r="A3" s="64"/>
      <c r="B3" s="8" t="s">
        <v>52</v>
      </c>
      <c r="C3" s="8" t="s">
        <v>169</v>
      </c>
      <c r="D3" s="8" t="s">
        <v>145</v>
      </c>
      <c r="E3" s="8" t="s">
        <v>51</v>
      </c>
      <c r="F3" s="8" t="s">
        <v>170</v>
      </c>
      <c r="G3" s="8" t="s">
        <v>105</v>
      </c>
      <c r="H3" s="8" t="s">
        <v>106</v>
      </c>
      <c r="I3" s="8" t="s">
        <v>5</v>
      </c>
      <c r="J3" s="8" t="s">
        <v>45</v>
      </c>
      <c r="K3" s="8" t="s">
        <v>9</v>
      </c>
      <c r="L3" s="8" t="s">
        <v>43</v>
      </c>
      <c r="M3" s="8" t="s">
        <v>10</v>
      </c>
      <c r="N3" s="8" t="s">
        <v>11</v>
      </c>
      <c r="O3" s="8" t="s">
        <v>12</v>
      </c>
      <c r="P3" s="8"/>
      <c r="Q3" s="8"/>
      <c r="R3" s="23" t="s">
        <v>13</v>
      </c>
      <c r="S3" s="23" t="s">
        <v>14</v>
      </c>
      <c r="T3" s="65"/>
      <c r="BO3" s="64" t="s">
        <v>15</v>
      </c>
      <c r="BP3" s="64" t="s">
        <v>83</v>
      </c>
      <c r="BQ3" s="64" t="s">
        <v>84</v>
      </c>
      <c r="BR3" s="64" t="s">
        <v>85</v>
      </c>
      <c r="BS3" s="64" t="s">
        <v>86</v>
      </c>
      <c r="BT3" s="64" t="s">
        <v>87</v>
      </c>
      <c r="BU3" s="64" t="s">
        <v>88</v>
      </c>
      <c r="BV3" s="64" t="s">
        <v>89</v>
      </c>
      <c r="BW3" s="64" t="s">
        <v>90</v>
      </c>
      <c r="BX3" s="64" t="s">
        <v>91</v>
      </c>
      <c r="BZ3" s="64" t="s">
        <v>15</v>
      </c>
      <c r="CA3" s="64" t="s">
        <v>83</v>
      </c>
      <c r="CB3" s="64" t="s">
        <v>84</v>
      </c>
      <c r="CC3" s="64" t="s">
        <v>85</v>
      </c>
      <c r="CD3" s="64" t="s">
        <v>86</v>
      </c>
      <c r="CE3" s="64" t="s">
        <v>87</v>
      </c>
      <c r="CF3" s="64" t="s">
        <v>88</v>
      </c>
      <c r="CG3" s="64" t="s">
        <v>89</v>
      </c>
      <c r="CH3" s="64" t="s">
        <v>90</v>
      </c>
      <c r="CI3" s="64" t="s">
        <v>91</v>
      </c>
    </row>
    <row r="4" spans="1:87" x14ac:dyDescent="0.2">
      <c r="A4" s="26">
        <v>2005</v>
      </c>
      <c r="B4" s="122">
        <f>B5*(B5/B6)</f>
        <v>7.0640054070868681</v>
      </c>
      <c r="C4" s="141">
        <v>3.3</v>
      </c>
      <c r="D4" s="100">
        <f t="shared" ref="D4:D41" si="0">1000*(AB92/AB48)/ 3.412</f>
        <v>625.46563419179665</v>
      </c>
      <c r="E4" s="122">
        <f t="shared" ref="E4:K4" si="1">E5*(E5/E6)</f>
        <v>11.518837333234069</v>
      </c>
      <c r="F4" s="141">
        <v>13.8</v>
      </c>
      <c r="G4" s="122">
        <f t="shared" si="1"/>
        <v>11.190628991037693</v>
      </c>
      <c r="H4" s="122">
        <f t="shared" si="1"/>
        <v>9.4613123252875919</v>
      </c>
      <c r="I4" s="122">
        <f t="shared" si="1"/>
        <v>0.88272792880960704</v>
      </c>
      <c r="J4" s="127">
        <f t="shared" si="1"/>
        <v>663.67878717866665</v>
      </c>
      <c r="K4" s="127">
        <f t="shared" si="1"/>
        <v>530.58146271893293</v>
      </c>
      <c r="L4" s="100">
        <f t="shared" ref="L4:L34" si="2">1000*(AQ92/AQ48)/ 3.412</f>
        <v>331.40747338337758</v>
      </c>
      <c r="M4" s="100">
        <f t="shared" ref="M4:M34" si="3">1000*(AM92/AM48)/ 3.412</f>
        <v>434.05618224643769</v>
      </c>
      <c r="N4" s="100">
        <f t="shared" ref="N4:N34" si="4">1000*(AK92/AK48)/ 3.412</f>
        <v>110.52562758422165</v>
      </c>
      <c r="O4" s="100">
        <f t="shared" ref="O4:O34" si="5">1000*(AS92/AS48)/ 3.412</f>
        <v>922.49348069682435</v>
      </c>
      <c r="P4" s="100"/>
      <c r="Q4" s="100"/>
      <c r="R4" s="101">
        <f t="shared" ref="R4:R34" si="6">1000*(BC92/BC48)/ 3.412</f>
        <v>2009.4019042164659</v>
      </c>
      <c r="S4" s="101">
        <f t="shared" ref="S4:S34" si="7">1000*(BD92/BD48)/ 3.412</f>
        <v>3922.4950399098643</v>
      </c>
      <c r="T4" s="65"/>
      <c r="U4" s="66"/>
      <c r="V4" s="66" t="s">
        <v>36</v>
      </c>
      <c r="W4" s="66"/>
      <c r="X4" s="66" t="s">
        <v>39</v>
      </c>
      <c r="Y4" s="66"/>
      <c r="Z4" s="66" t="s">
        <v>166</v>
      </c>
      <c r="AA4" s="66"/>
      <c r="AB4" s="66" t="s">
        <v>145</v>
      </c>
      <c r="AC4" s="66"/>
      <c r="AD4" s="66" t="s">
        <v>4</v>
      </c>
      <c r="AE4" s="66"/>
      <c r="AF4" s="66" t="s">
        <v>2</v>
      </c>
      <c r="AG4" s="66"/>
      <c r="AH4" s="66" t="s">
        <v>40</v>
      </c>
      <c r="AI4" s="66"/>
      <c r="AJ4" s="66" t="s">
        <v>167</v>
      </c>
      <c r="AK4" s="66" t="s">
        <v>41</v>
      </c>
      <c r="AL4" s="66"/>
      <c r="AM4" s="66" t="s">
        <v>42</v>
      </c>
      <c r="AN4" s="66"/>
      <c r="AO4" s="66" t="s">
        <v>5</v>
      </c>
      <c r="AP4" s="66"/>
      <c r="AQ4" s="66" t="s">
        <v>43</v>
      </c>
      <c r="AR4" s="66"/>
      <c r="AS4" s="66" t="s">
        <v>44</v>
      </c>
      <c r="AT4" s="66"/>
      <c r="AU4" s="66" t="s">
        <v>45</v>
      </c>
      <c r="AV4" s="66"/>
      <c r="AW4" s="66" t="s">
        <v>9</v>
      </c>
      <c r="AX4" s="66"/>
      <c r="AY4" s="66" t="s">
        <v>100</v>
      </c>
      <c r="AZ4" s="66"/>
      <c r="BA4" s="66" t="s">
        <v>173</v>
      </c>
      <c r="BB4" s="66"/>
      <c r="BC4" s="66" t="s">
        <v>46</v>
      </c>
      <c r="BD4" s="66" t="s">
        <v>14</v>
      </c>
      <c r="BE4" s="90" t="s">
        <v>49</v>
      </c>
      <c r="BI4" s="8" t="s">
        <v>37</v>
      </c>
      <c r="BJ4" s="8" t="s">
        <v>38</v>
      </c>
      <c r="BK4" s="8" t="s">
        <v>35</v>
      </c>
      <c r="BL4" s="8" t="s">
        <v>75</v>
      </c>
      <c r="BM4" s="8" t="s">
        <v>74</v>
      </c>
      <c r="BO4" s="26">
        <v>1990</v>
      </c>
      <c r="BP4" s="29">
        <f t="shared" ref="BP4:BP19" si="8">BP64/BP$79</f>
        <v>1.083921568627451</v>
      </c>
      <c r="BQ4" s="29">
        <f t="shared" ref="BQ4:BX4" si="9">BQ64/BQ$79</f>
        <v>1.3455696202531646</v>
      </c>
      <c r="BR4" s="29">
        <f t="shared" si="9"/>
        <v>0.94172932330827064</v>
      </c>
      <c r="BS4" s="29">
        <f t="shared" si="9"/>
        <v>0.89227642276422769</v>
      </c>
      <c r="BT4" s="29">
        <f t="shared" si="9"/>
        <v>0.98089552238805966</v>
      </c>
      <c r="BU4" s="29">
        <f t="shared" si="9"/>
        <v>0.94535131298793473</v>
      </c>
      <c r="BV4" s="29">
        <f t="shared" si="9"/>
        <v>0.78425196850393697</v>
      </c>
      <c r="BW4" s="29">
        <f t="shared" si="9"/>
        <v>0.80911854103343472</v>
      </c>
      <c r="BX4" s="29">
        <f t="shared" si="9"/>
        <v>0.89933909506863241</v>
      </c>
      <c r="BZ4" s="26">
        <v>1990</v>
      </c>
      <c r="CA4" s="29">
        <f t="shared" ref="CA4:CA19" si="10">CA64/CA$79</f>
        <v>0.70286885245901642</v>
      </c>
      <c r="CB4" s="29">
        <f t="shared" ref="CB4:CI4" si="11">CB64/CB$79</f>
        <v>0.71043376318874563</v>
      </c>
      <c r="CC4" s="29">
        <f t="shared" si="11"/>
        <v>0.61081081081081068</v>
      </c>
      <c r="CD4" s="29">
        <f t="shared" si="11"/>
        <v>0.56434316353887404</v>
      </c>
      <c r="CE4" s="29">
        <f t="shared" si="11"/>
        <v>0.59451219512195119</v>
      </c>
      <c r="CF4" s="29">
        <f t="shared" si="11"/>
        <v>0.54462242562929053</v>
      </c>
      <c r="CG4" s="29">
        <f t="shared" si="11"/>
        <v>0.61441213653603033</v>
      </c>
      <c r="CH4" s="29">
        <f t="shared" si="11"/>
        <v>0.65938864628820959</v>
      </c>
      <c r="CI4" s="29">
        <f t="shared" si="11"/>
        <v>0.67162162162162153</v>
      </c>
    </row>
    <row r="5" spans="1:87" x14ac:dyDescent="0.2">
      <c r="A5" s="26">
        <v>2006</v>
      </c>
      <c r="B5" s="125">
        <v>7.1509267544549466</v>
      </c>
      <c r="C5" s="141">
        <v>3.3015590000000001</v>
      </c>
      <c r="D5" s="100">
        <f t="shared" si="0"/>
        <v>533.99408257472101</v>
      </c>
      <c r="E5" s="125">
        <v>11.725685088053469</v>
      </c>
      <c r="F5" s="141">
        <v>13.886512</v>
      </c>
      <c r="G5" s="125">
        <v>11.401529818829824</v>
      </c>
      <c r="H5" s="125">
        <v>9.5224392825295894</v>
      </c>
      <c r="I5" s="125">
        <v>0.88500750520619786</v>
      </c>
      <c r="J5" s="126">
        <v>647.46748751540326</v>
      </c>
      <c r="K5" s="126">
        <v>518.47639290197708</v>
      </c>
      <c r="L5" s="100">
        <f t="shared" si="2"/>
        <v>331.11625407322299</v>
      </c>
      <c r="M5" s="100">
        <f t="shared" si="3"/>
        <v>423.37992276068093</v>
      </c>
      <c r="N5" s="100">
        <f t="shared" si="4"/>
        <v>111.56086903465723</v>
      </c>
      <c r="O5" s="100">
        <f t="shared" si="5"/>
        <v>914.64909668103485</v>
      </c>
      <c r="P5" s="100"/>
      <c r="Q5" s="100"/>
      <c r="R5" s="101">
        <f t="shared" si="6"/>
        <v>1994.2060049955637</v>
      </c>
      <c r="S5" s="101">
        <f t="shared" si="7"/>
        <v>4189.9485003693344</v>
      </c>
      <c r="T5" s="65"/>
      <c r="U5" s="66" t="s">
        <v>15</v>
      </c>
      <c r="V5" s="67" t="s">
        <v>48</v>
      </c>
      <c r="W5" s="67"/>
      <c r="X5" s="67" t="s">
        <v>48</v>
      </c>
      <c r="Y5" s="67"/>
      <c r="Z5" s="67" t="s">
        <v>48</v>
      </c>
      <c r="AA5" s="67"/>
      <c r="AB5" s="67" t="s">
        <v>48</v>
      </c>
      <c r="AC5" s="67"/>
      <c r="AD5" s="67" t="s">
        <v>48</v>
      </c>
      <c r="AE5" s="67"/>
      <c r="AF5" s="67" t="s">
        <v>48</v>
      </c>
      <c r="AG5" s="67"/>
      <c r="AH5" s="67" t="s">
        <v>48</v>
      </c>
      <c r="AI5" s="67"/>
      <c r="AJ5" s="67" t="s">
        <v>48</v>
      </c>
      <c r="AK5" s="67" t="s">
        <v>48</v>
      </c>
      <c r="AL5" s="67"/>
      <c r="AM5" s="67" t="s">
        <v>48</v>
      </c>
      <c r="AN5" s="67"/>
      <c r="AO5" s="67" t="s">
        <v>48</v>
      </c>
      <c r="AP5" s="67"/>
      <c r="AQ5" s="67" t="s">
        <v>48</v>
      </c>
      <c r="AR5" s="67"/>
      <c r="AS5" s="67" t="s">
        <v>48</v>
      </c>
      <c r="AT5" s="67"/>
      <c r="AU5" s="67" t="s">
        <v>48</v>
      </c>
      <c r="AV5" s="67"/>
      <c r="AW5" s="67" t="s">
        <v>48</v>
      </c>
      <c r="AX5" s="67"/>
      <c r="AY5" s="67" t="s">
        <v>48</v>
      </c>
      <c r="AZ5" s="67"/>
      <c r="BA5" s="67" t="s">
        <v>48</v>
      </c>
      <c r="BB5" s="67"/>
      <c r="BC5" s="67" t="s">
        <v>48</v>
      </c>
      <c r="BD5" s="67" t="s">
        <v>48</v>
      </c>
      <c r="BE5" s="67" t="s">
        <v>48</v>
      </c>
      <c r="BG5" s="14" t="s">
        <v>115</v>
      </c>
      <c r="BH5" s="26" t="s">
        <v>0</v>
      </c>
      <c r="BI5" s="27">
        <f>V48</f>
        <v>2334318</v>
      </c>
      <c r="BJ5" s="27">
        <f>V92</f>
        <v>20494125</v>
      </c>
      <c r="BK5" s="27">
        <f t="shared" ref="BK5:BK13" si="12">1000*(BJ5/BI5)/3.412</f>
        <v>2573.1217711505083</v>
      </c>
      <c r="BL5" s="27">
        <f>$BK$5*V6</f>
        <v>871.42011256872252</v>
      </c>
      <c r="BM5" s="27">
        <f>BL5*$BL$28</f>
        <v>974.64765069379848</v>
      </c>
      <c r="BO5" s="26">
        <f t="shared" ref="BO5:BO13" si="13">BO6-1</f>
        <v>1991</v>
      </c>
      <c r="BP5" s="29">
        <f t="shared" si="8"/>
        <v>1.0207843137254902</v>
      </c>
      <c r="BQ5" s="29">
        <f t="shared" ref="BQ5:BX14" si="14">BQ65/BQ$79</f>
        <v>1.1109704641350211</v>
      </c>
      <c r="BR5" s="29">
        <f t="shared" si="14"/>
        <v>1.0588972431077692</v>
      </c>
      <c r="BS5" s="29">
        <f t="shared" si="14"/>
        <v>1.0338753387533874</v>
      </c>
      <c r="BT5" s="29">
        <f t="shared" si="14"/>
        <v>1.0208955223880598</v>
      </c>
      <c r="BU5" s="29">
        <f t="shared" si="14"/>
        <v>1.1171043293115686</v>
      </c>
      <c r="BV5" s="29">
        <f t="shared" si="14"/>
        <v>0.81207349081364832</v>
      </c>
      <c r="BW5" s="29">
        <f t="shared" si="14"/>
        <v>0.87537993920972645</v>
      </c>
      <c r="BX5" s="29">
        <f t="shared" si="14"/>
        <v>0.9217081850533807</v>
      </c>
      <c r="BZ5" s="26">
        <f t="shared" ref="BZ5:BZ13" si="15">BZ6-1</f>
        <v>1991</v>
      </c>
      <c r="CA5" s="29">
        <f t="shared" si="10"/>
        <v>0.70081967213114749</v>
      </c>
      <c r="CB5" s="29">
        <f t="shared" ref="CB5:CI14" si="16">CB65/CB$79</f>
        <v>0.69167643610785468</v>
      </c>
      <c r="CC5" s="29">
        <f t="shared" si="16"/>
        <v>0.58648648648648649</v>
      </c>
      <c r="CD5" s="29">
        <f t="shared" si="16"/>
        <v>0.53351206434316356</v>
      </c>
      <c r="CE5" s="29">
        <f t="shared" si="16"/>
        <v>0.56707317073170738</v>
      </c>
      <c r="CF5" s="29">
        <f t="shared" si="16"/>
        <v>0.53432494279176201</v>
      </c>
      <c r="CG5" s="29">
        <f t="shared" si="16"/>
        <v>0.5802781289506953</v>
      </c>
      <c r="CH5" s="29">
        <f t="shared" si="16"/>
        <v>0.63755458515283836</v>
      </c>
      <c r="CI5" s="29">
        <f t="shared" si="16"/>
        <v>0.69324324324324316</v>
      </c>
    </row>
    <row r="6" spans="1:87" x14ac:dyDescent="0.2">
      <c r="A6" s="26">
        <v>2007</v>
      </c>
      <c r="B6" s="125">
        <v>7.2389176537546671</v>
      </c>
      <c r="C6" s="142">
        <v>3.30253</v>
      </c>
      <c r="D6" s="100">
        <f t="shared" si="0"/>
        <v>524.35472023884597</v>
      </c>
      <c r="E6" s="125">
        <v>11.93624727970673</v>
      </c>
      <c r="F6" s="142">
        <v>13.954171000000001</v>
      </c>
      <c r="G6" s="125">
        <v>11.616405325721676</v>
      </c>
      <c r="H6" s="125">
        <v>9.5839611643627212</v>
      </c>
      <c r="I6" s="125">
        <v>0.88729296843198968</v>
      </c>
      <c r="J6" s="126">
        <v>631.65217193638227</v>
      </c>
      <c r="K6" s="126">
        <v>506.64749691612809</v>
      </c>
      <c r="L6" s="100">
        <f t="shared" si="2"/>
        <v>330.9257571682009</v>
      </c>
      <c r="M6" s="100">
        <f t="shared" si="3"/>
        <v>413.03471971289258</v>
      </c>
      <c r="N6" s="100">
        <f t="shared" si="4"/>
        <v>108.5825264486451</v>
      </c>
      <c r="O6" s="100">
        <f t="shared" si="5"/>
        <v>898.17649270519473</v>
      </c>
      <c r="P6" s="100"/>
      <c r="Q6" s="100"/>
      <c r="R6" s="101">
        <f t="shared" si="6"/>
        <v>1962.1164142451546</v>
      </c>
      <c r="S6" s="101">
        <f t="shared" si="7"/>
        <v>4512.1743147094294</v>
      </c>
      <c r="T6" s="65"/>
      <c r="U6" s="8">
        <v>2005</v>
      </c>
      <c r="V6" s="53">
        <f t="shared" ref="V6:BD6" si="17">V48/$BC48</f>
        <v>0.33866260133467696</v>
      </c>
      <c r="W6" s="53"/>
      <c r="X6" s="53">
        <f t="shared" si="17"/>
        <v>0.14585055552541118</v>
      </c>
      <c r="Y6" s="53"/>
      <c r="Z6" s="53">
        <f t="shared" si="17"/>
        <v>4.7895224463255183E-3</v>
      </c>
      <c r="AA6" s="53"/>
      <c r="AB6" s="53">
        <f t="shared" ref="AB6:AB32" si="18">AB48/$BC48</f>
        <v>0.15045539127031082</v>
      </c>
      <c r="AC6" s="53"/>
      <c r="AD6" s="53">
        <f t="shared" si="17"/>
        <v>0.43823339698471758</v>
      </c>
      <c r="AE6" s="53"/>
      <c r="AF6" s="53">
        <f t="shared" si="17"/>
        <v>0.60157638006521053</v>
      </c>
      <c r="AG6" s="53"/>
      <c r="AH6" s="53">
        <f t="shared" si="17"/>
        <v>0.14585055552541118</v>
      </c>
      <c r="AI6" s="53"/>
      <c r="AJ6" s="53">
        <f t="shared" si="17"/>
        <v>4.7895224463255183E-3</v>
      </c>
      <c r="AK6" s="53">
        <f t="shared" si="17"/>
        <v>0.89918050172688591</v>
      </c>
      <c r="AL6" s="53"/>
      <c r="AM6" s="53">
        <f t="shared" si="17"/>
        <v>0.59041219228192388</v>
      </c>
      <c r="AN6" s="53"/>
      <c r="AO6" s="53">
        <f t="shared" si="17"/>
        <v>0.68160970201460835</v>
      </c>
      <c r="AP6" s="53"/>
      <c r="AQ6" s="53">
        <f t="shared" si="17"/>
        <v>1.6512366464841195</v>
      </c>
      <c r="AR6" s="53"/>
      <c r="AS6" s="53">
        <f t="shared" si="17"/>
        <v>0.8214036073244454</v>
      </c>
      <c r="AT6" s="53"/>
      <c r="AU6" s="53">
        <f t="shared" si="17"/>
        <v>1.201410640797568</v>
      </c>
      <c r="AV6" s="53"/>
      <c r="AW6" s="53">
        <f t="shared" si="17"/>
        <v>0.45856518308937183</v>
      </c>
      <c r="AX6" s="53"/>
      <c r="AY6" s="53">
        <f t="shared" si="17"/>
        <v>3.2130096330146123</v>
      </c>
      <c r="AZ6" s="53"/>
      <c r="BA6" s="53">
        <f t="shared" ref="BA6:BA36" si="19">BA48/$BC48</f>
        <v>0.4717662925443154</v>
      </c>
      <c r="BB6" s="53"/>
      <c r="BC6" s="53">
        <f t="shared" si="17"/>
        <v>1</v>
      </c>
      <c r="BD6" s="53">
        <f t="shared" si="17"/>
        <v>1</v>
      </c>
      <c r="BE6" s="105">
        <f t="shared" ref="BE6:BE21" si="20">AU6-1</f>
        <v>0.20141064079756799</v>
      </c>
      <c r="BG6" s="14" t="s">
        <v>20</v>
      </c>
      <c r="BH6" s="26" t="s">
        <v>1</v>
      </c>
      <c r="BI6" s="27">
        <f>X48</f>
        <v>1005312</v>
      </c>
      <c r="BJ6" s="27">
        <f>X92</f>
        <v>9340069</v>
      </c>
      <c r="BK6" s="27">
        <f t="shared" si="12"/>
        <v>2722.9533155983272</v>
      </c>
      <c r="BL6" s="27">
        <f>$BK$6*X6</f>
        <v>397.14425374977628</v>
      </c>
      <c r="BM6" s="27">
        <f t="shared" ref="BM6:BM24" si="21">BL6*$BL$28</f>
        <v>444.18955716177072</v>
      </c>
      <c r="BO6" s="26">
        <f t="shared" si="13"/>
        <v>1992</v>
      </c>
      <c r="BP6" s="29">
        <f t="shared" si="8"/>
        <v>1.044313725490196</v>
      </c>
      <c r="BQ6" s="29">
        <f t="shared" si="14"/>
        <v>1.0637130801687764</v>
      </c>
      <c r="BR6" s="29">
        <f t="shared" si="14"/>
        <v>1.1265664160401003</v>
      </c>
      <c r="BS6" s="29">
        <f t="shared" si="14"/>
        <v>1.1029810298102982</v>
      </c>
      <c r="BT6" s="29">
        <f t="shared" si="14"/>
        <v>1.04</v>
      </c>
      <c r="BU6" s="29">
        <f t="shared" si="14"/>
        <v>1.170333569907736</v>
      </c>
      <c r="BV6" s="29">
        <f t="shared" si="14"/>
        <v>0.83779527559055122</v>
      </c>
      <c r="BW6" s="29">
        <f t="shared" si="14"/>
        <v>0.95805471124620067</v>
      </c>
      <c r="BX6" s="29">
        <f t="shared" si="14"/>
        <v>0.9440772750381291</v>
      </c>
      <c r="BZ6" s="26">
        <f t="shared" si="15"/>
        <v>1992</v>
      </c>
      <c r="CA6" s="29">
        <f t="shared" si="10"/>
        <v>0.68032786885245899</v>
      </c>
      <c r="CB6" s="29">
        <f t="shared" si="16"/>
        <v>0.6846424384525206</v>
      </c>
      <c r="CC6" s="29">
        <f t="shared" si="16"/>
        <v>0.57837837837837835</v>
      </c>
      <c r="CD6" s="29">
        <f t="shared" si="16"/>
        <v>0.54691689008042899</v>
      </c>
      <c r="CE6" s="29">
        <f t="shared" si="16"/>
        <v>0.55589430894308944</v>
      </c>
      <c r="CF6" s="29">
        <f t="shared" si="16"/>
        <v>0.52517162471395873</v>
      </c>
      <c r="CG6" s="29">
        <f t="shared" si="16"/>
        <v>0.5752212389380531</v>
      </c>
      <c r="CH6" s="29">
        <f t="shared" si="16"/>
        <v>0.61572052401746735</v>
      </c>
      <c r="CI6" s="29">
        <f t="shared" si="16"/>
        <v>0.64999999999999991</v>
      </c>
    </row>
    <row r="7" spans="1:87" x14ac:dyDescent="0.2">
      <c r="A7" s="26">
        <v>2008</v>
      </c>
      <c r="B7" s="125">
        <v>7.302377720492446</v>
      </c>
      <c r="C7" s="142">
        <v>3.3036409999999998</v>
      </c>
      <c r="D7" s="100">
        <f t="shared" si="0"/>
        <v>576.73452951309423</v>
      </c>
      <c r="E7" s="125">
        <v>12.08833891284468</v>
      </c>
      <c r="F7" s="142">
        <v>13.997324000000001</v>
      </c>
      <c r="G7" s="125">
        <v>11.802056259305916</v>
      </c>
      <c r="H7" s="125">
        <v>9.6531179818082791</v>
      </c>
      <c r="I7" s="125">
        <v>0.88925478972545646</v>
      </c>
      <c r="J7" s="126">
        <v>617.91187523118072</v>
      </c>
      <c r="K7" s="126">
        <v>497.00853788104638</v>
      </c>
      <c r="L7" s="100">
        <f t="shared" si="2"/>
        <v>331.30107414508501</v>
      </c>
      <c r="M7" s="100">
        <f t="shared" si="3"/>
        <v>404.74184677448062</v>
      </c>
      <c r="N7" s="100">
        <f t="shared" si="4"/>
        <v>106.04839760643169</v>
      </c>
      <c r="O7" s="100">
        <f t="shared" si="5"/>
        <v>881.15789548844009</v>
      </c>
      <c r="P7" s="100"/>
      <c r="Q7" s="100"/>
      <c r="R7" s="101">
        <f t="shared" si="6"/>
        <v>1932.8784015467093</v>
      </c>
      <c r="S7" s="101">
        <f t="shared" si="7"/>
        <v>4735.3504576439354</v>
      </c>
      <c r="T7" s="65"/>
      <c r="U7" s="8">
        <v>2006</v>
      </c>
      <c r="V7" s="53">
        <f t="shared" ref="V7:BD7" si="22">V49/$BC49</f>
        <v>0.33591282377513487</v>
      </c>
      <c r="W7" s="53"/>
      <c r="X7" s="53">
        <f t="shared" si="22"/>
        <v>0.14906821061292955</v>
      </c>
      <c r="Y7" s="53"/>
      <c r="Z7" s="53">
        <f t="shared" si="22"/>
        <v>5.1685671200163647E-3</v>
      </c>
      <c r="AA7" s="53"/>
      <c r="AB7" s="53">
        <f t="shared" si="18"/>
        <v>0.15893259203615842</v>
      </c>
      <c r="AC7" s="53"/>
      <c r="AD7" s="53">
        <f t="shared" si="22"/>
        <v>0.43284625161578538</v>
      </c>
      <c r="AE7" s="53"/>
      <c r="AF7" s="53">
        <f t="shared" si="22"/>
        <v>0.60126330738995037</v>
      </c>
      <c r="AG7" s="53"/>
      <c r="AH7" s="53">
        <f t="shared" si="22"/>
        <v>0.14906821061292955</v>
      </c>
      <c r="AI7" s="53"/>
      <c r="AJ7" s="53">
        <f t="shared" si="22"/>
        <v>5.1685671200163647E-3</v>
      </c>
      <c r="AK7" s="53">
        <f t="shared" si="22"/>
        <v>0.8983249169060703</v>
      </c>
      <c r="AL7" s="53"/>
      <c r="AM7" s="53">
        <f t="shared" si="22"/>
        <v>0.59206599828255002</v>
      </c>
      <c r="AN7" s="53"/>
      <c r="AO7" s="53">
        <f t="shared" si="22"/>
        <v>0.68276102060406552</v>
      </c>
      <c r="AP7" s="53"/>
      <c r="AQ7" s="53">
        <f t="shared" si="22"/>
        <v>1.6491071321743069</v>
      </c>
      <c r="AR7" s="53"/>
      <c r="AS7" s="53">
        <f t="shared" si="22"/>
        <v>0.82147631212151484</v>
      </c>
      <c r="AT7" s="53"/>
      <c r="AU7" s="53">
        <f t="shared" si="22"/>
        <v>1.1998737499872063</v>
      </c>
      <c r="AV7" s="53"/>
      <c r="AW7" s="53">
        <f t="shared" si="22"/>
        <v>0.45792269284156084</v>
      </c>
      <c r="AX7" s="53"/>
      <c r="AY7" s="53">
        <f t="shared" si="22"/>
        <v>3.2430221929301433</v>
      </c>
      <c r="AZ7" s="53"/>
      <c r="BA7" s="53">
        <f t="shared" si="19"/>
        <v>0.46978973275158575</v>
      </c>
      <c r="BB7" s="53"/>
      <c r="BC7" s="53">
        <f t="shared" si="22"/>
        <v>1</v>
      </c>
      <c r="BD7" s="53">
        <f t="shared" si="22"/>
        <v>1</v>
      </c>
      <c r="BE7" s="105">
        <f t="shared" si="20"/>
        <v>0.19987374998720631</v>
      </c>
      <c r="BG7" s="40" t="s">
        <v>162</v>
      </c>
      <c r="BH7" s="26" t="s">
        <v>163</v>
      </c>
      <c r="BI7" s="27">
        <f>Z48</f>
        <v>33013</v>
      </c>
      <c r="BJ7" s="27">
        <f>Z92</f>
        <v>208675</v>
      </c>
      <c r="BK7" s="27">
        <f>1000*(BJ7/BI7)/3.412</f>
        <v>1852.5775966119993</v>
      </c>
      <c r="BL7" s="27">
        <f>$BK$7*Z6</f>
        <v>8.8729619825329529</v>
      </c>
      <c r="BM7" s="27">
        <f t="shared" si="21"/>
        <v>9.9240440130295084</v>
      </c>
      <c r="BO7" s="26">
        <f t="shared" si="13"/>
        <v>1993</v>
      </c>
      <c r="BP7" s="29">
        <f t="shared" si="8"/>
        <v>1.0949019607843138</v>
      </c>
      <c r="BQ7" s="29">
        <f t="shared" si="14"/>
        <v>1.0502109704641351</v>
      </c>
      <c r="BR7" s="29">
        <f t="shared" si="14"/>
        <v>1.1409774436090225</v>
      </c>
      <c r="BS7" s="29">
        <f t="shared" si="14"/>
        <v>1.1165311653116532</v>
      </c>
      <c r="BT7" s="29">
        <f t="shared" si="14"/>
        <v>1.0358208955223882</v>
      </c>
      <c r="BU7" s="29">
        <f t="shared" si="14"/>
        <v>1.1724627395315828</v>
      </c>
      <c r="BV7" s="29">
        <f t="shared" si="14"/>
        <v>0.88083989501312343</v>
      </c>
      <c r="BW7" s="29">
        <f t="shared" si="14"/>
        <v>0.9659574468085107</v>
      </c>
      <c r="BX7" s="29">
        <f t="shared" si="14"/>
        <v>0.94611082867310614</v>
      </c>
      <c r="BZ7" s="26">
        <f t="shared" si="15"/>
        <v>1993</v>
      </c>
      <c r="CA7" s="29">
        <f t="shared" si="10"/>
        <v>0.7018442622950819</v>
      </c>
      <c r="CB7" s="29">
        <f t="shared" si="16"/>
        <v>0.70457209847596725</v>
      </c>
      <c r="CC7" s="29">
        <f t="shared" si="16"/>
        <v>0.60270270270270265</v>
      </c>
      <c r="CD7" s="29">
        <f t="shared" si="16"/>
        <v>0.56702412868632712</v>
      </c>
      <c r="CE7" s="29">
        <f t="shared" si="16"/>
        <v>0.58536585365853655</v>
      </c>
      <c r="CF7" s="29">
        <f t="shared" si="16"/>
        <v>0.53775743707093826</v>
      </c>
      <c r="CG7" s="29">
        <f t="shared" si="16"/>
        <v>0.57901390644753481</v>
      </c>
      <c r="CH7" s="29">
        <f t="shared" si="16"/>
        <v>0.60553129548762741</v>
      </c>
      <c r="CI7" s="29">
        <f t="shared" si="16"/>
        <v>0.66486486486486485</v>
      </c>
    </row>
    <row r="8" spans="1:87" x14ac:dyDescent="0.2">
      <c r="A8" s="26">
        <v>2009</v>
      </c>
      <c r="B8" s="125">
        <v>7.4469618234936279</v>
      </c>
      <c r="C8" s="142">
        <v>3.3131979999999999</v>
      </c>
      <c r="D8" s="100">
        <f t="shared" si="0"/>
        <v>551.93627430015886</v>
      </c>
      <c r="E8" s="125">
        <v>12.357536678854581</v>
      </c>
      <c r="F8" s="142">
        <v>14.100529</v>
      </c>
      <c r="G8" s="125">
        <v>12.111568890511583</v>
      </c>
      <c r="H8" s="125">
        <v>9.7274060500263637</v>
      </c>
      <c r="I8" s="125">
        <v>0.8924520000414683</v>
      </c>
      <c r="J8" s="126">
        <v>604.50392112234965</v>
      </c>
      <c r="K8" s="126">
        <v>487.85587729521859</v>
      </c>
      <c r="L8" s="100">
        <f t="shared" si="2"/>
        <v>330.07754356289564</v>
      </c>
      <c r="M8" s="100">
        <f t="shared" si="3"/>
        <v>394.81578406430697</v>
      </c>
      <c r="N8" s="100">
        <f t="shared" si="4"/>
        <v>102.90101727769803</v>
      </c>
      <c r="O8" s="100">
        <f t="shared" si="5"/>
        <v>860.53722213716173</v>
      </c>
      <c r="P8" s="100"/>
      <c r="Q8" s="100"/>
      <c r="R8" s="101">
        <f t="shared" si="6"/>
        <v>1889.2139181923412</v>
      </c>
      <c r="S8" s="101">
        <f t="shared" si="7"/>
        <v>4693.5828928706769</v>
      </c>
      <c r="T8" s="65"/>
      <c r="U8" s="8">
        <v>2007</v>
      </c>
      <c r="V8" s="53">
        <f t="shared" ref="V8:BD8" si="23">V50/$BC50</f>
        <v>0.33336803080564387</v>
      </c>
      <c r="W8" s="53"/>
      <c r="X8" s="53">
        <f t="shared" si="23"/>
        <v>0.1534350069223599</v>
      </c>
      <c r="Y8" s="53"/>
      <c r="Z8" s="53">
        <f t="shared" si="23"/>
        <v>6.233051070110027E-3</v>
      </c>
      <c r="AA8" s="53"/>
      <c r="AB8" s="53">
        <f t="shared" si="18"/>
        <v>0.1568982573016047</v>
      </c>
      <c r="AC8" s="53"/>
      <c r="AD8" s="53">
        <f t="shared" si="23"/>
        <v>0.42628457753043097</v>
      </c>
      <c r="AE8" s="53"/>
      <c r="AF8" s="53">
        <f t="shared" si="23"/>
        <v>0.60290556347552726</v>
      </c>
      <c r="AG8" s="53"/>
      <c r="AH8" s="53">
        <f t="shared" si="23"/>
        <v>0.1534350069223599</v>
      </c>
      <c r="AI8" s="53"/>
      <c r="AJ8" s="53">
        <f t="shared" si="23"/>
        <v>6.233051070110027E-3</v>
      </c>
      <c r="AK8" s="53">
        <f t="shared" si="23"/>
        <v>0.89919042087034395</v>
      </c>
      <c r="AL8" s="53"/>
      <c r="AM8" s="53">
        <f t="shared" si="23"/>
        <v>0.59576887885184782</v>
      </c>
      <c r="AN8" s="53"/>
      <c r="AO8" s="53">
        <f t="shared" si="23"/>
        <v>0.68524894793837043</v>
      </c>
      <c r="AP8" s="53"/>
      <c r="AQ8" s="53">
        <f t="shared" si="23"/>
        <v>1.6499143557864533</v>
      </c>
      <c r="AR8" s="53"/>
      <c r="AS8" s="53">
        <f t="shared" si="23"/>
        <v>0.8236340333369887</v>
      </c>
      <c r="AT8" s="53"/>
      <c r="AU8" s="53">
        <f t="shared" si="23"/>
        <v>1.2000103664053077</v>
      </c>
      <c r="AV8" s="53"/>
      <c r="AW8" s="53">
        <f t="shared" si="23"/>
        <v>0.45794909095478303</v>
      </c>
      <c r="AX8" s="53"/>
      <c r="AY8" s="53">
        <f t="shared" si="23"/>
        <v>3.4330023223032495</v>
      </c>
      <c r="AZ8" s="53"/>
      <c r="BA8" s="53">
        <f t="shared" si="19"/>
        <v>0.46735524728588662</v>
      </c>
      <c r="BB8" s="53"/>
      <c r="BC8" s="53">
        <f t="shared" si="23"/>
        <v>1</v>
      </c>
      <c r="BD8" s="53">
        <f t="shared" si="23"/>
        <v>1</v>
      </c>
      <c r="BE8" s="105">
        <f t="shared" si="20"/>
        <v>0.20001036640530767</v>
      </c>
      <c r="BG8" s="14" t="s">
        <v>146</v>
      </c>
      <c r="BH8" s="26" t="s">
        <v>145</v>
      </c>
      <c r="BI8" s="27">
        <f>AB48</f>
        <v>1037052</v>
      </c>
      <c r="BJ8" s="27">
        <f>AB92</f>
        <v>2213161</v>
      </c>
      <c r="BK8" s="27">
        <f>1000*(BJ8/BI8)/3.412</f>
        <v>625.46563419179665</v>
      </c>
      <c r="BL8" s="27">
        <f>BK8*AB6</f>
        <v>94.104676718459871</v>
      </c>
      <c r="BM8" s="27">
        <f t="shared" si="21"/>
        <v>105.25222078313359</v>
      </c>
      <c r="BO8" s="26">
        <f t="shared" si="13"/>
        <v>1994</v>
      </c>
      <c r="BP8" s="29">
        <f t="shared" si="8"/>
        <v>1.1411764705882355</v>
      </c>
      <c r="BQ8" s="29">
        <f t="shared" si="14"/>
        <v>1.0696202531645571</v>
      </c>
      <c r="BR8" s="29">
        <f t="shared" si="14"/>
        <v>1.1604010025062657</v>
      </c>
      <c r="BS8" s="29">
        <f t="shared" si="14"/>
        <v>1.1510840108401084</v>
      </c>
      <c r="BT8" s="29">
        <f t="shared" si="14"/>
        <v>1.0602985074626867</v>
      </c>
      <c r="BU8" s="29">
        <f t="shared" si="14"/>
        <v>1.2072391767210788</v>
      </c>
      <c r="BV8" s="29">
        <f t="shared" si="14"/>
        <v>0.90603674540682422</v>
      </c>
      <c r="BW8" s="29">
        <f t="shared" si="14"/>
        <v>1.0249240121580547</v>
      </c>
      <c r="BX8" s="29">
        <f t="shared" si="14"/>
        <v>0.97661413319776302</v>
      </c>
      <c r="BZ8" s="26">
        <f t="shared" si="15"/>
        <v>1994</v>
      </c>
      <c r="CA8" s="29">
        <f t="shared" si="10"/>
        <v>0.73975409836065575</v>
      </c>
      <c r="CB8" s="29">
        <f t="shared" si="16"/>
        <v>0.73388042203985937</v>
      </c>
      <c r="CC8" s="29">
        <f t="shared" si="16"/>
        <v>0.5972972972972973</v>
      </c>
      <c r="CD8" s="29">
        <f t="shared" si="16"/>
        <v>0.55495978552278813</v>
      </c>
      <c r="CE8" s="29">
        <f t="shared" si="16"/>
        <v>0.59247967479674801</v>
      </c>
      <c r="CF8" s="29">
        <f t="shared" si="16"/>
        <v>0.55491990846681916</v>
      </c>
      <c r="CG8" s="29">
        <f t="shared" si="16"/>
        <v>0.58786346396965872</v>
      </c>
      <c r="CH8" s="29">
        <f t="shared" si="16"/>
        <v>0.62736535662299853</v>
      </c>
      <c r="CI8" s="29">
        <f t="shared" si="16"/>
        <v>0.67162162162162153</v>
      </c>
    </row>
    <row r="9" spans="1:87" x14ac:dyDescent="0.2">
      <c r="A9" s="26">
        <v>2010</v>
      </c>
      <c r="B9" s="125">
        <v>7.5579488575039955</v>
      </c>
      <c r="C9" s="142">
        <v>3.3880159999999999</v>
      </c>
      <c r="D9" s="100">
        <f t="shared" si="0"/>
        <v>572.04681954559237</v>
      </c>
      <c r="E9" s="125">
        <v>12.614787706568169</v>
      </c>
      <c r="F9" s="142">
        <v>14.824436</v>
      </c>
      <c r="G9" s="125">
        <v>12.378665525149154</v>
      </c>
      <c r="H9" s="125">
        <v>9.8066675844966884</v>
      </c>
      <c r="I9" s="125">
        <v>0.89494059863781383</v>
      </c>
      <c r="J9" s="126">
        <v>591.85248951264384</v>
      </c>
      <c r="K9" s="126">
        <v>479.45148196275602</v>
      </c>
      <c r="L9" s="100">
        <f t="shared" si="2"/>
        <v>330.26058639828216</v>
      </c>
      <c r="M9" s="100">
        <f t="shared" si="3"/>
        <v>386.25915595615032</v>
      </c>
      <c r="N9" s="100">
        <f t="shared" si="4"/>
        <v>99.956659292987666</v>
      </c>
      <c r="O9" s="100">
        <f t="shared" si="5"/>
        <v>847.20701431345481</v>
      </c>
      <c r="P9" s="100"/>
      <c r="Q9" s="100"/>
      <c r="R9" s="101">
        <f t="shared" si="6"/>
        <v>1865.6788210078303</v>
      </c>
      <c r="S9" s="101">
        <f t="shared" si="7"/>
        <v>4831.6574697068691</v>
      </c>
      <c r="T9" s="65"/>
      <c r="U9" s="8">
        <v>2008</v>
      </c>
      <c r="V9" s="53">
        <f t="shared" ref="V9:BD9" si="24">V51/$BC51</f>
        <v>0.33199889279497263</v>
      </c>
      <c r="W9" s="53"/>
      <c r="X9" s="53">
        <f t="shared" si="24"/>
        <v>0.15638305260516283</v>
      </c>
      <c r="Y9" s="53"/>
      <c r="Z9" s="53">
        <f t="shared" si="24"/>
        <v>7.3903379176677459E-3</v>
      </c>
      <c r="AA9" s="53"/>
      <c r="AB9" s="53">
        <f t="shared" si="18"/>
        <v>0.15549640804567094</v>
      </c>
      <c r="AC9" s="53"/>
      <c r="AD9" s="53">
        <f t="shared" si="24"/>
        <v>0.42155823059092734</v>
      </c>
      <c r="AE9" s="53"/>
      <c r="AF9" s="53">
        <f t="shared" si="24"/>
        <v>0.60482253403668407</v>
      </c>
      <c r="AG9" s="53"/>
      <c r="AH9" s="53">
        <f t="shared" si="24"/>
        <v>0.15638305260516283</v>
      </c>
      <c r="AI9" s="53"/>
      <c r="AJ9" s="53">
        <f t="shared" si="24"/>
        <v>7.3903379176677459E-3</v>
      </c>
      <c r="AK9" s="53">
        <f t="shared" si="24"/>
        <v>0.89966458618354128</v>
      </c>
      <c r="AL9" s="53"/>
      <c r="AM9" s="53">
        <f t="shared" si="24"/>
        <v>0.59856716648537533</v>
      </c>
      <c r="AN9" s="53"/>
      <c r="AO9" s="53">
        <f t="shared" si="24"/>
        <v>0.68833925352850589</v>
      </c>
      <c r="AP9" s="53"/>
      <c r="AQ9" s="53">
        <f t="shared" si="24"/>
        <v>1.6507428541887954</v>
      </c>
      <c r="AR9" s="53"/>
      <c r="AS9" s="53">
        <f t="shared" si="24"/>
        <v>0.82509668515937662</v>
      </c>
      <c r="AT9" s="53"/>
      <c r="AU9" s="53">
        <f t="shared" si="24"/>
        <v>1.1998881433197091</v>
      </c>
      <c r="AV9" s="53"/>
      <c r="AW9" s="53">
        <f t="shared" si="24"/>
        <v>0.45765189309194104</v>
      </c>
      <c r="AX9" s="53"/>
      <c r="AY9" s="53">
        <f t="shared" si="24"/>
        <v>3.6187536331052601</v>
      </c>
      <c r="AZ9" s="53"/>
      <c r="BA9" s="53">
        <f t="shared" si="19"/>
        <v>0.46494331255122562</v>
      </c>
      <c r="BB9" s="53"/>
      <c r="BC9" s="53">
        <f t="shared" si="24"/>
        <v>1</v>
      </c>
      <c r="BD9" s="53">
        <f t="shared" si="24"/>
        <v>1</v>
      </c>
      <c r="BE9" s="105">
        <f t="shared" si="20"/>
        <v>0.19988814331970906</v>
      </c>
      <c r="BG9" s="14" t="s">
        <v>21</v>
      </c>
      <c r="BH9" s="26" t="s">
        <v>2</v>
      </c>
      <c r="BI9" s="27">
        <f>AF48</f>
        <v>4146518</v>
      </c>
      <c r="BJ9" s="27">
        <f>AF92</f>
        <v>63913651</v>
      </c>
      <c r="BK9" s="27">
        <f t="shared" si="12"/>
        <v>4517.5300424541238</v>
      </c>
      <c r="BL9" s="27">
        <f>$BK$9*AF6</f>
        <v>2717.6393697753888</v>
      </c>
      <c r="BM9" s="27">
        <f t="shared" si="21"/>
        <v>3039.5681588949683</v>
      </c>
      <c r="BO9" s="26">
        <f t="shared" si="13"/>
        <v>1995</v>
      </c>
      <c r="BP9" s="29">
        <f t="shared" si="8"/>
        <v>1.0721568627450981</v>
      </c>
      <c r="BQ9" s="29">
        <f t="shared" si="14"/>
        <v>1.1578059071729958</v>
      </c>
      <c r="BR9" s="29">
        <f t="shared" si="14"/>
        <v>1.2355889724310776</v>
      </c>
      <c r="BS9" s="29">
        <f t="shared" si="14"/>
        <v>1.1592140921409213</v>
      </c>
      <c r="BT9" s="29">
        <f t="shared" si="14"/>
        <v>1.0949253731343283</v>
      </c>
      <c r="BU9" s="29">
        <f t="shared" si="14"/>
        <v>1.0298083747338538</v>
      </c>
      <c r="BV9" s="29">
        <f t="shared" si="14"/>
        <v>0.92545931758530176</v>
      </c>
      <c r="BW9" s="29">
        <f t="shared" si="14"/>
        <v>1.0996960486322189</v>
      </c>
      <c r="BX9" s="29">
        <f t="shared" si="14"/>
        <v>1.0660904931367563</v>
      </c>
      <c r="BZ9" s="26">
        <f t="shared" si="15"/>
        <v>1995</v>
      </c>
      <c r="CA9" s="29">
        <f t="shared" si="10"/>
        <v>0.71721311475409832</v>
      </c>
      <c r="CB9" s="29">
        <f t="shared" si="16"/>
        <v>0.70339976553341155</v>
      </c>
      <c r="CC9" s="29">
        <f t="shared" si="16"/>
        <v>0.52702702702702697</v>
      </c>
      <c r="CD9" s="29">
        <f t="shared" si="16"/>
        <v>0.51474530831099197</v>
      </c>
      <c r="CE9" s="29">
        <f t="shared" si="16"/>
        <v>0.54166666666666663</v>
      </c>
      <c r="CF9" s="29">
        <f t="shared" si="16"/>
        <v>0.50800915331807783</v>
      </c>
      <c r="CG9" s="29">
        <f t="shared" si="16"/>
        <v>0.5689001264222503</v>
      </c>
      <c r="CH9" s="29">
        <f t="shared" si="16"/>
        <v>0.59970887918486171</v>
      </c>
      <c r="CI9" s="29">
        <f t="shared" si="16"/>
        <v>0.66081081081081072</v>
      </c>
    </row>
    <row r="10" spans="1:87" x14ac:dyDescent="0.2">
      <c r="A10" s="26">
        <v>2011</v>
      </c>
      <c r="B10" s="125">
        <v>7.5714163701222743</v>
      </c>
      <c r="C10" s="142">
        <v>3.4313090000000002</v>
      </c>
      <c r="D10" s="100">
        <f t="shared" si="0"/>
        <v>521.58822756453208</v>
      </c>
      <c r="E10" s="125">
        <v>12.680915008767705</v>
      </c>
      <c r="F10" s="142">
        <v>15.217358000000001</v>
      </c>
      <c r="G10" s="125">
        <v>12.463080238937028</v>
      </c>
      <c r="H10" s="125">
        <v>9.8741992696547687</v>
      </c>
      <c r="I10" s="125">
        <v>0.89628488788144389</v>
      </c>
      <c r="J10" s="126">
        <v>581.11669764603766</v>
      </c>
      <c r="K10" s="126">
        <v>472.68560384871955</v>
      </c>
      <c r="L10" s="100">
        <f t="shared" si="2"/>
        <v>329.85134261423076</v>
      </c>
      <c r="M10" s="100">
        <f t="shared" si="3"/>
        <v>378.4903821942803</v>
      </c>
      <c r="N10" s="100">
        <f t="shared" si="4"/>
        <v>97.105744953638549</v>
      </c>
      <c r="O10" s="100">
        <f t="shared" si="5"/>
        <v>829.562427622462</v>
      </c>
      <c r="P10" s="100"/>
      <c r="Q10" s="100"/>
      <c r="R10" s="101">
        <f t="shared" si="6"/>
        <v>1818.8624107485023</v>
      </c>
      <c r="S10" s="101">
        <f t="shared" si="7"/>
        <v>4727.7771386018567</v>
      </c>
      <c r="T10" s="65"/>
      <c r="U10" s="8">
        <v>2009</v>
      </c>
      <c r="V10" s="53">
        <f t="shared" ref="V10:BD10" si="25">V52/$BC52</f>
        <v>0.33023738897528454</v>
      </c>
      <c r="W10" s="53"/>
      <c r="X10" s="53">
        <f t="shared" si="25"/>
        <v>0.15971358657458237</v>
      </c>
      <c r="Y10" s="53"/>
      <c r="Z10" s="53">
        <f t="shared" si="25"/>
        <v>8.7196207872700122E-3</v>
      </c>
      <c r="AA10" s="53"/>
      <c r="AB10" s="53">
        <f t="shared" si="18"/>
        <v>0.15397727433088823</v>
      </c>
      <c r="AC10" s="53"/>
      <c r="AD10" s="53">
        <f t="shared" si="25"/>
        <v>0.41649953572124082</v>
      </c>
      <c r="AE10" s="53"/>
      <c r="AF10" s="53">
        <f t="shared" si="25"/>
        <v>0.60629358787286947</v>
      </c>
      <c r="AG10" s="53"/>
      <c r="AH10" s="53">
        <f t="shared" si="25"/>
        <v>0.15971358657458237</v>
      </c>
      <c r="AI10" s="53"/>
      <c r="AJ10" s="53">
        <f t="shared" si="25"/>
        <v>8.7196207872700122E-3</v>
      </c>
      <c r="AK10" s="53">
        <f t="shared" si="25"/>
        <v>0.90033148656696194</v>
      </c>
      <c r="AL10" s="53"/>
      <c r="AM10" s="53">
        <f t="shared" si="25"/>
        <v>0.60182776245861713</v>
      </c>
      <c r="AN10" s="53"/>
      <c r="AO10" s="53">
        <f t="shared" si="25"/>
        <v>0.69112451420072085</v>
      </c>
      <c r="AP10" s="53"/>
      <c r="AQ10" s="53">
        <f t="shared" si="25"/>
        <v>1.6514921834649026</v>
      </c>
      <c r="AR10" s="53"/>
      <c r="AS10" s="53">
        <f t="shared" si="25"/>
        <v>0.82691617298829001</v>
      </c>
      <c r="AT10" s="53"/>
      <c r="AU10" s="53">
        <f t="shared" si="25"/>
        <v>1.200007338144522</v>
      </c>
      <c r="AV10" s="53"/>
      <c r="AW10" s="53">
        <f t="shared" si="25"/>
        <v>0.45774385924309863</v>
      </c>
      <c r="AX10" s="53"/>
      <c r="AY10" s="53">
        <f t="shared" si="25"/>
        <v>3.7181906957972188</v>
      </c>
      <c r="AZ10" s="53"/>
      <c r="BA10" s="53">
        <f t="shared" si="19"/>
        <v>0.4624161405311123</v>
      </c>
      <c r="BB10" s="53"/>
      <c r="BC10" s="53">
        <f t="shared" si="25"/>
        <v>1</v>
      </c>
      <c r="BD10" s="53">
        <f t="shared" si="25"/>
        <v>1</v>
      </c>
      <c r="BE10" s="105">
        <f t="shared" si="20"/>
        <v>0.20000733814452198</v>
      </c>
      <c r="BG10" s="14" t="s">
        <v>22</v>
      </c>
      <c r="BH10" s="26" t="s">
        <v>3</v>
      </c>
      <c r="BI10" s="27">
        <f>AH48</f>
        <v>1005312</v>
      </c>
      <c r="BJ10" s="27">
        <f>AH92</f>
        <v>14816839</v>
      </c>
      <c r="BK10" s="27">
        <f t="shared" si="12"/>
        <v>4319.6212877802727</v>
      </c>
      <c r="BL10" s="27">
        <f>$BK$10*AH6</f>
        <v>630.01916448214479</v>
      </c>
      <c r="BM10" s="27">
        <f t="shared" si="21"/>
        <v>704.65059240432311</v>
      </c>
      <c r="BO10" s="26">
        <f t="shared" si="13"/>
        <v>1996</v>
      </c>
      <c r="BP10" s="29">
        <f t="shared" si="8"/>
        <v>1.0588235294117647</v>
      </c>
      <c r="BQ10" s="29">
        <f t="shared" si="14"/>
        <v>1.1413502109704643</v>
      </c>
      <c r="BR10" s="29">
        <f t="shared" si="14"/>
        <v>1.2124060150375939</v>
      </c>
      <c r="BS10" s="29">
        <f t="shared" si="14"/>
        <v>1.1212737127371275</v>
      </c>
      <c r="BT10" s="29">
        <f t="shared" si="14"/>
        <v>1.0698507462686568</v>
      </c>
      <c r="BU10" s="29">
        <f t="shared" si="14"/>
        <v>1.0028388928317957</v>
      </c>
      <c r="BV10" s="29">
        <f t="shared" si="14"/>
        <v>0.91706036745406816</v>
      </c>
      <c r="BW10" s="29">
        <f t="shared" si="14"/>
        <v>1.0680851063829788</v>
      </c>
      <c r="BX10" s="29">
        <f t="shared" si="14"/>
        <v>1.0284697508896796</v>
      </c>
      <c r="BZ10" s="26">
        <f t="shared" si="15"/>
        <v>1996</v>
      </c>
      <c r="CA10" s="29">
        <f t="shared" si="10"/>
        <v>0.7018442622950819</v>
      </c>
      <c r="CB10" s="29">
        <f t="shared" si="16"/>
        <v>0.71160609613130132</v>
      </c>
      <c r="CC10" s="29">
        <f t="shared" si="16"/>
        <v>0.55810810810810807</v>
      </c>
      <c r="CD10" s="29">
        <f t="shared" si="16"/>
        <v>0.5630026809651475</v>
      </c>
      <c r="CE10" s="29">
        <f t="shared" si="16"/>
        <v>0.5792682926829269</v>
      </c>
      <c r="CF10" s="29">
        <f t="shared" si="16"/>
        <v>0.5389016018306636</v>
      </c>
      <c r="CG10" s="29">
        <f t="shared" si="16"/>
        <v>0.572692793931732</v>
      </c>
      <c r="CH10" s="29">
        <f t="shared" si="16"/>
        <v>0.54148471615720528</v>
      </c>
      <c r="CI10" s="29">
        <f t="shared" si="16"/>
        <v>0.64324324324324322</v>
      </c>
    </row>
    <row r="11" spans="1:87" x14ac:dyDescent="0.2">
      <c r="A11" s="26">
        <v>2012</v>
      </c>
      <c r="B11" s="125">
        <v>7.6178553973680234</v>
      </c>
      <c r="C11" s="142">
        <v>3.4590559999999999</v>
      </c>
      <c r="D11" s="100">
        <f t="shared" si="0"/>
        <v>499.45843221443903</v>
      </c>
      <c r="E11" s="125">
        <v>12.790951865091673</v>
      </c>
      <c r="F11" s="142">
        <v>15.475415999999999</v>
      </c>
      <c r="G11" s="125">
        <v>12.610954691482007</v>
      </c>
      <c r="H11" s="125">
        <v>9.9418246440066174</v>
      </c>
      <c r="I11" s="125">
        <v>0.8979712989076909</v>
      </c>
      <c r="J11" s="126">
        <v>572.006354242724</v>
      </c>
      <c r="K11" s="126">
        <v>467.14811296909187</v>
      </c>
      <c r="L11" s="100">
        <f t="shared" si="2"/>
        <v>331.36141135862437</v>
      </c>
      <c r="M11" s="100">
        <f t="shared" si="3"/>
        <v>372.63790918317289</v>
      </c>
      <c r="N11" s="100">
        <f t="shared" si="4"/>
        <v>94.708031475446276</v>
      </c>
      <c r="O11" s="100">
        <f t="shared" si="5"/>
        <v>827.67190167455692</v>
      </c>
      <c r="P11" s="100"/>
      <c r="Q11" s="100"/>
      <c r="R11" s="101">
        <f t="shared" si="6"/>
        <v>1797.2757481829826</v>
      </c>
      <c r="S11" s="101">
        <f t="shared" si="7"/>
        <v>4824.3600022852979</v>
      </c>
      <c r="T11" s="65"/>
      <c r="U11" s="8">
        <v>2010</v>
      </c>
      <c r="V11" s="53">
        <f t="shared" ref="V11:BD11" si="26">V53/$BC53</f>
        <v>0.32750296941433499</v>
      </c>
      <c r="W11" s="53"/>
      <c r="X11" s="53">
        <f t="shared" si="26"/>
        <v>0.16452710298414286</v>
      </c>
      <c r="Y11" s="53"/>
      <c r="Z11" s="53">
        <f t="shared" si="26"/>
        <v>1.069902719252684E-2</v>
      </c>
      <c r="AA11" s="53"/>
      <c r="AB11" s="53">
        <f t="shared" si="18"/>
        <v>0.15177222011770541</v>
      </c>
      <c r="AC11" s="53"/>
      <c r="AD11" s="53">
        <f t="shared" si="26"/>
        <v>0.40939339147006792</v>
      </c>
      <c r="AE11" s="53"/>
      <c r="AF11" s="53">
        <f t="shared" si="26"/>
        <v>0.60661145889878665</v>
      </c>
      <c r="AG11" s="53"/>
      <c r="AH11" s="53">
        <f t="shared" si="26"/>
        <v>0.16452710298414286</v>
      </c>
      <c r="AI11" s="53"/>
      <c r="AJ11" s="53">
        <f t="shared" si="26"/>
        <v>1.069902719252684E-2</v>
      </c>
      <c r="AK11" s="53">
        <f t="shared" si="26"/>
        <v>0.90149313143361487</v>
      </c>
      <c r="AL11" s="53"/>
      <c r="AM11" s="53">
        <f t="shared" si="26"/>
        <v>0.60628913308722576</v>
      </c>
      <c r="AN11" s="53"/>
      <c r="AO11" s="53">
        <f t="shared" si="26"/>
        <v>0.69398016447961186</v>
      </c>
      <c r="AP11" s="53"/>
      <c r="AQ11" s="53">
        <f t="shared" si="26"/>
        <v>1.6525793596553526</v>
      </c>
      <c r="AR11" s="53"/>
      <c r="AS11" s="53">
        <f t="shared" si="26"/>
        <v>0.82945352176166465</v>
      </c>
      <c r="AT11" s="53"/>
      <c r="AU11" s="53">
        <f t="shared" si="26"/>
        <v>1.200300037769723</v>
      </c>
      <c r="AV11" s="53"/>
      <c r="AW11" s="53">
        <f t="shared" si="26"/>
        <v>0.45816919496931835</v>
      </c>
      <c r="AX11" s="53"/>
      <c r="AY11" s="53">
        <f t="shared" si="26"/>
        <v>3.7724349085967126</v>
      </c>
      <c r="AZ11" s="53"/>
      <c r="BA11" s="53">
        <f t="shared" si="19"/>
        <v>0.45888428126783531</v>
      </c>
      <c r="BB11" s="53"/>
      <c r="BC11" s="53">
        <f t="shared" si="26"/>
        <v>1</v>
      </c>
      <c r="BD11" s="53">
        <f t="shared" si="26"/>
        <v>1</v>
      </c>
      <c r="BE11" s="105">
        <f t="shared" si="20"/>
        <v>0.20030003776972305</v>
      </c>
      <c r="BG11" s="131" t="s">
        <v>164</v>
      </c>
      <c r="BH11" s="26" t="s">
        <v>165</v>
      </c>
      <c r="BI11" s="27">
        <f>AJ48</f>
        <v>33013</v>
      </c>
      <c r="BJ11" s="27">
        <f>AJ92</f>
        <v>369877</v>
      </c>
      <c r="BK11" s="27">
        <f>1000*(BJ11/BI11)/3.412</f>
        <v>3283.698783764497</v>
      </c>
      <c r="BL11" s="27">
        <f>$BK$11*AJ6</f>
        <v>15.727349031811862</v>
      </c>
      <c r="BM11" s="27">
        <f t="shared" si="21"/>
        <v>17.590394764141919</v>
      </c>
      <c r="BO11" s="26">
        <f t="shared" si="13"/>
        <v>1997</v>
      </c>
      <c r="BP11" s="29">
        <f t="shared" si="8"/>
        <v>1.0615686274509804</v>
      </c>
      <c r="BQ11" s="29">
        <f t="shared" si="14"/>
        <v>1.1337552742616035</v>
      </c>
      <c r="BR11" s="29">
        <f t="shared" si="14"/>
        <v>1.2030075187969924</v>
      </c>
      <c r="BS11" s="29">
        <f t="shared" si="14"/>
        <v>1.1050135501355012</v>
      </c>
      <c r="BT11" s="29">
        <f t="shared" si="14"/>
        <v>1.0602985074626867</v>
      </c>
      <c r="BU11" s="29">
        <f t="shared" si="14"/>
        <v>0.99929027679205107</v>
      </c>
      <c r="BV11" s="29">
        <f t="shared" si="14"/>
        <v>0.90183727034120731</v>
      </c>
      <c r="BW11" s="29">
        <f t="shared" si="14"/>
        <v>1.0395136778115504</v>
      </c>
      <c r="BX11" s="29">
        <f t="shared" si="14"/>
        <v>1.0228774783934926</v>
      </c>
      <c r="BZ11" s="26">
        <f t="shared" si="15"/>
        <v>1997</v>
      </c>
      <c r="CA11" s="29">
        <f t="shared" si="10"/>
        <v>0.73053278688524592</v>
      </c>
      <c r="CB11" s="29">
        <f t="shared" si="16"/>
        <v>0.77373974208675267</v>
      </c>
      <c r="CC11" s="29">
        <f t="shared" si="16"/>
        <v>0.60810810810810811</v>
      </c>
      <c r="CD11" s="29">
        <f t="shared" si="16"/>
        <v>0.61260053619302957</v>
      </c>
      <c r="CE11" s="29">
        <f t="shared" si="16"/>
        <v>0.6239837398373983</v>
      </c>
      <c r="CF11" s="29">
        <f t="shared" si="16"/>
        <v>0.597254004576659</v>
      </c>
      <c r="CG11" s="29">
        <f t="shared" si="16"/>
        <v>0.60809102402022752</v>
      </c>
      <c r="CH11" s="29">
        <f t="shared" si="16"/>
        <v>0.58951965065502177</v>
      </c>
      <c r="CI11" s="29">
        <f t="shared" si="16"/>
        <v>0.66351351351351351</v>
      </c>
    </row>
    <row r="12" spans="1:87" x14ac:dyDescent="0.2">
      <c r="A12" s="26">
        <v>2013</v>
      </c>
      <c r="B12" s="125">
        <v>7.6654421259684886</v>
      </c>
      <c r="C12" s="142">
        <v>3.4801530000000001</v>
      </c>
      <c r="D12" s="100">
        <f t="shared" si="0"/>
        <v>488.51412650213001</v>
      </c>
      <c r="E12" s="125">
        <v>12.901668223589098</v>
      </c>
      <c r="F12" s="142">
        <v>15.677279</v>
      </c>
      <c r="G12" s="125">
        <v>12.751851183406297</v>
      </c>
      <c r="H12" s="125">
        <v>10.005839215101393</v>
      </c>
      <c r="I12" s="125">
        <v>0.89972220862440766</v>
      </c>
      <c r="J12" s="126">
        <v>563.91505667829995</v>
      </c>
      <c r="K12" s="126">
        <v>462.02771229636926</v>
      </c>
      <c r="L12" s="100">
        <f t="shared" si="2"/>
        <v>330.64722634540823</v>
      </c>
      <c r="M12" s="100">
        <f t="shared" si="3"/>
        <v>363.84300670541199</v>
      </c>
      <c r="N12" s="100">
        <f t="shared" si="4"/>
        <v>91.878092906421344</v>
      </c>
      <c r="O12" s="100">
        <f t="shared" si="5"/>
        <v>815.86445548581162</v>
      </c>
      <c r="P12" s="100"/>
      <c r="Q12" s="100"/>
      <c r="R12" s="224">
        <f t="shared" si="6"/>
        <v>1573.9481557582549</v>
      </c>
      <c r="S12" s="101">
        <f t="shared" si="7"/>
        <v>4868.6296664538995</v>
      </c>
      <c r="T12" s="65">
        <f>(SUM(J12:S12)+D12)/12</f>
        <v>796.60562492766712</v>
      </c>
      <c r="U12" s="8">
        <v>2011</v>
      </c>
      <c r="V12" s="53">
        <f t="shared" ref="V12:BD12" si="27">V54/$BC54</f>
        <v>0.32453725531108812</v>
      </c>
      <c r="W12" s="53">
        <f t="shared" ref="W12:W37" si="28">V12/V11-1</f>
        <v>-9.0555334766899698E-3</v>
      </c>
      <c r="X12" s="53">
        <f t="shared" si="27"/>
        <v>0.16950491586341176</v>
      </c>
      <c r="Y12" s="53">
        <f t="shared" ref="Y12:Y37" si="29">X12/X11-1</f>
        <v>3.0255275811600812E-2</v>
      </c>
      <c r="Z12" s="53">
        <f t="shared" si="27"/>
        <v>1.2737804952839712E-2</v>
      </c>
      <c r="AA12" s="53"/>
      <c r="AB12" s="53">
        <f t="shared" si="18"/>
        <v>0.14948706580582494</v>
      </c>
      <c r="AC12" s="53">
        <f t="shared" ref="AC12:AC35" si="30">AB12/AB11-1</f>
        <v>-1.505647285193723E-2</v>
      </c>
      <c r="AD12" s="53">
        <f t="shared" si="27"/>
        <v>0.40230490660210949</v>
      </c>
      <c r="AE12" s="53">
        <f t="shared" ref="AE12:AE35" si="31">AD12/AD11-1</f>
        <v>-1.7314605012320294E-2</v>
      </c>
      <c r="AF12" s="53">
        <f t="shared" si="27"/>
        <v>0.60661653894935763</v>
      </c>
      <c r="AG12" s="53">
        <f t="shared" ref="AG12:AG35" si="32">AF12/AF11-1</f>
        <v>8.3744718244460614E-6</v>
      </c>
      <c r="AH12" s="53">
        <f t="shared" si="27"/>
        <v>0.16950491586341176</v>
      </c>
      <c r="AI12" s="53">
        <f t="shared" ref="AI12:AI35" si="33">AH12/AH11-1</f>
        <v>3.0255275811600812E-2</v>
      </c>
      <c r="AJ12" s="53">
        <f t="shared" si="27"/>
        <v>1.2737804952839712E-2</v>
      </c>
      <c r="AK12" s="53">
        <f t="shared" si="27"/>
        <v>0.90266371315652061</v>
      </c>
      <c r="AL12" s="53">
        <f>AK12/AK11-1</f>
        <v>1.2984921150138717E-3</v>
      </c>
      <c r="AM12" s="53">
        <f t="shared" si="27"/>
        <v>0.61085151748229294</v>
      </c>
      <c r="AN12" s="53">
        <f>AM12/AM11-1</f>
        <v>7.5250967666788959E-3</v>
      </c>
      <c r="AO12" s="53">
        <f t="shared" si="27"/>
        <v>0.69671826029744488</v>
      </c>
      <c r="AP12" s="53">
        <f>AO12/AO11-1</f>
        <v>3.9454957907711918E-3</v>
      </c>
      <c r="AQ12" s="53">
        <f t="shared" si="27"/>
        <v>1.6555931168127229</v>
      </c>
      <c r="AR12" s="53">
        <f>AQ12/AQ11-1</f>
        <v>1.8236686424539794E-3</v>
      </c>
      <c r="AS12" s="53">
        <f t="shared" si="27"/>
        <v>0.83191935390288785</v>
      </c>
      <c r="AT12" s="53">
        <f t="shared" ref="AT12:AT35" si="34">AS12/AS11-1</f>
        <v>2.9728394376891121E-3</v>
      </c>
      <c r="AU12" s="53">
        <f t="shared" si="27"/>
        <v>1.2007005513644642</v>
      </c>
      <c r="AV12" s="53"/>
      <c r="AW12" s="53">
        <f t="shared" si="27"/>
        <v>0.45853024511166551</v>
      </c>
      <c r="AX12" s="53">
        <f>AW12/AW11-1</f>
        <v>7.8802797375177036E-4</v>
      </c>
      <c r="AY12" s="53">
        <f t="shared" si="27"/>
        <v>3.7540896849627461</v>
      </c>
      <c r="AZ12" s="53"/>
      <c r="BA12" s="53">
        <f t="shared" si="19"/>
        <v>0.45539876728207929</v>
      </c>
      <c r="BB12" s="53">
        <f>BA12/BA11-1</f>
        <v>-7.595627324880283E-3</v>
      </c>
      <c r="BC12" s="53">
        <f t="shared" si="27"/>
        <v>1</v>
      </c>
      <c r="BD12" s="53">
        <f t="shared" si="27"/>
        <v>1</v>
      </c>
      <c r="BE12" s="105">
        <f t="shared" si="20"/>
        <v>0.20070055136446419</v>
      </c>
      <c r="BG12" s="14" t="s">
        <v>23</v>
      </c>
      <c r="BH12" s="26" t="s">
        <v>4</v>
      </c>
      <c r="BI12" s="27">
        <f>AD48</f>
        <v>3020635</v>
      </c>
      <c r="BJ12" s="27">
        <f>AD92</f>
        <v>9831042</v>
      </c>
      <c r="BK12" s="27">
        <f t="shared" si="12"/>
        <v>953.87678387562005</v>
      </c>
      <c r="BL12" s="27">
        <f>$BK$12*AD6</f>
        <v>418.02066330267024</v>
      </c>
      <c r="BM12" s="27">
        <f t="shared" si="21"/>
        <v>467.53896490687259</v>
      </c>
      <c r="BO12" s="26">
        <f t="shared" si="13"/>
        <v>1998</v>
      </c>
      <c r="BP12" s="29">
        <f t="shared" si="8"/>
        <v>1.0066666666666668</v>
      </c>
      <c r="BQ12" s="29">
        <f t="shared" si="14"/>
        <v>1.0945147679324896</v>
      </c>
      <c r="BR12" s="29">
        <f t="shared" si="14"/>
        <v>1.1835839598997493</v>
      </c>
      <c r="BS12" s="29">
        <f t="shared" si="14"/>
        <v>1.1016260162601628</v>
      </c>
      <c r="BT12" s="29">
        <f t="shared" si="14"/>
        <v>1.0352238805970149</v>
      </c>
      <c r="BU12" s="29">
        <f t="shared" si="14"/>
        <v>1.0163236337828248</v>
      </c>
      <c r="BV12" s="29">
        <f t="shared" si="14"/>
        <v>0.86876640419947504</v>
      </c>
      <c r="BW12" s="29">
        <f t="shared" si="14"/>
        <v>1.0297872340425533</v>
      </c>
      <c r="BX12" s="29">
        <f t="shared" si="14"/>
        <v>0.96136248093543464</v>
      </c>
      <c r="BZ12" s="26">
        <f t="shared" si="15"/>
        <v>1998</v>
      </c>
      <c r="CA12" s="29">
        <f t="shared" si="10"/>
        <v>0.72028688524590168</v>
      </c>
      <c r="CB12" s="29">
        <f t="shared" si="16"/>
        <v>0.74560375146541624</v>
      </c>
      <c r="CC12" s="29">
        <f t="shared" si="16"/>
        <v>0.57432432432432434</v>
      </c>
      <c r="CD12" s="29">
        <f t="shared" si="16"/>
        <v>0.579088471849866</v>
      </c>
      <c r="CE12" s="29">
        <f t="shared" si="16"/>
        <v>0.59857723577235766</v>
      </c>
      <c r="CF12" s="29">
        <f t="shared" si="16"/>
        <v>0.57093821510297482</v>
      </c>
      <c r="CG12" s="29">
        <f t="shared" si="16"/>
        <v>0.5802781289506953</v>
      </c>
      <c r="CH12" s="29">
        <f t="shared" si="16"/>
        <v>0.62299854439592428</v>
      </c>
      <c r="CI12" s="29">
        <f t="shared" si="16"/>
        <v>0.66891891891891886</v>
      </c>
    </row>
    <row r="13" spans="1:87" x14ac:dyDescent="0.2">
      <c r="A13" s="26">
        <v>2014</v>
      </c>
      <c r="B13" s="125">
        <v>7.7059003345348707</v>
      </c>
      <c r="C13" s="142">
        <v>3.495698</v>
      </c>
      <c r="D13" s="100">
        <f t="shared" si="0"/>
        <v>478.76667382776276</v>
      </c>
      <c r="E13" s="125">
        <v>12.996027578247961</v>
      </c>
      <c r="F13" s="142">
        <v>15.826098999999999</v>
      </c>
      <c r="G13" s="125">
        <v>12.878074814699044</v>
      </c>
      <c r="H13" s="125">
        <v>10.211785920877965</v>
      </c>
      <c r="I13" s="125">
        <v>0.90140245620864856</v>
      </c>
      <c r="J13" s="126">
        <v>545.67366719453264</v>
      </c>
      <c r="K13" s="126">
        <v>454.11836854776146</v>
      </c>
      <c r="L13" s="100">
        <f t="shared" si="2"/>
        <v>330.67242878060813</v>
      </c>
      <c r="M13" s="100">
        <f t="shared" si="3"/>
        <v>356.5337535473372</v>
      </c>
      <c r="N13" s="100">
        <f t="shared" si="4"/>
        <v>89.320606806414332</v>
      </c>
      <c r="O13" s="100">
        <f t="shared" si="5"/>
        <v>804.44644550360329</v>
      </c>
      <c r="P13" s="100"/>
      <c r="Q13" s="100"/>
      <c r="R13" s="101">
        <f t="shared" si="6"/>
        <v>1484.1432935859859</v>
      </c>
      <c r="S13" s="101">
        <f t="shared" si="7"/>
        <v>4963.2621415882741</v>
      </c>
      <c r="T13" s="65"/>
      <c r="U13" s="8">
        <v>2012</v>
      </c>
      <c r="V13" s="53">
        <f t="shared" ref="V13:BD13" si="35">V55/$BC55</f>
        <v>0.32244269209408755</v>
      </c>
      <c r="W13" s="53">
        <f t="shared" si="28"/>
        <v>-6.4539992950665148E-3</v>
      </c>
      <c r="X13" s="53">
        <f t="shared" si="35"/>
        <v>0.17304198415499772</v>
      </c>
      <c r="Y13" s="53">
        <f t="shared" si="29"/>
        <v>2.0867054348064684E-2</v>
      </c>
      <c r="Z13" s="53">
        <f t="shared" si="35"/>
        <v>1.4208288026699448E-2</v>
      </c>
      <c r="AA13" s="53"/>
      <c r="AB13" s="53">
        <f t="shared" si="18"/>
        <v>0.14784160358611095</v>
      </c>
      <c r="AC13" s="53">
        <f t="shared" si="30"/>
        <v>-1.100738857133865E-2</v>
      </c>
      <c r="AD13" s="53">
        <f t="shared" si="35"/>
        <v>0.39701603249687406</v>
      </c>
      <c r="AE13" s="53">
        <f t="shared" si="31"/>
        <v>-1.31464320182062E-2</v>
      </c>
      <c r="AF13" s="53">
        <f t="shared" si="35"/>
        <v>0.60759638910857472</v>
      </c>
      <c r="AG13" s="53">
        <f t="shared" si="32"/>
        <v>1.615271091873316E-3</v>
      </c>
      <c r="AH13" s="53">
        <f t="shared" si="35"/>
        <v>0.17304198415499772</v>
      </c>
      <c r="AI13" s="53">
        <f t="shared" si="33"/>
        <v>2.0867054348064684E-2</v>
      </c>
      <c r="AJ13" s="53">
        <f t="shared" si="35"/>
        <v>1.4208288026699448E-2</v>
      </c>
      <c r="AK13" s="53">
        <f t="shared" si="35"/>
        <v>0.90349143371273066</v>
      </c>
      <c r="AL13" s="53">
        <f t="shared" ref="AL13:AL43" si="36">AK13/AK12-1</f>
        <v>9.1697555152148169E-4</v>
      </c>
      <c r="AM13" s="53">
        <f t="shared" si="35"/>
        <v>0.61458798166518991</v>
      </c>
      <c r="AN13" s="53">
        <f t="shared" ref="AN13:AN43" si="37">AM13/AM12-1</f>
        <v>6.1168124756361131E-3</v>
      </c>
      <c r="AO13" s="53">
        <f t="shared" si="35"/>
        <v>0.69907966277231337</v>
      </c>
      <c r="AP13" s="53">
        <f t="shared" ref="AP13:AR36" si="38">AO13/AO12-1</f>
        <v>3.3893219245615391E-3</v>
      </c>
      <c r="AQ13" s="53">
        <f t="shared" si="35"/>
        <v>1.658248784122887</v>
      </c>
      <c r="AR13" s="53">
        <f t="shared" si="38"/>
        <v>1.604057955542082E-3</v>
      </c>
      <c r="AS13" s="53">
        <f t="shared" si="35"/>
        <v>0.83389059752241834</v>
      </c>
      <c r="AT13" s="53">
        <f t="shared" si="34"/>
        <v>2.3695128743941307E-3</v>
      </c>
      <c r="AU13" s="53">
        <f t="shared" si="35"/>
        <v>1.200983122615034</v>
      </c>
      <c r="AV13" s="53"/>
      <c r="AW13" s="53">
        <f t="shared" si="35"/>
        <v>0.4588289369658507</v>
      </c>
      <c r="AX13" s="53">
        <f t="shared" ref="AX13:AX43" si="39">AW13/AW12-1</f>
        <v>6.5141145512104259E-4</v>
      </c>
      <c r="AY13" s="53">
        <f t="shared" si="35"/>
        <v>3.7108112717206874</v>
      </c>
      <c r="AZ13" s="53"/>
      <c r="BA13" s="53">
        <f t="shared" si="19"/>
        <v>0.45288641151082759</v>
      </c>
      <c r="BB13" s="53">
        <f t="shared" ref="BB13:BB43" si="40">BA13/BA12-1</f>
        <v>-5.5168260253447565E-3</v>
      </c>
      <c r="BC13" s="53">
        <f t="shared" si="35"/>
        <v>1</v>
      </c>
      <c r="BD13" s="53">
        <f t="shared" si="35"/>
        <v>1</v>
      </c>
      <c r="BE13" s="105">
        <f t="shared" si="20"/>
        <v>0.20098312261503404</v>
      </c>
      <c r="BG13" s="14" t="s">
        <v>24</v>
      </c>
      <c r="BH13" s="26" t="s">
        <v>5</v>
      </c>
      <c r="BI13" s="27">
        <f>AO48</f>
        <v>4698168</v>
      </c>
      <c r="BJ13" s="27">
        <f>AO92</f>
        <v>47715975</v>
      </c>
      <c r="BK13" s="27">
        <f t="shared" si="12"/>
        <v>2976.6394783383407</v>
      </c>
      <c r="BL13" s="27">
        <f>$BK$13*AO6</f>
        <v>2028.9063478351156</v>
      </c>
      <c r="BM13" s="27">
        <f t="shared" si="21"/>
        <v>2269.2485253366031</v>
      </c>
      <c r="BO13" s="26">
        <f t="shared" si="13"/>
        <v>1999</v>
      </c>
      <c r="BP13" s="29">
        <f t="shared" si="8"/>
        <v>0.95764705882352952</v>
      </c>
      <c r="BQ13" s="29">
        <f t="shared" si="14"/>
        <v>1.0244725738396625</v>
      </c>
      <c r="BR13" s="29">
        <f t="shared" si="14"/>
        <v>1.1328320802005012</v>
      </c>
      <c r="BS13" s="29">
        <f t="shared" si="14"/>
        <v>1.0907859078590787</v>
      </c>
      <c r="BT13" s="29">
        <f t="shared" si="14"/>
        <v>1.008955223880597</v>
      </c>
      <c r="BU13" s="29">
        <f t="shared" si="14"/>
        <v>0.9971611071682045</v>
      </c>
      <c r="BV13" s="29">
        <f t="shared" si="14"/>
        <v>0.84619422572178482</v>
      </c>
      <c r="BW13" s="29">
        <f t="shared" si="14"/>
        <v>0.98905775075987845</v>
      </c>
      <c r="BX13" s="29">
        <f t="shared" si="14"/>
        <v>0.94509405185561757</v>
      </c>
      <c r="BZ13" s="26">
        <f t="shared" si="15"/>
        <v>1999</v>
      </c>
      <c r="CA13" s="29">
        <f t="shared" si="10"/>
        <v>0.70389344262295084</v>
      </c>
      <c r="CB13" s="29">
        <f t="shared" si="16"/>
        <v>0.7198124267291911</v>
      </c>
      <c r="CC13" s="29">
        <f t="shared" si="16"/>
        <v>0.55810810810810807</v>
      </c>
      <c r="CD13" s="29">
        <f t="shared" si="16"/>
        <v>0.57238605898123318</v>
      </c>
      <c r="CE13" s="29">
        <f t="shared" si="16"/>
        <v>0.55081300813008127</v>
      </c>
      <c r="CF13" s="29">
        <f t="shared" si="16"/>
        <v>0.54919908466819223</v>
      </c>
      <c r="CG13" s="29">
        <f t="shared" si="16"/>
        <v>0.5777496839443742</v>
      </c>
      <c r="CH13" s="29">
        <f t="shared" si="16"/>
        <v>0.62008733624454149</v>
      </c>
      <c r="CI13" s="29">
        <f t="shared" si="16"/>
        <v>0.63783783783783776</v>
      </c>
    </row>
    <row r="14" spans="1:87" x14ac:dyDescent="0.2">
      <c r="A14" s="26">
        <v>2015</v>
      </c>
      <c r="B14" s="125">
        <v>7.8387325465471704</v>
      </c>
      <c r="C14" s="142">
        <v>3.50861</v>
      </c>
      <c r="D14" s="100">
        <f t="shared" si="0"/>
        <v>469.20530508386429</v>
      </c>
      <c r="E14" s="125">
        <v>13.247079244027672</v>
      </c>
      <c r="F14" s="142">
        <v>15.950364</v>
      </c>
      <c r="G14" s="125">
        <v>13.138373175403679</v>
      </c>
      <c r="H14" s="125">
        <v>10.324847527955672</v>
      </c>
      <c r="I14" s="125">
        <v>0.91536854940737056</v>
      </c>
      <c r="J14" s="126">
        <v>534.21468321252462</v>
      </c>
      <c r="K14" s="126">
        <v>448.55981214949412</v>
      </c>
      <c r="L14" s="100">
        <f t="shared" si="2"/>
        <v>330.71056486493057</v>
      </c>
      <c r="M14" s="100">
        <f t="shared" si="3"/>
        <v>349.621366750763</v>
      </c>
      <c r="N14" s="100">
        <f t="shared" si="4"/>
        <v>86.671267163192766</v>
      </c>
      <c r="O14" s="100">
        <f t="shared" si="5"/>
        <v>789.97207818690231</v>
      </c>
      <c r="P14" s="100"/>
      <c r="Q14" s="100"/>
      <c r="R14" s="101">
        <f t="shared" si="6"/>
        <v>1432.8602460861189</v>
      </c>
      <c r="S14" s="101">
        <f t="shared" si="7"/>
        <v>5048.8818390060842</v>
      </c>
      <c r="T14" s="65"/>
      <c r="U14" s="8">
        <v>2013</v>
      </c>
      <c r="V14" s="53">
        <f t="shared" ref="V14:BD14" si="41">V56/$BC56</f>
        <v>0.32028757578300915</v>
      </c>
      <c r="W14" s="53">
        <f t="shared" si="28"/>
        <v>-6.6837188868573705E-3</v>
      </c>
      <c r="X14" s="53">
        <f t="shared" si="41"/>
        <v>0.17676923742357634</v>
      </c>
      <c r="Y14" s="53">
        <f t="shared" si="29"/>
        <v>2.1539589289730099E-2</v>
      </c>
      <c r="Z14" s="53">
        <f t="shared" si="41"/>
        <v>1.572797857242322E-2</v>
      </c>
      <c r="AA14" s="53"/>
      <c r="AB14" s="53">
        <f t="shared" si="18"/>
        <v>0.14610770275230303</v>
      </c>
      <c r="AC14" s="53">
        <f t="shared" si="30"/>
        <v>-1.1728098124950348E-2</v>
      </c>
      <c r="AD14" s="53">
        <f t="shared" si="41"/>
        <v>0.39148974077746557</v>
      </c>
      <c r="AE14" s="53">
        <f t="shared" si="31"/>
        <v>-1.3919568146034567E-2</v>
      </c>
      <c r="AF14" s="53">
        <f t="shared" si="41"/>
        <v>0.60837548264995689</v>
      </c>
      <c r="AG14" s="53">
        <f t="shared" si="32"/>
        <v>1.2822550550788403E-3</v>
      </c>
      <c r="AH14" s="53">
        <f t="shared" si="41"/>
        <v>0.17676923742357634</v>
      </c>
      <c r="AI14" s="53">
        <f t="shared" si="33"/>
        <v>2.1539589289730099E-2</v>
      </c>
      <c r="AJ14" s="53">
        <f t="shared" si="41"/>
        <v>1.572797857242322E-2</v>
      </c>
      <c r="AK14" s="53">
        <f t="shared" si="41"/>
        <v>0.904385919834515</v>
      </c>
      <c r="AL14" s="53">
        <f t="shared" si="36"/>
        <v>9.9003276445985833E-4</v>
      </c>
      <c r="AM14" s="53">
        <f t="shared" si="41"/>
        <v>0.61851192833682866</v>
      </c>
      <c r="AN14" s="53">
        <f t="shared" si="37"/>
        <v>6.3846784979542104E-3</v>
      </c>
      <c r="AO14" s="53">
        <f t="shared" si="41"/>
        <v>0.70138501232988693</v>
      </c>
      <c r="AP14" s="53">
        <f t="shared" si="38"/>
        <v>3.2976922092560201E-3</v>
      </c>
      <c r="AQ14" s="53">
        <f t="shared" si="41"/>
        <v>1.6609470237224395</v>
      </c>
      <c r="AR14" s="53">
        <f t="shared" si="38"/>
        <v>1.6271621154722027E-3</v>
      </c>
      <c r="AS14" s="53">
        <f t="shared" si="41"/>
        <v>0.83588891318965031</v>
      </c>
      <c r="AT14" s="53">
        <f t="shared" si="34"/>
        <v>2.3963763030416807E-3</v>
      </c>
      <c r="AU14" s="53">
        <f t="shared" si="41"/>
        <v>1.2012433884565898</v>
      </c>
      <c r="AV14" s="53"/>
      <c r="AW14" s="53">
        <f t="shared" si="41"/>
        <v>0.45910500491581957</v>
      </c>
      <c r="AX14" s="53">
        <f t="shared" si="39"/>
        <v>6.016794664138736E-4</v>
      </c>
      <c r="AY14" s="53">
        <f t="shared" si="41"/>
        <v>3.6523192892257792</v>
      </c>
      <c r="AZ14" s="53"/>
      <c r="BA14" s="53">
        <f t="shared" si="19"/>
        <v>0.45022114069521663</v>
      </c>
      <c r="BB14" s="53">
        <f t="shared" si="40"/>
        <v>-5.8850757008134247E-3</v>
      </c>
      <c r="BC14" s="53">
        <f t="shared" si="41"/>
        <v>1</v>
      </c>
      <c r="BD14" s="53">
        <f t="shared" si="41"/>
        <v>1</v>
      </c>
      <c r="BE14" s="105">
        <f t="shared" si="20"/>
        <v>0.20124338845658984</v>
      </c>
      <c r="BG14" s="14" t="s">
        <v>25</v>
      </c>
      <c r="BH14" s="26" t="s">
        <v>6</v>
      </c>
      <c r="BI14" s="68"/>
      <c r="BJ14" s="68"/>
      <c r="BK14" s="27">
        <f>L4</f>
        <v>331.40747338337758</v>
      </c>
      <c r="BL14" s="27">
        <f>$BK$14*AQ6</f>
        <v>547.23216496934344</v>
      </c>
      <c r="BM14" s="27">
        <f t="shared" si="21"/>
        <v>612.05672933029723</v>
      </c>
      <c r="BO14" s="26">
        <f>BO15-1</f>
        <v>2000</v>
      </c>
      <c r="BP14" s="29">
        <f t="shared" si="8"/>
        <v>0.93803921568627457</v>
      </c>
      <c r="BQ14" s="29">
        <f t="shared" si="14"/>
        <v>1.0291139240506331</v>
      </c>
      <c r="BR14" s="29">
        <f t="shared" si="14"/>
        <v>1.1027568922305764</v>
      </c>
      <c r="BS14" s="29">
        <f t="shared" si="14"/>
        <v>1.0670731707317074</v>
      </c>
      <c r="BT14" s="29">
        <f t="shared" si="14"/>
        <v>0.9850746268656716</v>
      </c>
      <c r="BU14" s="29">
        <f t="shared" si="14"/>
        <v>0.9772888573456352</v>
      </c>
      <c r="BV14" s="29">
        <f t="shared" si="14"/>
        <v>0.87349081364829395</v>
      </c>
      <c r="BW14" s="29">
        <f t="shared" si="14"/>
        <v>0.96534954407294837</v>
      </c>
      <c r="BX14" s="29">
        <f t="shared" si="14"/>
        <v>0.95017793594306044</v>
      </c>
      <c r="BZ14" s="26">
        <f>BZ15-1</f>
        <v>2000</v>
      </c>
      <c r="CA14" s="29">
        <f t="shared" si="10"/>
        <v>0.74590163934426235</v>
      </c>
      <c r="CB14" s="29">
        <f t="shared" si="16"/>
        <v>0.73505275498241496</v>
      </c>
      <c r="CC14" s="29">
        <f t="shared" si="16"/>
        <v>0.6527027027027027</v>
      </c>
      <c r="CD14" s="29">
        <f t="shared" si="16"/>
        <v>0.70911528150134051</v>
      </c>
      <c r="CE14" s="29">
        <f t="shared" si="16"/>
        <v>0.6707317073170731</v>
      </c>
      <c r="CF14" s="29">
        <f t="shared" si="16"/>
        <v>0.63958810068649885</v>
      </c>
      <c r="CG14" s="29">
        <f t="shared" si="16"/>
        <v>0.67888748419721867</v>
      </c>
      <c r="CH14" s="29">
        <f t="shared" si="16"/>
        <v>0.67831149927219803</v>
      </c>
      <c r="CI14" s="29">
        <f t="shared" si="16"/>
        <v>0.7675675675675675</v>
      </c>
    </row>
    <row r="15" spans="1:87" x14ac:dyDescent="0.2">
      <c r="A15" s="26">
        <v>2016</v>
      </c>
      <c r="B15" s="125">
        <v>7.9123995670631304</v>
      </c>
      <c r="C15" s="142">
        <v>3.5193159999999999</v>
      </c>
      <c r="D15" s="100">
        <f t="shared" si="0"/>
        <v>460.80141953108614</v>
      </c>
      <c r="E15" s="125">
        <v>13.392730273524553</v>
      </c>
      <c r="F15" s="142">
        <v>16.053467000000001</v>
      </c>
      <c r="G15" s="125">
        <v>13.311284566269569</v>
      </c>
      <c r="H15" s="125">
        <v>10.422133705949232</v>
      </c>
      <c r="I15" s="125">
        <v>0.92228773719655299</v>
      </c>
      <c r="J15" s="126">
        <v>523.74696086204528</v>
      </c>
      <c r="K15" s="126">
        <v>443.56034491393473</v>
      </c>
      <c r="L15" s="100">
        <f t="shared" si="2"/>
        <v>331.7408410556875</v>
      </c>
      <c r="M15" s="100">
        <f t="shared" si="3"/>
        <v>344.27768549243234</v>
      </c>
      <c r="N15" s="100">
        <f t="shared" si="4"/>
        <v>84.077648389412488</v>
      </c>
      <c r="O15" s="100">
        <f t="shared" si="5"/>
        <v>776.50114529808343</v>
      </c>
      <c r="P15" s="100"/>
      <c r="Q15" s="100"/>
      <c r="R15" s="101">
        <f t="shared" si="6"/>
        <v>1400.0557484766291</v>
      </c>
      <c r="S15" s="101">
        <f t="shared" si="7"/>
        <v>5166.1868630040572</v>
      </c>
      <c r="T15" s="65"/>
      <c r="U15" s="8">
        <v>2014</v>
      </c>
      <c r="V15" s="53">
        <f t="shared" ref="V15:BD15" si="42">V57/$BC57</f>
        <v>0.31838413299099927</v>
      </c>
      <c r="W15" s="53">
        <f t="shared" si="28"/>
        <v>-5.9429179772475527E-3</v>
      </c>
      <c r="X15" s="53">
        <f t="shared" si="42"/>
        <v>0.18020040937485918</v>
      </c>
      <c r="Y15" s="53">
        <f t="shared" si="29"/>
        <v>1.9410458523736462E-2</v>
      </c>
      <c r="Z15" s="53">
        <f t="shared" si="42"/>
        <v>1.7104685209836566E-2</v>
      </c>
      <c r="AA15" s="53"/>
      <c r="AB15" s="53">
        <f t="shared" si="18"/>
        <v>0.14450717280448686</v>
      </c>
      <c r="AC15" s="53">
        <f t="shared" si="30"/>
        <v>-1.0954452897870559E-2</v>
      </c>
      <c r="AD15" s="53">
        <f t="shared" si="42"/>
        <v>0.38633820713184008</v>
      </c>
      <c r="AE15" s="53">
        <f t="shared" si="31"/>
        <v>-1.3158796027183173E-2</v>
      </c>
      <c r="AF15" s="53">
        <f t="shared" si="42"/>
        <v>0.60932427587533644</v>
      </c>
      <c r="AG15" s="53">
        <f t="shared" si="32"/>
        <v>1.5595520405371488E-3</v>
      </c>
      <c r="AH15" s="53">
        <f t="shared" si="42"/>
        <v>0.18020040937485918</v>
      </c>
      <c r="AI15" s="53">
        <f t="shared" si="33"/>
        <v>1.9410458523736462E-2</v>
      </c>
      <c r="AJ15" s="53">
        <f t="shared" si="42"/>
        <v>1.7104685209836566E-2</v>
      </c>
      <c r="AK15" s="53">
        <f t="shared" si="42"/>
        <v>0.90521593077623153</v>
      </c>
      <c r="AL15" s="53">
        <f t="shared" si="36"/>
        <v>9.1776190176462435E-4</v>
      </c>
      <c r="AM15" s="53">
        <f t="shared" si="42"/>
        <v>0.62227723005373803</v>
      </c>
      <c r="AN15" s="53">
        <f t="shared" si="37"/>
        <v>6.0876784171879361E-3</v>
      </c>
      <c r="AO15" s="53">
        <f t="shared" si="42"/>
        <v>0.70357089765830316</v>
      </c>
      <c r="AP15" s="53">
        <f t="shared" si="38"/>
        <v>3.1165270001352052E-3</v>
      </c>
      <c r="AQ15" s="53">
        <f t="shared" si="42"/>
        <v>1.6635772743813806</v>
      </c>
      <c r="AR15" s="53">
        <f t="shared" si="38"/>
        <v>1.5835849195515728E-3</v>
      </c>
      <c r="AS15" s="53">
        <f t="shared" si="42"/>
        <v>0.83773674761562356</v>
      </c>
      <c r="AT15" s="53">
        <f t="shared" si="34"/>
        <v>2.2106220058861759E-3</v>
      </c>
      <c r="AU15" s="53">
        <f t="shared" si="42"/>
        <v>1.2014295160215167</v>
      </c>
      <c r="AV15" s="53"/>
      <c r="AW15" s="53">
        <f t="shared" si="42"/>
        <v>0.45931401796110333</v>
      </c>
      <c r="AX15" s="53">
        <f t="shared" si="39"/>
        <v>4.5526196196021829E-4</v>
      </c>
      <c r="AY15" s="53">
        <f t="shared" si="42"/>
        <v>3.5923687844607062</v>
      </c>
      <c r="AZ15" s="53"/>
      <c r="BA15" s="53">
        <f t="shared" si="19"/>
        <v>0.44771376316124029</v>
      </c>
      <c r="BB15" s="53">
        <f t="shared" si="40"/>
        <v>-5.5692132317566312E-3</v>
      </c>
      <c r="BC15" s="53">
        <f t="shared" si="42"/>
        <v>1</v>
      </c>
      <c r="BD15" s="53">
        <f t="shared" si="42"/>
        <v>1</v>
      </c>
      <c r="BE15" s="105">
        <f t="shared" si="20"/>
        <v>0.20142951602151671</v>
      </c>
      <c r="BG15" s="14" t="s">
        <v>26</v>
      </c>
      <c r="BH15" s="26" t="s">
        <v>7</v>
      </c>
      <c r="BI15" s="68"/>
      <c r="BJ15" s="68"/>
      <c r="BK15" s="27">
        <f>J4</f>
        <v>663.67878717866665</v>
      </c>
      <c r="BL15" s="27">
        <f>$BK$15*1</f>
        <v>663.67878717866665</v>
      </c>
      <c r="BM15" s="27">
        <f t="shared" si="21"/>
        <v>742.29749968960505</v>
      </c>
      <c r="BO15" s="28">
        <v>2001</v>
      </c>
      <c r="BP15" s="29">
        <f t="shared" si="8"/>
        <v>0.98078431372549024</v>
      </c>
      <c r="BQ15" s="29">
        <f t="shared" ref="BQ15:BX19" si="43">BQ75/BQ$79</f>
        <v>1.0113924050632912</v>
      </c>
      <c r="BR15" s="29">
        <f t="shared" si="43"/>
        <v>1.0664160401002505</v>
      </c>
      <c r="BS15" s="29">
        <f t="shared" si="43"/>
        <v>1.0447154471544715</v>
      </c>
      <c r="BT15" s="29">
        <f t="shared" si="43"/>
        <v>1.0065671641791045</v>
      </c>
      <c r="BU15" s="29">
        <f t="shared" si="43"/>
        <v>0.96664300922640167</v>
      </c>
      <c r="BV15" s="29">
        <f t="shared" si="43"/>
        <v>0.92913385826771644</v>
      </c>
      <c r="BW15" s="29">
        <f t="shared" si="43"/>
        <v>0.99209726443769009</v>
      </c>
      <c r="BX15" s="29">
        <f t="shared" si="43"/>
        <v>1.0676156583629892</v>
      </c>
      <c r="BZ15" s="28">
        <v>2001</v>
      </c>
      <c r="CA15" s="29">
        <f t="shared" si="10"/>
        <v>0.89241803278688536</v>
      </c>
      <c r="CB15" s="29">
        <f t="shared" ref="CB15:CI19" si="44">CB75/CB$79</f>
        <v>0.86400937866354055</v>
      </c>
      <c r="CC15" s="29">
        <f t="shared" si="44"/>
        <v>0.78648648648648645</v>
      </c>
      <c r="CD15" s="29">
        <f t="shared" si="44"/>
        <v>0.86327077747989278</v>
      </c>
      <c r="CE15" s="29">
        <f t="shared" si="44"/>
        <v>0.80182926829268286</v>
      </c>
      <c r="CF15" s="29">
        <f t="shared" si="44"/>
        <v>0.83180778032036606</v>
      </c>
      <c r="CG15" s="29">
        <f t="shared" si="44"/>
        <v>0.82048040455120097</v>
      </c>
      <c r="CH15" s="29">
        <f t="shared" si="44"/>
        <v>0.85735080058224156</v>
      </c>
      <c r="CI15" s="29">
        <f t="shared" si="44"/>
        <v>0.95270270270270263</v>
      </c>
    </row>
    <row r="16" spans="1:87" x14ac:dyDescent="0.2">
      <c r="A16" s="26">
        <v>2017</v>
      </c>
      <c r="B16" s="125">
        <v>7.9798498222430796</v>
      </c>
      <c r="C16" s="142">
        <v>3.5227819999999999</v>
      </c>
      <c r="D16" s="100">
        <f t="shared" si="0"/>
        <v>448.9680588574933</v>
      </c>
      <c r="E16" s="125">
        <v>13.526187078456436</v>
      </c>
      <c r="F16" s="142">
        <v>16.093312999999998</v>
      </c>
      <c r="G16" s="125">
        <v>13.467351130942429</v>
      </c>
      <c r="H16" s="125">
        <v>10.509140481611231</v>
      </c>
      <c r="I16" s="125">
        <v>0.92886814738333401</v>
      </c>
      <c r="J16" s="126">
        <v>514.24394680031855</v>
      </c>
      <c r="K16" s="126">
        <v>439.13899391397274</v>
      </c>
      <c r="L16" s="100">
        <f t="shared" si="2"/>
        <v>330.71991389870954</v>
      </c>
      <c r="M16" s="100">
        <f t="shared" si="3"/>
        <v>337.58189096149357</v>
      </c>
      <c r="N16" s="100">
        <f t="shared" si="4"/>
        <v>81.013387467327419</v>
      </c>
      <c r="O16" s="100">
        <f t="shared" si="5"/>
        <v>756.07411269173133</v>
      </c>
      <c r="P16" s="100">
        <f t="shared" ref="P16:P34" si="45">1000*(AY104/AY60)/ 3.412</f>
        <v>219.01356061798984</v>
      </c>
      <c r="Q16" s="100">
        <f t="shared" ref="Q16:Q34" si="46">1000*(BA104/BA60)/ 3.412</f>
        <v>609.77760735319009</v>
      </c>
      <c r="R16" s="101">
        <f t="shared" si="6"/>
        <v>1365.1062828763347</v>
      </c>
      <c r="S16" s="101">
        <f t="shared" si="7"/>
        <v>5221.8571740841071</v>
      </c>
      <c r="T16" s="65"/>
      <c r="U16" s="8">
        <v>2015</v>
      </c>
      <c r="V16" s="53">
        <f t="shared" ref="V16:BD16" si="47">V58/$BC58</f>
        <v>0.31666149899483892</v>
      </c>
      <c r="W16" s="53">
        <f t="shared" si="28"/>
        <v>-5.4105522783983728E-3</v>
      </c>
      <c r="X16" s="53">
        <f t="shared" si="47"/>
        <v>0.183430825331447</v>
      </c>
      <c r="Y16" s="53">
        <f t="shared" si="29"/>
        <v>1.7926795881288982E-2</v>
      </c>
      <c r="Z16" s="53">
        <f t="shared" si="47"/>
        <v>1.8508759337164706E-2</v>
      </c>
      <c r="AA16" s="53"/>
      <c r="AB16" s="53">
        <f t="shared" si="18"/>
        <v>0.14291445484086329</v>
      </c>
      <c r="AC16" s="53">
        <f t="shared" si="30"/>
        <v>-1.1021722539534151E-2</v>
      </c>
      <c r="AD16" s="53">
        <f t="shared" si="47"/>
        <v>0.38111655332476974</v>
      </c>
      <c r="AE16" s="53">
        <f t="shared" si="31"/>
        <v>-1.3515758241556597E-2</v>
      </c>
      <c r="AF16" s="53">
        <f t="shared" si="47"/>
        <v>0.61039174332343027</v>
      </c>
      <c r="AG16" s="53">
        <f t="shared" si="32"/>
        <v>1.7518872796595808E-3</v>
      </c>
      <c r="AH16" s="53">
        <f t="shared" si="47"/>
        <v>0.183430825331447</v>
      </c>
      <c r="AI16" s="53">
        <f t="shared" si="33"/>
        <v>1.7926795881288982E-2</v>
      </c>
      <c r="AJ16" s="53">
        <f t="shared" si="47"/>
        <v>1.8508759337164706E-2</v>
      </c>
      <c r="AK16" s="53">
        <f t="shared" si="47"/>
        <v>0.90608774866863517</v>
      </c>
      <c r="AL16" s="53">
        <f t="shared" si="36"/>
        <v>9.6310489327788851E-4</v>
      </c>
      <c r="AM16" s="53">
        <f t="shared" si="47"/>
        <v>0.62614184645450577</v>
      </c>
      <c r="AN16" s="53">
        <f t="shared" si="37"/>
        <v>6.2104416072463753E-3</v>
      </c>
      <c r="AO16" s="53">
        <f t="shared" si="47"/>
        <v>0.70553583064409831</v>
      </c>
      <c r="AP16" s="53">
        <f t="shared" si="38"/>
        <v>2.7928002598387458E-3</v>
      </c>
      <c r="AQ16" s="53">
        <f t="shared" si="47"/>
        <v>1.6661425615677845</v>
      </c>
      <c r="AR16" s="53">
        <f t="shared" si="38"/>
        <v>1.5420306744440282E-3</v>
      </c>
      <c r="AS16" s="53">
        <f t="shared" si="47"/>
        <v>0.83960289332697913</v>
      </c>
      <c r="AT16" s="53">
        <f t="shared" si="34"/>
        <v>2.2276039778212908E-3</v>
      </c>
      <c r="AU16" s="53">
        <f t="shared" si="47"/>
        <v>1.2015307960331492</v>
      </c>
      <c r="AV16" s="53"/>
      <c r="AW16" s="53">
        <f t="shared" si="47"/>
        <v>0.45952432158964346</v>
      </c>
      <c r="AX16" s="53">
        <f t="shared" si="39"/>
        <v>4.5786459876340224E-4</v>
      </c>
      <c r="AY16" s="53">
        <f t="shared" si="47"/>
        <v>3.5405423867385979</v>
      </c>
      <c r="AZ16" s="53"/>
      <c r="BA16" s="53">
        <f t="shared" si="19"/>
        <v>0.44520818068244222</v>
      </c>
      <c r="BB16" s="53">
        <f t="shared" si="40"/>
        <v>-5.5963936893664856E-3</v>
      </c>
      <c r="BC16" s="53">
        <f t="shared" si="47"/>
        <v>1</v>
      </c>
      <c r="BD16" s="53">
        <f t="shared" si="47"/>
        <v>1</v>
      </c>
      <c r="BE16" s="105">
        <f t="shared" si="20"/>
        <v>0.20153079603314916</v>
      </c>
      <c r="BG16" s="14" t="s">
        <v>27</v>
      </c>
      <c r="BH16" s="26" t="s">
        <v>8</v>
      </c>
      <c r="BI16" s="68"/>
      <c r="BJ16" s="68"/>
      <c r="BK16" s="27">
        <f>BK15*0.9</f>
        <v>597.31090846079996</v>
      </c>
      <c r="BL16" s="27">
        <f>$BK$16*BE6</f>
        <v>120.30477282846719</v>
      </c>
      <c r="BM16" s="27">
        <f t="shared" si="21"/>
        <v>134.5559535674243</v>
      </c>
      <c r="BO16" s="28">
        <v>2002</v>
      </c>
      <c r="BP16" s="29">
        <f t="shared" si="8"/>
        <v>0.90313725490196084</v>
      </c>
      <c r="BQ16" s="29">
        <f t="shared" si="43"/>
        <v>0.98438818565400843</v>
      </c>
      <c r="BR16" s="29">
        <f t="shared" si="43"/>
        <v>1.0407268170426065</v>
      </c>
      <c r="BS16" s="29">
        <f t="shared" si="43"/>
        <v>1.0291327913279134</v>
      </c>
      <c r="BT16" s="29">
        <f t="shared" si="43"/>
        <v>0.97194029850746277</v>
      </c>
      <c r="BU16" s="29">
        <f t="shared" si="43"/>
        <v>0.96025550035486151</v>
      </c>
      <c r="BV16" s="29">
        <f t="shared" si="43"/>
        <v>0.83254593175853009</v>
      </c>
      <c r="BW16" s="29">
        <f t="shared" si="43"/>
        <v>0.98601823708206682</v>
      </c>
      <c r="BX16" s="29">
        <f t="shared" si="43"/>
        <v>1.0955770208439246</v>
      </c>
      <c r="BZ16" s="28">
        <v>2002</v>
      </c>
      <c r="CA16" s="29">
        <f t="shared" si="10"/>
        <v>0.73463114754098358</v>
      </c>
      <c r="CB16" s="29">
        <f t="shared" si="44"/>
        <v>0.72567409144196959</v>
      </c>
      <c r="CC16" s="29">
        <f t="shared" si="44"/>
        <v>0.56486486486486476</v>
      </c>
      <c r="CD16" s="29">
        <f t="shared" si="44"/>
        <v>0.64611260053619302</v>
      </c>
      <c r="CE16" s="29">
        <f t="shared" si="44"/>
        <v>0.68089430894308944</v>
      </c>
      <c r="CF16" s="29">
        <f t="shared" si="44"/>
        <v>0.66132723112128144</v>
      </c>
      <c r="CG16" s="29">
        <f t="shared" si="44"/>
        <v>0.66118836915297097</v>
      </c>
      <c r="CH16" s="29">
        <f t="shared" si="44"/>
        <v>0.69723435225618635</v>
      </c>
      <c r="CI16" s="29">
        <f t="shared" si="44"/>
        <v>0.69324324324324316</v>
      </c>
    </row>
    <row r="17" spans="1:87" x14ac:dyDescent="0.2">
      <c r="A17" s="26">
        <v>2018</v>
      </c>
      <c r="B17" s="125">
        <v>8.0406899700096481</v>
      </c>
      <c r="C17" s="142">
        <v>3.5268039999999998</v>
      </c>
      <c r="D17" s="100">
        <f t="shared" si="0"/>
        <v>438.64933343630025</v>
      </c>
      <c r="E17" s="125">
        <v>13.645944257636755</v>
      </c>
      <c r="F17" s="142">
        <v>16.138203000000001</v>
      </c>
      <c r="G17" s="125">
        <v>13.60481137872558</v>
      </c>
      <c r="H17" s="125">
        <v>10.592155525540097</v>
      </c>
      <c r="I17" s="125">
        <v>0.93537774623941372</v>
      </c>
      <c r="J17" s="126">
        <v>505.45953644476799</v>
      </c>
      <c r="K17" s="126">
        <v>435.22116351054132</v>
      </c>
      <c r="L17" s="100">
        <f t="shared" si="2"/>
        <v>330.60680978363189</v>
      </c>
      <c r="M17" s="100">
        <f t="shared" si="3"/>
        <v>332.74292029568323</v>
      </c>
      <c r="N17" s="100">
        <f t="shared" si="4"/>
        <v>78.092325966999098</v>
      </c>
      <c r="O17" s="100">
        <f t="shared" si="5"/>
        <v>738.97511995197067</v>
      </c>
      <c r="P17" s="100">
        <f t="shared" si="45"/>
        <v>217.5062407325257</v>
      </c>
      <c r="Q17" s="100">
        <f t="shared" si="46"/>
        <v>617.5355605659513</v>
      </c>
      <c r="R17" s="101">
        <f t="shared" si="6"/>
        <v>1340.8743680735377</v>
      </c>
      <c r="S17" s="101">
        <f t="shared" si="7"/>
        <v>5287.8620929867147</v>
      </c>
      <c r="T17" s="65"/>
      <c r="U17" s="8">
        <v>2016</v>
      </c>
      <c r="V17" s="53">
        <f t="shared" ref="V17:BD17" si="48">V59/$BC59</f>
        <v>0.31517011434778169</v>
      </c>
      <c r="W17" s="53">
        <f t="shared" si="28"/>
        <v>-4.7097125851777166E-3</v>
      </c>
      <c r="X17" s="53">
        <f t="shared" si="48"/>
        <v>0.18646530547676829</v>
      </c>
      <c r="Y17" s="53">
        <f t="shared" si="29"/>
        <v>1.6542912783814812E-2</v>
      </c>
      <c r="Z17" s="53">
        <f t="shared" si="48"/>
        <v>1.989195343553897E-2</v>
      </c>
      <c r="AA17" s="53"/>
      <c r="AB17" s="53">
        <f t="shared" si="18"/>
        <v>0.14134804781306495</v>
      </c>
      <c r="AC17" s="53">
        <f t="shared" si="30"/>
        <v>-1.0960452037847013E-2</v>
      </c>
      <c r="AD17" s="53">
        <f t="shared" si="48"/>
        <v>0.37587580835199624</v>
      </c>
      <c r="AE17" s="53">
        <f t="shared" si="31"/>
        <v>-1.3751029513293211E-2</v>
      </c>
      <c r="AF17" s="53">
        <f t="shared" si="48"/>
        <v>0.6115950333075677</v>
      </c>
      <c r="AG17" s="53">
        <f t="shared" si="32"/>
        <v>1.9713405322061561E-3</v>
      </c>
      <c r="AH17" s="53">
        <f t="shared" si="48"/>
        <v>0.18646530547676829</v>
      </c>
      <c r="AI17" s="53">
        <f t="shared" si="33"/>
        <v>1.6542912783814812E-2</v>
      </c>
      <c r="AJ17" s="53">
        <f t="shared" si="48"/>
        <v>1.989195343553897E-2</v>
      </c>
      <c r="AK17" s="53">
        <f t="shared" si="48"/>
        <v>0.90698879589611403</v>
      </c>
      <c r="AL17" s="53">
        <f t="shared" si="36"/>
        <v>9.9443704961554857E-4</v>
      </c>
      <c r="AM17" s="53">
        <f t="shared" si="48"/>
        <v>0.63006273176548888</v>
      </c>
      <c r="AN17" s="53">
        <f t="shared" si="37"/>
        <v>6.2619761531430562E-3</v>
      </c>
      <c r="AO17" s="53">
        <f t="shared" si="48"/>
        <v>0.70741533169215987</v>
      </c>
      <c r="AP17" s="53">
        <f t="shared" si="38"/>
        <v>2.6639342276149058E-3</v>
      </c>
      <c r="AQ17" s="53">
        <f t="shared" si="48"/>
        <v>1.6673049889662566</v>
      </c>
      <c r="AR17" s="53">
        <f t="shared" si="38"/>
        <v>6.9767583235980091E-4</v>
      </c>
      <c r="AS17" s="53">
        <f t="shared" si="48"/>
        <v>0.84144542304658299</v>
      </c>
      <c r="AT17" s="53">
        <f t="shared" si="34"/>
        <v>2.1945252145365579E-3</v>
      </c>
      <c r="AU17" s="53">
        <f t="shared" si="48"/>
        <v>1.2015255982320614</v>
      </c>
      <c r="AV17" s="53"/>
      <c r="AW17" s="53">
        <f t="shared" si="48"/>
        <v>0.45970686377678349</v>
      </c>
      <c r="AX17" s="53">
        <f t="shared" si="39"/>
        <v>3.9724162261656204E-4</v>
      </c>
      <c r="AY17" s="53">
        <f t="shared" si="48"/>
        <v>3.502217197825948</v>
      </c>
      <c r="AZ17" s="53"/>
      <c r="BA17" s="53">
        <f t="shared" si="19"/>
        <v>0.44269185777978121</v>
      </c>
      <c r="BB17" s="53">
        <f t="shared" si="40"/>
        <v>-5.6520140730653701E-3</v>
      </c>
      <c r="BC17" s="53">
        <f t="shared" si="48"/>
        <v>1</v>
      </c>
      <c r="BD17" s="53">
        <f t="shared" si="48"/>
        <v>1</v>
      </c>
      <c r="BE17" s="105">
        <f t="shared" si="20"/>
        <v>0.2015255982320614</v>
      </c>
      <c r="BG17" s="14" t="s">
        <v>28</v>
      </c>
      <c r="BH17" s="26" t="s">
        <v>9</v>
      </c>
      <c r="BI17" s="68"/>
      <c r="BJ17" s="68"/>
      <c r="BK17" s="27">
        <f>K4</f>
        <v>530.58146271893293</v>
      </c>
      <c r="BL17" s="27">
        <f>$BK$17*AW6</f>
        <v>243.3061855955342</v>
      </c>
      <c r="BM17" s="27">
        <f t="shared" si="21"/>
        <v>272.12798829135977</v>
      </c>
      <c r="BO17" s="28">
        <v>2003</v>
      </c>
      <c r="BP17" s="29">
        <f t="shared" si="8"/>
        <v>0.92352941176470593</v>
      </c>
      <c r="BQ17" s="29">
        <f t="shared" si="43"/>
        <v>0.98902953586497899</v>
      </c>
      <c r="BR17" s="29">
        <f t="shared" si="43"/>
        <v>1.0294486215538847</v>
      </c>
      <c r="BS17" s="29">
        <f t="shared" si="43"/>
        <v>1.0142276422764229</v>
      </c>
      <c r="BT17" s="29">
        <f t="shared" si="43"/>
        <v>0.97492537313432825</v>
      </c>
      <c r="BU17" s="29">
        <f t="shared" si="43"/>
        <v>0.97019162526614622</v>
      </c>
      <c r="BV17" s="29">
        <f t="shared" si="43"/>
        <v>0.91181102362204725</v>
      </c>
      <c r="BW17" s="29">
        <f t="shared" si="43"/>
        <v>0.98358662613981762</v>
      </c>
      <c r="BX17" s="29">
        <f t="shared" si="43"/>
        <v>1.0371123538383322</v>
      </c>
      <c r="BZ17" s="28">
        <v>2003</v>
      </c>
      <c r="CA17" s="29">
        <f t="shared" si="10"/>
        <v>0.85143442622950827</v>
      </c>
      <c r="CB17" s="29">
        <f t="shared" si="44"/>
        <v>0.87690504103165312</v>
      </c>
      <c r="CC17" s="29">
        <f t="shared" si="44"/>
        <v>0.7743243243243243</v>
      </c>
      <c r="CD17" s="29">
        <f t="shared" si="44"/>
        <v>0.79356568364611257</v>
      </c>
      <c r="CE17" s="29">
        <f t="shared" si="44"/>
        <v>0.78760162601626016</v>
      </c>
      <c r="CF17" s="29">
        <f t="shared" si="44"/>
        <v>0.76659038901601828</v>
      </c>
      <c r="CG17" s="29">
        <f t="shared" si="44"/>
        <v>0.79646017699115046</v>
      </c>
      <c r="CH17" s="29">
        <f t="shared" si="44"/>
        <v>0.75400291120815133</v>
      </c>
      <c r="CI17" s="29">
        <f t="shared" si="44"/>
        <v>0.81216216216216208</v>
      </c>
    </row>
    <row r="18" spans="1:87" x14ac:dyDescent="0.2">
      <c r="A18" s="26">
        <v>2019</v>
      </c>
      <c r="B18" s="125">
        <v>8.097919671547853</v>
      </c>
      <c r="C18" s="142">
        <v>3.5309159999999999</v>
      </c>
      <c r="D18" s="100">
        <f t="shared" si="0"/>
        <v>428.49068464517916</v>
      </c>
      <c r="E18" s="125">
        <v>13.757258943764725</v>
      </c>
      <c r="F18" s="142">
        <v>16.182312</v>
      </c>
      <c r="G18" s="125">
        <v>13.730995849146662</v>
      </c>
      <c r="H18" s="125">
        <v>10.669701489609984</v>
      </c>
      <c r="I18" s="125">
        <v>0.94157686041445254</v>
      </c>
      <c r="J18" s="126">
        <v>497.34026418637325</v>
      </c>
      <c r="K18" s="126">
        <v>431.67782190624621</v>
      </c>
      <c r="L18" s="100">
        <f t="shared" si="2"/>
        <v>330.55294722110727</v>
      </c>
      <c r="M18" s="100">
        <f t="shared" si="3"/>
        <v>328.78692724967812</v>
      </c>
      <c r="N18" s="100">
        <f t="shared" si="4"/>
        <v>75.547186339676443</v>
      </c>
      <c r="O18" s="100">
        <f t="shared" si="5"/>
        <v>724.24061724552689</v>
      </c>
      <c r="P18" s="100">
        <f t="shared" si="45"/>
        <v>216.24502078549645</v>
      </c>
      <c r="Q18" s="100">
        <f t="shared" si="46"/>
        <v>624.34485359478913</v>
      </c>
      <c r="R18" s="101">
        <f t="shared" si="6"/>
        <v>1321.9903250769321</v>
      </c>
      <c r="S18" s="101">
        <f t="shared" si="7"/>
        <v>5356.4103957635853</v>
      </c>
      <c r="T18" s="65"/>
      <c r="U18" s="8">
        <v>2017</v>
      </c>
      <c r="V18" s="53">
        <f t="shared" ref="V18:BD18" si="49">V60/$BC60</f>
        <v>0.31387735173926712</v>
      </c>
      <c r="W18" s="53">
        <f t="shared" si="28"/>
        <v>-4.1017931258801044E-3</v>
      </c>
      <c r="X18" s="53">
        <f t="shared" si="49"/>
        <v>0.1893692460966141</v>
      </c>
      <c r="Y18" s="53">
        <f t="shared" si="29"/>
        <v>1.5573624339502823E-2</v>
      </c>
      <c r="Z18" s="53">
        <f t="shared" si="49"/>
        <v>2.1014463959570732E-2</v>
      </c>
      <c r="AA18" s="53"/>
      <c r="AB18" s="53">
        <f t="shared" si="18"/>
        <v>0.13983549906515974</v>
      </c>
      <c r="AC18" s="53">
        <f t="shared" si="30"/>
        <v>-1.0700881768848869E-2</v>
      </c>
      <c r="AD18" s="53">
        <f t="shared" si="49"/>
        <v>0.37076772829425786</v>
      </c>
      <c r="AE18" s="53">
        <f t="shared" si="31"/>
        <v>-1.3589807974432988E-2</v>
      </c>
      <c r="AF18" s="53">
        <f t="shared" si="49"/>
        <v>0.61298151288980585</v>
      </c>
      <c r="AG18" s="53">
        <f t="shared" si="32"/>
        <v>2.2669896037905701E-3</v>
      </c>
      <c r="AH18" s="53">
        <f t="shared" si="49"/>
        <v>0.1893692460966141</v>
      </c>
      <c r="AI18" s="53">
        <f t="shared" si="33"/>
        <v>1.5573624339502823E-2</v>
      </c>
      <c r="AJ18" s="53">
        <f t="shared" si="49"/>
        <v>2.1014463959570732E-2</v>
      </c>
      <c r="AK18" s="53">
        <f t="shared" si="49"/>
        <v>0.90788285993316775</v>
      </c>
      <c r="AL18" s="53">
        <f t="shared" si="36"/>
        <v>9.8574981421939434E-4</v>
      </c>
      <c r="AM18" s="53">
        <f t="shared" si="49"/>
        <v>0.63395624105698778</v>
      </c>
      <c r="AN18" s="53">
        <f t="shared" si="37"/>
        <v>6.179558153819098E-3</v>
      </c>
      <c r="AO18" s="53">
        <f t="shared" si="49"/>
        <v>0.70923392933087681</v>
      </c>
      <c r="AP18" s="53">
        <f t="shared" si="38"/>
        <v>2.5707636762222208E-3</v>
      </c>
      <c r="AQ18" s="53">
        <f t="shared" si="49"/>
        <v>1.668402451973787</v>
      </c>
      <c r="AR18" s="53">
        <f t="shared" si="38"/>
        <v>6.5822570842954953E-4</v>
      </c>
      <c r="AS18" s="53">
        <f t="shared" si="49"/>
        <v>0.84321436594461618</v>
      </c>
      <c r="AT18" s="53">
        <f t="shared" si="34"/>
        <v>2.1022669439789698E-3</v>
      </c>
      <c r="AU18" s="53">
        <f t="shared" si="49"/>
        <v>1.2014533857845793</v>
      </c>
      <c r="AV18" s="53"/>
      <c r="AW18" s="53">
        <f t="shared" si="49"/>
        <v>0.45984029358849221</v>
      </c>
      <c r="AX18" s="53">
        <f t="shared" si="39"/>
        <v>2.902497705004059E-4</v>
      </c>
      <c r="AY18" s="53">
        <f t="shared" si="49"/>
        <v>3.4787727593963673</v>
      </c>
      <c r="AZ18" s="53"/>
      <c r="BA18" s="53">
        <f t="shared" si="19"/>
        <v>0.44011586589865115</v>
      </c>
      <c r="BB18" s="53">
        <f t="shared" si="40"/>
        <v>-5.8189276262033962E-3</v>
      </c>
      <c r="BC18" s="53">
        <f t="shared" si="49"/>
        <v>1</v>
      </c>
      <c r="BD18" s="53">
        <f t="shared" si="49"/>
        <v>1</v>
      </c>
      <c r="BE18" s="105">
        <f t="shared" si="20"/>
        <v>0.20145338578457928</v>
      </c>
      <c r="BG18" s="14" t="s">
        <v>29</v>
      </c>
      <c r="BH18" s="26" t="s">
        <v>10</v>
      </c>
      <c r="BI18" s="68"/>
      <c r="BJ18" s="68"/>
      <c r="BK18" s="27">
        <f>M4</f>
        <v>434.05618224643769</v>
      </c>
      <c r="BL18" s="27">
        <f>$BK$18*AM6</f>
        <v>256.27206213364155</v>
      </c>
      <c r="BM18" s="27">
        <f t="shared" si="21"/>
        <v>286.62978934550466</v>
      </c>
      <c r="BO18" s="28">
        <v>2004</v>
      </c>
      <c r="BP18" s="29">
        <f t="shared" si="8"/>
        <v>0.915686274509804</v>
      </c>
      <c r="BQ18" s="29">
        <f t="shared" si="43"/>
        <v>0.9776371308016879</v>
      </c>
      <c r="BR18" s="29">
        <f t="shared" si="43"/>
        <v>1.0181704260651629</v>
      </c>
      <c r="BS18" s="29">
        <f t="shared" si="43"/>
        <v>1.0060975609756098</v>
      </c>
      <c r="BT18" s="29">
        <f t="shared" si="43"/>
        <v>0.97552238805970148</v>
      </c>
      <c r="BU18" s="29">
        <f t="shared" si="43"/>
        <v>0.99148332150461327</v>
      </c>
      <c r="BV18" s="29">
        <f t="shared" si="43"/>
        <v>0.93175853018372701</v>
      </c>
      <c r="BW18" s="29">
        <f t="shared" si="43"/>
        <v>0.98237082066869308</v>
      </c>
      <c r="BX18" s="29">
        <f t="shared" si="43"/>
        <v>1.0081342145399084</v>
      </c>
      <c r="BZ18" s="28">
        <v>2004</v>
      </c>
      <c r="CA18" s="29">
        <f t="shared" si="10"/>
        <v>0.94569672131147542</v>
      </c>
      <c r="CB18" s="29">
        <f t="shared" si="44"/>
        <v>0.93200468933177028</v>
      </c>
      <c r="CC18" s="29">
        <f t="shared" si="44"/>
        <v>0.84189189189189195</v>
      </c>
      <c r="CD18" s="29">
        <f t="shared" si="44"/>
        <v>0.88471849865951735</v>
      </c>
      <c r="CE18" s="29">
        <f t="shared" si="44"/>
        <v>0.86788617886178854</v>
      </c>
      <c r="CF18" s="29">
        <f t="shared" si="44"/>
        <v>0.84668192219679639</v>
      </c>
      <c r="CG18" s="29">
        <f t="shared" si="44"/>
        <v>0.87357774968394442</v>
      </c>
      <c r="CH18" s="29">
        <f t="shared" si="44"/>
        <v>0.87190684133915575</v>
      </c>
      <c r="CI18" s="29">
        <f t="shared" si="44"/>
        <v>0.86486486486486491</v>
      </c>
    </row>
    <row r="19" spans="1:87" x14ac:dyDescent="0.2">
      <c r="A19" s="26">
        <v>2020</v>
      </c>
      <c r="B19" s="125">
        <v>8.1442056963501859</v>
      </c>
      <c r="C19" s="142">
        <v>3.5525690000000001</v>
      </c>
      <c r="D19" s="100">
        <f t="shared" si="0"/>
        <v>419.96632373958204</v>
      </c>
      <c r="E19" s="125">
        <v>13.854035504868611</v>
      </c>
      <c r="F19" s="142">
        <v>16.343616000000001</v>
      </c>
      <c r="G19" s="125">
        <v>13.856800920134059</v>
      </c>
      <c r="H19" s="125">
        <v>10.73640826694389</v>
      </c>
      <c r="I19" s="125">
        <v>0.9476431484775153</v>
      </c>
      <c r="J19" s="126">
        <v>489.66660590760102</v>
      </c>
      <c r="K19" s="126">
        <v>428.54515812200174</v>
      </c>
      <c r="L19" s="100">
        <f t="shared" si="2"/>
        <v>331.47817747684871</v>
      </c>
      <c r="M19" s="100">
        <f t="shared" si="3"/>
        <v>326.45875537598249</v>
      </c>
      <c r="N19" s="100">
        <f t="shared" si="4"/>
        <v>73.557104440479094</v>
      </c>
      <c r="O19" s="100">
        <f t="shared" si="5"/>
        <v>714.10506721254205</v>
      </c>
      <c r="P19" s="100">
        <f t="shared" si="45"/>
        <v>215.98241467192588</v>
      </c>
      <c r="Q19" s="100">
        <f t="shared" si="46"/>
        <v>632.1738356474624</v>
      </c>
      <c r="R19" s="101">
        <f t="shared" si="6"/>
        <v>1269.755719250777</v>
      </c>
      <c r="S19" s="101">
        <f t="shared" si="7"/>
        <v>5460.8604459210665</v>
      </c>
      <c r="T19" s="65"/>
      <c r="U19" s="8">
        <v>2018</v>
      </c>
      <c r="V19" s="53">
        <f t="shared" ref="V19:BD19" si="50">V61/$BC61</f>
        <v>0.31271914155876568</v>
      </c>
      <c r="W19" s="53">
        <f t="shared" si="28"/>
        <v>-3.6900087696150052E-3</v>
      </c>
      <c r="X19" s="53">
        <f t="shared" si="50"/>
        <v>0.19215173292927817</v>
      </c>
      <c r="Y19" s="53">
        <f t="shared" si="29"/>
        <v>1.4693446216945238E-2</v>
      </c>
      <c r="Z19" s="53">
        <f t="shared" si="50"/>
        <v>2.2008539311171943E-2</v>
      </c>
      <c r="AA19" s="53"/>
      <c r="AB19" s="53">
        <f t="shared" si="18"/>
        <v>0.13837281268097201</v>
      </c>
      <c r="AC19" s="53">
        <f t="shared" si="30"/>
        <v>-1.046005051625809E-2</v>
      </c>
      <c r="AD19" s="53">
        <f t="shared" si="50"/>
        <v>0.36581692747879901</v>
      </c>
      <c r="AE19" s="53">
        <f t="shared" si="31"/>
        <v>-1.3352836392302336E-2</v>
      </c>
      <c r="AF19" s="53">
        <f t="shared" si="50"/>
        <v>0.6144966973275735</v>
      </c>
      <c r="AG19" s="53">
        <f t="shared" si="32"/>
        <v>2.4718272996921975E-3</v>
      </c>
      <c r="AH19" s="53">
        <f t="shared" si="50"/>
        <v>0.19215173292927817</v>
      </c>
      <c r="AI19" s="53">
        <f t="shared" si="33"/>
        <v>1.4693446216945238E-2</v>
      </c>
      <c r="AJ19" s="53">
        <f t="shared" si="50"/>
        <v>2.2008539311171943E-2</v>
      </c>
      <c r="AK19" s="53">
        <f t="shared" si="50"/>
        <v>0.90876662471702851</v>
      </c>
      <c r="AL19" s="53">
        <f t="shared" si="36"/>
        <v>9.7343481506606544E-4</v>
      </c>
      <c r="AM19" s="53">
        <f t="shared" si="50"/>
        <v>0.63782758009456941</v>
      </c>
      <c r="AN19" s="53">
        <f t="shared" si="37"/>
        <v>6.1066344754758806E-3</v>
      </c>
      <c r="AO19" s="53">
        <f t="shared" si="50"/>
        <v>0.71088497523662186</v>
      </c>
      <c r="AP19" s="53">
        <f t="shared" si="38"/>
        <v>2.3279285401682781E-3</v>
      </c>
      <c r="AQ19" s="53">
        <f t="shared" si="50"/>
        <v>1.6695231175365397</v>
      </c>
      <c r="AR19" s="53">
        <f t="shared" si="38"/>
        <v>6.7169978168446498E-4</v>
      </c>
      <c r="AS19" s="53">
        <f t="shared" si="50"/>
        <v>0.84492219722815065</v>
      </c>
      <c r="AT19" s="53">
        <f t="shared" si="34"/>
        <v>2.0253821003408667E-3</v>
      </c>
      <c r="AU19" s="53">
        <f t="shared" si="50"/>
        <v>1.2013518907053482</v>
      </c>
      <c r="AV19" s="53"/>
      <c r="AW19" s="53">
        <f t="shared" si="50"/>
        <v>0.45994338424468345</v>
      </c>
      <c r="AX19" s="53">
        <f t="shared" si="39"/>
        <v>2.2418795749001852E-4</v>
      </c>
      <c r="AY19" s="53">
        <f t="shared" si="50"/>
        <v>3.4687113224618007</v>
      </c>
      <c r="AZ19" s="53"/>
      <c r="BA19" s="53">
        <f t="shared" si="19"/>
        <v>0.43762337634807702</v>
      </c>
      <c r="BB19" s="53">
        <f t="shared" si="40"/>
        <v>-5.6632576639445986E-3</v>
      </c>
      <c r="BC19" s="53">
        <f t="shared" si="50"/>
        <v>1</v>
      </c>
      <c r="BD19" s="53">
        <f t="shared" si="50"/>
        <v>1</v>
      </c>
      <c r="BE19" s="105">
        <f t="shared" si="20"/>
        <v>0.2013518907053482</v>
      </c>
      <c r="BG19" s="14" t="s">
        <v>30</v>
      </c>
      <c r="BH19" s="26" t="s">
        <v>11</v>
      </c>
      <c r="BI19" s="68"/>
      <c r="BJ19" s="68"/>
      <c r="BK19" s="27">
        <f>N4</f>
        <v>110.52562758422165</v>
      </c>
      <c r="BL19" s="27">
        <f>$BK$19*AK6</f>
        <v>99.382489264859359</v>
      </c>
      <c r="BM19" s="27">
        <f t="shared" si="21"/>
        <v>111.15523762306778</v>
      </c>
      <c r="BO19" s="28">
        <v>2005</v>
      </c>
      <c r="BP19" s="29">
        <f t="shared" si="8"/>
        <v>1</v>
      </c>
      <c r="BQ19" s="29">
        <f t="shared" si="43"/>
        <v>1</v>
      </c>
      <c r="BR19" s="29">
        <f t="shared" si="43"/>
        <v>1</v>
      </c>
      <c r="BS19" s="29">
        <f t="shared" si="43"/>
        <v>1</v>
      </c>
      <c r="BT19" s="29">
        <f t="shared" si="43"/>
        <v>1</v>
      </c>
      <c r="BU19" s="29">
        <f t="shared" si="43"/>
        <v>1</v>
      </c>
      <c r="BV19" s="29">
        <f t="shared" si="43"/>
        <v>1</v>
      </c>
      <c r="BW19" s="29">
        <f t="shared" si="43"/>
        <v>1</v>
      </c>
      <c r="BX19" s="29">
        <f t="shared" si="43"/>
        <v>1</v>
      </c>
      <c r="BZ19" s="28">
        <v>2005</v>
      </c>
      <c r="CA19" s="29">
        <f t="shared" si="10"/>
        <v>1</v>
      </c>
      <c r="CB19" s="29">
        <f t="shared" si="44"/>
        <v>1</v>
      </c>
      <c r="CC19" s="29">
        <f t="shared" si="44"/>
        <v>1</v>
      </c>
      <c r="CD19" s="29">
        <f t="shared" si="44"/>
        <v>1</v>
      </c>
      <c r="CE19" s="29">
        <f t="shared" si="44"/>
        <v>1</v>
      </c>
      <c r="CF19" s="29">
        <f t="shared" si="44"/>
        <v>1</v>
      </c>
      <c r="CG19" s="29">
        <f t="shared" si="44"/>
        <v>1</v>
      </c>
      <c r="CH19" s="29">
        <f t="shared" si="44"/>
        <v>1</v>
      </c>
      <c r="CI19" s="29">
        <f t="shared" si="44"/>
        <v>1</v>
      </c>
    </row>
    <row r="20" spans="1:87" x14ac:dyDescent="0.2">
      <c r="A20" s="26">
        <v>2021</v>
      </c>
      <c r="B20" s="125">
        <v>8.190389842037554</v>
      </c>
      <c r="C20" s="142">
        <v>3.571126</v>
      </c>
      <c r="D20" s="100">
        <f t="shared" si="0"/>
        <v>409.20794973943828</v>
      </c>
      <c r="E20" s="125">
        <v>13.945349522989035</v>
      </c>
      <c r="F20" s="142">
        <v>16.477599999999999</v>
      </c>
      <c r="G20" s="125">
        <v>13.962350937101309</v>
      </c>
      <c r="H20" s="125">
        <v>10.794933364893012</v>
      </c>
      <c r="I20" s="125">
        <v>0.95346645711965128</v>
      </c>
      <c r="J20" s="126">
        <v>482.48162171628343</v>
      </c>
      <c r="K20" s="126">
        <v>425.67586007042604</v>
      </c>
      <c r="L20" s="100">
        <f t="shared" si="2"/>
        <v>330.49955641127411</v>
      </c>
      <c r="M20" s="100">
        <f t="shared" si="3"/>
        <v>323.00687117341255</v>
      </c>
      <c r="N20" s="100">
        <f t="shared" si="4"/>
        <v>71.580049523243872</v>
      </c>
      <c r="O20" s="100">
        <f t="shared" si="5"/>
        <v>702.11188868464501</v>
      </c>
      <c r="P20" s="100">
        <f t="shared" si="45"/>
        <v>214.87369112535382</v>
      </c>
      <c r="Q20" s="100">
        <f t="shared" si="46"/>
        <v>635.68338378535623</v>
      </c>
      <c r="R20" s="101">
        <f t="shared" si="6"/>
        <v>1238.8641198064383</v>
      </c>
      <c r="S20" s="101">
        <f t="shared" si="7"/>
        <v>5539.0529985668145</v>
      </c>
      <c r="T20" s="65"/>
      <c r="U20" s="8">
        <v>2019</v>
      </c>
      <c r="V20" s="53">
        <f t="shared" ref="V20:BD20" si="51">V62/$BC62</f>
        <v>0.31163961417564978</v>
      </c>
      <c r="W20" s="53">
        <f t="shared" si="28"/>
        <v>-3.452066853774749E-3</v>
      </c>
      <c r="X20" s="53">
        <f t="shared" si="51"/>
        <v>0.194838433215485</v>
      </c>
      <c r="Y20" s="53">
        <f t="shared" si="29"/>
        <v>1.3982180879917872E-2</v>
      </c>
      <c r="Z20" s="53">
        <f t="shared" si="51"/>
        <v>2.2880587219129819E-2</v>
      </c>
      <c r="AA20" s="53"/>
      <c r="AB20" s="53">
        <f t="shared" si="18"/>
        <v>0.13694801154129543</v>
      </c>
      <c r="AC20" s="53">
        <f t="shared" si="30"/>
        <v>-1.0296828633248656E-2</v>
      </c>
      <c r="AD20" s="53">
        <f t="shared" si="51"/>
        <v>0.36101866585762021</v>
      </c>
      <c r="AE20" s="53">
        <f t="shared" si="31"/>
        <v>-1.3116565311092399E-2</v>
      </c>
      <c r="AF20" s="53">
        <f t="shared" si="51"/>
        <v>0.61608294583722889</v>
      </c>
      <c r="AG20" s="53">
        <f t="shared" si="32"/>
        <v>2.5813784135113593E-3</v>
      </c>
      <c r="AH20" s="53">
        <f t="shared" si="51"/>
        <v>0.194838433215485</v>
      </c>
      <c r="AI20" s="53">
        <f t="shared" si="33"/>
        <v>1.3982180879917872E-2</v>
      </c>
      <c r="AJ20" s="53">
        <f t="shared" si="51"/>
        <v>2.2880587219129819E-2</v>
      </c>
      <c r="AK20" s="53">
        <f t="shared" si="51"/>
        <v>0.90963833352940326</v>
      </c>
      <c r="AL20" s="53">
        <f t="shared" si="36"/>
        <v>9.5922186033869927E-4</v>
      </c>
      <c r="AM20" s="53">
        <f t="shared" si="51"/>
        <v>0.64168439035666158</v>
      </c>
      <c r="AN20" s="53">
        <f t="shared" si="37"/>
        <v>6.0467912998061202E-3</v>
      </c>
      <c r="AO20" s="53">
        <f t="shared" si="51"/>
        <v>0.71237430885348618</v>
      </c>
      <c r="AP20" s="53">
        <f t="shared" si="38"/>
        <v>2.0950416294402974E-3</v>
      </c>
      <c r="AQ20" s="53">
        <f t="shared" si="51"/>
        <v>1.6705064125187556</v>
      </c>
      <c r="AR20" s="53">
        <f t="shared" si="38"/>
        <v>5.8896757516402332E-4</v>
      </c>
      <c r="AS20" s="53">
        <f t="shared" si="51"/>
        <v>0.84657360052505459</v>
      </c>
      <c r="AT20" s="53">
        <f t="shared" si="34"/>
        <v>1.9545033877930162E-3</v>
      </c>
      <c r="AU20" s="53">
        <f t="shared" si="51"/>
        <v>1.2012459212294204</v>
      </c>
      <c r="AV20" s="53"/>
      <c r="AW20" s="53">
        <f t="shared" si="51"/>
        <v>0.46002056670402314</v>
      </c>
      <c r="AX20" s="53">
        <f t="shared" si="39"/>
        <v>1.6780860858878199E-4</v>
      </c>
      <c r="AY20" s="53">
        <f t="shared" si="51"/>
        <v>3.4685626371199598</v>
      </c>
      <c r="AZ20" s="53"/>
      <c r="BA20" s="53">
        <f t="shared" si="19"/>
        <v>0.43537625304166383</v>
      </c>
      <c r="BB20" s="53">
        <f t="shared" si="40"/>
        <v>-5.1348338042752628E-3</v>
      </c>
      <c r="BC20" s="53">
        <f t="shared" si="51"/>
        <v>1</v>
      </c>
      <c r="BD20" s="53">
        <f t="shared" si="51"/>
        <v>1</v>
      </c>
      <c r="BE20" s="105">
        <f t="shared" si="20"/>
        <v>0.20124592122942042</v>
      </c>
      <c r="BG20" s="14" t="s">
        <v>31</v>
      </c>
      <c r="BH20" s="26" t="s">
        <v>12</v>
      </c>
      <c r="BI20" s="68"/>
      <c r="BJ20" s="68"/>
      <c r="BK20" s="27">
        <f>O4</f>
        <v>922.49348069682435</v>
      </c>
      <c r="BL20" s="27">
        <f>$BK$20*AS6</f>
        <v>757.73947277765512</v>
      </c>
      <c r="BM20" s="27">
        <f t="shared" si="21"/>
        <v>847.50051821010345</v>
      </c>
      <c r="BO20" s="28">
        <v>2006</v>
      </c>
      <c r="BP20" s="29">
        <f t="shared" ref="BP20:BX20" si="52">BP86/BP$79</f>
        <v>1.152156862745098</v>
      </c>
      <c r="BQ20" s="29">
        <f t="shared" si="52"/>
        <v>1.0362869198312237</v>
      </c>
      <c r="BR20" s="29">
        <f t="shared" si="52"/>
        <v>1.0520050125313283</v>
      </c>
      <c r="BS20" s="29">
        <f t="shared" si="52"/>
        <v>1.0108401084010841</v>
      </c>
      <c r="BT20" s="29">
        <f t="shared" si="52"/>
        <v>1.0704477611940297</v>
      </c>
      <c r="BU20" s="29">
        <f t="shared" si="52"/>
        <v>1.0645848119233499</v>
      </c>
      <c r="BV20" s="29">
        <f t="shared" si="52"/>
        <v>1.1076115485564304</v>
      </c>
      <c r="BW20" s="29">
        <f t="shared" si="52"/>
        <v>1.003647416413374</v>
      </c>
      <c r="BX20" s="29">
        <f t="shared" si="52"/>
        <v>1.0859176410777833</v>
      </c>
      <c r="BZ20" s="28">
        <v>2006</v>
      </c>
      <c r="CA20" s="29">
        <f t="shared" ref="CA20:CI20" si="53">CA86/CA$79</f>
        <v>1.0973360655737705</v>
      </c>
      <c r="CB20" s="29">
        <f t="shared" si="53"/>
        <v>1.1113716295427902</v>
      </c>
      <c r="CC20" s="29">
        <f t="shared" si="53"/>
        <v>1.0202702702702702</v>
      </c>
      <c r="CD20" s="29">
        <f t="shared" si="53"/>
        <v>1.0281501340482573</v>
      </c>
      <c r="CE20" s="29">
        <f t="shared" si="53"/>
        <v>1.068089430894309</v>
      </c>
      <c r="CF20" s="29">
        <f t="shared" si="53"/>
        <v>1.0800915331807779</v>
      </c>
      <c r="CG20" s="29">
        <f t="shared" si="53"/>
        <v>1.0379266750948168</v>
      </c>
      <c r="CH20" s="29">
        <f t="shared" si="53"/>
        <v>1.066957787481805</v>
      </c>
      <c r="CI20" s="29">
        <f t="shared" si="53"/>
        <v>0.99054054054054053</v>
      </c>
    </row>
    <row r="21" spans="1:87" x14ac:dyDescent="0.2">
      <c r="A21" s="26">
        <v>2022</v>
      </c>
      <c r="B21" s="125">
        <v>8.2332268822196752</v>
      </c>
      <c r="C21" s="142">
        <v>3.5890789999999999</v>
      </c>
      <c r="D21" s="100">
        <f t="shared" si="0"/>
        <v>399.99777718645038</v>
      </c>
      <c r="E21" s="125">
        <v>14.029313704122087</v>
      </c>
      <c r="F21" s="142">
        <v>16.606939000000001</v>
      </c>
      <c r="G21" s="125">
        <v>14.056521674320575</v>
      </c>
      <c r="H21" s="125">
        <v>10.848665500903758</v>
      </c>
      <c r="I21" s="125">
        <v>0.95919143200787138</v>
      </c>
      <c r="J21" s="126">
        <v>475.9490726916689</v>
      </c>
      <c r="K21" s="126">
        <v>423.01941682911723</v>
      </c>
      <c r="L21" s="100">
        <f t="shared" si="2"/>
        <v>330.49845894926551</v>
      </c>
      <c r="M21" s="100">
        <f t="shared" si="3"/>
        <v>321.08715964599293</v>
      </c>
      <c r="N21" s="100">
        <f t="shared" si="4"/>
        <v>70.269077300066343</v>
      </c>
      <c r="O21" s="100">
        <f t="shared" si="5"/>
        <v>694.36081355544411</v>
      </c>
      <c r="P21" s="100">
        <f t="shared" si="45"/>
        <v>214.64096812911305</v>
      </c>
      <c r="Q21" s="100">
        <f t="shared" si="46"/>
        <v>640.46196297382551</v>
      </c>
      <c r="R21" s="101">
        <f t="shared" si="6"/>
        <v>1219.4333830649186</v>
      </c>
      <c r="S21" s="101">
        <f t="shared" si="7"/>
        <v>5649.0095827592913</v>
      </c>
      <c r="T21" s="65"/>
      <c r="U21" s="8">
        <v>2020</v>
      </c>
      <c r="V21" s="53">
        <f t="shared" ref="V21:BD21" si="54">V63/$BC63</f>
        <v>0.31064012731434965</v>
      </c>
      <c r="W21" s="53">
        <f t="shared" si="28"/>
        <v>-3.2071880975208522E-3</v>
      </c>
      <c r="X21" s="53">
        <f t="shared" si="54"/>
        <v>0.19742760301862181</v>
      </c>
      <c r="Y21" s="53">
        <f t="shared" si="29"/>
        <v>1.3288804269295573E-2</v>
      </c>
      <c r="Z21" s="53">
        <f t="shared" si="54"/>
        <v>2.3654497279057666E-2</v>
      </c>
      <c r="AA21" s="53"/>
      <c r="AB21" s="53">
        <f t="shared" si="18"/>
        <v>0.13557624103717064</v>
      </c>
      <c r="AC21" s="53">
        <f t="shared" si="30"/>
        <v>-1.0016724512361019E-2</v>
      </c>
      <c r="AD21" s="53">
        <f t="shared" si="54"/>
        <v>0.35641887178741555</v>
      </c>
      <c r="AE21" s="53">
        <f t="shared" si="31"/>
        <v>-1.2741153035058739E-2</v>
      </c>
      <c r="AF21" s="53">
        <f t="shared" si="54"/>
        <v>0.6177081778786454</v>
      </c>
      <c r="AG21" s="53">
        <f t="shared" si="32"/>
        <v>2.6380084896002742E-3</v>
      </c>
      <c r="AH21" s="53">
        <f t="shared" si="54"/>
        <v>0.19742760301862181</v>
      </c>
      <c r="AI21" s="53">
        <f t="shared" si="33"/>
        <v>1.3288804269295573E-2</v>
      </c>
      <c r="AJ21" s="53">
        <f t="shared" si="54"/>
        <v>2.3654497279057666E-2</v>
      </c>
      <c r="AK21" s="53">
        <f t="shared" si="54"/>
        <v>0.91049009727506436</v>
      </c>
      <c r="AL21" s="53">
        <f t="shared" si="36"/>
        <v>9.3637626545084451E-4</v>
      </c>
      <c r="AM21" s="53">
        <f t="shared" si="54"/>
        <v>0.64549125302600685</v>
      </c>
      <c r="AN21" s="53">
        <f t="shared" si="37"/>
        <v>5.9326091246030277E-3</v>
      </c>
      <c r="AO21" s="53">
        <f t="shared" si="54"/>
        <v>0.71374199389691828</v>
      </c>
      <c r="AP21" s="53">
        <f t="shared" si="38"/>
        <v>1.9198966420241881E-3</v>
      </c>
      <c r="AQ21" s="53">
        <f t="shared" si="54"/>
        <v>1.6714552043477737</v>
      </c>
      <c r="AR21" s="53">
        <f t="shared" si="38"/>
        <v>5.6796658899838093E-4</v>
      </c>
      <c r="AS21" s="53">
        <f t="shared" si="54"/>
        <v>0.84815544453406599</v>
      </c>
      <c r="AT21" s="53">
        <f t="shared" si="34"/>
        <v>1.868525085155337E-3</v>
      </c>
      <c r="AU21" s="53">
        <f t="shared" si="54"/>
        <v>1.2011321495610834</v>
      </c>
      <c r="AV21" s="53"/>
      <c r="AW21" s="53">
        <f t="shared" si="54"/>
        <v>0.46006400530800701</v>
      </c>
      <c r="AX21" s="53">
        <f t="shared" si="39"/>
        <v>9.4427525914930754E-5</v>
      </c>
      <c r="AY21" s="53">
        <f t="shared" si="54"/>
        <v>3.4751111658340057</v>
      </c>
      <c r="AZ21" s="53"/>
      <c r="BA21" s="53">
        <f t="shared" si="19"/>
        <v>0.43321679404671792</v>
      </c>
      <c r="BB21" s="53">
        <f t="shared" si="40"/>
        <v>-4.9599834163193135E-3</v>
      </c>
      <c r="BC21" s="53">
        <f t="shared" si="54"/>
        <v>1</v>
      </c>
      <c r="BD21" s="53">
        <f t="shared" si="54"/>
        <v>1</v>
      </c>
      <c r="BE21" s="105">
        <f t="shared" si="20"/>
        <v>0.20113214956108338</v>
      </c>
      <c r="BG21" s="14" t="s">
        <v>117</v>
      </c>
      <c r="BH21" s="26" t="s">
        <v>100</v>
      </c>
      <c r="BI21" s="68"/>
      <c r="BJ21" s="68"/>
      <c r="BK21" s="27">
        <f>P4</f>
        <v>0</v>
      </c>
      <c r="BL21" s="27">
        <f>$BK$21*AY6</f>
        <v>0</v>
      </c>
      <c r="BM21" s="27">
        <f t="shared" si="21"/>
        <v>0</v>
      </c>
      <c r="BO21" s="28">
        <v>2007</v>
      </c>
      <c r="BP21" s="29">
        <f t="shared" ref="BP21:BX21" si="55">BP87/BP$79</f>
        <v>1.1694117647058824</v>
      </c>
      <c r="BQ21" s="29">
        <f t="shared" si="55"/>
        <v>1.0510548523206751</v>
      </c>
      <c r="BR21" s="29">
        <f t="shared" si="55"/>
        <v>1.0895989974937343</v>
      </c>
      <c r="BS21" s="29">
        <f t="shared" si="55"/>
        <v>1.0047425474254743</v>
      </c>
      <c r="BT21" s="29">
        <f t="shared" si="55"/>
        <v>1.0686567164179104</v>
      </c>
      <c r="BU21" s="29">
        <f t="shared" si="55"/>
        <v>1.0589070262597586</v>
      </c>
      <c r="BV21" s="29">
        <f t="shared" si="55"/>
        <v>1.0456692913385828</v>
      </c>
      <c r="BW21" s="29">
        <f t="shared" si="55"/>
        <v>1.0103343465045593</v>
      </c>
      <c r="BX21" s="29">
        <f t="shared" si="55"/>
        <v>1.0732079308591762</v>
      </c>
      <c r="BZ21" s="28">
        <v>2007</v>
      </c>
      <c r="CA21" s="29">
        <f t="shared" ref="CA21:CI21" si="56">CA87/CA$79</f>
        <v>1.0174180327868851</v>
      </c>
      <c r="CB21" s="29">
        <f t="shared" si="56"/>
        <v>1.0480656506447832</v>
      </c>
      <c r="CC21" s="29">
        <f t="shared" si="56"/>
        <v>0.92837837837837833</v>
      </c>
      <c r="CD21" s="29">
        <f t="shared" si="56"/>
        <v>0.95040214477211793</v>
      </c>
      <c r="CE21" s="29">
        <f t="shared" si="56"/>
        <v>0.97560975609756095</v>
      </c>
      <c r="CF21" s="29">
        <f t="shared" si="56"/>
        <v>0.94393592677345539</v>
      </c>
      <c r="CG21" s="29">
        <f t="shared" si="56"/>
        <v>0.92414664981036654</v>
      </c>
      <c r="CH21" s="29">
        <f t="shared" si="56"/>
        <v>0.94177583697234346</v>
      </c>
      <c r="CI21" s="29">
        <f t="shared" si="56"/>
        <v>0.95810810810810809</v>
      </c>
    </row>
    <row r="22" spans="1:87" x14ac:dyDescent="0.2">
      <c r="A22" s="26">
        <v>2023</v>
      </c>
      <c r="B22" s="125">
        <v>8.2697894035397219</v>
      </c>
      <c r="C22" s="142">
        <v>3.6062970000000001</v>
      </c>
      <c r="D22" s="100">
        <f t="shared" si="0"/>
        <v>390.91180449753591</v>
      </c>
      <c r="E22" s="125">
        <v>14.101060796918411</v>
      </c>
      <c r="F22" s="142">
        <v>16.730574000000001</v>
      </c>
      <c r="G22" s="125">
        <v>14.136098504584176</v>
      </c>
      <c r="H22" s="125">
        <v>10.899056144516432</v>
      </c>
      <c r="I22" s="125">
        <v>0.9646849986418109</v>
      </c>
      <c r="J22" s="126">
        <v>470.13786233879659</v>
      </c>
      <c r="K22" s="126">
        <v>420.62805703977875</v>
      </c>
      <c r="L22" s="100">
        <f t="shared" si="2"/>
        <v>330.55121730146027</v>
      </c>
      <c r="M22" s="100">
        <f t="shared" si="3"/>
        <v>319.55444708637162</v>
      </c>
      <c r="N22" s="100">
        <f t="shared" si="4"/>
        <v>69.492706259570554</v>
      </c>
      <c r="O22" s="100">
        <f t="shared" si="5"/>
        <v>688.81210476729075</v>
      </c>
      <c r="P22" s="100">
        <f t="shared" si="45"/>
        <v>214.80559204893063</v>
      </c>
      <c r="Q22" s="100">
        <f t="shared" si="46"/>
        <v>644.3605745394625</v>
      </c>
      <c r="R22" s="101">
        <f t="shared" si="6"/>
        <v>1205.6044323480062</v>
      </c>
      <c r="S22" s="101">
        <f t="shared" si="7"/>
        <v>5759.1814045754709</v>
      </c>
      <c r="T22" s="65"/>
      <c r="U22" s="8">
        <v>2021</v>
      </c>
      <c r="V22" s="53">
        <f t="shared" ref="V22:BD22" si="57">V64/$BC64</f>
        <v>0.30975909800790091</v>
      </c>
      <c r="W22" s="53">
        <f t="shared" si="28"/>
        <v>-2.8361735300126423E-3</v>
      </c>
      <c r="X22" s="53">
        <f t="shared" si="57"/>
        <v>0.1999182418491468</v>
      </c>
      <c r="Y22" s="53">
        <f t="shared" si="29"/>
        <v>1.2615453930674869E-2</v>
      </c>
      <c r="Z22" s="53">
        <f t="shared" si="57"/>
        <v>2.4333847645794625E-2</v>
      </c>
      <c r="AA22" s="53"/>
      <c r="AB22" s="53">
        <f t="shared" si="18"/>
        <v>0.13425740199629116</v>
      </c>
      <c r="AC22" s="53">
        <f t="shared" si="30"/>
        <v>-9.7276560464447659E-3</v>
      </c>
      <c r="AD22" s="53">
        <f t="shared" si="57"/>
        <v>0.35199500812881301</v>
      </c>
      <c r="AE22" s="53">
        <f t="shared" si="31"/>
        <v>-1.2411979299572939E-2</v>
      </c>
      <c r="AF22" s="53">
        <f t="shared" si="57"/>
        <v>0.61937769801262654</v>
      </c>
      <c r="AG22" s="53">
        <f t="shared" si="32"/>
        <v>2.7027651466662306E-3</v>
      </c>
      <c r="AH22" s="53">
        <f t="shared" si="57"/>
        <v>0.1999182418491468</v>
      </c>
      <c r="AI22" s="53">
        <f t="shared" si="33"/>
        <v>1.2615453930674869E-2</v>
      </c>
      <c r="AJ22" s="53">
        <f t="shared" si="57"/>
        <v>2.4333847645794625E-2</v>
      </c>
      <c r="AK22" s="53">
        <f t="shared" si="57"/>
        <v>0.91132314820201932</v>
      </c>
      <c r="AL22" s="53">
        <f t="shared" si="36"/>
        <v>9.1494781705825368E-4</v>
      </c>
      <c r="AM22" s="53">
        <f t="shared" si="57"/>
        <v>0.64922945864569581</v>
      </c>
      <c r="AN22" s="53">
        <f t="shared" si="37"/>
        <v>5.7912568174465218E-3</v>
      </c>
      <c r="AO22" s="53">
        <f t="shared" si="57"/>
        <v>0.71509405871292142</v>
      </c>
      <c r="AP22" s="53">
        <f t="shared" si="38"/>
        <v>1.8943327246601083E-3</v>
      </c>
      <c r="AQ22" s="53">
        <f t="shared" si="57"/>
        <v>1.6733030165912135</v>
      </c>
      <c r="AR22" s="53">
        <f t="shared" si="38"/>
        <v>1.1055110771938104E-3</v>
      </c>
      <c r="AS22" s="53">
        <f t="shared" si="57"/>
        <v>0.84966167420266114</v>
      </c>
      <c r="AT22" s="53">
        <f t="shared" si="34"/>
        <v>1.7758886985894673E-3</v>
      </c>
      <c r="AU22" s="53">
        <f t="shared" si="57"/>
        <v>1.2009797258586701</v>
      </c>
      <c r="AV22" s="53"/>
      <c r="AW22" s="53">
        <f t="shared" si="57"/>
        <v>0.4600477540771733</v>
      </c>
      <c r="AX22" s="53">
        <f t="shared" si="39"/>
        <v>-3.5323847652035667E-5</v>
      </c>
      <c r="AY22" s="53">
        <f t="shared" si="57"/>
        <v>3.482806779168389</v>
      </c>
      <c r="AZ22" s="53"/>
      <c r="BA22" s="53">
        <f t="shared" si="19"/>
        <v>0.43104164914676046</v>
      </c>
      <c r="BB22" s="53">
        <f t="shared" si="40"/>
        <v>-5.0209154627622876E-3</v>
      </c>
      <c r="BC22" s="53">
        <f t="shared" si="57"/>
        <v>1</v>
      </c>
      <c r="BD22" s="53">
        <f t="shared" si="57"/>
        <v>1</v>
      </c>
      <c r="BE22" s="105">
        <f t="shared" ref="BE22:BE31" si="58">AU22-1</f>
        <v>0.20097972585867008</v>
      </c>
      <c r="BG22" s="14" t="s">
        <v>174</v>
      </c>
      <c r="BH22" s="26" t="s">
        <v>173</v>
      </c>
      <c r="BI22" s="68"/>
      <c r="BJ22" s="68"/>
      <c r="BK22" s="27">
        <f>Q4</f>
        <v>0</v>
      </c>
      <c r="BL22" s="27">
        <f>BK22*BA6</f>
        <v>0</v>
      </c>
      <c r="BM22" s="27">
        <f t="shared" si="21"/>
        <v>0</v>
      </c>
      <c r="BO22" s="28">
        <v>2008</v>
      </c>
      <c r="BP22" s="29">
        <f t="shared" ref="BP22:BX22" si="59">BP88/BP$79</f>
        <v>1.2133333333333334</v>
      </c>
      <c r="BQ22" s="29">
        <f t="shared" si="59"/>
        <v>1.0970464135021096</v>
      </c>
      <c r="BR22" s="29">
        <f t="shared" si="59"/>
        <v>1.1372180451127818</v>
      </c>
      <c r="BS22" s="29">
        <f t="shared" si="59"/>
        <v>1.0264227642276422</v>
      </c>
      <c r="BT22" s="29">
        <f t="shared" si="59"/>
        <v>1.1128358208955225</v>
      </c>
      <c r="BU22" s="29">
        <f t="shared" si="59"/>
        <v>1.1554293825408091</v>
      </c>
      <c r="BV22" s="29">
        <f t="shared" si="59"/>
        <v>1.0876640419947505</v>
      </c>
      <c r="BW22" s="29">
        <f t="shared" si="59"/>
        <v>1.0449848024316111</v>
      </c>
      <c r="BX22" s="29">
        <f t="shared" si="59"/>
        <v>1.0259278088459582</v>
      </c>
      <c r="BZ22" s="28">
        <v>2008</v>
      </c>
      <c r="CA22" s="29">
        <f t="shared" ref="CA22:CI22" si="60">CA88/CA$79</f>
        <v>1.0286885245901638</v>
      </c>
      <c r="CB22" s="29">
        <f t="shared" si="60"/>
        <v>1.1031652989449003</v>
      </c>
      <c r="CC22" s="29">
        <f t="shared" si="60"/>
        <v>0.99729729729729721</v>
      </c>
      <c r="CD22" s="29">
        <f t="shared" si="60"/>
        <v>0.94235924932975879</v>
      </c>
      <c r="CE22" s="29">
        <f t="shared" si="60"/>
        <v>0.99796747967479682</v>
      </c>
      <c r="CF22" s="29">
        <f t="shared" si="60"/>
        <v>0.98970251716247137</v>
      </c>
      <c r="CG22" s="29">
        <f t="shared" si="60"/>
        <v>1.0050568900126422</v>
      </c>
      <c r="CH22" s="29">
        <f t="shared" si="60"/>
        <v>0.95050946142649206</v>
      </c>
      <c r="CI22" s="29">
        <f t="shared" si="60"/>
        <v>1.0013513513513512</v>
      </c>
    </row>
    <row r="23" spans="1:87" x14ac:dyDescent="0.2">
      <c r="A23" s="26">
        <v>2024</v>
      </c>
      <c r="B23" s="125">
        <v>8.3010546150143298</v>
      </c>
      <c r="C23" s="142">
        <v>3.623122</v>
      </c>
      <c r="D23" s="100">
        <f t="shared" si="0"/>
        <v>383.06877552965955</v>
      </c>
      <c r="E23" s="125">
        <v>14.162568346324433</v>
      </c>
      <c r="F23" s="142">
        <v>16.850977</v>
      </c>
      <c r="G23" s="125">
        <v>14.202269064005705</v>
      </c>
      <c r="H23" s="125">
        <v>10.943632750534501</v>
      </c>
      <c r="I23" s="125">
        <v>0.97012409558935375</v>
      </c>
      <c r="J23" s="126">
        <v>465.03036657069157</v>
      </c>
      <c r="K23" s="126">
        <v>418.50725969556311</v>
      </c>
      <c r="L23" s="100">
        <f t="shared" si="2"/>
        <v>331.51235626754573</v>
      </c>
      <c r="M23" s="100">
        <f t="shared" si="3"/>
        <v>319.29192758826025</v>
      </c>
      <c r="N23" s="100">
        <f t="shared" si="4"/>
        <v>69.270346446215157</v>
      </c>
      <c r="O23" s="100">
        <f t="shared" si="5"/>
        <v>686.87307163244111</v>
      </c>
      <c r="P23" s="100">
        <f t="shared" si="45"/>
        <v>215.76662123037423</v>
      </c>
      <c r="Q23" s="100">
        <f t="shared" si="46"/>
        <v>649.73602395822979</v>
      </c>
      <c r="R23" s="101">
        <f t="shared" si="6"/>
        <v>1198.4258865858853</v>
      </c>
      <c r="S23" s="101">
        <f t="shared" si="7"/>
        <v>5889.7412465591842</v>
      </c>
      <c r="T23" s="65"/>
      <c r="U23" s="8">
        <v>2022</v>
      </c>
      <c r="V23" s="53">
        <f t="shared" ref="V23:BD23" si="61">V65/$BC65</f>
        <v>0.30897063288177201</v>
      </c>
      <c r="W23" s="53">
        <f t="shared" si="28"/>
        <v>-2.5454139400573617E-3</v>
      </c>
      <c r="X23" s="53">
        <f t="shared" si="61"/>
        <v>0.20236183353858847</v>
      </c>
      <c r="Y23" s="53">
        <f t="shared" si="29"/>
        <v>1.222295507823401E-2</v>
      </c>
      <c r="Z23" s="53">
        <f t="shared" si="61"/>
        <v>2.4950224368575691E-2</v>
      </c>
      <c r="AA23" s="53"/>
      <c r="AB23" s="53">
        <f t="shared" si="18"/>
        <v>0.13296296632504545</v>
      </c>
      <c r="AC23" s="53">
        <f t="shared" si="30"/>
        <v>-9.6414473392049116E-3</v>
      </c>
      <c r="AD23" s="53">
        <f t="shared" si="61"/>
        <v>0.34763487582316388</v>
      </c>
      <c r="AE23" s="53">
        <f t="shared" si="31"/>
        <v>-1.2386915169130819E-2</v>
      </c>
      <c r="AF23" s="53">
        <f t="shared" si="61"/>
        <v>0.62105804231987727</v>
      </c>
      <c r="AG23" s="53">
        <f t="shared" si="32"/>
        <v>2.7129557822995753E-3</v>
      </c>
      <c r="AH23" s="53">
        <f t="shared" si="61"/>
        <v>0.20236183353858847</v>
      </c>
      <c r="AI23" s="53">
        <f t="shared" si="33"/>
        <v>1.222295507823401E-2</v>
      </c>
      <c r="AJ23" s="53">
        <f t="shared" si="61"/>
        <v>2.4950224368575691E-2</v>
      </c>
      <c r="AK23" s="53">
        <f t="shared" si="61"/>
        <v>0.91215092758175154</v>
      </c>
      <c r="AL23" s="53">
        <f t="shared" si="36"/>
        <v>9.0832695445675071E-4</v>
      </c>
      <c r="AM23" s="53">
        <f t="shared" si="61"/>
        <v>0.65299765797332998</v>
      </c>
      <c r="AN23" s="53">
        <f t="shared" si="37"/>
        <v>5.804110207036306E-3</v>
      </c>
      <c r="AO23" s="53">
        <f t="shared" si="61"/>
        <v>0.71643208576537976</v>
      </c>
      <c r="AP23" s="53">
        <f t="shared" si="38"/>
        <v>1.8711203598400505E-3</v>
      </c>
      <c r="AQ23" s="53">
        <f t="shared" si="61"/>
        <v>1.6750383781717466</v>
      </c>
      <c r="AR23" s="53">
        <f t="shared" si="38"/>
        <v>1.0370874631351334E-3</v>
      </c>
      <c r="AS23" s="53">
        <f t="shared" si="61"/>
        <v>0.85114362917305886</v>
      </c>
      <c r="AT23" s="53">
        <f t="shared" si="34"/>
        <v>1.7441706686234237E-3</v>
      </c>
      <c r="AU23" s="53">
        <f t="shared" si="61"/>
        <v>1.2007932329348256</v>
      </c>
      <c r="AV23" s="53"/>
      <c r="AW23" s="53">
        <f t="shared" si="61"/>
        <v>0.46001143276154394</v>
      </c>
      <c r="AX23" s="53">
        <f t="shared" si="39"/>
        <v>-7.8951185626841003E-5</v>
      </c>
      <c r="AY23" s="53">
        <f t="shared" si="61"/>
        <v>3.4977545491497799</v>
      </c>
      <c r="AZ23" s="53"/>
      <c r="BA23" s="53">
        <f t="shared" si="19"/>
        <v>0.42887707789306356</v>
      </c>
      <c r="BB23" s="53">
        <f t="shared" si="40"/>
        <v>-5.0217218173269629E-3</v>
      </c>
      <c r="BC23" s="53">
        <f t="shared" si="61"/>
        <v>1</v>
      </c>
      <c r="BD23" s="53">
        <f t="shared" si="61"/>
        <v>1</v>
      </c>
      <c r="BE23" s="105">
        <f t="shared" si="58"/>
        <v>0.20079323293482565</v>
      </c>
      <c r="BG23" s="14" t="s">
        <v>32</v>
      </c>
      <c r="BH23" s="26" t="s">
        <v>13</v>
      </c>
      <c r="BI23" s="68"/>
      <c r="BJ23" s="68"/>
      <c r="BK23" s="27">
        <f>R4</f>
        <v>2009.4019042164659</v>
      </c>
      <c r="BL23" s="27">
        <f>$BK$23</f>
        <v>2009.4019042164659</v>
      </c>
      <c r="BM23" s="27">
        <f t="shared" si="21"/>
        <v>2247.4336052116014</v>
      </c>
      <c r="BO23" s="28">
        <v>2009</v>
      </c>
      <c r="BP23" s="29">
        <f t="shared" ref="BP23:BX23" si="62">BP89/BP$79</f>
        <v>1.1878431372549019</v>
      </c>
      <c r="BQ23" s="29">
        <f t="shared" si="62"/>
        <v>1.0843881856540085</v>
      </c>
      <c r="BR23" s="29">
        <f t="shared" si="62"/>
        <v>1.1854636591478698</v>
      </c>
      <c r="BS23" s="29">
        <f t="shared" si="62"/>
        <v>1.0724932249322494</v>
      </c>
      <c r="BT23" s="29">
        <f t="shared" si="62"/>
        <v>1.1701492537313434</v>
      </c>
      <c r="BU23" s="29">
        <f t="shared" si="62"/>
        <v>1.1809794180269695</v>
      </c>
      <c r="BV23" s="29">
        <f t="shared" si="62"/>
        <v>1.0031496062992125</v>
      </c>
      <c r="BW23" s="29">
        <f t="shared" si="62"/>
        <v>1.0717325227963526</v>
      </c>
      <c r="BX23" s="29">
        <f t="shared" si="62"/>
        <v>1.0691408235892221</v>
      </c>
      <c r="BZ23" s="28">
        <v>2009</v>
      </c>
      <c r="CA23" s="29">
        <f t="shared" ref="CA23:CI23" si="63">CA89/CA$79</f>
        <v>0.99180327868852458</v>
      </c>
      <c r="CB23" s="29">
        <f t="shared" si="63"/>
        <v>1.0058616647127785</v>
      </c>
      <c r="CC23" s="29">
        <f t="shared" si="63"/>
        <v>0.84729729729729719</v>
      </c>
      <c r="CD23" s="29">
        <f t="shared" si="63"/>
        <v>0.79624664879356577</v>
      </c>
      <c r="CE23" s="29">
        <f t="shared" si="63"/>
        <v>0.88211382113821135</v>
      </c>
      <c r="CF23" s="29">
        <f t="shared" si="63"/>
        <v>0.87185354691075512</v>
      </c>
      <c r="CG23" s="29">
        <f t="shared" si="63"/>
        <v>0.8508217446270544</v>
      </c>
      <c r="CH23" s="29">
        <f t="shared" si="63"/>
        <v>0.8675400291120815</v>
      </c>
      <c r="CI23" s="29">
        <f t="shared" si="63"/>
        <v>0.80675675675675673</v>
      </c>
    </row>
    <row r="24" spans="1:87" x14ac:dyDescent="0.2">
      <c r="A24" s="26">
        <v>2025</v>
      </c>
      <c r="B24" s="125">
        <v>8.3275989943828534</v>
      </c>
      <c r="C24" s="142">
        <v>3.6397010000000001</v>
      </c>
      <c r="D24" s="100">
        <f t="shared" si="0"/>
        <v>372.89261827547023</v>
      </c>
      <c r="E24" s="125">
        <v>14.214877761536375</v>
      </c>
      <c r="F24" s="142">
        <v>16.969263000000002</v>
      </c>
      <c r="G24" s="125">
        <v>14.257660809486611</v>
      </c>
      <c r="H24" s="125">
        <v>10.981582822701254</v>
      </c>
      <c r="I24" s="125">
        <v>0.97538625690068848</v>
      </c>
      <c r="J24" s="126">
        <v>460.59611535548845</v>
      </c>
      <c r="K24" s="126">
        <v>416.42666994176869</v>
      </c>
      <c r="L24" s="100">
        <f t="shared" si="2"/>
        <v>330.5724525297955</v>
      </c>
      <c r="M24" s="100">
        <f t="shared" si="3"/>
        <v>317.48873805314884</v>
      </c>
      <c r="N24" s="100">
        <f t="shared" si="4"/>
        <v>69.088351765119057</v>
      </c>
      <c r="O24" s="100">
        <f t="shared" si="5"/>
        <v>681.83158310216493</v>
      </c>
      <c r="P24" s="100">
        <f t="shared" si="45"/>
        <v>215.3838096456148</v>
      </c>
      <c r="Q24" s="100">
        <f t="shared" si="46"/>
        <v>651.11539399671483</v>
      </c>
      <c r="R24" s="101">
        <f t="shared" si="6"/>
        <v>1185.1242283098265</v>
      </c>
      <c r="S24" s="101">
        <f t="shared" si="7"/>
        <v>5991.41585105992</v>
      </c>
      <c r="T24" s="65"/>
      <c r="U24" s="8">
        <v>2023</v>
      </c>
      <c r="V24" s="53">
        <f t="shared" ref="V24:V29" si="64">V66/$BC66</f>
        <v>0.30822707468618687</v>
      </c>
      <c r="W24" s="53">
        <f t="shared" si="28"/>
        <v>-2.4065659206830015E-3</v>
      </c>
      <c r="X24" s="53">
        <f>X66/$BC66</f>
        <v>0.20473555612325298</v>
      </c>
      <c r="Y24" s="53">
        <f t="shared" si="29"/>
        <v>1.1730090319683972E-2</v>
      </c>
      <c r="Z24" s="53">
        <f>Z66/$BC66</f>
        <v>2.5507582619897468E-2</v>
      </c>
      <c r="AA24" s="53"/>
      <c r="AB24" s="53">
        <f t="shared" si="18"/>
        <v>0.13170756862633676</v>
      </c>
      <c r="AC24" s="53">
        <f t="shared" si="30"/>
        <v>-9.4417094729949413E-3</v>
      </c>
      <c r="AD24" s="53">
        <f>AD66/$BC66</f>
        <v>0.34343427263336407</v>
      </c>
      <c r="AE24" s="53">
        <f t="shared" si="31"/>
        <v>-1.2083376789665312E-2</v>
      </c>
      <c r="AF24" s="53">
        <f>AF66/$BC66</f>
        <v>0.62273210129084966</v>
      </c>
      <c r="AG24" s="53">
        <f t="shared" si="32"/>
        <v>2.6954951983539921E-3</v>
      </c>
      <c r="AH24" s="53">
        <f>AH66/$BC66</f>
        <v>0.20473555612325298</v>
      </c>
      <c r="AI24" s="53">
        <f t="shared" si="33"/>
        <v>1.1730090319683972E-2</v>
      </c>
      <c r="AJ24" s="53">
        <f t="shared" ref="AJ24:AK26" si="65">AJ66/$BC66</f>
        <v>2.5507582619897468E-2</v>
      </c>
      <c r="AK24" s="53">
        <f t="shared" si="65"/>
        <v>0.91294515763345607</v>
      </c>
      <c r="AL24" s="53">
        <f t="shared" si="36"/>
        <v>8.7072218827888292E-4</v>
      </c>
      <c r="AM24" s="53">
        <f>AM66/$BC66</f>
        <v>0.65673382532756885</v>
      </c>
      <c r="AN24" s="53">
        <f t="shared" si="37"/>
        <v>5.7215631765581421E-3</v>
      </c>
      <c r="AO24" s="53">
        <f>AO66/$BC66</f>
        <v>0.71776277259750398</v>
      </c>
      <c r="AP24" s="53">
        <f t="shared" si="38"/>
        <v>1.8573802856729493E-3</v>
      </c>
      <c r="AQ24" s="53">
        <f>AQ66/$BC66</f>
        <v>1.6767467449638513</v>
      </c>
      <c r="AR24" s="53">
        <f t="shared" si="38"/>
        <v>1.0198971046677663E-3</v>
      </c>
      <c r="AS24" s="53">
        <f>AS66/$BC66</f>
        <v>0.85257420811528895</v>
      </c>
      <c r="AT24" s="53">
        <f t="shared" si="34"/>
        <v>1.6807726606846707E-3</v>
      </c>
      <c r="AU24" s="53">
        <f>AU66/$BC66</f>
        <v>1.2006094583703459</v>
      </c>
      <c r="AV24" s="53"/>
      <c r="AW24" s="53">
        <f>AW66/$BC66</f>
        <v>0.45994981593711359</v>
      </c>
      <c r="AX24" s="53">
        <f t="shared" si="39"/>
        <v>-1.3394628924856544E-4</v>
      </c>
      <c r="AY24" s="53">
        <f>AY66/$BC66</f>
        <v>3.5133328718879504</v>
      </c>
      <c r="AZ24" s="53"/>
      <c r="BA24" s="53">
        <f t="shared" si="19"/>
        <v>0.42684528191079441</v>
      </c>
      <c r="BB24" s="53">
        <f t="shared" si="40"/>
        <v>-4.7374786086743503E-3</v>
      </c>
      <c r="BC24" s="53">
        <f t="shared" ref="BC24:BD26" si="66">BC66/$BC66</f>
        <v>1</v>
      </c>
      <c r="BD24" s="53">
        <f t="shared" si="66"/>
        <v>1</v>
      </c>
      <c r="BE24" s="105">
        <f t="shared" si="58"/>
        <v>0.20060945837034594</v>
      </c>
      <c r="BG24" s="14" t="s">
        <v>33</v>
      </c>
      <c r="BH24" s="26" t="s">
        <v>14</v>
      </c>
      <c r="BI24" s="68"/>
      <c r="BJ24" s="68"/>
      <c r="BK24" s="27">
        <f>S4</f>
        <v>3922.4950399098643</v>
      </c>
      <c r="BL24" s="27">
        <f>$BK$24</f>
        <v>3922.4950399098643</v>
      </c>
      <c r="BM24" s="27">
        <f t="shared" si="21"/>
        <v>4387.1498033673524</v>
      </c>
      <c r="BO24" s="28">
        <v>2010</v>
      </c>
      <c r="BP24" s="29">
        <f t="shared" ref="BP24:BX24" si="67">BP90/BP$79</f>
        <v>1.2219607843137255</v>
      </c>
      <c r="BQ24" s="29">
        <f t="shared" si="67"/>
        <v>1.1118143459915613</v>
      </c>
      <c r="BR24" s="29">
        <f t="shared" si="67"/>
        <v>1.2487468671679196</v>
      </c>
      <c r="BS24" s="29">
        <f t="shared" si="67"/>
        <v>1.1327913279132791</v>
      </c>
      <c r="BT24" s="29">
        <f t="shared" si="67"/>
        <v>1.1808955223880597</v>
      </c>
      <c r="BU24" s="29">
        <f t="shared" si="67"/>
        <v>1.1249112845990064</v>
      </c>
      <c r="BV24" s="29">
        <f t="shared" si="67"/>
        <v>0.96115485564304448</v>
      </c>
      <c r="BW24" s="29">
        <f t="shared" si="67"/>
        <v>0.98419452887538006</v>
      </c>
      <c r="BX24" s="29">
        <f t="shared" si="67"/>
        <v>1.0437214031520081</v>
      </c>
      <c r="BZ24" s="28">
        <v>2010</v>
      </c>
      <c r="CA24" s="29">
        <f t="shared" ref="CA24:CI24" si="68">CA90/CA$79</f>
        <v>0.89446721311475419</v>
      </c>
      <c r="CB24" s="29">
        <f t="shared" si="68"/>
        <v>0.89331770222743268</v>
      </c>
      <c r="CC24" s="29">
        <f t="shared" si="68"/>
        <v>0.79999999999999993</v>
      </c>
      <c r="CD24" s="29">
        <f t="shared" si="68"/>
        <v>0.78552278820375343</v>
      </c>
      <c r="CE24" s="29">
        <f t="shared" si="68"/>
        <v>0.80081300813008127</v>
      </c>
      <c r="CF24" s="29">
        <f t="shared" si="68"/>
        <v>0.77345537757437066</v>
      </c>
      <c r="CG24" s="29">
        <f t="shared" si="68"/>
        <v>0.76106194690265483</v>
      </c>
      <c r="CH24" s="29">
        <f t="shared" si="68"/>
        <v>0.84133915574963614</v>
      </c>
      <c r="CI24" s="29">
        <f t="shared" si="68"/>
        <v>0.8540540540540541</v>
      </c>
    </row>
    <row r="25" spans="1:87" x14ac:dyDescent="0.2">
      <c r="A25" s="26">
        <f t="shared" ref="A25:A41" si="69">A24+1</f>
        <v>2026</v>
      </c>
      <c r="B25" s="125">
        <v>8.3494125211931092</v>
      </c>
      <c r="C25" s="142">
        <v>3.6560069999999998</v>
      </c>
      <c r="D25" s="100">
        <f t="shared" si="0"/>
        <v>363.40195405575997</v>
      </c>
      <c r="E25" s="125">
        <v>14.258012834356226</v>
      </c>
      <c r="F25" s="142">
        <v>17.085235999999998</v>
      </c>
      <c r="G25" s="125">
        <v>14.30328424720304</v>
      </c>
      <c r="H25" s="125">
        <v>11.012506139039157</v>
      </c>
      <c r="I25" s="125">
        <v>0.98007867816816163</v>
      </c>
      <c r="J25" s="126">
        <v>456.87448998397741</v>
      </c>
      <c r="K25" s="126">
        <v>414.52127371504622</v>
      </c>
      <c r="L25" s="100">
        <f t="shared" si="2"/>
        <v>330.42019434888834</v>
      </c>
      <c r="M25" s="100">
        <f t="shared" si="3"/>
        <v>316.75906844902772</v>
      </c>
      <c r="N25" s="100">
        <f t="shared" si="4"/>
        <v>69.096914198654005</v>
      </c>
      <c r="O25" s="100">
        <f t="shared" si="5"/>
        <v>679.14419471165479</v>
      </c>
      <c r="P25" s="100">
        <f t="shared" si="45"/>
        <v>215.32643186869478</v>
      </c>
      <c r="Q25" s="100">
        <f t="shared" si="46"/>
        <v>653.82267965171081</v>
      </c>
      <c r="R25" s="101">
        <f t="shared" si="6"/>
        <v>1174.6918590547461</v>
      </c>
      <c r="S25" s="101">
        <f t="shared" si="7"/>
        <v>6091.6870853659957</v>
      </c>
      <c r="T25" s="65"/>
      <c r="U25" s="8">
        <v>2024</v>
      </c>
      <c r="V25" s="53">
        <f t="shared" si="64"/>
        <v>0.30750389582432758</v>
      </c>
      <c r="W25" s="53">
        <f t="shared" si="28"/>
        <v>-2.3462535294654918E-3</v>
      </c>
      <c r="X25" s="53">
        <f>X67/$BC67</f>
        <v>0.20705973829307586</v>
      </c>
      <c r="Y25" s="53">
        <f t="shared" si="29"/>
        <v>1.1352117892134528E-2</v>
      </c>
      <c r="Z25" s="53">
        <f>Z67/$BC67</f>
        <v>2.6020427567496757E-2</v>
      </c>
      <c r="AA25" s="53"/>
      <c r="AB25" s="53">
        <f t="shared" si="18"/>
        <v>0.13048183933120833</v>
      </c>
      <c r="AC25" s="53">
        <f t="shared" si="30"/>
        <v>-9.3064453919570189E-3</v>
      </c>
      <c r="AD25" s="53">
        <f>AD67/$BC67</f>
        <v>0.33936973777852131</v>
      </c>
      <c r="AE25" s="53">
        <f t="shared" si="31"/>
        <v>-1.1834971576007769E-2</v>
      </c>
      <c r="AF25" s="53">
        <f>AF67/$BC67</f>
        <v>0.62437952052960843</v>
      </c>
      <c r="AG25" s="53">
        <f t="shared" si="32"/>
        <v>2.6454702356661919E-3</v>
      </c>
      <c r="AH25" s="53">
        <f>AH67/$BC67</f>
        <v>0.20705973829307586</v>
      </c>
      <c r="AI25" s="53">
        <f t="shared" si="33"/>
        <v>1.1352117892134528E-2</v>
      </c>
      <c r="AJ25" s="53">
        <f t="shared" si="65"/>
        <v>2.6020427567496757E-2</v>
      </c>
      <c r="AK25" s="53">
        <f t="shared" si="65"/>
        <v>0.91371292876750265</v>
      </c>
      <c r="AL25" s="53">
        <f t="shared" si="36"/>
        <v>8.4098275523669663E-4</v>
      </c>
      <c r="AM25" s="53">
        <f>AM67/$BC67</f>
        <v>0.66046035978549789</v>
      </c>
      <c r="AN25" s="53">
        <f t="shared" si="37"/>
        <v>5.6743452434024899E-3</v>
      </c>
      <c r="AO25" s="53">
        <f>AO67/$BC67</f>
        <v>0.71906128841976313</v>
      </c>
      <c r="AP25" s="53">
        <f t="shared" si="38"/>
        <v>1.8091155906010403E-3</v>
      </c>
      <c r="AQ25" s="53">
        <f>AQ67/$BC67</f>
        <v>1.6785217220326545</v>
      </c>
      <c r="AR25" s="53">
        <f t="shared" si="38"/>
        <v>1.0585838762677824E-3</v>
      </c>
      <c r="AS25" s="53">
        <f>AS67/$BC67</f>
        <v>0.8539668055135391</v>
      </c>
      <c r="AT25" s="53">
        <f t="shared" si="34"/>
        <v>1.6334031512970082E-3</v>
      </c>
      <c r="AU25" s="53">
        <f>AU67/$BC67</f>
        <v>1.2004380176773106</v>
      </c>
      <c r="AV25" s="53"/>
      <c r="AW25" s="53">
        <f>AW67/$BC67</f>
        <v>0.45987381730131294</v>
      </c>
      <c r="AX25" s="53">
        <f t="shared" si="39"/>
        <v>-1.6523245181832014E-4</v>
      </c>
      <c r="AY25" s="53">
        <f>AY67/$BC67</f>
        <v>3.5289343724186826</v>
      </c>
      <c r="AZ25" s="53"/>
      <c r="BA25" s="53">
        <f t="shared" si="19"/>
        <v>0.42486931681323187</v>
      </c>
      <c r="BB25" s="53">
        <f t="shared" si="40"/>
        <v>-4.6292302651608219E-3</v>
      </c>
      <c r="BC25" s="53">
        <f t="shared" si="66"/>
        <v>1</v>
      </c>
      <c r="BD25" s="53">
        <f t="shared" si="66"/>
        <v>1</v>
      </c>
      <c r="BE25" s="105">
        <f t="shared" si="58"/>
        <v>0.20043801767731062</v>
      </c>
      <c r="BI25" s="68"/>
      <c r="BJ25" s="68"/>
      <c r="BK25" s="68"/>
      <c r="BL25" s="68"/>
      <c r="BM25" s="68"/>
      <c r="BO25" s="28">
        <v>2011</v>
      </c>
      <c r="BP25" s="29">
        <f t="shared" ref="BP25:BX25" si="70">BP91/BP$79</f>
        <v>1.2937254901960784</v>
      </c>
      <c r="BQ25" s="29">
        <f t="shared" si="70"/>
        <v>1.078902953586498</v>
      </c>
      <c r="BR25" s="29">
        <f t="shared" si="70"/>
        <v>1.1372180451127818</v>
      </c>
      <c r="BS25" s="29">
        <f t="shared" si="70"/>
        <v>1.0210027100271004</v>
      </c>
      <c r="BT25" s="29">
        <f t="shared" si="70"/>
        <v>1.0961194029850745</v>
      </c>
      <c r="BU25" s="29">
        <f t="shared" si="70"/>
        <v>1.0390347764371894</v>
      </c>
      <c r="BV25" s="29">
        <f t="shared" si="70"/>
        <v>0.8671916010498687</v>
      </c>
      <c r="BW25" s="29">
        <f t="shared" si="70"/>
        <v>0.93130699088145907</v>
      </c>
      <c r="BX25" s="29">
        <f t="shared" si="70"/>
        <v>1.0427046263345197</v>
      </c>
      <c r="BZ25" s="28">
        <v>2011</v>
      </c>
      <c r="CA25" s="29">
        <f t="shared" ref="CA25:CI25" si="71">CA91/CA$79</f>
        <v>0.81147540983606559</v>
      </c>
      <c r="CB25" s="29">
        <f t="shared" si="71"/>
        <v>0.81711606096131306</v>
      </c>
      <c r="CC25" s="29">
        <f t="shared" si="71"/>
        <v>0.73918918918918908</v>
      </c>
      <c r="CD25" s="29">
        <f t="shared" si="71"/>
        <v>0.72788203753351199</v>
      </c>
      <c r="CE25" s="29">
        <f t="shared" si="71"/>
        <v>0.76117886178861793</v>
      </c>
      <c r="CF25" s="29">
        <f t="shared" si="71"/>
        <v>0.72997711670480547</v>
      </c>
      <c r="CG25" s="29">
        <f t="shared" si="71"/>
        <v>0.73830594184576481</v>
      </c>
      <c r="CH25" s="29">
        <f t="shared" si="71"/>
        <v>0.79621542940320233</v>
      </c>
      <c r="CI25" s="29">
        <f t="shared" si="71"/>
        <v>0.79729729729729726</v>
      </c>
    </row>
    <row r="26" spans="1:87" x14ac:dyDescent="0.2">
      <c r="A26" s="26">
        <f t="shared" si="69"/>
        <v>2027</v>
      </c>
      <c r="B26" s="125">
        <v>8.3668992443359684</v>
      </c>
      <c r="C26" s="142">
        <v>3.6720199999999998</v>
      </c>
      <c r="D26" s="100">
        <f t="shared" si="0"/>
        <v>354.01670363087203</v>
      </c>
      <c r="E26" s="125">
        <v>14.292741239117538</v>
      </c>
      <c r="F26" s="142">
        <v>17.198823999999998</v>
      </c>
      <c r="G26" s="125">
        <v>14.33977331883257</v>
      </c>
      <c r="H26" s="125">
        <v>11.0365098007554</v>
      </c>
      <c r="I26" s="125">
        <v>0.98429763655557467</v>
      </c>
      <c r="J26" s="126">
        <v>453.87905072495818</v>
      </c>
      <c r="K26" s="126">
        <v>412.76444890663794</v>
      </c>
      <c r="L26" s="100">
        <f t="shared" si="2"/>
        <v>330.22830310790187</v>
      </c>
      <c r="M26" s="100">
        <f t="shared" si="3"/>
        <v>316.18866387824568</v>
      </c>
      <c r="N26" s="100">
        <f t="shared" si="4"/>
        <v>69.102726492425504</v>
      </c>
      <c r="O26" s="100">
        <f t="shared" si="5"/>
        <v>677.29312871746174</v>
      </c>
      <c r="P26" s="100">
        <f t="shared" si="45"/>
        <v>215.32191801218977</v>
      </c>
      <c r="Q26" s="100">
        <f t="shared" si="46"/>
        <v>656.22281892092496</v>
      </c>
      <c r="R26" s="101">
        <f t="shared" si="6"/>
        <v>1165.1227952647812</v>
      </c>
      <c r="S26" s="101">
        <f t="shared" si="7"/>
        <v>6194.6977557610198</v>
      </c>
      <c r="T26" s="65"/>
      <c r="U26" s="8">
        <v>2025</v>
      </c>
      <c r="V26" s="53">
        <f t="shared" si="64"/>
        <v>0.30678004798199193</v>
      </c>
      <c r="W26" s="53">
        <f t="shared" si="28"/>
        <v>-2.353946900071735E-3</v>
      </c>
      <c r="X26" s="53">
        <f>X68/$BC68</f>
        <v>0.20938308338598846</v>
      </c>
      <c r="Y26" s="53">
        <f t="shared" si="29"/>
        <v>1.1220651161183648E-2</v>
      </c>
      <c r="Z26" s="53">
        <f>Z68/$BC68</f>
        <v>2.6506718466155911E-2</v>
      </c>
      <c r="AA26" s="53"/>
      <c r="AB26" s="53">
        <f t="shared" si="18"/>
        <v>0.12925963588974015</v>
      </c>
      <c r="AC26" s="53">
        <f t="shared" si="30"/>
        <v>-9.3668471239571893E-3</v>
      </c>
      <c r="AD26" s="53">
        <f>AD68/$BC68</f>
        <v>0.33534772134902457</v>
      </c>
      <c r="AE26" s="53">
        <f t="shared" si="31"/>
        <v>-1.185142922826421E-2</v>
      </c>
      <c r="AF26" s="53">
        <f>AF68/$BC68</f>
        <v>0.62597198088618589</v>
      </c>
      <c r="AG26" s="53">
        <f t="shared" si="32"/>
        <v>2.5504685919657266E-3</v>
      </c>
      <c r="AH26" s="53">
        <f>AH68/$BC68</f>
        <v>0.20938308338598846</v>
      </c>
      <c r="AI26" s="53">
        <f t="shared" si="33"/>
        <v>1.1220651161183648E-2</v>
      </c>
      <c r="AJ26" s="53">
        <f t="shared" si="65"/>
        <v>2.6506718466155911E-2</v>
      </c>
      <c r="AK26" s="53">
        <f t="shared" si="65"/>
        <v>0.91447826988389547</v>
      </c>
      <c r="AL26" s="53">
        <f t="shared" si="36"/>
        <v>8.3761659958692114E-4</v>
      </c>
      <c r="AM26" s="53">
        <f>AM68/$BC68</f>
        <v>0.66425353941236864</v>
      </c>
      <c r="AN26" s="53">
        <f t="shared" si="37"/>
        <v>5.743235866725982E-3</v>
      </c>
      <c r="AO26" s="53">
        <f>AO68/$BC68</f>
        <v>0.72030114623647423</v>
      </c>
      <c r="AP26" s="53">
        <f t="shared" si="38"/>
        <v>1.7242727938195923E-3</v>
      </c>
      <c r="AQ26" s="53">
        <f>AQ68/$BC68</f>
        <v>1.6801985427691335</v>
      </c>
      <c r="AR26" s="53">
        <f t="shared" si="38"/>
        <v>9.9898661689556967E-4</v>
      </c>
      <c r="AS26" s="53">
        <f>AS68/$BC68</f>
        <v>0.8553571252270753</v>
      </c>
      <c r="AT26" s="53">
        <f t="shared" si="34"/>
        <v>1.6280723144737053E-3</v>
      </c>
      <c r="AU26" s="53">
        <f>AU68/$BC68</f>
        <v>1.2002777969749625</v>
      </c>
      <c r="AV26" s="53"/>
      <c r="AW26" s="53">
        <f>AW68/$BC68</f>
        <v>0.45980027249032462</v>
      </c>
      <c r="AX26" s="53">
        <f t="shared" si="39"/>
        <v>-1.5992389264496421E-4</v>
      </c>
      <c r="AY26" s="53">
        <f>AY68/$BC68</f>
        <v>3.5445559937998579</v>
      </c>
      <c r="AZ26" s="53"/>
      <c r="BA26" s="53">
        <f t="shared" si="19"/>
        <v>0.42293558960587629</v>
      </c>
      <c r="BB26" s="53">
        <f t="shared" si="40"/>
        <v>-4.5513458629106163E-3</v>
      </c>
      <c r="BC26" s="53">
        <f t="shared" si="66"/>
        <v>1</v>
      </c>
      <c r="BD26" s="53">
        <f t="shared" si="66"/>
        <v>1</v>
      </c>
      <c r="BE26" s="105">
        <f t="shared" si="58"/>
        <v>0.20027779697496251</v>
      </c>
      <c r="BI26" s="68"/>
      <c r="BJ26" s="68"/>
      <c r="BK26" s="68"/>
      <c r="BL26" s="27">
        <f>SUM(BL5:BL24)</f>
        <v>15801.66777832112</v>
      </c>
      <c r="BM26" s="27">
        <f>SUM(BM5:BM24)</f>
        <v>17673.517233594957</v>
      </c>
      <c r="BO26" s="28">
        <v>2012</v>
      </c>
      <c r="BP26" s="29">
        <f t="shared" ref="BP26:BX26" si="72">BP92/BP$79</f>
        <v>1.3160784313725491</v>
      </c>
      <c r="BQ26" s="29">
        <f t="shared" si="72"/>
        <v>1.1130801687763714</v>
      </c>
      <c r="BR26" s="29">
        <f t="shared" si="72"/>
        <v>1.131578947368421</v>
      </c>
      <c r="BS26" s="29">
        <f t="shared" si="72"/>
        <v>1.0203252032520325</v>
      </c>
      <c r="BT26" s="29">
        <f t="shared" si="72"/>
        <v>1.1002985074626865</v>
      </c>
      <c r="BU26" s="29">
        <f t="shared" si="72"/>
        <v>1.0369056068133429</v>
      </c>
      <c r="BV26" s="29">
        <f t="shared" si="72"/>
        <v>0.87611548556430452</v>
      </c>
      <c r="BW26" s="29">
        <f t="shared" si="72"/>
        <v>0.95987841945288754</v>
      </c>
      <c r="BX26" s="29">
        <f t="shared" si="72"/>
        <v>1.0416878495170308</v>
      </c>
      <c r="BZ26" s="28">
        <v>2012</v>
      </c>
      <c r="CA26" s="29">
        <f t="shared" ref="CA26:CI26" si="73">CA92/CA$79</f>
        <v>0.81045081967213117</v>
      </c>
      <c r="CB26" s="29">
        <f t="shared" si="73"/>
        <v>0.82297772567409144</v>
      </c>
      <c r="CC26" s="29">
        <f t="shared" si="73"/>
        <v>0.7121621621621621</v>
      </c>
      <c r="CD26" s="29">
        <f t="shared" si="73"/>
        <v>0.71983914209115285</v>
      </c>
      <c r="CE26" s="29">
        <f t="shared" si="73"/>
        <v>0.75406504065040647</v>
      </c>
      <c r="CF26" s="29">
        <f t="shared" si="73"/>
        <v>0.72540045766590389</v>
      </c>
      <c r="CG26" s="29">
        <f t="shared" si="73"/>
        <v>0.72945638432364091</v>
      </c>
      <c r="CH26" s="29">
        <f t="shared" si="73"/>
        <v>0.7889374090247453</v>
      </c>
      <c r="CI26" s="29">
        <f t="shared" si="73"/>
        <v>0.79054054054054046</v>
      </c>
    </row>
    <row r="27" spans="1:87" x14ac:dyDescent="0.2">
      <c r="A27" s="26">
        <f t="shared" si="69"/>
        <v>2028</v>
      </c>
      <c r="B27" s="125">
        <v>8.3820133515158552</v>
      </c>
      <c r="C27" s="142">
        <v>3.6878350000000002</v>
      </c>
      <c r="D27" s="100">
        <f t="shared" si="0"/>
        <v>345.61365104914455</v>
      </c>
      <c r="E27" s="125">
        <v>14.322822084287804</v>
      </c>
      <c r="F27" s="142">
        <v>17.310966000000001</v>
      </c>
      <c r="G27" s="125">
        <v>14.371698710856524</v>
      </c>
      <c r="H27" s="125">
        <v>11.053065298474133</v>
      </c>
      <c r="I27" s="125">
        <v>0.98810952618150916</v>
      </c>
      <c r="J27" s="126">
        <v>451.27329007356576</v>
      </c>
      <c r="K27" s="126">
        <v>411.15410932159227</v>
      </c>
      <c r="L27" s="100">
        <f t="shared" si="2"/>
        <v>330.93029938973899</v>
      </c>
      <c r="M27" s="100">
        <f t="shared" si="3"/>
        <v>316.62927262134241</v>
      </c>
      <c r="N27" s="100">
        <f t="shared" si="4"/>
        <v>69.292832204904883</v>
      </c>
      <c r="O27" s="100">
        <f t="shared" si="5"/>
        <v>677.47048870015078</v>
      </c>
      <c r="P27" s="100">
        <f t="shared" si="45"/>
        <v>215.97685260711106</v>
      </c>
      <c r="Q27" s="100">
        <f t="shared" si="46"/>
        <v>660.42299242267268</v>
      </c>
      <c r="R27" s="101">
        <f t="shared" si="6"/>
        <v>1159.4596184884074</v>
      </c>
      <c r="S27" s="101">
        <f t="shared" si="7"/>
        <v>6317.2391123234102</v>
      </c>
      <c r="T27" s="65"/>
      <c r="U27" s="23">
        <v>2026</v>
      </c>
      <c r="V27" s="53">
        <f t="shared" si="64"/>
        <v>0.30611690453485013</v>
      </c>
      <c r="W27" s="53">
        <f t="shared" si="28"/>
        <v>-2.1616250844993523E-3</v>
      </c>
      <c r="X27" s="53">
        <f t="shared" ref="X27:BD27" si="74">X69/$BC69</f>
        <v>0.21166089611761774</v>
      </c>
      <c r="Y27" s="53">
        <f t="shared" si="29"/>
        <v>1.0878685588129544E-2</v>
      </c>
      <c r="Z27" s="53">
        <f t="shared" si="74"/>
        <v>2.6955902417552469E-2</v>
      </c>
      <c r="AA27" s="53"/>
      <c r="AB27" s="53">
        <f t="shared" si="18"/>
        <v>0.12806293121343776</v>
      </c>
      <c r="AC27" s="53">
        <f t="shared" si="30"/>
        <v>-9.2581467374950321E-3</v>
      </c>
      <c r="AD27" s="53">
        <f t="shared" si="74"/>
        <v>0.33140083049830144</v>
      </c>
      <c r="AE27" s="53">
        <f t="shared" si="31"/>
        <v>-1.1769547247393652E-2</v>
      </c>
      <c r="AF27" s="53">
        <f t="shared" si="74"/>
        <v>0.62755204951912913</v>
      </c>
      <c r="AG27" s="53">
        <f t="shared" si="32"/>
        <v>2.5241842785141966E-3</v>
      </c>
      <c r="AH27" s="53">
        <f t="shared" si="74"/>
        <v>0.21166089611761774</v>
      </c>
      <c r="AI27" s="53">
        <f t="shared" si="33"/>
        <v>1.0878685588129544E-2</v>
      </c>
      <c r="AJ27" s="53">
        <f t="shared" si="74"/>
        <v>2.6955902417552469E-2</v>
      </c>
      <c r="AK27" s="53">
        <f t="shared" si="74"/>
        <v>0.91523064672549215</v>
      </c>
      <c r="AL27" s="53">
        <f t="shared" si="36"/>
        <v>8.2273889536188527E-4</v>
      </c>
      <c r="AM27" s="53">
        <f t="shared" si="74"/>
        <v>0.66807529825123813</v>
      </c>
      <c r="AN27" s="53">
        <f t="shared" si="37"/>
        <v>5.7534640195524567E-3</v>
      </c>
      <c r="AO27" s="53">
        <f t="shared" si="74"/>
        <v>0.72149974964468666</v>
      </c>
      <c r="AP27" s="53">
        <f t="shared" si="38"/>
        <v>1.6640309604878389E-3</v>
      </c>
      <c r="AQ27" s="53">
        <f t="shared" si="74"/>
        <v>1.6818537861247522</v>
      </c>
      <c r="AR27" s="53">
        <f t="shared" si="38"/>
        <v>9.8514747720868101E-4</v>
      </c>
      <c r="AS27" s="53">
        <f t="shared" si="74"/>
        <v>0.85672936210740602</v>
      </c>
      <c r="AT27" s="53">
        <f t="shared" si="34"/>
        <v>1.6042853211357677E-3</v>
      </c>
      <c r="AU27" s="53">
        <f t="shared" si="74"/>
        <v>1.2001003136855268</v>
      </c>
      <c r="AV27" s="53"/>
      <c r="AW27" s="53">
        <f t="shared" si="74"/>
        <v>0.45971914128740227</v>
      </c>
      <c r="AX27" s="53">
        <f t="shared" si="39"/>
        <v>-1.7644879260936275E-4</v>
      </c>
      <c r="AY27" s="53">
        <f t="shared" si="74"/>
        <v>3.5604498405838338</v>
      </c>
      <c r="AZ27" s="53"/>
      <c r="BA27" s="53">
        <f t="shared" si="19"/>
        <v>0.42101124429899411</v>
      </c>
      <c r="BB27" s="53">
        <f t="shared" si="40"/>
        <v>-4.5499725115955014E-3</v>
      </c>
      <c r="BC27" s="53">
        <f t="shared" si="74"/>
        <v>1</v>
      </c>
      <c r="BD27" s="53">
        <f t="shared" si="74"/>
        <v>1</v>
      </c>
      <c r="BE27" s="105">
        <f t="shared" si="58"/>
        <v>0.20010031368552683</v>
      </c>
      <c r="BI27" s="68"/>
      <c r="BJ27" s="68"/>
      <c r="BK27" s="68" t="s">
        <v>151</v>
      </c>
      <c r="BL27" s="27">
        <v>17673.517233594957</v>
      </c>
      <c r="BM27" s="27"/>
      <c r="BO27" s="28">
        <v>2013</v>
      </c>
      <c r="BP27" s="29">
        <f t="shared" ref="BP27:BX27" si="75">BP93/BP$79</f>
        <v>1.328235294117647</v>
      </c>
      <c r="BQ27" s="29">
        <f t="shared" si="75"/>
        <v>1.1295358649789029</v>
      </c>
      <c r="BR27" s="29">
        <f t="shared" si="75"/>
        <v>1.1409774436090225</v>
      </c>
      <c r="BS27" s="29">
        <f t="shared" si="75"/>
        <v>1.046070460704607</v>
      </c>
      <c r="BT27" s="29">
        <f t="shared" si="75"/>
        <v>1.1062686567164179</v>
      </c>
      <c r="BU27" s="29">
        <f t="shared" si="75"/>
        <v>1.0312278211497516</v>
      </c>
      <c r="BV27" s="29">
        <f t="shared" si="75"/>
        <v>0.87874015748031487</v>
      </c>
      <c r="BW27" s="29">
        <f t="shared" si="75"/>
        <v>0.98723404255319147</v>
      </c>
      <c r="BX27" s="29">
        <f t="shared" si="75"/>
        <v>1.0350788002033553</v>
      </c>
      <c r="BZ27" s="28">
        <v>2013</v>
      </c>
      <c r="CA27" s="29">
        <f t="shared" ref="CA27:CI27" si="76">CA93/CA$79</f>
        <v>0.82274590163934425</v>
      </c>
      <c r="CB27" s="29">
        <f t="shared" si="76"/>
        <v>0.8429073856975382</v>
      </c>
      <c r="CC27" s="29">
        <f t="shared" si="76"/>
        <v>0.70540540540540531</v>
      </c>
      <c r="CD27" s="29">
        <f t="shared" si="76"/>
        <v>0.71447721179624668</v>
      </c>
      <c r="CE27" s="29">
        <f t="shared" si="76"/>
        <v>0.75508130081300806</v>
      </c>
      <c r="CF27" s="29">
        <f t="shared" si="76"/>
        <v>0.72540045766590389</v>
      </c>
      <c r="CG27" s="29">
        <f t="shared" si="76"/>
        <v>0.72566371681415931</v>
      </c>
      <c r="CH27" s="29">
        <f t="shared" si="76"/>
        <v>0.79184861717612809</v>
      </c>
      <c r="CI27" s="29">
        <f t="shared" si="76"/>
        <v>0.78783783783783778</v>
      </c>
    </row>
    <row r="28" spans="1:87" x14ac:dyDescent="0.2">
      <c r="A28" s="26">
        <f t="shared" si="69"/>
        <v>2029</v>
      </c>
      <c r="B28" s="125">
        <v>8.3945062409389717</v>
      </c>
      <c r="C28" s="142">
        <v>3.7035469999999999</v>
      </c>
      <c r="D28" s="100">
        <f t="shared" si="0"/>
        <v>335.31520701696746</v>
      </c>
      <c r="E28" s="125">
        <v>14.347722981616645</v>
      </c>
      <c r="F28" s="142">
        <v>17.422353999999999</v>
      </c>
      <c r="G28" s="125">
        <v>14.398754962505095</v>
      </c>
      <c r="H28" s="125">
        <v>11.06150710486053</v>
      </c>
      <c r="I28" s="125">
        <v>0.99146862554272841</v>
      </c>
      <c r="J28" s="126">
        <v>448.92414645913277</v>
      </c>
      <c r="K28" s="126">
        <v>409.68696562672051</v>
      </c>
      <c r="L28" s="100">
        <f t="shared" si="2"/>
        <v>329.81921028319863</v>
      </c>
      <c r="M28" s="100">
        <f t="shared" si="3"/>
        <v>315.48431158699367</v>
      </c>
      <c r="N28" s="100">
        <f t="shared" si="4"/>
        <v>69.10064719926315</v>
      </c>
      <c r="O28" s="100">
        <f t="shared" si="5"/>
        <v>674.29231234221595</v>
      </c>
      <c r="P28" s="100">
        <f t="shared" si="45"/>
        <v>215.54449635579306</v>
      </c>
      <c r="Q28" s="100">
        <f t="shared" si="46"/>
        <v>660.41878387762711</v>
      </c>
      <c r="R28" s="101">
        <f t="shared" si="6"/>
        <v>1148.3961477918631</v>
      </c>
      <c r="S28" s="101">
        <f t="shared" si="7"/>
        <v>6396.5913263988132</v>
      </c>
      <c r="T28" s="65"/>
      <c r="U28" s="23">
        <v>2027</v>
      </c>
      <c r="V28" s="53">
        <f t="shared" si="64"/>
        <v>0.30556721996115327</v>
      </c>
      <c r="W28" s="53">
        <f t="shared" si="28"/>
        <v>-1.7956687969653551E-3</v>
      </c>
      <c r="X28" s="53">
        <f t="shared" ref="X28:BD28" si="77">X70/$BC70</f>
        <v>0.2138286985274124</v>
      </c>
      <c r="Y28" s="53">
        <f t="shared" si="29"/>
        <v>1.0241865406211081E-2</v>
      </c>
      <c r="Z28" s="53">
        <f t="shared" si="77"/>
        <v>2.7354471427156052E-2</v>
      </c>
      <c r="AA28" s="53"/>
      <c r="AB28" s="53">
        <f t="shared" si="18"/>
        <v>0.12692301419276186</v>
      </c>
      <c r="AC28" s="53">
        <f t="shared" si="30"/>
        <v>-8.9012254356105602E-3</v>
      </c>
      <c r="AD28" s="53">
        <f t="shared" si="77"/>
        <v>0.32760710419507205</v>
      </c>
      <c r="AE28" s="53">
        <f t="shared" si="31"/>
        <v>-1.1447546155889388E-2</v>
      </c>
      <c r="AF28" s="53">
        <f t="shared" si="77"/>
        <v>0.6291689092754299</v>
      </c>
      <c r="AG28" s="53">
        <f t="shared" si="32"/>
        <v>2.5764552239766481E-3</v>
      </c>
      <c r="AH28" s="53">
        <f t="shared" si="77"/>
        <v>0.2138286985274124</v>
      </c>
      <c r="AI28" s="53">
        <f t="shared" si="33"/>
        <v>1.0241865406211081E-2</v>
      </c>
      <c r="AJ28" s="53">
        <f t="shared" si="77"/>
        <v>2.7354471427156052E-2</v>
      </c>
      <c r="AK28" s="53">
        <f t="shared" si="77"/>
        <v>0.91595420477275835</v>
      </c>
      <c r="AL28" s="53">
        <f t="shared" si="36"/>
        <v>7.9057453971298486E-4</v>
      </c>
      <c r="AM28" s="53">
        <f t="shared" si="77"/>
        <v>0.67177993636224875</v>
      </c>
      <c r="AN28" s="53">
        <f t="shared" si="37"/>
        <v>5.5452403654316917E-3</v>
      </c>
      <c r="AO28" s="53">
        <f t="shared" si="77"/>
        <v>0.72269573623172112</v>
      </c>
      <c r="AP28" s="53">
        <f t="shared" si="38"/>
        <v>1.6576396424579087E-3</v>
      </c>
      <c r="AQ28" s="53">
        <f t="shared" si="77"/>
        <v>1.6835650432004954</v>
      </c>
      <c r="AR28" s="53">
        <f t="shared" si="38"/>
        <v>1.0174826669600012E-3</v>
      </c>
      <c r="AS28" s="53">
        <f t="shared" si="77"/>
        <v>0.85805448912459503</v>
      </c>
      <c r="AT28" s="53">
        <f t="shared" si="34"/>
        <v>1.5467276783061035E-3</v>
      </c>
      <c r="AU28" s="53">
        <f t="shared" si="77"/>
        <v>1.1998880703924766</v>
      </c>
      <c r="AV28" s="53"/>
      <c r="AW28" s="53">
        <f t="shared" si="77"/>
        <v>0.4596163672342749</v>
      </c>
      <c r="AX28" s="53">
        <f t="shared" si="39"/>
        <v>-2.2355835095222432E-4</v>
      </c>
      <c r="AY28" s="53">
        <f t="shared" si="77"/>
        <v>3.5762501585344864</v>
      </c>
      <c r="AZ28" s="53"/>
      <c r="BA28" s="53">
        <f t="shared" si="19"/>
        <v>0.4191200258815917</v>
      </c>
      <c r="BB28" s="53">
        <f t="shared" si="40"/>
        <v>-4.492085289910519E-3</v>
      </c>
      <c r="BC28" s="53">
        <f t="shared" si="77"/>
        <v>1</v>
      </c>
      <c r="BD28" s="53">
        <f t="shared" si="77"/>
        <v>1</v>
      </c>
      <c r="BE28" s="105">
        <f t="shared" si="58"/>
        <v>0.19988807039247658</v>
      </c>
      <c r="BI28" s="40"/>
      <c r="BJ28" s="40"/>
      <c r="BK28" s="40" t="s">
        <v>76</v>
      </c>
      <c r="BL28" s="69">
        <f>BL27/BL26</f>
        <v>1.1184589805034311</v>
      </c>
      <c r="BM28" s="13"/>
      <c r="BO28" s="28">
        <v>2014</v>
      </c>
      <c r="BP28" s="29">
        <f t="shared" ref="BP28:BX28" si="78">BP94/BP$79</f>
        <v>1.3203921568627452</v>
      </c>
      <c r="BQ28" s="29">
        <f t="shared" si="78"/>
        <v>1.1358649789029538</v>
      </c>
      <c r="BR28" s="29">
        <f t="shared" si="78"/>
        <v>1.1416040100250626</v>
      </c>
      <c r="BS28" s="29">
        <f t="shared" si="78"/>
        <v>1.0420054200542006</v>
      </c>
      <c r="BT28" s="29">
        <f t="shared" si="78"/>
        <v>1.102686567164179</v>
      </c>
      <c r="BU28" s="29">
        <f t="shared" si="78"/>
        <v>1.0198722498225692</v>
      </c>
      <c r="BV28" s="29">
        <f t="shared" si="78"/>
        <v>0.88136482939632543</v>
      </c>
      <c r="BW28" s="29">
        <f t="shared" si="78"/>
        <v>0.99209726443769009</v>
      </c>
      <c r="BX28" s="29">
        <f t="shared" si="78"/>
        <v>1.0366039654295882</v>
      </c>
      <c r="BZ28" s="28">
        <v>2014</v>
      </c>
      <c r="CA28" s="29">
        <f t="shared" ref="CA28:CI28" si="79">CA94/CA$79</f>
        <v>0.82889344262295084</v>
      </c>
      <c r="CB28" s="29">
        <f t="shared" si="79"/>
        <v>0.85932004689331776</v>
      </c>
      <c r="CC28" s="29">
        <f t="shared" si="79"/>
        <v>0.69729729729729728</v>
      </c>
      <c r="CD28" s="29">
        <f t="shared" si="79"/>
        <v>0.70643431635388731</v>
      </c>
      <c r="CE28" s="29">
        <f t="shared" si="79"/>
        <v>0.74288617886178854</v>
      </c>
      <c r="CF28" s="29">
        <f t="shared" si="79"/>
        <v>0.72311212814645309</v>
      </c>
      <c r="CG28" s="29">
        <f t="shared" si="79"/>
        <v>0.7193426042983565</v>
      </c>
      <c r="CH28" s="29">
        <f t="shared" si="79"/>
        <v>0.7831149927219796</v>
      </c>
      <c r="CI28" s="29">
        <f t="shared" si="79"/>
        <v>0.77567567567567564</v>
      </c>
    </row>
    <row r="29" spans="1:87" x14ac:dyDescent="0.2">
      <c r="A29" s="26">
        <f t="shared" si="69"/>
        <v>2030</v>
      </c>
      <c r="B29" s="125">
        <v>8.405648247040185</v>
      </c>
      <c r="C29" s="142">
        <v>3.7192210000000001</v>
      </c>
      <c r="D29" s="100">
        <f t="shared" si="0"/>
        <v>326.32083832269967</v>
      </c>
      <c r="E29" s="125">
        <v>14.374589757458491</v>
      </c>
      <c r="F29" s="142">
        <v>17.533472</v>
      </c>
      <c r="G29" s="125">
        <v>14.421297347885083</v>
      </c>
      <c r="H29" s="125">
        <v>11.061324610560973</v>
      </c>
      <c r="I29" s="125">
        <v>0.99435966112915053</v>
      </c>
      <c r="J29" s="126">
        <v>446.81914432469313</v>
      </c>
      <c r="K29" s="126">
        <v>408.35116049756937</v>
      </c>
      <c r="L29" s="100">
        <f t="shared" si="2"/>
        <v>329.70775549960115</v>
      </c>
      <c r="M29" s="100">
        <f t="shared" si="3"/>
        <v>315.35039504397855</v>
      </c>
      <c r="N29" s="100">
        <f t="shared" si="4"/>
        <v>69.099013800494049</v>
      </c>
      <c r="O29" s="100">
        <f t="shared" si="5"/>
        <v>674.08999057112578</v>
      </c>
      <c r="P29" s="100">
        <f t="shared" si="45"/>
        <v>216.09082431746859</v>
      </c>
      <c r="Q29" s="100">
        <f t="shared" si="46"/>
        <v>661.87033342277857</v>
      </c>
      <c r="R29" s="101">
        <f t="shared" si="6"/>
        <v>1142.7026533663559</v>
      </c>
      <c r="S29" s="101">
        <f t="shared" si="7"/>
        <v>6512.5928463861974</v>
      </c>
      <c r="T29" s="72"/>
      <c r="U29" s="23">
        <v>2028</v>
      </c>
      <c r="V29" s="53">
        <f t="shared" si="64"/>
        <v>0.30511913566547072</v>
      </c>
      <c r="W29" s="53">
        <f t="shared" si="28"/>
        <v>-1.4664017159284892E-3</v>
      </c>
      <c r="X29" s="53">
        <f t="shared" ref="X29:BD29" si="80">X71/$BC71</f>
        <v>0.21587651085286272</v>
      </c>
      <c r="Y29" s="53">
        <f t="shared" si="29"/>
        <v>9.57688252116351E-3</v>
      </c>
      <c r="Z29" s="53">
        <f t="shared" si="80"/>
        <v>2.7703479459295036E-2</v>
      </c>
      <c r="AA29" s="53"/>
      <c r="AB29" s="53">
        <f t="shared" si="18"/>
        <v>0.12584603829539937</v>
      </c>
      <c r="AC29" s="53">
        <f t="shared" si="30"/>
        <v>-8.4852688396358511E-3</v>
      </c>
      <c r="AD29" s="53">
        <f t="shared" si="80"/>
        <v>0.32400885572795185</v>
      </c>
      <c r="AE29" s="53">
        <f t="shared" si="31"/>
        <v>-1.0983426247611616E-2</v>
      </c>
      <c r="AF29" s="53">
        <f t="shared" si="80"/>
        <v>0.63082161005648818</v>
      </c>
      <c r="AG29" s="53">
        <f t="shared" si="32"/>
        <v>2.6267998254421165E-3</v>
      </c>
      <c r="AH29" s="53">
        <f t="shared" si="80"/>
        <v>0.21587651085286272</v>
      </c>
      <c r="AI29" s="53">
        <f t="shared" si="33"/>
        <v>9.57688252116351E-3</v>
      </c>
      <c r="AJ29" s="53">
        <f t="shared" si="80"/>
        <v>2.7703479459295036E-2</v>
      </c>
      <c r="AK29" s="53">
        <f t="shared" si="80"/>
        <v>0.91663448472713482</v>
      </c>
      <c r="AL29" s="53">
        <f t="shared" si="36"/>
        <v>7.4270083682326238E-4</v>
      </c>
      <c r="AM29" s="53">
        <f t="shared" si="80"/>
        <v>0.67531988928525855</v>
      </c>
      <c r="AN29" s="53">
        <f t="shared" si="37"/>
        <v>5.2695127249244855E-3</v>
      </c>
      <c r="AO29" s="53">
        <f t="shared" si="80"/>
        <v>0.72387980544490604</v>
      </c>
      <c r="AP29" s="53">
        <f t="shared" si="38"/>
        <v>1.638406252898239E-3</v>
      </c>
      <c r="AQ29" s="53">
        <f t="shared" si="80"/>
        <v>1.6851874585379099</v>
      </c>
      <c r="AR29" s="53">
        <f t="shared" si="38"/>
        <v>9.636784417490496E-4</v>
      </c>
      <c r="AS29" s="53">
        <f t="shared" si="80"/>
        <v>0.85930918790846023</v>
      </c>
      <c r="AT29" s="53">
        <f t="shared" si="34"/>
        <v>1.4622600309979195E-3</v>
      </c>
      <c r="AU29" s="53">
        <f t="shared" si="80"/>
        <v>1.1996469561610019</v>
      </c>
      <c r="AV29" s="53"/>
      <c r="AW29" s="53">
        <f t="shared" si="80"/>
        <v>0.45947282898902347</v>
      </c>
      <c r="AX29" s="53">
        <f t="shared" si="39"/>
        <v>-3.1230011697613858E-4</v>
      </c>
      <c r="AY29" s="53">
        <f t="shared" si="80"/>
        <v>3.5919593328330164</v>
      </c>
      <c r="AZ29" s="53"/>
      <c r="BA29" s="53">
        <f t="shared" si="19"/>
        <v>0.41726794382502863</v>
      </c>
      <c r="BB29" s="53">
        <f t="shared" si="40"/>
        <v>-4.4189777204449721E-3</v>
      </c>
      <c r="BC29" s="53">
        <f t="shared" si="80"/>
        <v>1</v>
      </c>
      <c r="BD29" s="53">
        <f t="shared" si="80"/>
        <v>1</v>
      </c>
      <c r="BE29" s="105">
        <f t="shared" si="58"/>
        <v>0.19964695616100192</v>
      </c>
      <c r="BK29" s="15"/>
      <c r="BL29" s="65"/>
      <c r="BO29" s="28">
        <v>2015</v>
      </c>
      <c r="BP29" s="29">
        <f t="shared" ref="BP29:BX29" si="81">BP95/BP$79</f>
        <v>1.3094117647058823</v>
      </c>
      <c r="BQ29" s="29">
        <f t="shared" si="81"/>
        <v>1.131223628691983</v>
      </c>
      <c r="BR29" s="29">
        <f t="shared" si="81"/>
        <v>1.1447368421052631</v>
      </c>
      <c r="BS29" s="29">
        <f t="shared" si="81"/>
        <v>1.0392953929539295</v>
      </c>
      <c r="BT29" s="29">
        <f t="shared" si="81"/>
        <v>1.1032835820895524</v>
      </c>
      <c r="BU29" s="29">
        <f t="shared" si="81"/>
        <v>1.0127750177430801</v>
      </c>
      <c r="BV29" s="29">
        <f t="shared" si="81"/>
        <v>0.88713910761154846</v>
      </c>
      <c r="BW29" s="29">
        <f t="shared" si="81"/>
        <v>1.0024316109422491</v>
      </c>
      <c r="BX29" s="29">
        <f t="shared" si="81"/>
        <v>1.0325368581596337</v>
      </c>
      <c r="BZ29" s="28">
        <v>2015</v>
      </c>
      <c r="CA29" s="29">
        <f t="shared" ref="CA29:CI29" si="82">CA95/CA$79</f>
        <v>0.82172131147540983</v>
      </c>
      <c r="CB29" s="29">
        <f t="shared" si="82"/>
        <v>0.8440797186400939</v>
      </c>
      <c r="CC29" s="29">
        <f t="shared" si="82"/>
        <v>0.70945945945945943</v>
      </c>
      <c r="CD29" s="29">
        <f t="shared" si="82"/>
        <v>0.71715817694369965</v>
      </c>
      <c r="CE29" s="29">
        <f t="shared" si="82"/>
        <v>0.75406504065040647</v>
      </c>
      <c r="CF29" s="29">
        <f t="shared" si="82"/>
        <v>0.73798627002288331</v>
      </c>
      <c r="CG29" s="29">
        <f t="shared" si="82"/>
        <v>0.73072060682680151</v>
      </c>
      <c r="CH29" s="29">
        <f t="shared" si="82"/>
        <v>0.79621542940320233</v>
      </c>
      <c r="CI29" s="29">
        <f t="shared" si="82"/>
        <v>0.78243243243243243</v>
      </c>
    </row>
    <row r="30" spans="1:87" x14ac:dyDescent="0.2">
      <c r="A30" s="26">
        <f t="shared" si="69"/>
        <v>2031</v>
      </c>
      <c r="B30" s="125">
        <v>8.4157941304593287</v>
      </c>
      <c r="C30" s="142">
        <v>3.7342439999999999</v>
      </c>
      <c r="D30" s="100">
        <f t="shared" si="0"/>
        <v>317.27929729435795</v>
      </c>
      <c r="E30" s="125">
        <v>14.396076002539097</v>
      </c>
      <c r="F30" s="142">
        <v>17.640267999999999</v>
      </c>
      <c r="G30" s="125">
        <v>14.442716324292093</v>
      </c>
      <c r="H30" s="125">
        <v>11.061161808558927</v>
      </c>
      <c r="I30" s="125">
        <v>0.99678594057528325</v>
      </c>
      <c r="J30" s="126">
        <v>444.93363732543077</v>
      </c>
      <c r="K30" s="126">
        <v>407.18001880876142</v>
      </c>
      <c r="L30" s="100">
        <f t="shared" si="2"/>
        <v>329.59197692239553</v>
      </c>
      <c r="M30" s="100">
        <f t="shared" si="3"/>
        <v>315.35075649430536</v>
      </c>
      <c r="N30" s="100">
        <f t="shared" si="4"/>
        <v>69.098269733041036</v>
      </c>
      <c r="O30" s="100">
        <f t="shared" si="5"/>
        <v>673.74294545438158</v>
      </c>
      <c r="P30" s="100">
        <f t="shared" si="45"/>
        <v>216.56805681692848</v>
      </c>
      <c r="Q30" s="100">
        <f t="shared" si="46"/>
        <v>662.45367395940343</v>
      </c>
      <c r="R30" s="101">
        <f t="shared" si="6"/>
        <v>1138.2527795901376</v>
      </c>
      <c r="S30" s="101">
        <f t="shared" si="7"/>
        <v>6610.9367706067169</v>
      </c>
      <c r="T30" s="72"/>
      <c r="U30" s="23">
        <v>2029</v>
      </c>
      <c r="V30" s="53">
        <f t="shared" ref="V30:BD30" si="83">V72/$BC72</f>
        <v>0.30471274551448346</v>
      </c>
      <c r="W30" s="53">
        <f t="shared" si="28"/>
        <v>-1.3319064702412842E-3</v>
      </c>
      <c r="X30" s="53">
        <f t="shared" si="83"/>
        <v>0.21783708116773778</v>
      </c>
      <c r="Y30" s="53">
        <f t="shared" si="29"/>
        <v>9.0819066286065286E-3</v>
      </c>
      <c r="Z30" s="53">
        <f t="shared" si="83"/>
        <v>2.8017833979229759E-2</v>
      </c>
      <c r="AA30" s="53"/>
      <c r="AB30" s="53">
        <f t="shared" si="18"/>
        <v>0.12481549179964221</v>
      </c>
      <c r="AC30" s="53">
        <f t="shared" si="30"/>
        <v>-8.1889466662282695E-3</v>
      </c>
      <c r="AD30" s="53">
        <f t="shared" si="83"/>
        <v>0.32058240448525804</v>
      </c>
      <c r="AE30" s="53">
        <f t="shared" si="31"/>
        <v>-1.0575177752458642E-2</v>
      </c>
      <c r="AF30" s="53">
        <f t="shared" si="83"/>
        <v>0.63247481388672711</v>
      </c>
      <c r="AG30" s="53">
        <f t="shared" si="32"/>
        <v>2.6207152765278519E-3</v>
      </c>
      <c r="AH30" s="53">
        <f t="shared" si="83"/>
        <v>0.21783708116773778</v>
      </c>
      <c r="AI30" s="53">
        <f t="shared" si="33"/>
        <v>9.0819066286065286E-3</v>
      </c>
      <c r="AJ30" s="53">
        <f t="shared" si="83"/>
        <v>2.8017833979229759E-2</v>
      </c>
      <c r="AK30" s="53">
        <f t="shared" si="83"/>
        <v>0.91727660425799895</v>
      </c>
      <c r="AL30" s="53">
        <f t="shared" si="36"/>
        <v>7.0051862717690483E-4</v>
      </c>
      <c r="AM30" s="53">
        <f t="shared" si="83"/>
        <v>0.67873492869931051</v>
      </c>
      <c r="AN30" s="53">
        <f t="shared" si="37"/>
        <v>5.0569211246929147E-3</v>
      </c>
      <c r="AO30" s="53">
        <f t="shared" si="83"/>
        <v>0.72503724429601102</v>
      </c>
      <c r="AP30" s="53">
        <f t="shared" si="38"/>
        <v>1.5989378932785847E-3</v>
      </c>
      <c r="AQ30" s="53">
        <f t="shared" si="83"/>
        <v>1.686888216374842</v>
      </c>
      <c r="AR30" s="53">
        <f t="shared" si="38"/>
        <v>1.0092395527365738E-3</v>
      </c>
      <c r="AS30" s="53">
        <f t="shared" si="83"/>
        <v>0.86050633005750243</v>
      </c>
      <c r="AT30" s="53">
        <f t="shared" si="34"/>
        <v>1.3931448259689727E-3</v>
      </c>
      <c r="AU30" s="53">
        <f t="shared" si="83"/>
        <v>1.1994078424446348</v>
      </c>
      <c r="AV30" s="53"/>
      <c r="AW30" s="53">
        <f t="shared" si="83"/>
        <v>0.45930792397270248</v>
      </c>
      <c r="AX30" s="53">
        <f t="shared" si="39"/>
        <v>-3.5890047444986362E-4</v>
      </c>
      <c r="AY30" s="53">
        <f t="shared" si="83"/>
        <v>3.6079874181548255</v>
      </c>
      <c r="AZ30" s="53"/>
      <c r="BA30" s="53">
        <f t="shared" si="19"/>
        <v>0.41546996584622009</v>
      </c>
      <c r="BB30" s="53">
        <f t="shared" si="40"/>
        <v>-4.308929083616575E-3</v>
      </c>
      <c r="BC30" s="53">
        <f t="shared" si="83"/>
        <v>1</v>
      </c>
      <c r="BD30" s="53">
        <f t="shared" si="83"/>
        <v>1</v>
      </c>
      <c r="BE30" s="105">
        <f t="shared" si="58"/>
        <v>0.19940784244463483</v>
      </c>
      <c r="BK30" s="15"/>
      <c r="BL30" s="65"/>
      <c r="BO30" s="28">
        <v>2016</v>
      </c>
      <c r="BP30" s="29">
        <f t="shared" ref="BP30:BX30" si="84">BP96/BP$79</f>
        <v>1.2788235294117647</v>
      </c>
      <c r="BQ30" s="29">
        <f t="shared" si="84"/>
        <v>1.1172995780590718</v>
      </c>
      <c r="BR30" s="29">
        <f t="shared" si="84"/>
        <v>1.1416040100250626</v>
      </c>
      <c r="BS30" s="29">
        <f t="shared" si="84"/>
        <v>1.0284552845528456</v>
      </c>
      <c r="BT30" s="29">
        <f t="shared" si="84"/>
        <v>1.1020895522388061</v>
      </c>
      <c r="BU30" s="29">
        <f t="shared" si="84"/>
        <v>1.0113555713271825</v>
      </c>
      <c r="BV30" s="29">
        <f t="shared" si="84"/>
        <v>0.89553805774278206</v>
      </c>
      <c r="BW30" s="29">
        <f t="shared" si="84"/>
        <v>1.0012158054711247</v>
      </c>
      <c r="BX30" s="29">
        <f t="shared" si="84"/>
        <v>1.0157600406710727</v>
      </c>
      <c r="BZ30" s="28">
        <v>2016</v>
      </c>
      <c r="CA30" s="29">
        <f t="shared" ref="CA30:CI30" si="85">CA96/CA$79</f>
        <v>0.81967213114754101</v>
      </c>
      <c r="CB30" s="29">
        <f t="shared" si="85"/>
        <v>0.82297772567409144</v>
      </c>
      <c r="CC30" s="29">
        <f t="shared" si="85"/>
        <v>0.72297297297297292</v>
      </c>
      <c r="CD30" s="29">
        <f t="shared" si="85"/>
        <v>0.73056300268096519</v>
      </c>
      <c r="CE30" s="29">
        <f t="shared" si="85"/>
        <v>0.76219512195121952</v>
      </c>
      <c r="CF30" s="29">
        <f t="shared" si="85"/>
        <v>0.74485125858123569</v>
      </c>
      <c r="CG30" s="29">
        <f t="shared" si="85"/>
        <v>0.73577749683944371</v>
      </c>
      <c r="CH30" s="29">
        <f t="shared" si="85"/>
        <v>0.80640465793304217</v>
      </c>
      <c r="CI30" s="29">
        <f t="shared" si="85"/>
        <v>0.7986486486486486</v>
      </c>
    </row>
    <row r="31" spans="1:87" x14ac:dyDescent="0.2">
      <c r="A31" s="26">
        <f t="shared" si="69"/>
        <v>2032</v>
      </c>
      <c r="B31" s="125">
        <v>8.4249576911533275</v>
      </c>
      <c r="C31" s="142">
        <v>3.7486199999999998</v>
      </c>
      <c r="D31" s="100">
        <f t="shared" si="0"/>
        <v>309.0327885386979</v>
      </c>
      <c r="E31" s="125">
        <v>14.415573627853872</v>
      </c>
      <c r="F31" s="142">
        <v>17.742751999999999</v>
      </c>
      <c r="G31" s="125">
        <v>14.463387768104882</v>
      </c>
      <c r="H31" s="125">
        <v>11.060984269870238</v>
      </c>
      <c r="I31" s="125">
        <v>0.99883765299838911</v>
      </c>
      <c r="J31" s="126">
        <v>443.23224032927942</v>
      </c>
      <c r="K31" s="126">
        <v>406.16617227636692</v>
      </c>
      <c r="L31" s="100">
        <f t="shared" si="2"/>
        <v>330.38425668389834</v>
      </c>
      <c r="M31" s="100">
        <f t="shared" si="3"/>
        <v>316.21501157090557</v>
      </c>
      <c r="N31" s="100">
        <f t="shared" si="4"/>
        <v>69.287929119915759</v>
      </c>
      <c r="O31" s="100">
        <f t="shared" si="5"/>
        <v>676.01698519000036</v>
      </c>
      <c r="P31" s="100">
        <f t="shared" si="45"/>
        <v>217.86563789678891</v>
      </c>
      <c r="Q31" s="100">
        <f t="shared" si="46"/>
        <v>664.09491960269349</v>
      </c>
      <c r="R31" s="101">
        <f t="shared" si="6"/>
        <v>1139.0083511970365</v>
      </c>
      <c r="S31" s="101">
        <f t="shared" si="7"/>
        <v>6731.9791840402013</v>
      </c>
      <c r="T31" s="72"/>
      <c r="U31" s="23">
        <v>2030</v>
      </c>
      <c r="V31" s="53">
        <f t="shared" ref="V31:BD31" si="86">V73/$BC73</f>
        <v>0.30429586198850989</v>
      </c>
      <c r="W31" s="53">
        <f t="shared" si="28"/>
        <v>-1.368119752489183E-3</v>
      </c>
      <c r="X31" s="53">
        <f t="shared" si="86"/>
        <v>0.2197814787792321</v>
      </c>
      <c r="Y31" s="53">
        <f t="shared" si="29"/>
        <v>8.9259257472198428E-3</v>
      </c>
      <c r="Z31" s="53">
        <f t="shared" si="86"/>
        <v>2.8318541971068152E-2</v>
      </c>
      <c r="AA31" s="53"/>
      <c r="AB31" s="53">
        <f t="shared" si="18"/>
        <v>0.12379729538482723</v>
      </c>
      <c r="AC31" s="53">
        <f t="shared" si="30"/>
        <v>-8.1576124897174696E-3</v>
      </c>
      <c r="AD31" s="53">
        <f t="shared" si="86"/>
        <v>0.31723097283527513</v>
      </c>
      <c r="AE31" s="53">
        <f t="shared" si="31"/>
        <v>-1.0454197120906006E-2</v>
      </c>
      <c r="AF31" s="53">
        <f t="shared" si="86"/>
        <v>0.63407682201023552</v>
      </c>
      <c r="AG31" s="53">
        <f t="shared" si="32"/>
        <v>2.5329200283306097E-3</v>
      </c>
      <c r="AH31" s="53">
        <f t="shared" si="86"/>
        <v>0.2197814787792321</v>
      </c>
      <c r="AI31" s="53">
        <f t="shared" si="33"/>
        <v>8.9259257472198428E-3</v>
      </c>
      <c r="AJ31" s="53">
        <f t="shared" si="86"/>
        <v>2.8318541971068152E-2</v>
      </c>
      <c r="AK31" s="53">
        <f t="shared" si="86"/>
        <v>0.91790471213500513</v>
      </c>
      <c r="AL31" s="53">
        <f t="shared" si="36"/>
        <v>6.8475296774228589E-4</v>
      </c>
      <c r="AM31" s="53">
        <f t="shared" si="86"/>
        <v>0.68211412569518282</v>
      </c>
      <c r="AN31" s="53">
        <f t="shared" si="37"/>
        <v>4.9786696587841295E-3</v>
      </c>
      <c r="AO31" s="53">
        <f t="shared" si="86"/>
        <v>0.72608241024777964</v>
      </c>
      <c r="AP31" s="53">
        <f t="shared" si="38"/>
        <v>1.4415341556466288E-3</v>
      </c>
      <c r="AQ31" s="53">
        <f t="shared" si="86"/>
        <v>1.6885051225510821</v>
      </c>
      <c r="AR31" s="53">
        <f t="shared" si="38"/>
        <v>9.5851412117564649E-4</v>
      </c>
      <c r="AS31" s="53">
        <f t="shared" si="86"/>
        <v>0.86168239513926603</v>
      </c>
      <c r="AT31" s="53">
        <f t="shared" si="34"/>
        <v>1.3667128766907677E-3</v>
      </c>
      <c r="AU31" s="53">
        <f t="shared" si="86"/>
        <v>1.1991833991860528</v>
      </c>
      <c r="AV31" s="53"/>
      <c r="AW31" s="53">
        <f t="shared" si="86"/>
        <v>0.4591384035464845</v>
      </c>
      <c r="AX31" s="53">
        <f t="shared" si="39"/>
        <v>-3.6907794830043361E-4</v>
      </c>
      <c r="AY31" s="53">
        <f t="shared" si="86"/>
        <v>3.624044960258872</v>
      </c>
      <c r="AZ31" s="53"/>
      <c r="BA31" s="53">
        <f t="shared" si="19"/>
        <v>0.41369823421638452</v>
      </c>
      <c r="BB31" s="53">
        <f t="shared" si="40"/>
        <v>-4.2644036283753239E-3</v>
      </c>
      <c r="BC31" s="53">
        <f t="shared" si="86"/>
        <v>1</v>
      </c>
      <c r="BD31" s="53">
        <f t="shared" si="86"/>
        <v>1</v>
      </c>
      <c r="BE31" s="105">
        <f t="shared" si="58"/>
        <v>0.19918339918605277</v>
      </c>
      <c r="BH31" s="26"/>
      <c r="BI31" s="70"/>
      <c r="BJ31" s="70"/>
      <c r="BK31" s="15"/>
      <c r="BL31" s="65"/>
      <c r="BO31" s="28">
        <v>2017</v>
      </c>
      <c r="BP31" s="29">
        <f t="shared" ref="BP31:BX31" si="87">BP97/BP$79</f>
        <v>1.2521568627450981</v>
      </c>
      <c r="BQ31" s="29">
        <f t="shared" si="87"/>
        <v>1.1012658227848102</v>
      </c>
      <c r="BR31" s="29">
        <f t="shared" si="87"/>
        <v>1.1303258145363408</v>
      </c>
      <c r="BS31" s="29">
        <f t="shared" si="87"/>
        <v>1.0230352303523036</v>
      </c>
      <c r="BT31" s="29">
        <f t="shared" si="87"/>
        <v>1.1092537313432835</v>
      </c>
      <c r="BU31" s="29">
        <f t="shared" si="87"/>
        <v>1.0269694819020583</v>
      </c>
      <c r="BV31" s="29">
        <f t="shared" si="87"/>
        <v>0.8971128608923884</v>
      </c>
      <c r="BW31" s="29">
        <f t="shared" si="87"/>
        <v>1.003647416413374</v>
      </c>
      <c r="BX31" s="29">
        <f t="shared" si="87"/>
        <v>1.0035587188612098</v>
      </c>
      <c r="BZ31" s="28">
        <v>2017</v>
      </c>
      <c r="CA31" s="29">
        <f t="shared" ref="CA31:CI31" si="88">CA97/CA$79</f>
        <v>0.83094262295081966</v>
      </c>
      <c r="CB31" s="29">
        <f t="shared" si="88"/>
        <v>0.82297772567409144</v>
      </c>
      <c r="CC31" s="29">
        <f t="shared" si="88"/>
        <v>0.73648648648648651</v>
      </c>
      <c r="CD31" s="29">
        <f t="shared" si="88"/>
        <v>0.74798927613941024</v>
      </c>
      <c r="CE31" s="29">
        <f t="shared" si="88"/>
        <v>0.77134146341463417</v>
      </c>
      <c r="CF31" s="29">
        <f t="shared" si="88"/>
        <v>0.75171624713958807</v>
      </c>
      <c r="CG31" s="29">
        <f t="shared" si="88"/>
        <v>0.74083438685208602</v>
      </c>
      <c r="CH31" s="29">
        <f t="shared" si="88"/>
        <v>0.81804949053857356</v>
      </c>
      <c r="CI31" s="29">
        <f t="shared" si="88"/>
        <v>0.81756756756756754</v>
      </c>
    </row>
    <row r="32" spans="1:87" x14ac:dyDescent="0.2">
      <c r="A32" s="26">
        <f t="shared" si="69"/>
        <v>2033</v>
      </c>
      <c r="B32" s="125">
        <v>8.4317027270645557</v>
      </c>
      <c r="C32" s="142">
        <v>3.7624629999999999</v>
      </c>
      <c r="D32" s="100">
        <f t="shared" si="0"/>
        <v>299.08207866584496</v>
      </c>
      <c r="E32" s="125">
        <v>14.430632056057418</v>
      </c>
      <c r="F32" s="142">
        <v>17.841685999999999</v>
      </c>
      <c r="G32" s="125">
        <v>14.479360058071141</v>
      </c>
      <c r="H32" s="125">
        <v>11.060819877644116</v>
      </c>
      <c r="I32" s="125">
        <v>1.000515791422204</v>
      </c>
      <c r="J32" s="126">
        <v>441.72625620838903</v>
      </c>
      <c r="K32" s="126">
        <v>405.24884432213236</v>
      </c>
      <c r="L32" s="100">
        <f t="shared" si="2"/>
        <v>329.30082876880681</v>
      </c>
      <c r="M32" s="100">
        <f t="shared" si="3"/>
        <v>315.35133277187407</v>
      </c>
      <c r="N32" s="100">
        <f t="shared" si="4"/>
        <v>69.099841707048881</v>
      </c>
      <c r="O32" s="100">
        <f t="shared" si="5"/>
        <v>674.18015291632946</v>
      </c>
      <c r="P32" s="100">
        <f t="shared" si="45"/>
        <v>217.82135298035433</v>
      </c>
      <c r="Q32" s="100">
        <f t="shared" si="46"/>
        <v>662.19985842912183</v>
      </c>
      <c r="R32" s="101">
        <f t="shared" si="6"/>
        <v>1133.2958452543965</v>
      </c>
      <c r="S32" s="101">
        <f t="shared" si="7"/>
        <v>6806.7880342934886</v>
      </c>
      <c r="T32" s="72"/>
      <c r="U32" s="23">
        <v>2031</v>
      </c>
      <c r="V32" s="53">
        <f>V74/$BC74</f>
        <v>0.30390313043219874</v>
      </c>
      <c r="W32" s="53">
        <f t="shared" si="28"/>
        <v>-1.2906240451142637E-3</v>
      </c>
      <c r="X32" s="53">
        <f>X74/$BC74</f>
        <v>0.22167524923113494</v>
      </c>
      <c r="Y32" s="53">
        <f t="shared" si="29"/>
        <v>8.6166061963988128E-3</v>
      </c>
      <c r="Z32" s="53">
        <f>Z74/$BC74</f>
        <v>2.859827358224256E-2</v>
      </c>
      <c r="AA32" s="53"/>
      <c r="AB32" s="53">
        <f t="shared" si="18"/>
        <v>0.12280755344912118</v>
      </c>
      <c r="AC32" s="53">
        <f t="shared" si="30"/>
        <v>-7.9948591173126804E-3</v>
      </c>
      <c r="AD32" s="53">
        <f t="shared" ref="AD32:BD32" si="89">AD74/$BC74</f>
        <v>0.31399016447026312</v>
      </c>
      <c r="AE32" s="53">
        <f t="shared" si="31"/>
        <v>-1.0215926698603939E-2</v>
      </c>
      <c r="AF32" s="53">
        <f t="shared" si="89"/>
        <v>0.63565893592048373</v>
      </c>
      <c r="AG32" s="53">
        <f t="shared" si="32"/>
        <v>2.495145470279736E-3</v>
      </c>
      <c r="AH32" s="53">
        <f t="shared" si="89"/>
        <v>0.22167524923113494</v>
      </c>
      <c r="AI32" s="53">
        <f t="shared" si="33"/>
        <v>8.6166061963988128E-3</v>
      </c>
      <c r="AJ32" s="53">
        <f t="shared" si="89"/>
        <v>2.859827358224256E-2</v>
      </c>
      <c r="AK32" s="53">
        <f t="shared" si="89"/>
        <v>0.91851034810643761</v>
      </c>
      <c r="AL32" s="53">
        <f t="shared" si="36"/>
        <v>6.59802660805342E-4</v>
      </c>
      <c r="AM32" s="53">
        <f t="shared" si="89"/>
        <v>0.68542006032062042</v>
      </c>
      <c r="AN32" s="53">
        <f t="shared" si="37"/>
        <v>4.8466004454434941E-3</v>
      </c>
      <c r="AO32" s="53">
        <f t="shared" si="89"/>
        <v>0.72711890293728731</v>
      </c>
      <c r="AP32" s="53">
        <f t="shared" si="38"/>
        <v>1.4275138398600618E-3</v>
      </c>
      <c r="AQ32" s="53">
        <f t="shared" si="89"/>
        <v>1.6897809737471585</v>
      </c>
      <c r="AR32" s="53">
        <f t="shared" si="38"/>
        <v>7.5560990549372598E-4</v>
      </c>
      <c r="AS32" s="53">
        <f t="shared" si="89"/>
        <v>0.86282686793349872</v>
      </c>
      <c r="AT32" s="53">
        <f t="shared" si="34"/>
        <v>1.3281840277679091E-3</v>
      </c>
      <c r="AU32" s="53">
        <f t="shared" si="89"/>
        <v>1.1989628419035168</v>
      </c>
      <c r="AV32" s="53"/>
      <c r="AW32" s="53">
        <f t="shared" si="89"/>
        <v>0.4589583847148142</v>
      </c>
      <c r="AX32" s="53">
        <f t="shared" si="39"/>
        <v>-3.9207966547727402E-4</v>
      </c>
      <c r="AY32" s="53">
        <f t="shared" si="89"/>
        <v>3.6401037633529945</v>
      </c>
      <c r="AZ32" s="53"/>
      <c r="BA32" s="53">
        <f t="shared" si="19"/>
        <v>0.41196772995379383</v>
      </c>
      <c r="BB32" s="53">
        <f t="shared" si="40"/>
        <v>-4.1830109956079164E-3</v>
      </c>
      <c r="BC32" s="53">
        <f t="shared" si="89"/>
        <v>1</v>
      </c>
      <c r="BD32" s="53">
        <f t="shared" si="89"/>
        <v>1</v>
      </c>
      <c r="BE32" s="105">
        <f>AU32-1</f>
        <v>0.19896284190351676</v>
      </c>
      <c r="BK32" s="15"/>
      <c r="BL32" s="65"/>
      <c r="BO32" s="28">
        <v>2018</v>
      </c>
      <c r="BP32" s="29">
        <f t="shared" ref="BP32:BX32" si="90">BP98/BP$79</f>
        <v>1.2313725490196077</v>
      </c>
      <c r="BQ32" s="29">
        <f t="shared" si="90"/>
        <v>1.0886075949367089</v>
      </c>
      <c r="BR32" s="29">
        <f t="shared" si="90"/>
        <v>1.1177944862155387</v>
      </c>
      <c r="BS32" s="29">
        <f t="shared" si="90"/>
        <v>1.0142276422764229</v>
      </c>
      <c r="BT32" s="29">
        <f t="shared" si="90"/>
        <v>1.1164179104477612</v>
      </c>
      <c r="BU32" s="29">
        <f t="shared" si="90"/>
        <v>1.0262597586941093</v>
      </c>
      <c r="BV32" s="29">
        <f t="shared" si="90"/>
        <v>0.90393700787401565</v>
      </c>
      <c r="BW32" s="29">
        <f t="shared" si="90"/>
        <v>1.0042553191489363</v>
      </c>
      <c r="BX32" s="29">
        <f t="shared" si="90"/>
        <v>0.98678190137264865</v>
      </c>
      <c r="BZ32" s="28">
        <v>2018</v>
      </c>
      <c r="CA32" s="29">
        <f t="shared" ref="CA32:CI32" si="91">CA98/CA$79</f>
        <v>0.83913934426229508</v>
      </c>
      <c r="CB32" s="29">
        <f t="shared" si="91"/>
        <v>0.82415005861664725</v>
      </c>
      <c r="CC32" s="29">
        <f t="shared" si="91"/>
        <v>0.74729729729729732</v>
      </c>
      <c r="CD32" s="29">
        <f t="shared" si="91"/>
        <v>0.76005361930294901</v>
      </c>
      <c r="CE32" s="29">
        <f t="shared" si="91"/>
        <v>0.77947154471544711</v>
      </c>
      <c r="CF32" s="29">
        <f t="shared" si="91"/>
        <v>0.75858123569794045</v>
      </c>
      <c r="CG32" s="29">
        <f t="shared" si="91"/>
        <v>0.74462705436156762</v>
      </c>
      <c r="CH32" s="29">
        <f t="shared" si="91"/>
        <v>0.8340611353711791</v>
      </c>
      <c r="CI32" s="29">
        <f t="shared" si="91"/>
        <v>0.83513513513513504</v>
      </c>
    </row>
    <row r="33" spans="1:87" x14ac:dyDescent="0.2">
      <c r="A33" s="26">
        <f t="shared" si="69"/>
        <v>2034</v>
      </c>
      <c r="B33" s="125">
        <v>8.436276245805697</v>
      </c>
      <c r="C33" s="142">
        <v>3.7758560000000001</v>
      </c>
      <c r="D33" s="100">
        <f t="shared" si="0"/>
        <v>289.94106646626875</v>
      </c>
      <c r="E33" s="125">
        <v>14.441786791770996</v>
      </c>
      <c r="F33" s="142">
        <v>17.937657999999999</v>
      </c>
      <c r="G33" s="125">
        <v>14.490826281137791</v>
      </c>
      <c r="H33" s="125">
        <v>11.060728336680551</v>
      </c>
      <c r="I33" s="125">
        <v>1.0017630316729063</v>
      </c>
      <c r="J33" s="126">
        <v>440.43760058613827</v>
      </c>
      <c r="K33" s="126">
        <v>404.44344892440404</v>
      </c>
      <c r="L33" s="100">
        <f t="shared" si="2"/>
        <v>329.08521921166783</v>
      </c>
      <c r="M33" s="100">
        <f t="shared" si="3"/>
        <v>315.35172316890521</v>
      </c>
      <c r="N33" s="100">
        <f t="shared" si="4"/>
        <v>69.101084056966499</v>
      </c>
      <c r="O33" s="100">
        <f t="shared" si="5"/>
        <v>674.11916095875756</v>
      </c>
      <c r="P33" s="100">
        <f t="shared" si="45"/>
        <v>218.30877179722594</v>
      </c>
      <c r="Q33" s="100">
        <f t="shared" si="46"/>
        <v>662.10923900502735</v>
      </c>
      <c r="R33" s="101">
        <f t="shared" si="6"/>
        <v>1130.9268049418979</v>
      </c>
      <c r="S33" s="101">
        <f t="shared" si="7"/>
        <v>6899.8315882134048</v>
      </c>
      <c r="T33" s="72"/>
      <c r="U33" s="23">
        <v>2032</v>
      </c>
      <c r="V33" s="53">
        <f>V75/$BC75</f>
        <v>0.30358259601199106</v>
      </c>
      <c r="W33" s="53">
        <f t="shared" si="28"/>
        <v>-1.0547256283666151E-3</v>
      </c>
      <c r="X33" s="53">
        <f>X75/$BC75</f>
        <v>0.22346385130105897</v>
      </c>
      <c r="Y33" s="53">
        <f t="shared" si="29"/>
        <v>8.068569116884694E-3</v>
      </c>
      <c r="Z33" s="53">
        <f>Z75/$BC75</f>
        <v>2.8844301782731445E-2</v>
      </c>
      <c r="AA33" s="53"/>
      <c r="AB33" s="53">
        <f>AB75/$BC75</f>
        <v>0.12187194901258711</v>
      </c>
      <c r="AC33" s="53">
        <f t="shared" si="30"/>
        <v>-7.6184600234846522E-3</v>
      </c>
      <c r="AD33" s="53">
        <f>AD75/$BC75</f>
        <v>0.31092228811005118</v>
      </c>
      <c r="AE33" s="53">
        <f t="shared" si="31"/>
        <v>-9.7706129279170328E-3</v>
      </c>
      <c r="AF33" s="53">
        <f>AF75/$BC75</f>
        <v>0.63726568623590762</v>
      </c>
      <c r="AG33" s="53">
        <f t="shared" si="32"/>
        <v>2.5276924851174165E-3</v>
      </c>
      <c r="AH33" s="53">
        <f>AH75/$BC75</f>
        <v>0.22346385130105897</v>
      </c>
      <c r="AI33" s="53">
        <f t="shared" si="33"/>
        <v>8.068569116884694E-3</v>
      </c>
      <c r="AJ33" s="53">
        <f t="shared" ref="AJ33:AK36" si="92">AJ75/$BC75</f>
        <v>2.8844301782731445E-2</v>
      </c>
      <c r="AK33" s="53">
        <f t="shared" si="92"/>
        <v>0.91907774854466018</v>
      </c>
      <c r="AL33" s="53">
        <f t="shared" si="36"/>
        <v>6.1773984298851836E-4</v>
      </c>
      <c r="AM33" s="53">
        <f>AM75/$BC75</f>
        <v>0.68859245080849063</v>
      </c>
      <c r="AN33" s="53">
        <f t="shared" si="37"/>
        <v>4.6283887378293365E-3</v>
      </c>
      <c r="AO33" s="53">
        <f>AO75/$BC75</f>
        <v>0.7281658230762218</v>
      </c>
      <c r="AP33" s="53">
        <f t="shared" si="38"/>
        <v>1.4398197250893308E-3</v>
      </c>
      <c r="AQ33" s="53">
        <f>AQ75/$BC75</f>
        <v>1.6913866039800158</v>
      </c>
      <c r="AR33" s="53">
        <f t="shared" si="38"/>
        <v>9.50200208075902E-4</v>
      </c>
      <c r="AS33" s="53">
        <f>AS75/$BC75</f>
        <v>0.86391772885516815</v>
      </c>
      <c r="AT33" s="53">
        <f t="shared" si="34"/>
        <v>1.2642871498451669E-3</v>
      </c>
      <c r="AU33" s="53">
        <f>AU75/$BC75</f>
        <v>1.1987265916805865</v>
      </c>
      <c r="AV33" s="53"/>
      <c r="AW33" s="53">
        <f>AW75/$BC75</f>
        <v>0.45875274895554763</v>
      </c>
      <c r="AX33" s="53">
        <f t="shared" si="39"/>
        <v>-4.4804881251780948E-4</v>
      </c>
      <c r="AY33" s="53">
        <f>AY75/$BC75</f>
        <v>3.6564327895074826</v>
      </c>
      <c r="AZ33" s="53"/>
      <c r="BA33" s="53">
        <f t="shared" si="19"/>
        <v>0.41044491370357666</v>
      </c>
      <c r="BB33" s="53">
        <f t="shared" si="40"/>
        <v>-3.6964454725324503E-3</v>
      </c>
      <c r="BC33" s="53">
        <f t="shared" ref="BC33:BD36" si="93">BC75/$BC75</f>
        <v>1</v>
      </c>
      <c r="BD33" s="53">
        <f t="shared" si="93"/>
        <v>1</v>
      </c>
      <c r="BE33" s="105">
        <f>AU33-1</f>
        <v>0.19872659168058648</v>
      </c>
      <c r="BO33" s="28">
        <v>2019</v>
      </c>
      <c r="BP33" s="29">
        <f t="shared" ref="BP33:BX33" si="94">BP99/BP$79</f>
        <v>1.2176470588235295</v>
      </c>
      <c r="BQ33" s="29">
        <f t="shared" si="94"/>
        <v>1.0839662447257385</v>
      </c>
      <c r="BR33" s="29">
        <f t="shared" si="94"/>
        <v>1.1077694235588971</v>
      </c>
      <c r="BS33" s="29">
        <f t="shared" si="94"/>
        <v>1.0060975609756098</v>
      </c>
      <c r="BT33" s="29">
        <f t="shared" si="94"/>
        <v>1.1200000000000001</v>
      </c>
      <c r="BU33" s="29">
        <f t="shared" si="94"/>
        <v>1.0262597586941093</v>
      </c>
      <c r="BV33" s="29">
        <f t="shared" si="94"/>
        <v>0.89606299212598428</v>
      </c>
      <c r="BW33" s="29">
        <f t="shared" si="94"/>
        <v>1.0072948328267477</v>
      </c>
      <c r="BX33" s="29">
        <f t="shared" si="94"/>
        <v>0.97559735638027456</v>
      </c>
      <c r="BZ33" s="28">
        <v>2019</v>
      </c>
      <c r="CA33" s="29">
        <f t="shared" ref="CA33:CI33" si="95">CA99/CA$79</f>
        <v>0.8473360655737705</v>
      </c>
      <c r="CB33" s="29">
        <f t="shared" si="95"/>
        <v>0.82766705744431424</v>
      </c>
      <c r="CC33" s="29">
        <f t="shared" si="95"/>
        <v>0.75675675675675669</v>
      </c>
      <c r="CD33" s="29">
        <f t="shared" si="95"/>
        <v>0.77077747989276135</v>
      </c>
      <c r="CE33" s="29">
        <f t="shared" si="95"/>
        <v>0.78556910569105698</v>
      </c>
      <c r="CF33" s="29">
        <f t="shared" si="95"/>
        <v>0.76544622425629294</v>
      </c>
      <c r="CG33" s="29">
        <f t="shared" si="95"/>
        <v>0.74968394437420982</v>
      </c>
      <c r="CH33" s="29">
        <f t="shared" si="95"/>
        <v>0.85007278020378452</v>
      </c>
      <c r="CI33" s="29">
        <f t="shared" si="95"/>
        <v>0.85135135135135132</v>
      </c>
    </row>
    <row r="34" spans="1:87" x14ac:dyDescent="0.2">
      <c r="A34" s="26">
        <f t="shared" si="69"/>
        <v>2035</v>
      </c>
      <c r="B34" s="125">
        <v>8.4384683863519196</v>
      </c>
      <c r="C34" s="142">
        <v>3.7888030000000001</v>
      </c>
      <c r="D34" s="100">
        <f t="shared" si="0"/>
        <v>281.05143254228147</v>
      </c>
      <c r="E34" s="125">
        <v>14.448640967099756</v>
      </c>
      <c r="F34" s="142">
        <v>18.030645</v>
      </c>
      <c r="G34" s="125">
        <v>14.497546310944491</v>
      </c>
      <c r="H34" s="125">
        <v>11.060691187179341</v>
      </c>
      <c r="I34" s="125">
        <v>1.0025683368435454</v>
      </c>
      <c r="J34" s="126">
        <v>439.3508566860047</v>
      </c>
      <c r="K34" s="126">
        <v>403.74965954711087</v>
      </c>
      <c r="L34" s="100">
        <f t="shared" si="2"/>
        <v>329.01940173233208</v>
      </c>
      <c r="M34" s="100">
        <f t="shared" si="3"/>
        <v>315.35202464956387</v>
      </c>
      <c r="N34" s="100">
        <f t="shared" si="4"/>
        <v>69.102773757170596</v>
      </c>
      <c r="O34" s="100">
        <f t="shared" si="5"/>
        <v>675.82131711470868</v>
      </c>
      <c r="P34" s="100">
        <f t="shared" si="45"/>
        <v>219.32918139597865</v>
      </c>
      <c r="Q34" s="100">
        <f t="shared" si="46"/>
        <v>661.47069408085599</v>
      </c>
      <c r="R34" s="101">
        <f t="shared" si="6"/>
        <v>1131.8971653838944</v>
      </c>
      <c r="S34" s="101">
        <f t="shared" si="7"/>
        <v>7007.5833776881846</v>
      </c>
      <c r="T34" s="72"/>
      <c r="U34" s="23">
        <v>2033</v>
      </c>
      <c r="V34" s="53">
        <f t="shared" ref="V34:Z36" si="96">V76/$BC76</f>
        <v>0.3032693472953496</v>
      </c>
      <c r="W34" s="53">
        <f t="shared" si="28"/>
        <v>-1.0318401672442246E-3</v>
      </c>
      <c r="X34" s="53">
        <f t="shared" si="96"/>
        <v>0.22520769479659969</v>
      </c>
      <c r="Y34" s="53">
        <f t="shared" si="29"/>
        <v>7.8036939101677749E-3</v>
      </c>
      <c r="Z34" s="53">
        <f t="shared" si="96"/>
        <v>2.9075977292114009E-2</v>
      </c>
      <c r="AA34" s="53"/>
      <c r="AB34" s="53">
        <f>AB76/$BC76</f>
        <v>0.1209624378621643</v>
      </c>
      <c r="AC34" s="53">
        <f t="shared" si="30"/>
        <v>-7.4628424160908535E-3</v>
      </c>
      <c r="AD34" s="53">
        <f>AD76/$BC76</f>
        <v>0.30796823249110217</v>
      </c>
      <c r="AE34" s="53">
        <f t="shared" si="31"/>
        <v>-9.5009451940718526E-3</v>
      </c>
      <c r="AF34" s="53">
        <f>AF76/$BC76</f>
        <v>0.63884566285260469</v>
      </c>
      <c r="AG34" s="53">
        <f t="shared" si="32"/>
        <v>2.479305964250722E-3</v>
      </c>
      <c r="AH34" s="53">
        <f>AH76/$BC76</f>
        <v>0.22520769479659969</v>
      </c>
      <c r="AI34" s="53">
        <f t="shared" si="33"/>
        <v>7.8036939101677749E-3</v>
      </c>
      <c r="AJ34" s="53">
        <f t="shared" si="92"/>
        <v>2.9075977292114009E-2</v>
      </c>
      <c r="AK34" s="53">
        <f t="shared" si="92"/>
        <v>0.91961961349530841</v>
      </c>
      <c r="AL34" s="53">
        <f t="shared" si="36"/>
        <v>5.8957465949571741E-4</v>
      </c>
      <c r="AM34" s="53">
        <f>AM76/$BC76</f>
        <v>0.69168632526399387</v>
      </c>
      <c r="AN34" s="53">
        <f t="shared" si="37"/>
        <v>4.4930414962736087E-3</v>
      </c>
      <c r="AO34" s="53">
        <f>AO76/$BC76</f>
        <v>0.72919069329646735</v>
      </c>
      <c r="AP34" s="53">
        <f t="shared" si="38"/>
        <v>1.407468172449855E-3</v>
      </c>
      <c r="AQ34" s="53">
        <f>AQ76/$BC76</f>
        <v>1.6929886754713652</v>
      </c>
      <c r="AR34" s="53">
        <f t="shared" si="38"/>
        <v>9.4719414684951708E-4</v>
      </c>
      <c r="AS34" s="53">
        <f>AS76/$BC76</f>
        <v>0.86497232108715472</v>
      </c>
      <c r="AT34" s="53">
        <f t="shared" si="34"/>
        <v>1.220709098520345E-3</v>
      </c>
      <c r="AU34" s="53">
        <f>AU76/$BC76</f>
        <v>1.1984992793481777</v>
      </c>
      <c r="AV34" s="53"/>
      <c r="AW34" s="53">
        <f>AW76/$BC76</f>
        <v>0.45853045856987379</v>
      </c>
      <c r="AX34" s="53">
        <f t="shared" si="39"/>
        <v>-4.8455379543754784E-4</v>
      </c>
      <c r="AY34" s="53">
        <f>AY76/$BC76</f>
        <v>3.6730932729358474</v>
      </c>
      <c r="AZ34" s="53"/>
      <c r="BA34" s="53">
        <f t="shared" si="19"/>
        <v>0.40899926464099773</v>
      </c>
      <c r="BB34" s="53">
        <f t="shared" si="40"/>
        <v>-3.5221512420129386E-3</v>
      </c>
      <c r="BC34" s="53">
        <f t="shared" si="93"/>
        <v>1</v>
      </c>
      <c r="BD34" s="53">
        <f t="shared" si="93"/>
        <v>1</v>
      </c>
      <c r="BE34" s="105">
        <f>AU34-1</f>
        <v>0.19849927934817768</v>
      </c>
      <c r="BO34" s="28">
        <v>2020</v>
      </c>
      <c r="BP34" s="29">
        <f t="shared" ref="BP34:BX34" si="97">BP100/BP$79</f>
        <v>1.2047058823529411</v>
      </c>
      <c r="BQ34" s="29">
        <f t="shared" si="97"/>
        <v>1.0767932489451477</v>
      </c>
      <c r="BR34" s="29">
        <f t="shared" si="97"/>
        <v>1.0971177944862156</v>
      </c>
      <c r="BS34" s="29">
        <f t="shared" si="97"/>
        <v>0.99796747967479682</v>
      </c>
      <c r="BT34" s="29">
        <f t="shared" si="97"/>
        <v>1.1247761194029851</v>
      </c>
      <c r="BU34" s="29">
        <f t="shared" si="97"/>
        <v>1.022001419446416</v>
      </c>
      <c r="BV34" s="29">
        <f t="shared" si="97"/>
        <v>0.90026246719160097</v>
      </c>
      <c r="BW34" s="29">
        <f t="shared" si="97"/>
        <v>1.0072948328267477</v>
      </c>
      <c r="BX34" s="29">
        <f t="shared" si="97"/>
        <v>0.96593797661413316</v>
      </c>
      <c r="BZ34" s="28">
        <v>2020</v>
      </c>
      <c r="CA34" s="29">
        <f t="shared" ref="CA34:CI34" si="98">CA100/CA$79</f>
        <v>0.85655737704918034</v>
      </c>
      <c r="CB34" s="29">
        <f t="shared" si="98"/>
        <v>0.83235638921453692</v>
      </c>
      <c r="CC34" s="29">
        <f t="shared" si="98"/>
        <v>0.77162162162162162</v>
      </c>
      <c r="CD34" s="29">
        <f t="shared" si="98"/>
        <v>0.78686327077747986</v>
      </c>
      <c r="CE34" s="29">
        <f t="shared" si="98"/>
        <v>0.7967479674796748</v>
      </c>
      <c r="CF34" s="29">
        <f t="shared" si="98"/>
        <v>0.78146453089244849</v>
      </c>
      <c r="CG34" s="29">
        <f t="shared" si="98"/>
        <v>0.76359039190897593</v>
      </c>
      <c r="CH34" s="29">
        <f t="shared" si="98"/>
        <v>0.86462882096069871</v>
      </c>
      <c r="CI34" s="29">
        <f t="shared" si="98"/>
        <v>0.86486486486486491</v>
      </c>
    </row>
    <row r="35" spans="1:87" x14ac:dyDescent="0.2">
      <c r="A35" s="26">
        <f t="shared" si="69"/>
        <v>2036</v>
      </c>
      <c r="B35" s="232">
        <f>(B34+(B34-B33))</f>
        <v>8.4406605268981423</v>
      </c>
      <c r="C35" s="232">
        <f>(C34+(C34-C33))</f>
        <v>3.8017500000000002</v>
      </c>
      <c r="D35" s="100">
        <f t="shared" si="0"/>
        <v>272.43435604613853</v>
      </c>
      <c r="E35" s="232">
        <f t="shared" ref="E35:K41" si="99">(E34+(E34-E33))</f>
        <v>14.455495142428516</v>
      </c>
      <c r="F35" s="232">
        <f t="shared" si="99"/>
        <v>18.123632000000001</v>
      </c>
      <c r="G35" s="232">
        <f t="shared" si="99"/>
        <v>14.504266340751192</v>
      </c>
      <c r="H35" s="232">
        <f t="shared" si="99"/>
        <v>11.06065403767813</v>
      </c>
      <c r="I35" s="232">
        <f t="shared" si="99"/>
        <v>1.0033736420141846</v>
      </c>
      <c r="J35" s="232">
        <f t="shared" si="99"/>
        <v>438.26411278587113</v>
      </c>
      <c r="K35" s="232">
        <f t="shared" si="99"/>
        <v>403.05587016981769</v>
      </c>
      <c r="L35" s="100">
        <f t="shared" ref="L35:L41" si="100">1000*(AQ123/AQ79)/ 3.412</f>
        <v>328.95359741657933</v>
      </c>
      <c r="M35" s="100">
        <f t="shared" ref="M35:M41" si="101">1000*(AM123/AM79)/ 3.412</f>
        <v>315.35232613051073</v>
      </c>
      <c r="N35" s="100">
        <f t="shared" ref="N35:N41" si="102">1000*(AK123/AK79)/ 3.412</f>
        <v>69.104463498692226</v>
      </c>
      <c r="O35" s="100">
        <f t="shared" ref="O35:O41" si="103">1000*(AS123/AS79)/ 3.412</f>
        <v>677.52777122827206</v>
      </c>
      <c r="P35" s="100">
        <f t="shared" ref="P35:P41" si="104">1000*(AY123/AY79)/ 3.412</f>
        <v>220.35436054998397</v>
      </c>
      <c r="Q35" s="100">
        <f t="shared" ref="Q35:Q41" si="105">1000*(BA123/BA79)/ 3.412</f>
        <v>660.83276497594238</v>
      </c>
      <c r="R35" s="101">
        <f t="shared" ref="R35:R41" si="106">1000*(BC123/BC79)/ 3.412</f>
        <v>1132.8683584168095</v>
      </c>
      <c r="S35" s="101">
        <f t="shared" ref="S35:S41" si="107">1000*(BD123/BD79)/ 3.412</f>
        <v>7117.0178818765871</v>
      </c>
      <c r="T35" s="72"/>
      <c r="U35" s="23">
        <v>2034</v>
      </c>
      <c r="V35" s="53">
        <f t="shared" si="96"/>
        <v>0.30292982867189899</v>
      </c>
      <c r="W35" s="53">
        <f t="shared" si="28"/>
        <v>-1.1195283218647933E-3</v>
      </c>
      <c r="X35" s="53">
        <f t="shared" si="96"/>
        <v>0.22694536331273593</v>
      </c>
      <c r="Y35" s="53">
        <f t="shared" si="29"/>
        <v>7.7158487755297767E-3</v>
      </c>
      <c r="Z35" s="53">
        <f t="shared" si="96"/>
        <v>2.929887217186742E-2</v>
      </c>
      <c r="AA35" s="53"/>
      <c r="AB35" s="53">
        <f>AB77/$BC77</f>
        <v>0.12006034379900607</v>
      </c>
      <c r="AC35" s="53">
        <f t="shared" si="30"/>
        <v>-7.4576379172033302E-3</v>
      </c>
      <c r="AD35" s="53">
        <f>AD77/$BC77</f>
        <v>0.30508335853707974</v>
      </c>
      <c r="AE35" s="53">
        <f t="shared" si="31"/>
        <v>-9.3674400462904206E-3</v>
      </c>
      <c r="AF35" s="53">
        <f>AF77/$BC77</f>
        <v>0.64036894303625469</v>
      </c>
      <c r="AG35" s="53">
        <f t="shared" si="32"/>
        <v>2.3844259611127683E-3</v>
      </c>
      <c r="AH35" s="53">
        <f>AH77/$BC77</f>
        <v>0.22694536331273593</v>
      </c>
      <c r="AI35" s="53">
        <f t="shared" si="33"/>
        <v>7.7158487755297767E-3</v>
      </c>
      <c r="AJ35" s="53">
        <f t="shared" si="92"/>
        <v>2.929887217186742E-2</v>
      </c>
      <c r="AK35" s="53">
        <f t="shared" si="92"/>
        <v>0.92014867692918723</v>
      </c>
      <c r="AL35" s="53">
        <f t="shared" si="36"/>
        <v>5.7530681829187635E-4</v>
      </c>
      <c r="AM35" s="53">
        <f>AM77/$BC77</f>
        <v>0.69474182523365136</v>
      </c>
      <c r="AN35" s="53">
        <f t="shared" si="37"/>
        <v>4.4174647640913278E-3</v>
      </c>
      <c r="AO35" s="53">
        <f>AO77/$BC77</f>
        <v>0.73019661732352725</v>
      </c>
      <c r="AP35" s="53">
        <f t="shared" si="38"/>
        <v>1.3795074955118558E-3</v>
      </c>
      <c r="AQ35" s="53">
        <f>AQ77/$BC77</f>
        <v>1.694597101282294</v>
      </c>
      <c r="AR35" s="53">
        <f t="shared" si="38"/>
        <v>9.5005113396928742E-4</v>
      </c>
      <c r="AS35" s="53">
        <f>AS77/$BC77</f>
        <v>0.8660106784263073</v>
      </c>
      <c r="AT35" s="53">
        <f t="shared" si="34"/>
        <v>1.2004515217869383E-3</v>
      </c>
      <c r="AU35" s="53">
        <f>AU77/$BC77</f>
        <v>1.1982924213007897</v>
      </c>
      <c r="AV35" s="53">
        <f t="shared" ref="AV35:AV43" si="108">AU35/AU34-1</f>
        <v>-1.725975567549165E-4</v>
      </c>
      <c r="AW35" s="53">
        <f>AW77/$BC77</f>
        <v>0.45830164569633003</v>
      </c>
      <c r="AX35" s="53">
        <f t="shared" si="39"/>
        <v>-4.9901346631897603E-4</v>
      </c>
      <c r="AY35" s="53">
        <f>AY77/$BC77</f>
        <v>3.6897892451603829</v>
      </c>
      <c r="AZ35" s="53">
        <f t="shared" ref="AZ35:AZ43" si="109">AY35/AY34-1</f>
        <v>4.5454800583353272E-3</v>
      </c>
      <c r="BA35" s="53">
        <f t="shared" si="19"/>
        <v>0.40748550682128709</v>
      </c>
      <c r="BB35" s="53">
        <f t="shared" si="40"/>
        <v>-3.7011260180122019E-3</v>
      </c>
      <c r="BC35" s="53">
        <f t="shared" si="93"/>
        <v>1</v>
      </c>
      <c r="BD35" s="53">
        <f t="shared" si="93"/>
        <v>1</v>
      </c>
      <c r="BE35" s="105">
        <f>AU35-1</f>
        <v>0.19829242130078972</v>
      </c>
      <c r="BO35" s="26">
        <v>2021</v>
      </c>
      <c r="BP35" s="29">
        <f t="shared" ref="BP35:BX35" si="110">BP101/BP$79</f>
        <v>1.1945098039215687</v>
      </c>
      <c r="BQ35" s="29">
        <f t="shared" si="110"/>
        <v>1.0713080168776372</v>
      </c>
      <c r="BR35" s="29">
        <f t="shared" si="110"/>
        <v>1.0883458646616542</v>
      </c>
      <c r="BS35" s="29">
        <f t="shared" si="110"/>
        <v>0.99390243902439024</v>
      </c>
      <c r="BT35" s="29">
        <f t="shared" si="110"/>
        <v>1.1247761194029851</v>
      </c>
      <c r="BU35" s="29">
        <f t="shared" si="110"/>
        <v>1.0163236337828248</v>
      </c>
      <c r="BV35" s="29">
        <f t="shared" si="110"/>
        <v>0.89921259842519674</v>
      </c>
      <c r="BW35" s="29">
        <f t="shared" si="110"/>
        <v>1.0121580547112461</v>
      </c>
      <c r="BX35" s="29">
        <f t="shared" si="110"/>
        <v>0.95678698525673611</v>
      </c>
      <c r="BZ35" s="26">
        <v>2021</v>
      </c>
      <c r="CA35" s="29">
        <f t="shared" ref="CA35:CI35" si="111">CA101/CA$79</f>
        <v>0.86680327868852469</v>
      </c>
      <c r="CB35" s="29">
        <f t="shared" si="111"/>
        <v>0.84056271981242681</v>
      </c>
      <c r="CC35" s="29">
        <f t="shared" si="111"/>
        <v>0.78648648648648645</v>
      </c>
      <c r="CD35" s="29">
        <f t="shared" si="111"/>
        <v>0.80160857908847194</v>
      </c>
      <c r="CE35" s="29">
        <f t="shared" si="111"/>
        <v>0.80894308943089432</v>
      </c>
      <c r="CF35" s="29">
        <f t="shared" si="111"/>
        <v>0.79633867276887871</v>
      </c>
      <c r="CG35" s="29">
        <f t="shared" si="111"/>
        <v>0.77623261694058154</v>
      </c>
      <c r="CH35" s="29">
        <f t="shared" si="111"/>
        <v>0.88355167394468703</v>
      </c>
      <c r="CI35" s="29">
        <f t="shared" si="111"/>
        <v>0.88243243243243241</v>
      </c>
    </row>
    <row r="36" spans="1:87" x14ac:dyDescent="0.2">
      <c r="A36" s="26">
        <f t="shared" si="69"/>
        <v>2037</v>
      </c>
      <c r="B36" s="232">
        <f t="shared" ref="B36:B41" si="112">(B35+(B35-B34))</f>
        <v>8.4428526674443649</v>
      </c>
      <c r="C36" s="232">
        <f t="shared" ref="C36:C41" si="113">(C35+(C35-C34))</f>
        <v>3.8146970000000002</v>
      </c>
      <c r="D36" s="100">
        <f t="shared" si="0"/>
        <v>264.08148032872396</v>
      </c>
      <c r="E36" s="232">
        <f t="shared" si="99"/>
        <v>14.462349317757276</v>
      </c>
      <c r="F36" s="232">
        <f t="shared" si="99"/>
        <v>18.216619000000001</v>
      </c>
      <c r="G36" s="232">
        <f t="shared" si="99"/>
        <v>14.510986370557893</v>
      </c>
      <c r="H36" s="232">
        <f t="shared" si="99"/>
        <v>11.06061688817692</v>
      </c>
      <c r="I36" s="232">
        <f t="shared" si="99"/>
        <v>1.0041789471848237</v>
      </c>
      <c r="J36" s="232">
        <f t="shared" si="99"/>
        <v>437.17736888573756</v>
      </c>
      <c r="K36" s="232">
        <f t="shared" si="99"/>
        <v>402.36208079252452</v>
      </c>
      <c r="L36" s="100">
        <f t="shared" si="100"/>
        <v>328.88780626177669</v>
      </c>
      <c r="M36" s="100">
        <f t="shared" si="101"/>
        <v>315.35262761174585</v>
      </c>
      <c r="N36" s="100">
        <f t="shared" si="102"/>
        <v>69.106153281532414</v>
      </c>
      <c r="O36" s="100">
        <f t="shared" si="103"/>
        <v>679.23853415182384</v>
      </c>
      <c r="P36" s="100">
        <f t="shared" si="104"/>
        <v>221.38433155289479</v>
      </c>
      <c r="Q36" s="100">
        <f t="shared" si="105"/>
        <v>660.19545109638432</v>
      </c>
      <c r="R36" s="101">
        <f t="shared" si="106"/>
        <v>1133.8403847550246</v>
      </c>
      <c r="S36" s="101">
        <f t="shared" si="107"/>
        <v>7228.1613790318224</v>
      </c>
      <c r="T36" s="72"/>
      <c r="U36" s="23">
        <v>2035</v>
      </c>
      <c r="V36" s="53">
        <f t="shared" si="96"/>
        <v>0.30256344756474346</v>
      </c>
      <c r="W36" s="53">
        <f t="shared" si="28"/>
        <v>-1.2094586682395159E-3</v>
      </c>
      <c r="X36" s="53">
        <f t="shared" si="96"/>
        <v>0.22867967673486739</v>
      </c>
      <c r="Y36" s="53">
        <f t="shared" si="29"/>
        <v>7.6419865857384472E-3</v>
      </c>
      <c r="Z36" s="53">
        <f t="shared" si="96"/>
        <v>2.9518080994352137E-2</v>
      </c>
      <c r="AA36" s="53">
        <f>Z36/Z35-1</f>
        <v>7.4818177709652378E-3</v>
      </c>
      <c r="AB36" s="53">
        <f>AB78/$BC78</f>
        <v>0.11916451150362944</v>
      </c>
      <c r="AC36" s="53">
        <f t="shared" ref="AC36:AE43" si="114">AB36/AB35-1</f>
        <v>-7.461516992457895E-3</v>
      </c>
      <c r="AD36" s="53">
        <f>AD78/$BC78</f>
        <v>0.3022591686882003</v>
      </c>
      <c r="AE36" s="53">
        <f t="shared" si="114"/>
        <v>-9.2571088191170103E-3</v>
      </c>
      <c r="AF36" s="53">
        <f>AF78/$BC78</f>
        <v>0.64183462798498625</v>
      </c>
      <c r="AG36" s="53">
        <f t="shared" ref="AG36:AG43" si="115">AF36/AF35-1</f>
        <v>2.2888132921969895E-3</v>
      </c>
      <c r="AH36" s="53">
        <f>AH78/$BC78</f>
        <v>0.22867967673486739</v>
      </c>
      <c r="AI36" s="53">
        <f t="shared" ref="AI36:AI43" si="116">AH36/AH35-1</f>
        <v>7.6419865857384472E-3</v>
      </c>
      <c r="AJ36" s="53">
        <f t="shared" si="92"/>
        <v>2.9518080994352137E-2</v>
      </c>
      <c r="AK36" s="53">
        <f t="shared" si="92"/>
        <v>0.92066467279124531</v>
      </c>
      <c r="AL36" s="53">
        <f t="shared" si="36"/>
        <v>5.607744432998274E-4</v>
      </c>
      <c r="AM36" s="53">
        <f>AM78/$BC78</f>
        <v>0.69777183023219824</v>
      </c>
      <c r="AN36" s="53">
        <f t="shared" si="37"/>
        <v>4.3613395487278606E-3</v>
      </c>
      <c r="AO36" s="53">
        <f>AO78/$BC78</f>
        <v>0.73120428241927693</v>
      </c>
      <c r="AP36" s="53">
        <f t="shared" si="38"/>
        <v>1.379991459619756E-3</v>
      </c>
      <c r="AQ36" s="53">
        <f>AQ78/$BC78</f>
        <v>1.6962082493487896</v>
      </c>
      <c r="AR36" s="53">
        <f t="shared" si="38"/>
        <v>9.507558258399218E-4</v>
      </c>
      <c r="AS36" s="53">
        <f>AS78/$BC78</f>
        <v>0.86703619088995332</v>
      </c>
      <c r="AT36" s="53">
        <f t="shared" ref="AT36:AT43" si="117">AS36/AS35-1</f>
        <v>1.1841799289467048E-3</v>
      </c>
      <c r="AU36" s="53">
        <f>AU78/$BC78</f>
        <v>1.1981055930443083</v>
      </c>
      <c r="AV36" s="53">
        <f t="shared" si="108"/>
        <v>-1.5591207384801908E-4</v>
      </c>
      <c r="AW36" s="53">
        <f>AW78/$BC78</f>
        <v>0.45806871598276366</v>
      </c>
      <c r="AX36" s="53">
        <f t="shared" si="39"/>
        <v>-5.0824542253702365E-4</v>
      </c>
      <c r="AY36" s="53">
        <f>AY78/$BC78</f>
        <v>3.7065297244685431</v>
      </c>
      <c r="AZ36" s="53">
        <f t="shared" si="109"/>
        <v>4.5369743895582459E-3</v>
      </c>
      <c r="BA36" s="53">
        <f t="shared" si="19"/>
        <v>0.40601138988903784</v>
      </c>
      <c r="BB36" s="53">
        <f t="shared" si="40"/>
        <v>-3.6175935280460259E-3</v>
      </c>
      <c r="BC36" s="53">
        <f t="shared" si="93"/>
        <v>1</v>
      </c>
      <c r="BD36" s="53">
        <f t="shared" si="93"/>
        <v>1</v>
      </c>
      <c r="BE36" s="105">
        <f>AU36-1</f>
        <v>0.1981055930443083</v>
      </c>
      <c r="BO36" s="26">
        <v>2022</v>
      </c>
      <c r="BP36" s="29">
        <f t="shared" ref="BP36:BX36" si="118">BP102/BP$79</f>
        <v>1.1823529411764706</v>
      </c>
      <c r="BQ36" s="29">
        <f t="shared" si="118"/>
        <v>1.0649789029535865</v>
      </c>
      <c r="BR36" s="29">
        <f t="shared" si="118"/>
        <v>1.0808270676691729</v>
      </c>
      <c r="BS36" s="29">
        <f t="shared" si="118"/>
        <v>0.99119241192411933</v>
      </c>
      <c r="BT36" s="29">
        <f t="shared" si="118"/>
        <v>1.120597014925373</v>
      </c>
      <c r="BU36" s="29">
        <f t="shared" si="118"/>
        <v>1.0056777856635912</v>
      </c>
      <c r="BV36" s="29">
        <f t="shared" si="118"/>
        <v>0.91076115485564313</v>
      </c>
      <c r="BW36" s="29">
        <f t="shared" si="118"/>
        <v>1.0206686930091184</v>
      </c>
      <c r="BX36" s="29">
        <f t="shared" si="118"/>
        <v>0.9527198779867817</v>
      </c>
      <c r="BZ36" s="26">
        <v>2022</v>
      </c>
      <c r="CA36" s="29">
        <f t="shared" ref="CA36:CI36" si="119">CA102/CA$79</f>
        <v>0.88012295081967218</v>
      </c>
      <c r="CB36" s="29">
        <f t="shared" si="119"/>
        <v>0.84994138335287228</v>
      </c>
      <c r="CC36" s="29">
        <f t="shared" si="119"/>
        <v>0.80135135135135127</v>
      </c>
      <c r="CD36" s="29">
        <f t="shared" si="119"/>
        <v>0.8163538873994638</v>
      </c>
      <c r="CE36" s="29">
        <f t="shared" si="119"/>
        <v>0.82113821138211385</v>
      </c>
      <c r="CF36" s="29">
        <f t="shared" si="119"/>
        <v>0.81006864988558347</v>
      </c>
      <c r="CG36" s="29">
        <f t="shared" si="119"/>
        <v>0.78761061946902655</v>
      </c>
      <c r="CH36" s="29">
        <f t="shared" si="119"/>
        <v>0.90393013100436681</v>
      </c>
      <c r="CI36" s="29">
        <f t="shared" si="119"/>
        <v>0.9</v>
      </c>
    </row>
    <row r="37" spans="1:87" x14ac:dyDescent="0.2">
      <c r="A37" s="26">
        <f t="shared" si="69"/>
        <v>2038</v>
      </c>
      <c r="B37" s="232">
        <f t="shared" si="112"/>
        <v>8.4450448079905875</v>
      </c>
      <c r="C37" s="232">
        <f t="shared" si="113"/>
        <v>3.8276440000000003</v>
      </c>
      <c r="D37" s="100">
        <f t="shared" si="0"/>
        <v>255.98470495696014</v>
      </c>
      <c r="E37" s="232">
        <f t="shared" si="99"/>
        <v>14.469203493086036</v>
      </c>
      <c r="F37" s="232">
        <f t="shared" si="99"/>
        <v>18.309606000000002</v>
      </c>
      <c r="G37" s="232">
        <f t="shared" si="99"/>
        <v>14.517706400364593</v>
      </c>
      <c r="H37" s="232">
        <f t="shared" si="99"/>
        <v>11.06057973867571</v>
      </c>
      <c r="I37" s="232">
        <f t="shared" si="99"/>
        <v>1.0049842523554628</v>
      </c>
      <c r="J37" s="232">
        <f t="shared" si="99"/>
        <v>436.09062498560399</v>
      </c>
      <c r="K37" s="232">
        <f t="shared" si="99"/>
        <v>401.66829141523135</v>
      </c>
      <c r="L37" s="100">
        <f t="shared" si="100"/>
        <v>328.8220282652922</v>
      </c>
      <c r="M37" s="100">
        <f t="shared" si="101"/>
        <v>315.35292909326915</v>
      </c>
      <c r="N37" s="100">
        <f t="shared" si="102"/>
        <v>69.107843105692154</v>
      </c>
      <c r="O37" s="100">
        <f t="shared" si="103"/>
        <v>680.95361676514312</v>
      </c>
      <c r="P37" s="100">
        <f t="shared" si="104"/>
        <v>222.41911680256794</v>
      </c>
      <c r="Q37" s="100">
        <f t="shared" si="105"/>
        <v>659.55875184885201</v>
      </c>
      <c r="R37" s="101">
        <f t="shared" si="106"/>
        <v>1134.813245113535</v>
      </c>
      <c r="S37" s="101">
        <f t="shared" si="107"/>
        <v>7341.0405577836091</v>
      </c>
      <c r="T37" s="72"/>
      <c r="U37" s="23">
        <v>2036</v>
      </c>
      <c r="V37" s="229">
        <f>V36*(1+W36)</f>
        <v>0.30219750958039387</v>
      </c>
      <c r="W37" s="53">
        <f t="shared" si="28"/>
        <v>-1.2094586682394048E-3</v>
      </c>
      <c r="X37" s="229">
        <f>X36*(1+Y36)</f>
        <v>0.23042724375690624</v>
      </c>
      <c r="Y37" s="53">
        <f t="shared" si="29"/>
        <v>7.6419865857384472E-3</v>
      </c>
      <c r="Z37" s="229">
        <f>Z36*(1+AA36)</f>
        <v>2.9738929897300471E-2</v>
      </c>
      <c r="AA37" s="53">
        <f>Z37/Z36-1</f>
        <v>7.4818177709652378E-3</v>
      </c>
      <c r="AB37" s="229">
        <f>AB36*(1+AC36)</f>
        <v>0.11827536347614717</v>
      </c>
      <c r="AC37" s="53">
        <f t="shared" si="114"/>
        <v>-7.461516992457895E-3</v>
      </c>
      <c r="AD37" s="229">
        <f>AD36*(1+AE36)</f>
        <v>0.29946112267207781</v>
      </c>
      <c r="AE37" s="53">
        <f t="shared" si="114"/>
        <v>-9.2571088191168993E-3</v>
      </c>
      <c r="AF37" s="229">
        <f>AF36*(1+AG36)</f>
        <v>0.64330366761291058</v>
      </c>
      <c r="AG37" s="53">
        <f t="shared" si="115"/>
        <v>2.2888132921969895E-3</v>
      </c>
      <c r="AH37" s="229">
        <f>AH36*(1+AI36)</f>
        <v>0.23042724375690624</v>
      </c>
      <c r="AI37" s="53">
        <f t="shared" si="116"/>
        <v>7.6419865857384472E-3</v>
      </c>
      <c r="AJ37" s="229">
        <f>AJ36*(1+AK36)</f>
        <v>5.6694335374442822E-2</v>
      </c>
      <c r="AK37" s="229">
        <f>AK36*(1+AL36)</f>
        <v>0.92118095801059563</v>
      </c>
      <c r="AL37" s="53">
        <f t="shared" si="36"/>
        <v>5.607744432998274E-4</v>
      </c>
      <c r="AM37" s="229">
        <f>AM36*(1+AN36)</f>
        <v>0.70081505011137812</v>
      </c>
      <c r="AN37" s="53">
        <f t="shared" si="37"/>
        <v>4.3613395487278606E-3</v>
      </c>
      <c r="AO37" s="229">
        <f>AO36*(1+AP36)</f>
        <v>0.73221333808425293</v>
      </c>
      <c r="AP37" s="53">
        <f t="shared" ref="AP37:AP43" si="120">AO37/AO36-1</f>
        <v>1.379991459619756E-3</v>
      </c>
      <c r="AQ37" s="229">
        <f>AQ36*(1+AR36)</f>
        <v>1.6978209292236957</v>
      </c>
      <c r="AR37" s="53">
        <f t="shared" ref="AR37:AR43" si="121">AQ37/AQ36-1</f>
        <v>9.507558258399218E-4</v>
      </c>
      <c r="AS37" s="229">
        <f>AS36*(1+AT36)</f>
        <v>0.86806291774487565</v>
      </c>
      <c r="AT37" s="53">
        <f t="shared" si="117"/>
        <v>1.1841799289467048E-3</v>
      </c>
      <c r="AU37" s="229">
        <f>AU36*(1+AV36)</f>
        <v>1.1979187939166078</v>
      </c>
      <c r="AV37" s="53">
        <f t="shared" si="108"/>
        <v>-1.5591207384801908E-4</v>
      </c>
      <c r="AW37" s="229">
        <f>AW36*(1+AX36)</f>
        <v>0.45783590465465801</v>
      </c>
      <c r="AX37" s="53">
        <f t="shared" si="39"/>
        <v>-5.0824542253702365E-4</v>
      </c>
      <c r="AY37" s="229">
        <f>AY36*(1+AZ36)</f>
        <v>3.7233461549025932</v>
      </c>
      <c r="AZ37" s="53">
        <f t="shared" si="109"/>
        <v>4.5369743895582459E-3</v>
      </c>
      <c r="BA37" s="229">
        <f>BA36*(1+BB36)</f>
        <v>0.40454260571266226</v>
      </c>
      <c r="BB37" s="53">
        <f t="shared" si="40"/>
        <v>-3.6175935280461369E-3</v>
      </c>
      <c r="BC37" s="230">
        <f>BC36</f>
        <v>1</v>
      </c>
      <c r="BD37" s="230">
        <f>BD36</f>
        <v>1</v>
      </c>
      <c r="BE37" s="105">
        <f t="shared" ref="BE37:BE43" si="122">AU37-1</f>
        <v>0.19791879391660783</v>
      </c>
      <c r="BO37" s="26"/>
      <c r="BP37" s="29"/>
      <c r="BQ37" s="29"/>
      <c r="BR37" s="29"/>
      <c r="BS37" s="29"/>
      <c r="BT37" s="29"/>
      <c r="BU37" s="29"/>
      <c r="BV37" s="29"/>
      <c r="BW37" s="29"/>
      <c r="BX37" s="29"/>
      <c r="BZ37" s="26"/>
      <c r="CA37" s="29"/>
      <c r="CB37" s="29"/>
      <c r="CC37" s="29"/>
      <c r="CD37" s="29"/>
      <c r="CE37" s="29"/>
      <c r="CF37" s="29"/>
      <c r="CG37" s="29"/>
      <c r="CH37" s="29"/>
      <c r="CI37" s="29"/>
    </row>
    <row r="38" spans="1:87" x14ac:dyDescent="0.2">
      <c r="A38" s="26">
        <f t="shared" si="69"/>
        <v>2039</v>
      </c>
      <c r="B38" s="232">
        <f t="shared" si="112"/>
        <v>8.4472369485368102</v>
      </c>
      <c r="C38" s="232">
        <f t="shared" si="113"/>
        <v>3.8405910000000003</v>
      </c>
      <c r="D38" s="100">
        <f t="shared" si="0"/>
        <v>248.13617785818846</v>
      </c>
      <c r="E38" s="232">
        <f t="shared" si="99"/>
        <v>14.476057668414796</v>
      </c>
      <c r="F38" s="232">
        <f t="shared" si="99"/>
        <v>18.402593000000003</v>
      </c>
      <c r="G38" s="232">
        <f t="shared" si="99"/>
        <v>14.524426430171294</v>
      </c>
      <c r="H38" s="232">
        <f t="shared" si="99"/>
        <v>11.060542589174499</v>
      </c>
      <c r="I38" s="232">
        <f t="shared" si="99"/>
        <v>1.005789557526102</v>
      </c>
      <c r="J38" s="232">
        <f t="shared" si="99"/>
        <v>435.00388108547043</v>
      </c>
      <c r="K38" s="232">
        <f t="shared" si="99"/>
        <v>400.97450203793818</v>
      </c>
      <c r="L38" s="100">
        <f t="shared" si="100"/>
        <v>328.75626342449397</v>
      </c>
      <c r="M38" s="100">
        <f t="shared" si="101"/>
        <v>315.35323057508066</v>
      </c>
      <c r="N38" s="100">
        <f t="shared" si="102"/>
        <v>69.10953297117247</v>
      </c>
      <c r="O38" s="100">
        <f t="shared" si="103"/>
        <v>682.67302997548063</v>
      </c>
      <c r="P38" s="100">
        <f t="shared" si="104"/>
        <v>223.45873880155131</v>
      </c>
      <c r="Q38" s="100">
        <f t="shared" si="105"/>
        <v>658.9226666405882</v>
      </c>
      <c r="R38" s="101">
        <f t="shared" si="106"/>
        <v>1135.7869402079475</v>
      </c>
      <c r="S38" s="101">
        <f t="shared" si="107"/>
        <v>7455.6825235468532</v>
      </c>
      <c r="T38" s="72"/>
      <c r="U38" s="23">
        <v>2037</v>
      </c>
      <c r="V38" s="229">
        <f t="shared" ref="V38:V43" si="123">V37*(1+W37)</f>
        <v>0.3018320141829115</v>
      </c>
      <c r="W38" s="53">
        <f t="shared" ref="W38:W43" si="124">V38/V37-1</f>
        <v>-1.2094586682394048E-3</v>
      </c>
      <c r="X38" s="229">
        <f t="shared" ref="X38:X43" si="125">X37*(1+Y37)</f>
        <v>0.23218816566268519</v>
      </c>
      <c r="Y38" s="53">
        <f t="shared" ref="Y38:AA43" si="126">X38/X37-1</f>
        <v>7.6419865857384472E-3</v>
      </c>
      <c r="Z38" s="229">
        <f t="shared" ref="Z38:AB43" si="127">Z37*(1+AA37)</f>
        <v>2.9961431151495584E-2</v>
      </c>
      <c r="AA38" s="53">
        <f t="shared" si="126"/>
        <v>7.4818177709652378E-3</v>
      </c>
      <c r="AB38" s="229">
        <f t="shared" si="127"/>
        <v>0.11739284984178076</v>
      </c>
      <c r="AC38" s="53">
        <f t="shared" si="114"/>
        <v>-7.461516992457895E-3</v>
      </c>
      <c r="AD38" s="229">
        <f t="shared" ref="AD38:AD43" si="128">AD37*(1+AE37)</f>
        <v>0.29668897847240749</v>
      </c>
      <c r="AE38" s="53">
        <f t="shared" si="114"/>
        <v>-9.2571088191167883E-3</v>
      </c>
      <c r="AF38" s="229">
        <f t="shared" ref="AF38:AF43" si="129">AF37*(1+AG37)</f>
        <v>0.64477606959826206</v>
      </c>
      <c r="AG38" s="53">
        <f t="shared" si="115"/>
        <v>2.2888132921969895E-3</v>
      </c>
      <c r="AH38" s="229">
        <f t="shared" ref="AH38:AH43" si="130">AH37*(1+AI37)</f>
        <v>0.23218816566268519</v>
      </c>
      <c r="AI38" s="53">
        <f t="shared" si="116"/>
        <v>7.6419865857384472E-3</v>
      </c>
      <c r="AJ38" s="229">
        <f t="shared" ref="AJ38:AK43" si="131">AJ37*(1+AK37)</f>
        <v>0.10892007754844606</v>
      </c>
      <c r="AK38" s="229">
        <f t="shared" si="131"/>
        <v>0.92169753274950239</v>
      </c>
      <c r="AL38" s="53">
        <f t="shared" si="36"/>
        <v>5.607744432998274E-4</v>
      </c>
      <c r="AM38" s="229">
        <f t="shared" ref="AM38:AM43" si="132">AM37*(1+AN37)</f>
        <v>0.70387154250577255</v>
      </c>
      <c r="AN38" s="53">
        <f t="shared" si="37"/>
        <v>4.3613395487278606E-3</v>
      </c>
      <c r="AO38" s="229">
        <f t="shared" ref="AO38:AO43" si="133">AO37*(1+AP37)</f>
        <v>0.7332237862374289</v>
      </c>
      <c r="AP38" s="53">
        <f t="shared" si="120"/>
        <v>1.379991459619756E-3</v>
      </c>
      <c r="AQ38" s="229">
        <f t="shared" ref="AQ38:AQ43" si="134">AQ37*(1+AR37)</f>
        <v>1.699435142363388</v>
      </c>
      <c r="AR38" s="53">
        <f t="shared" si="121"/>
        <v>9.507558258399218E-4</v>
      </c>
      <c r="AS38" s="229">
        <f t="shared" ref="AS38:AS43" si="135">AS37*(1+AT37)</f>
        <v>0.86909086042913208</v>
      </c>
      <c r="AT38" s="53">
        <f t="shared" si="117"/>
        <v>1.1841799289467048E-3</v>
      </c>
      <c r="AU38" s="229">
        <f t="shared" ref="AU38:AU43" si="136">AU37*(1+AV37)</f>
        <v>1.1977320239131468</v>
      </c>
      <c r="AV38" s="53">
        <f t="shared" si="108"/>
        <v>-1.5591207384801908E-4</v>
      </c>
      <c r="AW38" s="229">
        <f t="shared" ref="AW38:AW43" si="137">AW37*(1+AX37)</f>
        <v>0.4576032116518442</v>
      </c>
      <c r="AX38" s="53">
        <f t="shared" si="39"/>
        <v>-5.0824542253702365E-4</v>
      </c>
      <c r="AY38" s="229">
        <f t="shared" ref="AY38:BA43" si="138">AY37*(1+AZ37)</f>
        <v>3.7402388810508467</v>
      </c>
      <c r="AZ38" s="53">
        <f t="shared" si="109"/>
        <v>4.5369743895582459E-3</v>
      </c>
      <c r="BA38" s="229">
        <f t="shared" si="138"/>
        <v>0.4030791350004172</v>
      </c>
      <c r="BB38" s="53">
        <f t="shared" si="40"/>
        <v>-3.6175935280461369E-3</v>
      </c>
      <c r="BC38" s="230">
        <f t="shared" ref="BC38:BC43" si="139">BC37</f>
        <v>1</v>
      </c>
      <c r="BD38" s="230">
        <f t="shared" ref="BD38:BD43" si="140">BD37</f>
        <v>1</v>
      </c>
      <c r="BE38" s="105">
        <f t="shared" si="122"/>
        <v>0.19773202391314681</v>
      </c>
      <c r="BO38" s="26"/>
      <c r="BP38" s="29"/>
      <c r="BQ38" s="29"/>
      <c r="BR38" s="29"/>
      <c r="BS38" s="29"/>
      <c r="BT38" s="29"/>
      <c r="BU38" s="29"/>
      <c r="BV38" s="29"/>
      <c r="BW38" s="29"/>
      <c r="BX38" s="29"/>
      <c r="BZ38" s="26"/>
      <c r="CA38" s="29"/>
      <c r="CB38" s="29"/>
      <c r="CC38" s="29"/>
      <c r="CD38" s="29"/>
      <c r="CE38" s="29"/>
      <c r="CF38" s="29"/>
      <c r="CG38" s="29"/>
      <c r="CH38" s="29"/>
      <c r="CI38" s="29"/>
    </row>
    <row r="39" spans="1:87" x14ac:dyDescent="0.2">
      <c r="A39" s="26">
        <f t="shared" si="69"/>
        <v>2040</v>
      </c>
      <c r="B39" s="232">
        <f t="shared" si="112"/>
        <v>8.4494290890830328</v>
      </c>
      <c r="C39" s="232">
        <f t="shared" si="113"/>
        <v>3.8535380000000004</v>
      </c>
      <c r="D39" s="100">
        <f t="shared" si="0"/>
        <v>240.52828770540347</v>
      </c>
      <c r="E39" s="232">
        <f t="shared" si="99"/>
        <v>14.482911843743556</v>
      </c>
      <c r="F39" s="232">
        <f t="shared" si="99"/>
        <v>18.495580000000004</v>
      </c>
      <c r="G39" s="232">
        <f t="shared" si="99"/>
        <v>14.531146459977995</v>
      </c>
      <c r="H39" s="232">
        <f t="shared" si="99"/>
        <v>11.060505439673289</v>
      </c>
      <c r="I39" s="232">
        <f t="shared" si="99"/>
        <v>1.0065948626967411</v>
      </c>
      <c r="J39" s="232">
        <f t="shared" si="99"/>
        <v>433.91713718533686</v>
      </c>
      <c r="K39" s="232">
        <f t="shared" si="99"/>
        <v>400.28071266064501</v>
      </c>
      <c r="L39" s="100">
        <f t="shared" si="100"/>
        <v>328.69051173675098</v>
      </c>
      <c r="M39" s="100">
        <f t="shared" si="101"/>
        <v>315.35353205718042</v>
      </c>
      <c r="N39" s="100">
        <f t="shared" si="102"/>
        <v>69.111222877974356</v>
      </c>
      <c r="O39" s="100">
        <f t="shared" si="103"/>
        <v>684.39678471762738</v>
      </c>
      <c r="P39" s="100">
        <f t="shared" si="104"/>
        <v>224.50322015757334</v>
      </c>
      <c r="Q39" s="100">
        <f t="shared" si="105"/>
        <v>658.28719487940702</v>
      </c>
      <c r="R39" s="101">
        <f t="shared" si="106"/>
        <v>1136.7614707544849</v>
      </c>
      <c r="S39" s="101">
        <f t="shared" si="107"/>
        <v>7572.1148050304091</v>
      </c>
      <c r="T39" s="72"/>
      <c r="U39" s="23">
        <v>2038</v>
      </c>
      <c r="V39" s="229">
        <f t="shared" si="123"/>
        <v>0.3014669608370058</v>
      </c>
      <c r="W39" s="53">
        <f t="shared" si="124"/>
        <v>-1.2094586682394048E-3</v>
      </c>
      <c r="X39" s="229">
        <f t="shared" si="125"/>
        <v>0.23396254451004664</v>
      </c>
      <c r="Y39" s="53">
        <f t="shared" si="126"/>
        <v>7.6419865857384472E-3</v>
      </c>
      <c r="Z39" s="229">
        <f t="shared" si="127"/>
        <v>3.0185597119528396E-2</v>
      </c>
      <c r="AA39" s="53">
        <f t="shared" si="126"/>
        <v>7.4818177709652378E-3</v>
      </c>
      <c r="AB39" s="229">
        <f t="shared" si="127"/>
        <v>0.11651692109789326</v>
      </c>
      <c r="AC39" s="53">
        <f t="shared" si="114"/>
        <v>-7.461516992457895E-3</v>
      </c>
      <c r="AD39" s="229">
        <f t="shared" si="128"/>
        <v>0.29394249631325581</v>
      </c>
      <c r="AE39" s="53">
        <f t="shared" si="114"/>
        <v>-9.2571088191167883E-3</v>
      </c>
      <c r="AF39" s="229">
        <f t="shared" si="129"/>
        <v>0.64625184163684912</v>
      </c>
      <c r="AG39" s="53">
        <f t="shared" si="115"/>
        <v>2.2888132921969895E-3</v>
      </c>
      <c r="AH39" s="229">
        <f t="shared" si="130"/>
        <v>0.23396254451004664</v>
      </c>
      <c r="AI39" s="53">
        <f t="shared" si="116"/>
        <v>7.6419865857384472E-3</v>
      </c>
      <c r="AJ39" s="229">
        <f t="shared" si="131"/>
        <v>0.20931144429173323</v>
      </c>
      <c r="AK39" s="229">
        <f t="shared" si="131"/>
        <v>0.92221439717032083</v>
      </c>
      <c r="AL39" s="53">
        <f t="shared" si="36"/>
        <v>5.607744432998274E-4</v>
      </c>
      <c r="AM39" s="229">
        <f t="shared" si="132"/>
        <v>0.70694136530132701</v>
      </c>
      <c r="AN39" s="53">
        <f t="shared" si="37"/>
        <v>4.3613395487278606E-3</v>
      </c>
      <c r="AO39" s="229">
        <f t="shared" si="133"/>
        <v>0.73423562880042659</v>
      </c>
      <c r="AP39" s="53">
        <f t="shared" si="120"/>
        <v>1.379991459619756E-3</v>
      </c>
      <c r="AQ39" s="229">
        <f t="shared" si="134"/>
        <v>1.7010508902256272</v>
      </c>
      <c r="AR39" s="53">
        <f t="shared" si="121"/>
        <v>9.507558258399218E-4</v>
      </c>
      <c r="AS39" s="229">
        <f t="shared" si="135"/>
        <v>0.87012002038248326</v>
      </c>
      <c r="AT39" s="53">
        <f t="shared" si="117"/>
        <v>1.1841799289467048E-3</v>
      </c>
      <c r="AU39" s="229">
        <f t="shared" si="136"/>
        <v>1.1975452830293842</v>
      </c>
      <c r="AV39" s="53">
        <f t="shared" si="108"/>
        <v>-1.5591207384813011E-4</v>
      </c>
      <c r="AW39" s="229">
        <f t="shared" si="137"/>
        <v>0.45737063691418389</v>
      </c>
      <c r="AX39" s="53">
        <f t="shared" si="39"/>
        <v>-5.0824542253702365E-4</v>
      </c>
      <c r="AY39" s="229">
        <f t="shared" si="138"/>
        <v>3.7572082490650045</v>
      </c>
      <c r="AZ39" s="53">
        <f t="shared" si="109"/>
        <v>4.5369743895582459E-3</v>
      </c>
      <c r="BA39" s="229">
        <f t="shared" si="138"/>
        <v>0.40162095853034924</v>
      </c>
      <c r="BB39" s="53">
        <f t="shared" si="40"/>
        <v>-3.6175935280461369E-3</v>
      </c>
      <c r="BC39" s="230">
        <f t="shared" si="139"/>
        <v>1</v>
      </c>
      <c r="BD39" s="230">
        <f t="shared" si="140"/>
        <v>1</v>
      </c>
      <c r="BE39" s="105">
        <f t="shared" si="122"/>
        <v>0.19754528302938423</v>
      </c>
      <c r="BO39" s="26"/>
      <c r="BP39" s="29"/>
      <c r="BQ39" s="29"/>
      <c r="BR39" s="29"/>
      <c r="BS39" s="29"/>
      <c r="BT39" s="29"/>
      <c r="BU39" s="29"/>
      <c r="BV39" s="29"/>
      <c r="BW39" s="29"/>
      <c r="BX39" s="29"/>
      <c r="BZ39" s="26"/>
      <c r="CA39" s="29"/>
      <c r="CB39" s="29"/>
      <c r="CC39" s="29"/>
      <c r="CD39" s="29"/>
      <c r="CE39" s="29"/>
      <c r="CF39" s="29"/>
      <c r="CG39" s="29"/>
      <c r="CH39" s="29"/>
      <c r="CI39" s="29"/>
    </row>
    <row r="40" spans="1:87" x14ac:dyDescent="0.2">
      <c r="A40" s="26">
        <f t="shared" si="69"/>
        <v>2041</v>
      </c>
      <c r="B40" s="232">
        <f t="shared" si="112"/>
        <v>8.4516212296292554</v>
      </c>
      <c r="C40" s="232">
        <f t="shared" si="113"/>
        <v>3.8664850000000004</v>
      </c>
      <c r="D40" s="100">
        <f t="shared" si="0"/>
        <v>233.15365653595757</v>
      </c>
      <c r="E40" s="232">
        <f t="shared" si="99"/>
        <v>14.489766019072317</v>
      </c>
      <c r="F40" s="232">
        <f t="shared" si="99"/>
        <v>18.588567000000005</v>
      </c>
      <c r="G40" s="232">
        <f t="shared" si="99"/>
        <v>14.537866489784696</v>
      </c>
      <c r="H40" s="232">
        <f t="shared" si="99"/>
        <v>11.060468290172079</v>
      </c>
      <c r="I40" s="232">
        <f t="shared" si="99"/>
        <v>1.0074001678673803</v>
      </c>
      <c r="J40" s="232">
        <f t="shared" si="99"/>
        <v>432.83039328520329</v>
      </c>
      <c r="K40" s="232">
        <f t="shared" si="99"/>
        <v>399.58692328335184</v>
      </c>
      <c r="L40" s="100">
        <f t="shared" si="100"/>
        <v>328.62477319943252</v>
      </c>
      <c r="M40" s="100">
        <f t="shared" si="101"/>
        <v>315.35383353956837</v>
      </c>
      <c r="N40" s="100">
        <f t="shared" si="102"/>
        <v>69.112912826098835</v>
      </c>
      <c r="O40" s="100">
        <f t="shared" si="103"/>
        <v>686.12489195398507</v>
      </c>
      <c r="P40" s="100">
        <f t="shared" si="104"/>
        <v>225.55258358403458</v>
      </c>
      <c r="Q40" s="100">
        <f t="shared" si="105"/>
        <v>657.65233597369388</v>
      </c>
      <c r="R40" s="101">
        <f t="shared" si="106"/>
        <v>1137.7368374699838</v>
      </c>
      <c r="S40" s="101">
        <f t="shared" si="107"/>
        <v>7690.3653608474915</v>
      </c>
      <c r="T40" s="72"/>
      <c r="U40" s="23">
        <v>2039</v>
      </c>
      <c r="V40" s="229">
        <f t="shared" si="123"/>
        <v>0.30110234900803368</v>
      </c>
      <c r="W40" s="53">
        <f t="shared" si="124"/>
        <v>-1.2094586682395159E-3</v>
      </c>
      <c r="X40" s="229">
        <f t="shared" si="125"/>
        <v>0.23575048313675764</v>
      </c>
      <c r="Y40" s="53">
        <f t="shared" si="126"/>
        <v>7.6419865857384472E-3</v>
      </c>
      <c r="Z40" s="229">
        <f t="shared" si="127"/>
        <v>3.0411440256484481E-2</v>
      </c>
      <c r="AA40" s="53">
        <f t="shared" si="126"/>
        <v>7.4818177709652378E-3</v>
      </c>
      <c r="AB40" s="229">
        <f t="shared" si="127"/>
        <v>0.11564752811121246</v>
      </c>
      <c r="AC40" s="53">
        <f t="shared" si="114"/>
        <v>-7.461516992457895E-3</v>
      </c>
      <c r="AD40" s="229">
        <f t="shared" si="128"/>
        <v>0.29122143863832117</v>
      </c>
      <c r="AE40" s="53">
        <f t="shared" si="114"/>
        <v>-9.2571088191167883E-3</v>
      </c>
      <c r="AF40" s="229">
        <f t="shared" si="129"/>
        <v>0.64773099144209434</v>
      </c>
      <c r="AG40" s="53">
        <f t="shared" si="115"/>
        <v>2.2888132921969895E-3</v>
      </c>
      <c r="AH40" s="229">
        <f t="shared" si="130"/>
        <v>0.23575048313675764</v>
      </c>
      <c r="AI40" s="53">
        <f t="shared" si="116"/>
        <v>7.6419865857384472E-3</v>
      </c>
      <c r="AJ40" s="229">
        <f t="shared" si="131"/>
        <v>0.40234147171008322</v>
      </c>
      <c r="AK40" s="229">
        <f t="shared" si="131"/>
        <v>0.92273155143549712</v>
      </c>
      <c r="AL40" s="53">
        <f t="shared" si="36"/>
        <v>5.607744432998274E-4</v>
      </c>
      <c r="AM40" s="229">
        <f t="shared" si="132"/>
        <v>0.71002457663644736</v>
      </c>
      <c r="AN40" s="53">
        <f t="shared" si="37"/>
        <v>4.3613395487278606E-3</v>
      </c>
      <c r="AO40" s="229">
        <f t="shared" si="133"/>
        <v>0.73524886769751974</v>
      </c>
      <c r="AP40" s="53">
        <f t="shared" si="120"/>
        <v>1.379991459619756E-3</v>
      </c>
      <c r="AQ40" s="229">
        <f t="shared" si="134"/>
        <v>1.7026681742695593</v>
      </c>
      <c r="AR40" s="53">
        <f t="shared" si="121"/>
        <v>9.507558258399218E-4</v>
      </c>
      <c r="AS40" s="229">
        <f t="shared" si="135"/>
        <v>0.87115039904639491</v>
      </c>
      <c r="AT40" s="53">
        <f t="shared" si="117"/>
        <v>1.1841799289467048E-3</v>
      </c>
      <c r="AU40" s="229">
        <f t="shared" si="136"/>
        <v>1.1973585712607802</v>
      </c>
      <c r="AV40" s="53">
        <f t="shared" si="108"/>
        <v>-1.5591207384801908E-4</v>
      </c>
      <c r="AW40" s="229">
        <f t="shared" si="137"/>
        <v>0.45713818038156939</v>
      </c>
      <c r="AX40" s="53">
        <f t="shared" si="39"/>
        <v>-5.0824542253702365E-4</v>
      </c>
      <c r="AY40" s="229">
        <f t="shared" si="138"/>
        <v>3.7742546066672493</v>
      </c>
      <c r="AZ40" s="53">
        <f t="shared" si="109"/>
        <v>4.5369743895582459E-3</v>
      </c>
      <c r="BA40" s="229">
        <f t="shared" si="138"/>
        <v>0.40016805715004217</v>
      </c>
      <c r="BB40" s="53">
        <f t="shared" si="40"/>
        <v>-3.6175935280461369E-3</v>
      </c>
      <c r="BC40" s="230">
        <f t="shared" si="139"/>
        <v>1</v>
      </c>
      <c r="BD40" s="230">
        <f t="shared" si="140"/>
        <v>1</v>
      </c>
      <c r="BE40" s="105">
        <f t="shared" si="122"/>
        <v>0.19735857126078016</v>
      </c>
      <c r="BO40" s="26"/>
      <c r="BP40" s="29"/>
      <c r="BQ40" s="29"/>
      <c r="BR40" s="29"/>
      <c r="BS40" s="29"/>
      <c r="BT40" s="29"/>
      <c r="BU40" s="29"/>
      <c r="BV40" s="29"/>
      <c r="BW40" s="29"/>
      <c r="BX40" s="29"/>
      <c r="BZ40" s="26"/>
      <c r="CA40" s="29"/>
      <c r="CB40" s="29"/>
      <c r="CC40" s="29"/>
      <c r="CD40" s="29"/>
      <c r="CE40" s="29"/>
      <c r="CF40" s="29"/>
      <c r="CG40" s="29"/>
      <c r="CH40" s="29"/>
      <c r="CI40" s="29"/>
    </row>
    <row r="41" spans="1:87" x14ac:dyDescent="0.2">
      <c r="A41" s="26">
        <f t="shared" si="69"/>
        <v>2042</v>
      </c>
      <c r="B41" s="232">
        <f t="shared" si="112"/>
        <v>8.4538133701754781</v>
      </c>
      <c r="C41" s="232">
        <f t="shared" si="113"/>
        <v>3.8794320000000004</v>
      </c>
      <c r="D41" s="100">
        <f t="shared" si="0"/>
        <v>226.00513259657671</v>
      </c>
      <c r="E41" s="232">
        <f t="shared" si="99"/>
        <v>14.496620194401077</v>
      </c>
      <c r="F41" s="232">
        <f t="shared" si="99"/>
        <v>18.681554000000006</v>
      </c>
      <c r="G41" s="232">
        <f t="shared" si="99"/>
        <v>14.544586519591396</v>
      </c>
      <c r="H41" s="232">
        <f t="shared" si="99"/>
        <v>11.060431140670868</v>
      </c>
      <c r="I41" s="232">
        <f t="shared" si="99"/>
        <v>1.0082054730380194</v>
      </c>
      <c r="J41" s="232">
        <f t="shared" si="99"/>
        <v>431.74364938506972</v>
      </c>
      <c r="K41" s="232">
        <f t="shared" si="99"/>
        <v>398.89313390605867</v>
      </c>
      <c r="L41" s="100">
        <f t="shared" si="100"/>
        <v>328.55904780990846</v>
      </c>
      <c r="M41" s="100">
        <f t="shared" si="101"/>
        <v>315.35413502224458</v>
      </c>
      <c r="N41" s="100">
        <f t="shared" si="102"/>
        <v>69.114602815546931</v>
      </c>
      <c r="O41" s="100">
        <f t="shared" si="103"/>
        <v>687.85736267463608</v>
      </c>
      <c r="P41" s="100">
        <f t="shared" si="104"/>
        <v>226.60685190050145</v>
      </c>
      <c r="Q41" s="100">
        <f t="shared" si="105"/>
        <v>657.01808933240477</v>
      </c>
      <c r="R41" s="101">
        <f t="shared" si="106"/>
        <v>1138.7130410718958</v>
      </c>
      <c r="S41" s="101">
        <f t="shared" si="107"/>
        <v>7810.4625862292987</v>
      </c>
      <c r="T41" s="72"/>
      <c r="U41" s="23">
        <v>2040</v>
      </c>
      <c r="V41" s="229">
        <f t="shared" si="123"/>
        <v>0.3007381781619986</v>
      </c>
      <c r="W41" s="53">
        <f t="shared" si="124"/>
        <v>-1.2094586682396269E-3</v>
      </c>
      <c r="X41" s="229">
        <f t="shared" si="125"/>
        <v>0.23755208516647011</v>
      </c>
      <c r="Y41" s="53">
        <f t="shared" si="126"/>
        <v>7.6419865857384472E-3</v>
      </c>
      <c r="Z41" s="229">
        <f t="shared" si="127"/>
        <v>3.0638973110636094E-2</v>
      </c>
      <c r="AA41" s="53">
        <f t="shared" si="126"/>
        <v>7.4818177709652378E-3</v>
      </c>
      <c r="AB41" s="229">
        <f t="shared" si="127"/>
        <v>0.1147846221150749</v>
      </c>
      <c r="AC41" s="53">
        <f t="shared" si="114"/>
        <v>-7.461516992457895E-3</v>
      </c>
      <c r="AD41" s="229">
        <f t="shared" si="128"/>
        <v>0.28852557009038649</v>
      </c>
      <c r="AE41" s="53">
        <f t="shared" si="114"/>
        <v>-9.2571088191167883E-3</v>
      </c>
      <c r="AF41" s="229">
        <f t="shared" si="129"/>
        <v>0.64921352674507493</v>
      </c>
      <c r="AG41" s="53">
        <f t="shared" si="115"/>
        <v>2.2888132921969895E-3</v>
      </c>
      <c r="AH41" s="229">
        <f t="shared" si="130"/>
        <v>0.23755208516647011</v>
      </c>
      <c r="AI41" s="53">
        <f t="shared" si="116"/>
        <v>7.6419865857384472E-3</v>
      </c>
      <c r="AJ41" s="229">
        <f t="shared" si="131"/>
        <v>0.77359464210796947</v>
      </c>
      <c r="AK41" s="229">
        <f t="shared" si="131"/>
        <v>0.92324899570756858</v>
      </c>
      <c r="AL41" s="53">
        <f t="shared" si="36"/>
        <v>5.607744432998274E-4</v>
      </c>
      <c r="AM41" s="229">
        <f t="shared" si="132"/>
        <v>0.71312123490310064</v>
      </c>
      <c r="AN41" s="53">
        <f t="shared" si="37"/>
        <v>4.3613395487278606E-3</v>
      </c>
      <c r="AO41" s="229">
        <f t="shared" si="133"/>
        <v>0.73626350485563741</v>
      </c>
      <c r="AP41" s="53">
        <f t="shared" si="120"/>
        <v>1.379991459619756E-3</v>
      </c>
      <c r="AQ41" s="229">
        <f t="shared" si="134"/>
        <v>1.7042869959557183</v>
      </c>
      <c r="AR41" s="53">
        <f t="shared" si="121"/>
        <v>9.507558258399218E-4</v>
      </c>
      <c r="AS41" s="229">
        <f t="shared" si="135"/>
        <v>0.8721819978640396</v>
      </c>
      <c r="AT41" s="53">
        <f t="shared" si="117"/>
        <v>1.1841799289467048E-3</v>
      </c>
      <c r="AU41" s="229">
        <f t="shared" si="136"/>
        <v>1.1971718886027951</v>
      </c>
      <c r="AV41" s="53">
        <f t="shared" si="108"/>
        <v>-1.5591207384813011E-4</v>
      </c>
      <c r="AW41" s="229">
        <f t="shared" si="137"/>
        <v>0.45690584199392353</v>
      </c>
      <c r="AX41" s="53">
        <f t="shared" si="39"/>
        <v>-5.0824542253702365E-4</v>
      </c>
      <c r="AY41" s="229">
        <f t="shared" si="138"/>
        <v>3.7913783031573707</v>
      </c>
      <c r="AZ41" s="53">
        <f t="shared" si="109"/>
        <v>4.5369743895582459E-3</v>
      </c>
      <c r="BA41" s="229">
        <f t="shared" si="138"/>
        <v>0.39872041177636536</v>
      </c>
      <c r="BB41" s="53">
        <f t="shared" si="40"/>
        <v>-3.6175935280461369E-3</v>
      </c>
      <c r="BC41" s="230">
        <f t="shared" si="139"/>
        <v>1</v>
      </c>
      <c r="BD41" s="230">
        <f t="shared" si="140"/>
        <v>1</v>
      </c>
      <c r="BE41" s="105">
        <f t="shared" si="122"/>
        <v>0.19717188860279511</v>
      </c>
      <c r="BO41" s="26"/>
      <c r="BP41" s="29"/>
      <c r="BQ41" s="29"/>
      <c r="BR41" s="29"/>
      <c r="BS41" s="29"/>
      <c r="BT41" s="29"/>
      <c r="BU41" s="29"/>
      <c r="BV41" s="29"/>
      <c r="BW41" s="29"/>
      <c r="BX41" s="29"/>
      <c r="BZ41" s="26"/>
      <c r="CA41" s="29"/>
      <c r="CB41" s="29"/>
      <c r="CC41" s="29"/>
      <c r="CD41" s="29"/>
      <c r="CE41" s="29"/>
      <c r="CF41" s="29"/>
      <c r="CG41" s="29"/>
      <c r="CH41" s="29"/>
      <c r="CI41" s="29"/>
    </row>
    <row r="42" spans="1:87" x14ac:dyDescent="0.2">
      <c r="R42" s="73"/>
      <c r="S42" s="73"/>
      <c r="T42" s="72"/>
      <c r="U42" s="23">
        <v>2041</v>
      </c>
      <c r="V42" s="229">
        <f t="shared" si="123"/>
        <v>0.30037444776555</v>
      </c>
      <c r="W42" s="53">
        <f t="shared" si="124"/>
        <v>-1.2094586682395159E-3</v>
      </c>
      <c r="X42" s="229">
        <f t="shared" si="125"/>
        <v>0.23936745501472648</v>
      </c>
      <c r="Y42" s="53">
        <f t="shared" si="126"/>
        <v>7.6419865857384472E-3</v>
      </c>
      <c r="Z42" s="229">
        <f t="shared" si="127"/>
        <v>3.0868208324139376E-2</v>
      </c>
      <c r="AA42" s="53">
        <f t="shared" si="126"/>
        <v>7.4818177709652378E-3</v>
      </c>
      <c r="AB42" s="229">
        <f t="shared" si="127"/>
        <v>0.1139281547066904</v>
      </c>
      <c r="AC42" s="53">
        <f t="shared" si="114"/>
        <v>-7.461516992457895E-3</v>
      </c>
      <c r="AD42" s="229">
        <f t="shared" si="128"/>
        <v>0.28585465749096206</v>
      </c>
      <c r="AE42" s="53">
        <f t="shared" si="114"/>
        <v>-9.2571088191167883E-3</v>
      </c>
      <c r="AF42" s="229">
        <f t="shared" si="129"/>
        <v>0.65069945529456319</v>
      </c>
      <c r="AG42" s="53">
        <f t="shared" si="115"/>
        <v>2.2888132921969895E-3</v>
      </c>
      <c r="AH42" s="229">
        <f t="shared" si="130"/>
        <v>0.23936745501472648</v>
      </c>
      <c r="AI42" s="53">
        <f t="shared" si="116"/>
        <v>7.6419865857384472E-3</v>
      </c>
      <c r="AJ42" s="229">
        <f t="shared" si="131"/>
        <v>1.4878151185189081</v>
      </c>
      <c r="AK42" s="229">
        <f t="shared" si="131"/>
        <v>0.92376673014916366</v>
      </c>
      <c r="AL42" s="53">
        <f t="shared" si="36"/>
        <v>5.607744432998274E-4</v>
      </c>
      <c r="AM42" s="229">
        <f t="shared" si="132"/>
        <v>0.71623139874792119</v>
      </c>
      <c r="AN42" s="53">
        <f t="shared" si="37"/>
        <v>4.3613395487278606E-3</v>
      </c>
      <c r="AO42" s="229">
        <f t="shared" si="133"/>
        <v>0.73727954220436787</v>
      </c>
      <c r="AP42" s="53">
        <f t="shared" si="120"/>
        <v>1.379991459619756E-3</v>
      </c>
      <c r="AQ42" s="229">
        <f t="shared" si="134"/>
        <v>1.7059073567460263</v>
      </c>
      <c r="AR42" s="53">
        <f t="shared" si="121"/>
        <v>9.507558258399218E-4</v>
      </c>
      <c r="AS42" s="229">
        <f t="shared" si="135"/>
        <v>0.87321481828029879</v>
      </c>
      <c r="AT42" s="53">
        <f t="shared" si="117"/>
        <v>1.1841799289467048E-3</v>
      </c>
      <c r="AU42" s="229">
        <f t="shared" si="136"/>
        <v>1.1969852350508903</v>
      </c>
      <c r="AV42" s="53">
        <f t="shared" si="108"/>
        <v>-1.5591207384824113E-4</v>
      </c>
      <c r="AW42" s="229">
        <f t="shared" si="137"/>
        <v>0.45667362169119968</v>
      </c>
      <c r="AX42" s="53">
        <f t="shared" si="39"/>
        <v>-5.0824542253702365E-4</v>
      </c>
      <c r="AY42" s="229">
        <f t="shared" si="138"/>
        <v>3.8085796894199224</v>
      </c>
      <c r="AZ42" s="53">
        <f t="shared" si="109"/>
        <v>4.5369743895582459E-3</v>
      </c>
      <c r="BA42" s="229">
        <f t="shared" si="138"/>
        <v>0.39727800339522329</v>
      </c>
      <c r="BB42" s="53">
        <f t="shared" si="40"/>
        <v>-3.6175935280461369E-3</v>
      </c>
      <c r="BC42" s="230">
        <f t="shared" si="139"/>
        <v>1</v>
      </c>
      <c r="BD42" s="230">
        <f t="shared" si="140"/>
        <v>1</v>
      </c>
      <c r="BE42" s="105">
        <f t="shared" si="122"/>
        <v>0.19698523505089027</v>
      </c>
      <c r="BO42" s="26">
        <v>2023</v>
      </c>
      <c r="BP42" s="29">
        <f t="shared" ref="BP42:BX42" si="141">BP103/BP$79</f>
        <v>1.1741176470588235</v>
      </c>
      <c r="BQ42" s="29">
        <f t="shared" si="141"/>
        <v>1.0565400843881856</v>
      </c>
      <c r="BR42" s="29">
        <f t="shared" si="141"/>
        <v>1.0739348370927317</v>
      </c>
      <c r="BS42" s="29">
        <f t="shared" si="141"/>
        <v>0.99119241192411933</v>
      </c>
      <c r="BT42" s="29">
        <f t="shared" si="141"/>
        <v>1.1194029850746268</v>
      </c>
      <c r="BU42" s="29">
        <f t="shared" si="141"/>
        <v>0.99361249112845995</v>
      </c>
      <c r="BV42" s="29">
        <f t="shared" si="141"/>
        <v>0.92073490813648284</v>
      </c>
      <c r="BW42" s="29">
        <f t="shared" si="141"/>
        <v>1.0279635258358664</v>
      </c>
      <c r="BX42" s="29">
        <f t="shared" si="141"/>
        <v>0.9527198779867817</v>
      </c>
      <c r="BZ42" s="26">
        <v>2023</v>
      </c>
      <c r="CA42" s="29">
        <f t="shared" ref="CA42:CI42" si="142">CA103/CA$79</f>
        <v>0.89446721311475419</v>
      </c>
      <c r="CB42" s="29">
        <f t="shared" si="142"/>
        <v>0.86283704572098485</v>
      </c>
      <c r="CC42" s="29">
        <f t="shared" si="142"/>
        <v>0.81756756756756754</v>
      </c>
      <c r="CD42" s="29">
        <f t="shared" si="142"/>
        <v>0.83243967828418231</v>
      </c>
      <c r="CE42" s="29">
        <f t="shared" si="142"/>
        <v>0.83536585365853666</v>
      </c>
      <c r="CF42" s="29">
        <f t="shared" si="142"/>
        <v>0.82723112128146459</v>
      </c>
      <c r="CG42" s="29">
        <f t="shared" si="142"/>
        <v>0.80278128950695316</v>
      </c>
      <c r="CH42" s="29">
        <f t="shared" si="142"/>
        <v>0.91994177583697234</v>
      </c>
      <c r="CI42" s="29">
        <f t="shared" si="142"/>
        <v>0.91486486486486474</v>
      </c>
    </row>
    <row r="43" spans="1:87" x14ac:dyDescent="0.2">
      <c r="A43" s="74" t="s">
        <v>126</v>
      </c>
      <c r="B43" s="40" t="s">
        <v>127</v>
      </c>
      <c r="C43" s="40"/>
      <c r="D43" s="40"/>
      <c r="E43" s="40"/>
      <c r="F43" s="40"/>
      <c r="S43" s="75"/>
      <c r="T43" s="72"/>
      <c r="U43" s="23">
        <v>2042</v>
      </c>
      <c r="V43" s="229">
        <f t="shared" si="123"/>
        <v>0.30001115728598232</v>
      </c>
      <c r="W43" s="53">
        <f t="shared" si="124"/>
        <v>-1.2094586682394048E-3</v>
      </c>
      <c r="X43" s="229">
        <f t="shared" si="125"/>
        <v>0.24119669789501136</v>
      </c>
      <c r="Y43" s="53">
        <f t="shared" si="126"/>
        <v>7.6419865857384472E-3</v>
      </c>
      <c r="Z43" s="229">
        <f t="shared" si="127"/>
        <v>3.109915863373678E-2</v>
      </c>
      <c r="AA43" s="53">
        <f t="shared" si="126"/>
        <v>7.4818177709652378E-3</v>
      </c>
      <c r="AB43" s="229">
        <f t="shared" si="127"/>
        <v>0.11307807784442706</v>
      </c>
      <c r="AC43" s="53">
        <f t="shared" si="114"/>
        <v>-7.461516992458006E-3</v>
      </c>
      <c r="AD43" s="229">
        <f t="shared" si="128"/>
        <v>0.28320846982011688</v>
      </c>
      <c r="AE43" s="53">
        <f t="shared" si="114"/>
        <v>-9.2571088191167883E-3</v>
      </c>
      <c r="AF43" s="229">
        <f t="shared" si="129"/>
        <v>0.65218878485706677</v>
      </c>
      <c r="AG43" s="53">
        <f t="shared" si="115"/>
        <v>2.2888132921969895E-3</v>
      </c>
      <c r="AH43" s="229">
        <f t="shared" si="130"/>
        <v>0.24119669789501136</v>
      </c>
      <c r="AI43" s="53">
        <f t="shared" si="116"/>
        <v>7.6419865857384472E-3</v>
      </c>
      <c r="AJ43" s="229">
        <f t="shared" si="131"/>
        <v>2.8622092256196101</v>
      </c>
      <c r="AK43" s="229">
        <f t="shared" si="131"/>
        <v>0.92428475492300199</v>
      </c>
      <c r="AL43" s="53">
        <f t="shared" si="36"/>
        <v>5.607744432998274E-4</v>
      </c>
      <c r="AM43" s="229">
        <f t="shared" si="132"/>
        <v>0.71935512707332117</v>
      </c>
      <c r="AN43" s="53">
        <f t="shared" si="37"/>
        <v>4.3613395487278606E-3</v>
      </c>
      <c r="AO43" s="229">
        <f t="shared" si="133"/>
        <v>0.73829698167596225</v>
      </c>
      <c r="AP43" s="53">
        <f t="shared" si="120"/>
        <v>1.379991459619756E-3</v>
      </c>
      <c r="AQ43" s="229">
        <f t="shared" si="134"/>
        <v>1.7075292581037957</v>
      </c>
      <c r="AR43" s="53">
        <f t="shared" si="121"/>
        <v>9.507558258399218E-4</v>
      </c>
      <c r="AS43" s="229">
        <f t="shared" si="135"/>
        <v>0.87424886174176519</v>
      </c>
      <c r="AT43" s="53">
        <f t="shared" si="117"/>
        <v>1.1841799289467048E-3</v>
      </c>
      <c r="AU43" s="229">
        <f t="shared" si="136"/>
        <v>1.1967986106005277</v>
      </c>
      <c r="AV43" s="53">
        <f t="shared" si="108"/>
        <v>-1.5591207384824113E-4</v>
      </c>
      <c r="AW43" s="229">
        <f t="shared" si="137"/>
        <v>0.45644151941338174</v>
      </c>
      <c r="AX43" s="53">
        <f t="shared" si="39"/>
        <v>-5.0824542253702365E-4</v>
      </c>
      <c r="AY43" s="229">
        <f t="shared" si="138"/>
        <v>3.8258591179314121</v>
      </c>
      <c r="AZ43" s="53">
        <f t="shared" si="109"/>
        <v>4.5369743895582459E-3</v>
      </c>
      <c r="BA43" s="229">
        <f t="shared" si="138"/>
        <v>0.39584081306130564</v>
      </c>
      <c r="BB43" s="53">
        <f t="shared" si="40"/>
        <v>-3.6175935280461369E-3</v>
      </c>
      <c r="BC43" s="230">
        <f t="shared" si="139"/>
        <v>1</v>
      </c>
      <c r="BD43" s="230">
        <f t="shared" si="140"/>
        <v>1</v>
      </c>
      <c r="BE43" s="105">
        <f t="shared" si="122"/>
        <v>0.19679861060052772</v>
      </c>
      <c r="BO43" s="26">
        <v>2024</v>
      </c>
      <c r="BP43" s="29">
        <f t="shared" ref="BP43:BX43" si="143">BP104/BP$79</f>
        <v>1.1592156862745098</v>
      </c>
      <c r="BQ43" s="29">
        <f t="shared" si="143"/>
        <v>1.0510548523206751</v>
      </c>
      <c r="BR43" s="29">
        <f t="shared" si="143"/>
        <v>1.0689223057644108</v>
      </c>
      <c r="BS43" s="29">
        <f t="shared" si="143"/>
        <v>0.98644986449864502</v>
      </c>
      <c r="BT43" s="29">
        <f t="shared" si="143"/>
        <v>1.1170149253731343</v>
      </c>
      <c r="BU43" s="29">
        <f t="shared" si="143"/>
        <v>0.98367636621717525</v>
      </c>
      <c r="BV43" s="29">
        <f t="shared" si="143"/>
        <v>0.92965879265091866</v>
      </c>
      <c r="BW43" s="29">
        <f t="shared" si="143"/>
        <v>1.0358662613981764</v>
      </c>
      <c r="BX43" s="29">
        <f t="shared" si="143"/>
        <v>0.9527198779867817</v>
      </c>
      <c r="BZ43" s="26">
        <v>2024</v>
      </c>
      <c r="CA43" s="29">
        <f t="shared" ref="CA43:CI43" si="144">CA104/CA$79</f>
        <v>0.90573770491803274</v>
      </c>
      <c r="CB43" s="29">
        <f t="shared" si="144"/>
        <v>0.87221570926143033</v>
      </c>
      <c r="CC43" s="29">
        <f t="shared" si="144"/>
        <v>0.83378378378378371</v>
      </c>
      <c r="CD43" s="29">
        <f t="shared" si="144"/>
        <v>0.84584450402144762</v>
      </c>
      <c r="CE43" s="29">
        <f t="shared" si="144"/>
        <v>0.84857723577235766</v>
      </c>
      <c r="CF43" s="29">
        <f t="shared" si="144"/>
        <v>0.84324942791762014</v>
      </c>
      <c r="CG43" s="29">
        <f t="shared" si="144"/>
        <v>0.81668773704171937</v>
      </c>
      <c r="CH43" s="29">
        <f t="shared" si="144"/>
        <v>0.93595342066957787</v>
      </c>
      <c r="CI43" s="29">
        <f t="shared" si="144"/>
        <v>0.92837837837837833</v>
      </c>
    </row>
    <row r="44" spans="1:87" x14ac:dyDescent="0.2">
      <c r="A44" s="74"/>
      <c r="B44" s="32" t="s">
        <v>128</v>
      </c>
      <c r="C44" s="32"/>
      <c r="D44" s="32"/>
      <c r="E44" s="32"/>
      <c r="F44" s="32"/>
      <c r="S44" s="75"/>
      <c r="T44" s="30"/>
      <c r="BO44" s="26">
        <v>2025</v>
      </c>
      <c r="BP44" s="29">
        <f t="shared" ref="BP44:BX44" si="145">BP105/BP$79</f>
        <v>1.1439215686274511</v>
      </c>
      <c r="BQ44" s="29">
        <f t="shared" si="145"/>
        <v>1.0464135021097047</v>
      </c>
      <c r="BR44" s="29">
        <f t="shared" si="145"/>
        <v>1.0670426065162908</v>
      </c>
      <c r="BS44" s="29">
        <f t="shared" si="145"/>
        <v>0.98170731707317072</v>
      </c>
      <c r="BT44" s="29">
        <f t="shared" si="145"/>
        <v>1.1200000000000001</v>
      </c>
      <c r="BU44" s="29">
        <f t="shared" si="145"/>
        <v>0.98225691980127749</v>
      </c>
      <c r="BV44" s="29">
        <f t="shared" si="145"/>
        <v>0.93910761154855638</v>
      </c>
      <c r="BW44" s="29">
        <f t="shared" si="145"/>
        <v>1.0486322188449848</v>
      </c>
      <c r="BX44" s="29">
        <f t="shared" si="145"/>
        <v>0.9537366548042705</v>
      </c>
      <c r="BZ44" s="26">
        <v>2025</v>
      </c>
      <c r="CA44" s="29">
        <f t="shared" ref="CA44:CI44" si="146">CA105/CA$79</f>
        <v>0.91905737704918045</v>
      </c>
      <c r="CB44" s="29">
        <f t="shared" si="146"/>
        <v>0.88511137162954279</v>
      </c>
      <c r="CC44" s="29">
        <f t="shared" si="146"/>
        <v>0.84864864864864864</v>
      </c>
      <c r="CD44" s="29">
        <f t="shared" si="146"/>
        <v>0.85924932975871315</v>
      </c>
      <c r="CE44" s="29">
        <f t="shared" si="146"/>
        <v>0.86178861788617889</v>
      </c>
      <c r="CF44" s="29">
        <f t="shared" si="146"/>
        <v>0.85812356979405036</v>
      </c>
      <c r="CG44" s="29">
        <f t="shared" si="146"/>
        <v>0.82932996207332488</v>
      </c>
      <c r="CH44" s="29">
        <f t="shared" si="146"/>
        <v>0.95050946142649206</v>
      </c>
      <c r="CI44" s="29">
        <f t="shared" si="146"/>
        <v>0.94189189189189182</v>
      </c>
    </row>
    <row r="45" spans="1:87" x14ac:dyDescent="0.2">
      <c r="A45" s="40" t="s">
        <v>171</v>
      </c>
      <c r="B45" s="143" t="s">
        <v>172</v>
      </c>
      <c r="C45" s="33"/>
      <c r="D45" s="33"/>
      <c r="E45" s="34"/>
      <c r="F45" s="34"/>
      <c r="S45" s="75"/>
      <c r="T45" s="30"/>
      <c r="U45" s="8"/>
      <c r="V45" s="76" t="s">
        <v>78</v>
      </c>
      <c r="W45" s="76"/>
      <c r="X45" s="8"/>
      <c r="Y45" s="76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O45" s="26">
        <v>2026</v>
      </c>
      <c r="BP45" s="29">
        <f t="shared" ref="BP45:BX45" si="147">BP106/BP$79</f>
        <v>1.1199999999999999</v>
      </c>
      <c r="BQ45" s="29">
        <f t="shared" si="147"/>
        <v>1.0400843881856541</v>
      </c>
      <c r="BR45" s="29">
        <f t="shared" si="147"/>
        <v>1.0651629072681703</v>
      </c>
      <c r="BS45" s="29">
        <f t="shared" si="147"/>
        <v>0.98306233062330628</v>
      </c>
      <c r="BT45" s="29">
        <f t="shared" si="147"/>
        <v>1.1241791044776119</v>
      </c>
      <c r="BU45" s="29">
        <f t="shared" si="147"/>
        <v>0.98509581263307322</v>
      </c>
      <c r="BV45" s="29">
        <f t="shared" si="147"/>
        <v>0.94803149606299197</v>
      </c>
      <c r="BW45" s="29">
        <f t="shared" si="147"/>
        <v>1.0595744680851065</v>
      </c>
      <c r="BX45" s="29">
        <f t="shared" si="147"/>
        <v>0.94661921708185048</v>
      </c>
      <c r="BZ45" s="26">
        <v>2026</v>
      </c>
      <c r="CA45" s="29">
        <f t="shared" ref="CA45:CI45" si="148">CA106/CA$79</f>
        <v>0.92930327868852469</v>
      </c>
      <c r="CB45" s="29">
        <f t="shared" si="148"/>
        <v>0.89449003516998837</v>
      </c>
      <c r="CC45" s="29">
        <f t="shared" si="148"/>
        <v>0.86081081081081079</v>
      </c>
      <c r="CD45" s="29">
        <f t="shared" si="148"/>
        <v>0.87131367292225204</v>
      </c>
      <c r="CE45" s="29">
        <f t="shared" si="148"/>
        <v>0.87296747967479671</v>
      </c>
      <c r="CF45" s="29">
        <f t="shared" si="148"/>
        <v>0.86956521739130432</v>
      </c>
      <c r="CG45" s="29">
        <f t="shared" si="148"/>
        <v>0.83944374209860928</v>
      </c>
      <c r="CH45" s="29">
        <f t="shared" si="148"/>
        <v>0.96797671033478894</v>
      </c>
      <c r="CI45" s="29">
        <f t="shared" si="148"/>
        <v>0.95405405405405397</v>
      </c>
    </row>
    <row r="46" spans="1:87" x14ac:dyDescent="0.2">
      <c r="A46" s="74" t="s">
        <v>129</v>
      </c>
      <c r="B46" s="33" t="s">
        <v>130</v>
      </c>
      <c r="C46" s="74"/>
      <c r="D46" s="74"/>
      <c r="E46" s="34"/>
      <c r="F46" s="34"/>
      <c r="G46" s="30"/>
      <c r="H46" s="30"/>
      <c r="I46" s="30"/>
      <c r="J46" s="30"/>
      <c r="K46" s="30"/>
      <c r="L46" s="30"/>
      <c r="S46" s="75"/>
      <c r="T46" s="30"/>
      <c r="U46" s="8"/>
      <c r="V46" s="8" t="s">
        <v>36</v>
      </c>
      <c r="W46" s="8"/>
      <c r="X46" s="8" t="s">
        <v>39</v>
      </c>
      <c r="Y46" s="8"/>
      <c r="Z46" s="66" t="s">
        <v>166</v>
      </c>
      <c r="AA46" s="66"/>
      <c r="AB46" s="66" t="s">
        <v>145</v>
      </c>
      <c r="AC46" s="66"/>
      <c r="AD46" s="8" t="s">
        <v>4</v>
      </c>
      <c r="AE46" s="66"/>
      <c r="AF46" s="8" t="s">
        <v>2</v>
      </c>
      <c r="AG46" s="66"/>
      <c r="AH46" s="8" t="s">
        <v>40</v>
      </c>
      <c r="AI46" s="66"/>
      <c r="AJ46" s="66" t="s">
        <v>167</v>
      </c>
      <c r="AK46" s="8" t="s">
        <v>41</v>
      </c>
      <c r="AL46" s="66"/>
      <c r="AM46" s="8" t="s">
        <v>42</v>
      </c>
      <c r="AN46" s="66"/>
      <c r="AO46" s="8" t="s">
        <v>5</v>
      </c>
      <c r="AP46" s="66"/>
      <c r="AQ46" s="8" t="s">
        <v>43</v>
      </c>
      <c r="AR46" s="66"/>
      <c r="AS46" s="8" t="s">
        <v>44</v>
      </c>
      <c r="AT46" s="66"/>
      <c r="AU46" s="8" t="s">
        <v>45</v>
      </c>
      <c r="AV46" s="8"/>
      <c r="AW46" s="8" t="s">
        <v>9</v>
      </c>
      <c r="AX46" s="66"/>
      <c r="AY46" s="66" t="s">
        <v>100</v>
      </c>
      <c r="AZ46" s="66"/>
      <c r="BA46" s="66" t="s">
        <v>173</v>
      </c>
      <c r="BB46" s="66"/>
      <c r="BC46" s="8" t="s">
        <v>46</v>
      </c>
      <c r="BD46" s="8" t="s">
        <v>14</v>
      </c>
      <c r="BE46" s="111"/>
      <c r="BO46" s="26">
        <v>2027</v>
      </c>
      <c r="BP46" s="29">
        <f t="shared" ref="BP46:BX46" si="149">BP107/BP$79</f>
        <v>1.0992156862745099</v>
      </c>
      <c r="BQ46" s="29">
        <f t="shared" si="149"/>
        <v>1.0350210970464135</v>
      </c>
      <c r="BR46" s="29">
        <f t="shared" si="149"/>
        <v>1.0639097744360901</v>
      </c>
      <c r="BS46" s="29">
        <f t="shared" si="149"/>
        <v>0.97831978319783197</v>
      </c>
      <c r="BT46" s="29">
        <f t="shared" si="149"/>
        <v>1.1259701492537313</v>
      </c>
      <c r="BU46" s="29">
        <f t="shared" si="149"/>
        <v>0.98509581263307322</v>
      </c>
      <c r="BV46" s="29">
        <f t="shared" si="149"/>
        <v>0.95800524934383202</v>
      </c>
      <c r="BW46" s="29">
        <f t="shared" si="149"/>
        <v>1.0711246200607905</v>
      </c>
      <c r="BX46" s="29">
        <f t="shared" si="149"/>
        <v>0.93085917641077764</v>
      </c>
      <c r="BZ46" s="26">
        <v>2027</v>
      </c>
      <c r="CA46" s="29">
        <f t="shared" ref="CA46:CI46" si="150">CA107/CA$79</f>
        <v>0.94057377049180324</v>
      </c>
      <c r="CB46" s="29">
        <f t="shared" si="150"/>
        <v>0.90504103165298944</v>
      </c>
      <c r="CC46" s="29">
        <f t="shared" si="150"/>
        <v>0.8716216216216216</v>
      </c>
      <c r="CD46" s="29">
        <f t="shared" si="150"/>
        <v>0.88203753351206438</v>
      </c>
      <c r="CE46" s="29">
        <f t="shared" si="150"/>
        <v>0.88516260162601634</v>
      </c>
      <c r="CF46" s="29">
        <f t="shared" si="150"/>
        <v>0.88215102974828374</v>
      </c>
      <c r="CG46" s="29">
        <f t="shared" si="150"/>
        <v>0.84829329962073319</v>
      </c>
      <c r="CH46" s="29">
        <f t="shared" si="150"/>
        <v>0.98398835516739447</v>
      </c>
      <c r="CI46" s="29">
        <f t="shared" si="150"/>
        <v>0.96486486486486478</v>
      </c>
    </row>
    <row r="47" spans="1:87" x14ac:dyDescent="0.2">
      <c r="A47" s="40"/>
      <c r="B47" s="74" t="s">
        <v>131</v>
      </c>
      <c r="C47" s="33"/>
      <c r="D47" s="33"/>
      <c r="E47" s="34"/>
      <c r="F47" s="34"/>
      <c r="G47" s="30"/>
      <c r="H47" s="77"/>
      <c r="I47" s="30"/>
      <c r="J47" s="23"/>
      <c r="K47" s="30"/>
      <c r="L47" s="77"/>
      <c r="N47" s="23"/>
      <c r="P47" s="77"/>
      <c r="Q47" s="77"/>
      <c r="R47" s="77"/>
      <c r="S47" s="75"/>
      <c r="T47" s="20"/>
      <c r="U47" s="8" t="s">
        <v>15</v>
      </c>
      <c r="V47" s="78" t="s">
        <v>47</v>
      </c>
      <c r="W47" s="78"/>
      <c r="X47" s="78" t="s">
        <v>47</v>
      </c>
      <c r="Y47" s="78"/>
      <c r="Z47" s="78" t="s">
        <v>47</v>
      </c>
      <c r="AA47" s="78"/>
      <c r="AB47" s="78" t="s">
        <v>47</v>
      </c>
      <c r="AC47" s="78"/>
      <c r="AD47" s="78" t="s">
        <v>47</v>
      </c>
      <c r="AE47" s="78"/>
      <c r="AF47" s="78" t="s">
        <v>47</v>
      </c>
      <c r="AG47" s="78"/>
      <c r="AH47" s="78" t="s">
        <v>47</v>
      </c>
      <c r="AI47" s="78"/>
      <c r="AJ47" s="78" t="s">
        <v>47</v>
      </c>
      <c r="AK47" s="78" t="s">
        <v>47</v>
      </c>
      <c r="AL47" s="78"/>
      <c r="AM47" s="78" t="s">
        <v>47</v>
      </c>
      <c r="AN47" s="78"/>
      <c r="AO47" s="78" t="s">
        <v>47</v>
      </c>
      <c r="AP47" s="78"/>
      <c r="AQ47" s="78" t="s">
        <v>47</v>
      </c>
      <c r="AR47" s="78"/>
      <c r="AS47" s="78" t="s">
        <v>47</v>
      </c>
      <c r="AT47" s="78"/>
      <c r="AU47" s="78" t="s">
        <v>47</v>
      </c>
      <c r="AV47" s="78"/>
      <c r="AW47" s="78" t="s">
        <v>47</v>
      </c>
      <c r="AX47" s="78"/>
      <c r="AY47" s="78" t="s">
        <v>47</v>
      </c>
      <c r="AZ47" s="78"/>
      <c r="BA47" s="78" t="s">
        <v>47</v>
      </c>
      <c r="BB47" s="78"/>
      <c r="BC47" s="78" t="s">
        <v>47</v>
      </c>
      <c r="BD47" s="78" t="s">
        <v>47</v>
      </c>
      <c r="BE47" s="47"/>
      <c r="BO47" s="26">
        <v>2028</v>
      </c>
      <c r="BP47" s="29">
        <f t="shared" ref="BP47:BX47" si="151">BP108/BP$79</f>
        <v>1.083921568627451</v>
      </c>
      <c r="BQ47" s="29">
        <f t="shared" si="151"/>
        <v>1.029957805907173</v>
      </c>
      <c r="BR47" s="29">
        <f t="shared" si="151"/>
        <v>1.068295739348371</v>
      </c>
      <c r="BS47" s="29">
        <f t="shared" si="151"/>
        <v>0.9789972899728997</v>
      </c>
      <c r="BT47" s="29">
        <f t="shared" si="151"/>
        <v>1.1253731343283584</v>
      </c>
      <c r="BU47" s="29">
        <f t="shared" si="151"/>
        <v>0.98651525904897097</v>
      </c>
      <c r="BV47" s="29">
        <f t="shared" si="151"/>
        <v>0.96902887139107607</v>
      </c>
      <c r="BW47" s="29">
        <f t="shared" si="151"/>
        <v>1.0784194528875379</v>
      </c>
      <c r="BX47" s="29">
        <f t="shared" si="151"/>
        <v>0.91814946619217064</v>
      </c>
      <c r="BZ47" s="26">
        <v>2028</v>
      </c>
      <c r="CA47" s="29">
        <f t="shared" ref="CA47:CI47" si="152">CA108/CA$79</f>
        <v>0.95081967213114749</v>
      </c>
      <c r="CB47" s="29">
        <f t="shared" si="152"/>
        <v>0.91441969519343502</v>
      </c>
      <c r="CC47" s="29">
        <f t="shared" si="152"/>
        <v>0.88108108108108096</v>
      </c>
      <c r="CD47" s="29">
        <f t="shared" si="152"/>
        <v>0.89142091152815017</v>
      </c>
      <c r="CE47" s="29">
        <f t="shared" si="152"/>
        <v>0.89329268292682917</v>
      </c>
      <c r="CF47" s="29">
        <f t="shared" si="152"/>
        <v>0.88901601830663612</v>
      </c>
      <c r="CG47" s="29">
        <f t="shared" si="152"/>
        <v>0.85208596713021489</v>
      </c>
      <c r="CH47" s="29">
        <f t="shared" si="152"/>
        <v>0.99854439592430866</v>
      </c>
      <c r="CI47" s="29">
        <f t="shared" si="152"/>
        <v>0.97702702702702704</v>
      </c>
    </row>
    <row r="48" spans="1:87" x14ac:dyDescent="0.2">
      <c r="A48" s="74" t="s">
        <v>132</v>
      </c>
      <c r="B48" s="33" t="s">
        <v>133</v>
      </c>
      <c r="C48" s="74"/>
      <c r="D48" s="74"/>
      <c r="E48" s="34"/>
      <c r="F48" s="34"/>
      <c r="G48" s="30"/>
      <c r="H48" s="30"/>
      <c r="I48" s="30"/>
      <c r="J48" s="79"/>
      <c r="K48" s="30"/>
      <c r="L48" s="30"/>
      <c r="N48" s="79"/>
      <c r="S48" s="75"/>
      <c r="T48" s="20"/>
      <c r="U48" s="23">
        <v>2005</v>
      </c>
      <c r="V48" s="39">
        <v>2334318</v>
      </c>
      <c r="W48" s="39"/>
      <c r="X48" s="145">
        <v>1005312</v>
      </c>
      <c r="Y48" s="39"/>
      <c r="Z48" s="145">
        <v>33013</v>
      </c>
      <c r="AA48" s="145"/>
      <c r="AB48" s="39">
        <v>1037052</v>
      </c>
      <c r="AC48" s="39"/>
      <c r="AD48" s="39">
        <v>3020635</v>
      </c>
      <c r="AE48" s="39"/>
      <c r="AF48" s="39">
        <v>4146518</v>
      </c>
      <c r="AG48" s="39"/>
      <c r="AH48" s="39">
        <f>X48</f>
        <v>1005312</v>
      </c>
      <c r="AI48" s="39"/>
      <c r="AJ48" s="39">
        <f>Z48</f>
        <v>33013</v>
      </c>
      <c r="AK48" s="39">
        <v>6197830</v>
      </c>
      <c r="AL48" s="39"/>
      <c r="AM48" s="39">
        <v>4069566</v>
      </c>
      <c r="AN48" s="39"/>
      <c r="AO48" s="39">
        <v>4698168</v>
      </c>
      <c r="AP48" s="39"/>
      <c r="AQ48" s="39">
        <v>11381568</v>
      </c>
      <c r="AR48" s="39"/>
      <c r="AS48" s="39">
        <v>5661733</v>
      </c>
      <c r="AT48" s="39"/>
      <c r="AU48" s="39">
        <v>8281028</v>
      </c>
      <c r="AV48" s="39"/>
      <c r="AW48" s="39">
        <v>3160777</v>
      </c>
      <c r="AX48" s="39"/>
      <c r="AY48" s="39">
        <v>22146485</v>
      </c>
      <c r="AZ48" s="39"/>
      <c r="BA48" s="133">
        <v>3251769</v>
      </c>
      <c r="BB48" s="133"/>
      <c r="BC48" s="55">
        <f>'KU StructuralVars'!I12</f>
        <v>6892754</v>
      </c>
      <c r="BD48" s="55">
        <f>BC48</f>
        <v>6892754</v>
      </c>
      <c r="BE48" s="47"/>
      <c r="BO48" s="26">
        <v>2029</v>
      </c>
      <c r="BP48" s="29">
        <f t="shared" ref="BP48:BX48" si="153">BP109/BP$79</f>
        <v>1.0725490196078431</v>
      </c>
      <c r="BQ48" s="29">
        <f t="shared" si="153"/>
        <v>1.0274261603375527</v>
      </c>
      <c r="BR48" s="29">
        <f t="shared" si="153"/>
        <v>1.0733082706766917</v>
      </c>
      <c r="BS48" s="29">
        <f t="shared" si="153"/>
        <v>0.98238482384823844</v>
      </c>
      <c r="BT48" s="29">
        <f t="shared" si="153"/>
        <v>1.1247761194029851</v>
      </c>
      <c r="BU48" s="29">
        <f t="shared" si="153"/>
        <v>0.98793470546486872</v>
      </c>
      <c r="BV48" s="29">
        <f t="shared" si="153"/>
        <v>0.97742782152230978</v>
      </c>
      <c r="BW48" s="29">
        <f t="shared" si="153"/>
        <v>1.0881458966565349</v>
      </c>
      <c r="BX48" s="29">
        <f t="shared" si="153"/>
        <v>0.91560752414844937</v>
      </c>
      <c r="BZ48" s="26">
        <v>2029</v>
      </c>
      <c r="CA48" s="29">
        <f t="shared" ref="CA48:CI48" si="154">CA109/CA$79</f>
        <v>0.96413934426229508</v>
      </c>
      <c r="CB48" s="29">
        <f t="shared" si="154"/>
        <v>0.92497069167643609</v>
      </c>
      <c r="CC48" s="29">
        <f t="shared" si="154"/>
        <v>0.88918918918918921</v>
      </c>
      <c r="CD48" s="29">
        <f t="shared" si="154"/>
        <v>0.90080428954423586</v>
      </c>
      <c r="CE48" s="29">
        <f t="shared" si="154"/>
        <v>0.90142276422764223</v>
      </c>
      <c r="CF48" s="29">
        <f t="shared" si="154"/>
        <v>0.89473684210526316</v>
      </c>
      <c r="CG48" s="29">
        <f t="shared" si="154"/>
        <v>0.85461441213653599</v>
      </c>
      <c r="CH48" s="29">
        <f t="shared" si="154"/>
        <v>1.0116448326055314</v>
      </c>
      <c r="CI48" s="29">
        <f t="shared" si="154"/>
        <v>0.98918918918918919</v>
      </c>
    </row>
    <row r="49" spans="1:87" x14ac:dyDescent="0.2">
      <c r="A49" s="40"/>
      <c r="B49" s="74" t="s">
        <v>134</v>
      </c>
      <c r="C49" s="33"/>
      <c r="D49" s="33"/>
      <c r="E49" s="34"/>
      <c r="F49" s="34"/>
      <c r="G49" s="30"/>
      <c r="H49" s="72"/>
      <c r="I49" s="30"/>
      <c r="J49" s="80"/>
      <c r="K49" s="72"/>
      <c r="L49" s="72"/>
      <c r="N49" s="80"/>
      <c r="O49" s="72"/>
      <c r="P49" s="72"/>
      <c r="Q49" s="72"/>
      <c r="R49" s="72"/>
      <c r="S49" s="75"/>
      <c r="T49" s="20"/>
      <c r="U49" s="23">
        <v>2006</v>
      </c>
      <c r="V49" s="39">
        <v>2330237</v>
      </c>
      <c r="W49" s="39"/>
      <c r="X49" s="145">
        <v>1034090.5</v>
      </c>
      <c r="Y49" s="39"/>
      <c r="Z49" s="145">
        <v>35854.5</v>
      </c>
      <c r="AA49" s="145"/>
      <c r="AB49" s="39">
        <v>1102520</v>
      </c>
      <c r="AC49" s="39"/>
      <c r="AD49" s="39">
        <v>3002667</v>
      </c>
      <c r="AE49" s="39"/>
      <c r="AF49" s="39">
        <v>4170981</v>
      </c>
      <c r="AG49" s="39"/>
      <c r="AH49" s="39">
        <f t="shared" ref="AH49:AH78" si="155">X49</f>
        <v>1034090.5</v>
      </c>
      <c r="AI49" s="39"/>
      <c r="AJ49" s="39">
        <f t="shared" ref="AJ49:AJ78" si="156">Z49</f>
        <v>35854.5</v>
      </c>
      <c r="AK49" s="39">
        <v>6231706</v>
      </c>
      <c r="AL49" s="39"/>
      <c r="AM49" s="39">
        <v>4107179</v>
      </c>
      <c r="AN49" s="39"/>
      <c r="AO49" s="39">
        <v>4736333</v>
      </c>
      <c r="AP49" s="39"/>
      <c r="AQ49" s="39">
        <v>11439904</v>
      </c>
      <c r="AR49" s="39"/>
      <c r="AS49" s="39">
        <v>5698605</v>
      </c>
      <c r="AT49" s="39"/>
      <c r="AU49" s="39">
        <v>8323559</v>
      </c>
      <c r="AV49" s="39"/>
      <c r="AW49" s="39">
        <v>3176623</v>
      </c>
      <c r="AX49" s="39"/>
      <c r="AY49" s="39">
        <v>22496939</v>
      </c>
      <c r="AZ49" s="39"/>
      <c r="BA49" s="133">
        <v>3258945</v>
      </c>
      <c r="BB49" s="133"/>
      <c r="BC49" s="55">
        <f>'KU StructuralVars'!I13</f>
        <v>6937029</v>
      </c>
      <c r="BD49" s="55">
        <f t="shared" ref="BD49:BD73" si="157">BC49</f>
        <v>6937029</v>
      </c>
      <c r="BE49" s="89"/>
      <c r="BO49" s="26">
        <v>2030</v>
      </c>
      <c r="BP49" s="29">
        <f t="shared" ref="BP49:BX49" si="158">BP110/BP$79</f>
        <v>1.0631372549019609</v>
      </c>
      <c r="BQ49" s="29">
        <f t="shared" si="158"/>
        <v>1.0244725738396625</v>
      </c>
      <c r="BR49" s="29">
        <f t="shared" si="158"/>
        <v>1.0739348370927317</v>
      </c>
      <c r="BS49" s="29">
        <f t="shared" si="158"/>
        <v>0.98102981029810299</v>
      </c>
      <c r="BT49" s="29">
        <f t="shared" si="158"/>
        <v>1.1217910447761195</v>
      </c>
      <c r="BU49" s="29">
        <f t="shared" si="158"/>
        <v>0.98083747338537974</v>
      </c>
      <c r="BV49" s="29">
        <f t="shared" si="158"/>
        <v>0.97322834645669287</v>
      </c>
      <c r="BW49" s="29">
        <f t="shared" si="158"/>
        <v>1.0960486322188452</v>
      </c>
      <c r="BX49" s="29">
        <f t="shared" si="158"/>
        <v>0.9105236400610065</v>
      </c>
      <c r="BZ49" s="26">
        <v>2030</v>
      </c>
      <c r="CA49" s="29">
        <f t="shared" ref="CA49:CI49" si="159">CA110/CA$79</f>
        <v>0.97745901639344257</v>
      </c>
      <c r="CB49" s="29">
        <f t="shared" si="159"/>
        <v>0.93786635404454877</v>
      </c>
      <c r="CC49" s="29">
        <f t="shared" si="159"/>
        <v>0.89729729729729724</v>
      </c>
      <c r="CD49" s="29">
        <f t="shared" si="159"/>
        <v>0.91018766756032177</v>
      </c>
      <c r="CE49" s="29">
        <f t="shared" si="159"/>
        <v>0.90955284552845528</v>
      </c>
      <c r="CF49" s="29">
        <f t="shared" si="159"/>
        <v>0.90389016018306634</v>
      </c>
      <c r="CG49" s="29">
        <f t="shared" si="159"/>
        <v>0.8596713021491782</v>
      </c>
      <c r="CH49" s="29">
        <f t="shared" si="159"/>
        <v>1.0232896652110626</v>
      </c>
      <c r="CI49" s="29">
        <f t="shared" si="159"/>
        <v>1</v>
      </c>
    </row>
    <row r="50" spans="1:87" x14ac:dyDescent="0.2">
      <c r="A50" s="74" t="s">
        <v>135</v>
      </c>
      <c r="B50" s="33" t="s">
        <v>136</v>
      </c>
      <c r="C50" s="74"/>
      <c r="D50" s="74"/>
      <c r="E50" s="34"/>
      <c r="F50" s="34"/>
      <c r="G50" s="72"/>
      <c r="H50" s="72"/>
      <c r="I50" s="81"/>
      <c r="J50" s="80"/>
      <c r="K50" s="72"/>
      <c r="L50" s="72"/>
      <c r="M50" s="81"/>
      <c r="N50" s="80"/>
      <c r="O50" s="72"/>
      <c r="P50" s="72"/>
      <c r="Q50" s="72"/>
      <c r="R50" s="72"/>
      <c r="S50" s="75"/>
      <c r="T50" s="20"/>
      <c r="U50" s="23">
        <v>2007</v>
      </c>
      <c r="V50" s="39">
        <v>2334707</v>
      </c>
      <c r="W50" s="39"/>
      <c r="X50" s="145">
        <v>1074565.5</v>
      </c>
      <c r="Y50" s="39"/>
      <c r="Z50" s="145">
        <v>43652.5</v>
      </c>
      <c r="AA50" s="145"/>
      <c r="AB50" s="39">
        <v>1098820</v>
      </c>
      <c r="AC50" s="39"/>
      <c r="AD50" s="39">
        <v>2985438</v>
      </c>
      <c r="AE50" s="39"/>
      <c r="AF50" s="39">
        <v>4222384</v>
      </c>
      <c r="AG50" s="39"/>
      <c r="AH50" s="39">
        <f t="shared" si="155"/>
        <v>1074565.5</v>
      </c>
      <c r="AI50" s="39"/>
      <c r="AJ50" s="39">
        <f t="shared" si="156"/>
        <v>43652.5</v>
      </c>
      <c r="AK50" s="39">
        <v>6297383</v>
      </c>
      <c r="AL50" s="39"/>
      <c r="AM50" s="39">
        <v>4172403</v>
      </c>
      <c r="AN50" s="39"/>
      <c r="AO50" s="39">
        <v>4799067</v>
      </c>
      <c r="AP50" s="39"/>
      <c r="AQ50" s="39">
        <v>11554997</v>
      </c>
      <c r="AR50" s="39"/>
      <c r="AS50" s="39">
        <v>5768232</v>
      </c>
      <c r="AT50" s="39"/>
      <c r="AU50" s="39">
        <v>8404143</v>
      </c>
      <c r="AV50" s="39"/>
      <c r="AW50" s="39">
        <v>3207197</v>
      </c>
      <c r="AX50" s="39"/>
      <c r="AY50" s="39">
        <v>24042661</v>
      </c>
      <c r="AZ50" s="39"/>
      <c r="BA50" s="133">
        <v>3273072</v>
      </c>
      <c r="BB50" s="133"/>
      <c r="BC50" s="55">
        <f>'KU StructuralVars'!I14</f>
        <v>7003392</v>
      </c>
      <c r="BD50" s="55">
        <f t="shared" si="157"/>
        <v>7003392</v>
      </c>
      <c r="BE50" s="89"/>
      <c r="BO50" s="26">
        <v>2031</v>
      </c>
      <c r="BP50" s="29">
        <f t="shared" ref="BP50:BX50" si="160">BP111/BP$79</f>
        <v>1.0564705882352943</v>
      </c>
      <c r="BQ50" s="29">
        <f t="shared" si="160"/>
        <v>1.0244725738396625</v>
      </c>
      <c r="BR50" s="29">
        <f t="shared" si="160"/>
        <v>1.0789473684210524</v>
      </c>
      <c r="BS50" s="29">
        <f t="shared" si="160"/>
        <v>0.98170731707317072</v>
      </c>
      <c r="BT50" s="29">
        <f t="shared" si="160"/>
        <v>1.1235820895522388</v>
      </c>
      <c r="BU50" s="29">
        <f t="shared" si="160"/>
        <v>0.98296664300922643</v>
      </c>
      <c r="BV50" s="29">
        <f t="shared" si="160"/>
        <v>0.98110236220472447</v>
      </c>
      <c r="BW50" s="29">
        <f t="shared" si="160"/>
        <v>1.103951367781155</v>
      </c>
      <c r="BX50" s="29">
        <f t="shared" si="160"/>
        <v>0.90543975597356363</v>
      </c>
      <c r="BZ50" s="26">
        <v>2031</v>
      </c>
      <c r="CA50" s="29">
        <f t="shared" ref="CA50:CI50" si="161">CA111/CA$79</f>
        <v>0.99077868852459017</v>
      </c>
      <c r="CB50" s="29">
        <f t="shared" si="161"/>
        <v>0.94958968347010553</v>
      </c>
      <c r="CC50" s="29">
        <f t="shared" si="161"/>
        <v>0.9094594594594595</v>
      </c>
      <c r="CD50" s="29">
        <f t="shared" si="161"/>
        <v>0.92091152815013411</v>
      </c>
      <c r="CE50" s="29">
        <f t="shared" si="161"/>
        <v>0.92073170731707321</v>
      </c>
      <c r="CF50" s="29">
        <f t="shared" si="161"/>
        <v>0.9176201372997711</v>
      </c>
      <c r="CG50" s="29">
        <f t="shared" si="161"/>
        <v>0.8710493046776232</v>
      </c>
      <c r="CH50" s="29">
        <f t="shared" si="161"/>
        <v>1.0378457059679767</v>
      </c>
      <c r="CI50" s="29">
        <f t="shared" si="161"/>
        <v>1.0108108108108109</v>
      </c>
    </row>
    <row r="51" spans="1:87" x14ac:dyDescent="0.2">
      <c r="A51" s="40"/>
      <c r="B51" s="74" t="s">
        <v>137</v>
      </c>
      <c r="C51" s="72"/>
      <c r="D51" s="72"/>
      <c r="E51" s="80"/>
      <c r="F51" s="80"/>
      <c r="G51" s="33"/>
      <c r="H51" s="8"/>
      <c r="I51" s="8"/>
      <c r="J51" s="8"/>
      <c r="K51" s="8"/>
      <c r="L51" s="8"/>
      <c r="M51" s="8"/>
      <c r="N51" s="8"/>
      <c r="O51" s="23"/>
      <c r="P51" s="23"/>
      <c r="Q51" s="23"/>
      <c r="R51" s="72"/>
      <c r="S51" s="75"/>
      <c r="T51" s="20"/>
      <c r="U51" s="23">
        <v>2008</v>
      </c>
      <c r="V51" s="39">
        <v>2337655</v>
      </c>
      <c r="W51" s="39"/>
      <c r="X51" s="145">
        <v>1101117</v>
      </c>
      <c r="Y51" s="39"/>
      <c r="Z51" s="145">
        <v>52036.5</v>
      </c>
      <c r="AA51" s="145"/>
      <c r="AB51" s="39">
        <v>1094874</v>
      </c>
      <c r="AC51" s="39"/>
      <c r="AD51" s="39">
        <v>2968256</v>
      </c>
      <c r="AE51" s="39"/>
      <c r="AF51" s="39">
        <v>4258648</v>
      </c>
      <c r="AG51" s="39"/>
      <c r="AH51" s="39">
        <f t="shared" si="155"/>
        <v>1101117</v>
      </c>
      <c r="AI51" s="39"/>
      <c r="AJ51" s="39">
        <f t="shared" si="156"/>
        <v>52036.5</v>
      </c>
      <c r="AK51" s="39">
        <v>6334676</v>
      </c>
      <c r="AL51" s="39"/>
      <c r="AM51" s="39">
        <v>4214603</v>
      </c>
      <c r="AN51" s="39"/>
      <c r="AO51" s="39">
        <v>4846702</v>
      </c>
      <c r="AP51" s="39"/>
      <c r="AQ51" s="39">
        <v>11623133</v>
      </c>
      <c r="AR51" s="39"/>
      <c r="AS51" s="39">
        <v>5809632</v>
      </c>
      <c r="AT51" s="39"/>
      <c r="AU51" s="39">
        <v>8448596</v>
      </c>
      <c r="AV51" s="39"/>
      <c r="AW51" s="39">
        <v>3222397</v>
      </c>
      <c r="AX51" s="39"/>
      <c r="AY51" s="39">
        <v>25480198</v>
      </c>
      <c r="AZ51" s="39"/>
      <c r="BA51" s="133">
        <v>3273737</v>
      </c>
      <c r="BB51" s="133"/>
      <c r="BC51" s="55">
        <f>'KU StructuralVars'!I15</f>
        <v>7041153</v>
      </c>
      <c r="BD51" s="55">
        <f t="shared" si="157"/>
        <v>7041153</v>
      </c>
      <c r="BE51" s="89"/>
      <c r="BO51" s="26">
        <v>2032</v>
      </c>
      <c r="BP51" s="29">
        <f t="shared" ref="BP51:BX51" si="162">BP112/BP$79</f>
        <v>1.0572549019607844</v>
      </c>
      <c r="BQ51" s="29">
        <f t="shared" si="162"/>
        <v>1.0295358649789028</v>
      </c>
      <c r="BR51" s="29">
        <f t="shared" si="162"/>
        <v>1.0808270676691729</v>
      </c>
      <c r="BS51" s="29">
        <f t="shared" si="162"/>
        <v>0.98035230352303526</v>
      </c>
      <c r="BT51" s="29">
        <f t="shared" si="162"/>
        <v>1.1253731343283584</v>
      </c>
      <c r="BU51" s="29">
        <f t="shared" si="162"/>
        <v>0.97657913413768627</v>
      </c>
      <c r="BV51" s="29">
        <f t="shared" si="162"/>
        <v>0.98687664041994749</v>
      </c>
      <c r="BW51" s="29">
        <f t="shared" si="162"/>
        <v>1.1100303951367783</v>
      </c>
      <c r="BX51" s="29">
        <f t="shared" si="162"/>
        <v>0.89984748347737664</v>
      </c>
      <c r="BZ51" s="26">
        <v>2032</v>
      </c>
      <c r="CA51" s="29">
        <f t="shared" ref="CA51:CI51" si="163">CA112/CA$79</f>
        <v>1.0020491803278688</v>
      </c>
      <c r="CB51" s="29">
        <f t="shared" si="163"/>
        <v>0.958968347010551</v>
      </c>
      <c r="CC51" s="29">
        <f t="shared" si="163"/>
        <v>0.92162162162162165</v>
      </c>
      <c r="CD51" s="29">
        <f t="shared" si="163"/>
        <v>0.93297587131367288</v>
      </c>
      <c r="CE51" s="29">
        <f t="shared" si="163"/>
        <v>0.93191056910569103</v>
      </c>
      <c r="CF51" s="29">
        <f t="shared" si="163"/>
        <v>0.93135011441647597</v>
      </c>
      <c r="CG51" s="29">
        <f t="shared" si="163"/>
        <v>0.88242730720606832</v>
      </c>
      <c r="CH51" s="29">
        <f t="shared" si="163"/>
        <v>1.0509461426491993</v>
      </c>
      <c r="CI51" s="29">
        <f t="shared" si="163"/>
        <v>1.0243243243243243</v>
      </c>
    </row>
    <row r="52" spans="1:87" x14ac:dyDescent="0.2">
      <c r="A52" s="83"/>
      <c r="B52" s="72"/>
      <c r="C52" s="32"/>
      <c r="D52" s="32"/>
      <c r="E52" s="32"/>
      <c r="F52" s="32"/>
      <c r="G52" s="26"/>
      <c r="H52" s="40"/>
      <c r="I52" s="40"/>
      <c r="J52" s="32"/>
      <c r="K52" s="32"/>
      <c r="L52" s="40"/>
      <c r="M52" s="32"/>
      <c r="N52" s="32"/>
      <c r="O52" s="32"/>
      <c r="P52" s="32"/>
      <c r="Q52" s="32"/>
      <c r="S52" s="75"/>
      <c r="T52" s="20"/>
      <c r="U52" s="23">
        <v>2009</v>
      </c>
      <c r="V52" s="39">
        <v>2340148</v>
      </c>
      <c r="W52" s="39"/>
      <c r="X52" s="145">
        <v>1131772</v>
      </c>
      <c r="Y52" s="39"/>
      <c r="Z52" s="145">
        <v>61789.5</v>
      </c>
      <c r="AA52" s="145"/>
      <c r="AB52" s="39">
        <v>1091123</v>
      </c>
      <c r="AC52" s="39"/>
      <c r="AD52" s="39">
        <v>2951424</v>
      </c>
      <c r="AE52" s="39"/>
      <c r="AF52" s="39">
        <v>4296354</v>
      </c>
      <c r="AG52" s="39"/>
      <c r="AH52" s="39">
        <f t="shared" si="155"/>
        <v>1131772</v>
      </c>
      <c r="AI52" s="39"/>
      <c r="AJ52" s="39">
        <f t="shared" si="156"/>
        <v>61789.5</v>
      </c>
      <c r="AK52" s="39">
        <v>6379983</v>
      </c>
      <c r="AL52" s="39"/>
      <c r="AM52" s="39">
        <v>4264708</v>
      </c>
      <c r="AN52" s="39"/>
      <c r="AO52" s="39">
        <v>4897488</v>
      </c>
      <c r="AP52" s="39"/>
      <c r="AQ52" s="39">
        <v>11702903</v>
      </c>
      <c r="AR52" s="39"/>
      <c r="AS52" s="39">
        <v>5859743</v>
      </c>
      <c r="AT52" s="39"/>
      <c r="AU52" s="39">
        <v>8503564</v>
      </c>
      <c r="AV52" s="39"/>
      <c r="AW52" s="39">
        <v>3243692</v>
      </c>
      <c r="AX52" s="39"/>
      <c r="AY52" s="39">
        <v>26348066</v>
      </c>
      <c r="AZ52" s="39"/>
      <c r="BA52" s="133">
        <v>3276801</v>
      </c>
      <c r="BB52" s="133"/>
      <c r="BC52" s="55">
        <f>'KU StructuralVars'!I16</f>
        <v>7086260</v>
      </c>
      <c r="BD52" s="55">
        <f t="shared" si="157"/>
        <v>7086260</v>
      </c>
      <c r="BE52" s="223">
        <f>BD52/BD51-1</f>
        <v>6.4061951217364577E-3</v>
      </c>
      <c r="BO52" s="26">
        <v>2033</v>
      </c>
      <c r="BP52" s="29">
        <f t="shared" ref="BP52:BX52" si="164">BP113/BP$79</f>
        <v>1.0611764705882352</v>
      </c>
      <c r="BQ52" s="29">
        <f t="shared" si="164"/>
        <v>1.0354430379746835</v>
      </c>
      <c r="BR52" s="29">
        <f t="shared" si="164"/>
        <v>1.0852130325814535</v>
      </c>
      <c r="BS52" s="29">
        <f t="shared" si="164"/>
        <v>0.98441734417344173</v>
      </c>
      <c r="BT52" s="29">
        <f t="shared" si="164"/>
        <v>1.1289552238805971</v>
      </c>
      <c r="BU52" s="29">
        <f t="shared" si="164"/>
        <v>0.98012775017743081</v>
      </c>
      <c r="BV52" s="29">
        <f t="shared" si="164"/>
        <v>0.99475065616797897</v>
      </c>
      <c r="BW52" s="29">
        <f t="shared" si="164"/>
        <v>1.1191489361702127</v>
      </c>
      <c r="BX52" s="29">
        <f t="shared" si="164"/>
        <v>0.89476359938993388</v>
      </c>
      <c r="BZ52" s="26">
        <v>2033</v>
      </c>
      <c r="CA52" s="29">
        <f t="shared" ref="CA52:CI52" si="165">CA113/CA$79</f>
        <v>1.0153688524590165</v>
      </c>
      <c r="CB52" s="29">
        <f t="shared" si="165"/>
        <v>0.97069167643610788</v>
      </c>
      <c r="CC52" s="29">
        <f t="shared" si="165"/>
        <v>0.93513513513513513</v>
      </c>
      <c r="CD52" s="29">
        <f t="shared" si="165"/>
        <v>0.94772117962466496</v>
      </c>
      <c r="CE52" s="29">
        <f t="shared" si="165"/>
        <v>0.94308943089430886</v>
      </c>
      <c r="CF52" s="29">
        <f t="shared" si="165"/>
        <v>0.94393592677345539</v>
      </c>
      <c r="CG52" s="29">
        <f t="shared" si="165"/>
        <v>0.89127686472819212</v>
      </c>
      <c r="CH52" s="29">
        <f t="shared" si="165"/>
        <v>1.0640465793304221</v>
      </c>
      <c r="CI52" s="29">
        <f t="shared" si="165"/>
        <v>1.0391891891891891</v>
      </c>
    </row>
    <row r="53" spans="1:87" x14ac:dyDescent="0.2">
      <c r="A53" s="74"/>
      <c r="B53" s="32"/>
      <c r="C53" s="84"/>
      <c r="D53" s="84"/>
      <c r="E53" s="84"/>
      <c r="F53" s="84"/>
      <c r="G53" s="26"/>
      <c r="H53" s="85"/>
      <c r="I53" s="85"/>
      <c r="J53" s="85"/>
      <c r="K53" s="85"/>
      <c r="L53" s="86"/>
      <c r="M53" s="86"/>
      <c r="N53" s="85"/>
      <c r="O53" s="85"/>
      <c r="P53" s="85"/>
      <c r="Q53" s="85"/>
      <c r="R53" s="72"/>
      <c r="S53" s="75"/>
      <c r="T53" s="20"/>
      <c r="U53" s="23">
        <v>2010</v>
      </c>
      <c r="V53" s="39">
        <v>2348119</v>
      </c>
      <c r="W53" s="39"/>
      <c r="X53" s="145">
        <v>1179620.5</v>
      </c>
      <c r="Y53" s="39"/>
      <c r="Z53" s="145">
        <v>76709.5</v>
      </c>
      <c r="AA53" s="145"/>
      <c r="AB53" s="39">
        <v>1088171</v>
      </c>
      <c r="AC53" s="39"/>
      <c r="AD53" s="39">
        <v>2935254</v>
      </c>
      <c r="AE53" s="39"/>
      <c r="AF53" s="39">
        <v>4349261</v>
      </c>
      <c r="AG53" s="39"/>
      <c r="AH53" s="39">
        <f t="shared" si="155"/>
        <v>1179620.5</v>
      </c>
      <c r="AI53" s="39"/>
      <c r="AJ53" s="39">
        <f t="shared" si="156"/>
        <v>76709.5</v>
      </c>
      <c r="AK53" s="39">
        <v>6463493</v>
      </c>
      <c r="AL53" s="39"/>
      <c r="AM53" s="39">
        <v>4346950</v>
      </c>
      <c r="AN53" s="39"/>
      <c r="AO53" s="39">
        <v>4975674</v>
      </c>
      <c r="AP53" s="39"/>
      <c r="AQ53" s="39">
        <v>11848604</v>
      </c>
      <c r="AR53" s="39"/>
      <c r="AS53" s="39">
        <v>5946986</v>
      </c>
      <c r="AT53" s="39"/>
      <c r="AU53" s="39">
        <v>8605868</v>
      </c>
      <c r="AV53" s="39"/>
      <c r="AW53" s="39">
        <v>3284965</v>
      </c>
      <c r="AX53" s="39"/>
      <c r="AY53" s="39">
        <v>27047468</v>
      </c>
      <c r="AZ53" s="39"/>
      <c r="BA53" s="133">
        <v>3290092</v>
      </c>
      <c r="BB53" s="133"/>
      <c r="BC53" s="55">
        <f>'KU StructuralVars'!I17</f>
        <v>7169764</v>
      </c>
      <c r="BD53" s="55">
        <f t="shared" si="157"/>
        <v>7169764</v>
      </c>
      <c r="BE53" s="223">
        <f t="shared" ref="BE53:BE67" si="166">BD53/BD52-1</f>
        <v>1.1783931156915006E-2</v>
      </c>
      <c r="BH53" s="64"/>
      <c r="BI53" s="82"/>
      <c r="BJ53" s="64"/>
      <c r="BK53" s="64"/>
      <c r="BO53" s="26">
        <v>2034</v>
      </c>
      <c r="BP53" s="29">
        <f t="shared" ref="BP53:BX53" si="167">BP114/BP$79</f>
        <v>1.0654901960784315</v>
      </c>
      <c r="BQ53" s="29">
        <f t="shared" si="167"/>
        <v>1.0426160337552743</v>
      </c>
      <c r="BR53" s="29">
        <f t="shared" si="167"/>
        <v>1.0939849624060149</v>
      </c>
      <c r="BS53" s="29">
        <f t="shared" si="167"/>
        <v>0.98983739837398377</v>
      </c>
      <c r="BT53" s="29">
        <f t="shared" si="167"/>
        <v>1.1355223880597014</v>
      </c>
      <c r="BU53" s="29">
        <f t="shared" si="167"/>
        <v>0.98296664300922643</v>
      </c>
      <c r="BV53" s="29">
        <f t="shared" si="167"/>
        <v>0.99947506561679778</v>
      </c>
      <c r="BW53" s="29">
        <f t="shared" si="167"/>
        <v>1.1276595744680853</v>
      </c>
      <c r="BX53" s="29">
        <f t="shared" si="167"/>
        <v>0.89578037620742246</v>
      </c>
      <c r="BZ53" s="26">
        <v>2034</v>
      </c>
      <c r="CA53" s="29">
        <f t="shared" ref="CA53:CI53" si="168">CA114/CA$79</f>
        <v>1.0256147540983607</v>
      </c>
      <c r="CB53" s="29">
        <f t="shared" si="168"/>
        <v>0.97772567409144207</v>
      </c>
      <c r="CC53" s="29">
        <f t="shared" si="168"/>
        <v>0.95</v>
      </c>
      <c r="CD53" s="29">
        <f t="shared" si="168"/>
        <v>0.9651474530831099</v>
      </c>
      <c r="CE53" s="29">
        <f t="shared" si="168"/>
        <v>0.95528455284552849</v>
      </c>
      <c r="CF53" s="29">
        <f t="shared" si="168"/>
        <v>0.95995423340961106</v>
      </c>
      <c r="CG53" s="29">
        <f t="shared" si="168"/>
        <v>0.90391908975979773</v>
      </c>
      <c r="CH53" s="29">
        <f t="shared" si="168"/>
        <v>1.0844250363901018</v>
      </c>
      <c r="CI53" s="29">
        <f t="shared" si="168"/>
        <v>1.0567567567567568</v>
      </c>
    </row>
    <row r="54" spans="1:87" x14ac:dyDescent="0.2">
      <c r="A54" s="26"/>
      <c r="B54" s="84"/>
      <c r="C54" s="84"/>
      <c r="D54" s="84"/>
      <c r="E54" s="87"/>
      <c r="F54" s="87"/>
      <c r="G54" s="26"/>
      <c r="H54" s="85"/>
      <c r="I54" s="85"/>
      <c r="J54" s="85"/>
      <c r="K54" s="85"/>
      <c r="L54" s="86"/>
      <c r="M54" s="86"/>
      <c r="N54" s="85"/>
      <c r="O54" s="85"/>
      <c r="P54" s="85"/>
      <c r="Q54" s="85"/>
      <c r="R54" s="72"/>
      <c r="S54" s="75"/>
      <c r="T54" s="20"/>
      <c r="U54" s="23">
        <v>2011</v>
      </c>
      <c r="V54" s="39">
        <v>2354842</v>
      </c>
      <c r="W54" s="39"/>
      <c r="X54" s="145">
        <v>1229927.5</v>
      </c>
      <c r="Y54" s="39"/>
      <c r="Z54" s="145">
        <v>92425.5</v>
      </c>
      <c r="AA54" s="145"/>
      <c r="AB54" s="39">
        <v>1084678</v>
      </c>
      <c r="AC54" s="39"/>
      <c r="AD54" s="39">
        <v>2919124</v>
      </c>
      <c r="AE54" s="39"/>
      <c r="AF54" s="39">
        <v>4401609</v>
      </c>
      <c r="AG54" s="39"/>
      <c r="AH54" s="39">
        <f t="shared" si="155"/>
        <v>1229927.5</v>
      </c>
      <c r="AI54" s="39"/>
      <c r="AJ54" s="39">
        <f t="shared" si="156"/>
        <v>92425.5</v>
      </c>
      <c r="AK54" s="39">
        <v>6549727</v>
      </c>
      <c r="AL54" s="39"/>
      <c r="AM54" s="39">
        <v>4432338</v>
      </c>
      <c r="AN54" s="39"/>
      <c r="AO54" s="39">
        <v>5055387</v>
      </c>
      <c r="AP54" s="39"/>
      <c r="AQ54" s="39">
        <v>12012982</v>
      </c>
      <c r="AR54" s="39"/>
      <c r="AS54" s="39">
        <v>6036406</v>
      </c>
      <c r="AT54" s="39"/>
      <c r="AU54" s="39">
        <v>8712282</v>
      </c>
      <c r="AV54" s="39"/>
      <c r="AW54" s="39">
        <v>3327095</v>
      </c>
      <c r="AX54" s="39"/>
      <c r="AY54" s="39">
        <v>27239671</v>
      </c>
      <c r="AZ54" s="39"/>
      <c r="BA54" s="133">
        <v>3304373</v>
      </c>
      <c r="BB54" s="133"/>
      <c r="BC54" s="55">
        <f>'KU StructuralVars'!I18</f>
        <v>7255999</v>
      </c>
      <c r="BD54" s="55">
        <f t="shared" si="157"/>
        <v>7255999</v>
      </c>
      <c r="BE54" s="223">
        <f t="shared" si="166"/>
        <v>1.2027592540005516E-2</v>
      </c>
      <c r="BO54" s="26">
        <v>2035</v>
      </c>
      <c r="BP54" s="29">
        <f t="shared" ref="BP54:BX54" si="169">BP115/BP$79</f>
        <v>1.0698039215686275</v>
      </c>
      <c r="BQ54" s="29">
        <f t="shared" si="169"/>
        <v>1.0468354430379747</v>
      </c>
      <c r="BR54" s="29">
        <f t="shared" si="169"/>
        <v>1.0952380952380951</v>
      </c>
      <c r="BS54" s="29">
        <f t="shared" si="169"/>
        <v>0.99051490514905149</v>
      </c>
      <c r="BT54" s="29">
        <f t="shared" si="169"/>
        <v>1.1385074626865672</v>
      </c>
      <c r="BU54" s="29">
        <f t="shared" si="169"/>
        <v>0.96877217885024847</v>
      </c>
      <c r="BV54" s="29">
        <f t="shared" si="169"/>
        <v>1.0099737532808397</v>
      </c>
      <c r="BW54" s="29">
        <f t="shared" si="169"/>
        <v>1.1355623100303951</v>
      </c>
      <c r="BX54" s="29">
        <f t="shared" si="169"/>
        <v>0.89883070665988807</v>
      </c>
      <c r="BZ54" s="26">
        <v>2035</v>
      </c>
      <c r="CA54" s="29">
        <f t="shared" ref="CA54:CI54" si="170">CA115/CA$79</f>
        <v>1.0317622950819674</v>
      </c>
      <c r="CB54" s="29">
        <f t="shared" si="170"/>
        <v>0.97889800703399765</v>
      </c>
      <c r="CC54" s="29">
        <f t="shared" si="170"/>
        <v>0.96756756756756757</v>
      </c>
      <c r="CD54" s="29">
        <f t="shared" si="170"/>
        <v>0.98391420911528149</v>
      </c>
      <c r="CE54" s="29">
        <f t="shared" si="170"/>
        <v>0.96951219512195119</v>
      </c>
      <c r="CF54" s="29">
        <f t="shared" si="170"/>
        <v>0.9805491990846682</v>
      </c>
      <c r="CG54" s="29">
        <f t="shared" si="170"/>
        <v>0.92161820480404555</v>
      </c>
      <c r="CH54" s="29">
        <f t="shared" si="170"/>
        <v>1.1048034934497817</v>
      </c>
      <c r="CI54" s="29">
        <f t="shared" si="170"/>
        <v>1.077027027027027</v>
      </c>
    </row>
    <row r="55" spans="1:87" x14ac:dyDescent="0.2">
      <c r="A55" s="26"/>
      <c r="B55" s="84"/>
      <c r="C55" s="84"/>
      <c r="D55" s="84"/>
      <c r="E55" s="87"/>
      <c r="F55" s="87"/>
      <c r="G55" s="26"/>
      <c r="H55" s="85"/>
      <c r="I55" s="85"/>
      <c r="J55" s="85"/>
      <c r="K55" s="85"/>
      <c r="L55" s="86"/>
      <c r="M55" s="86"/>
      <c r="N55" s="85"/>
      <c r="O55" s="85"/>
      <c r="P55" s="85"/>
      <c r="Q55" s="85"/>
      <c r="R55" s="72"/>
      <c r="S55" s="75"/>
      <c r="T55" s="20"/>
      <c r="U55" s="23">
        <v>2012</v>
      </c>
      <c r="V55" s="39">
        <v>2357769</v>
      </c>
      <c r="W55" s="39"/>
      <c r="X55" s="145">
        <v>1265319.5</v>
      </c>
      <c r="Y55" s="39"/>
      <c r="Z55" s="145">
        <v>103894</v>
      </c>
      <c r="AA55" s="145"/>
      <c r="AB55" s="39">
        <v>1081049</v>
      </c>
      <c r="AC55" s="39"/>
      <c r="AD55" s="39">
        <v>2903065</v>
      </c>
      <c r="AE55" s="39"/>
      <c r="AF55" s="39">
        <v>4442873</v>
      </c>
      <c r="AG55" s="39"/>
      <c r="AH55" s="39">
        <f t="shared" si="155"/>
        <v>1265319.5</v>
      </c>
      <c r="AI55" s="39"/>
      <c r="AJ55" s="39">
        <f t="shared" si="156"/>
        <v>103894</v>
      </c>
      <c r="AK55" s="39">
        <v>6606520</v>
      </c>
      <c r="AL55" s="39"/>
      <c r="AM55" s="39">
        <v>4493997</v>
      </c>
      <c r="AN55" s="39"/>
      <c r="AO55" s="39">
        <v>5111818</v>
      </c>
      <c r="AP55" s="39"/>
      <c r="AQ55" s="39">
        <v>12125465</v>
      </c>
      <c r="AR55" s="39"/>
      <c r="AS55" s="39">
        <v>6097584</v>
      </c>
      <c r="AT55" s="39"/>
      <c r="AU55" s="39">
        <v>8781842</v>
      </c>
      <c r="AV55" s="39"/>
      <c r="AW55" s="39">
        <v>3355054</v>
      </c>
      <c r="AX55" s="39"/>
      <c r="AY55" s="39">
        <v>27134235</v>
      </c>
      <c r="AZ55" s="39"/>
      <c r="BA55" s="133">
        <v>3311601</v>
      </c>
      <c r="BB55" s="133"/>
      <c r="BC55" s="55">
        <f>'KU StructuralVars'!I19</f>
        <v>7312211</v>
      </c>
      <c r="BD55" s="55">
        <f t="shared" si="157"/>
        <v>7312211</v>
      </c>
      <c r="BE55" s="223">
        <f t="shared" si="166"/>
        <v>7.746969094124756E-3</v>
      </c>
    </row>
    <row r="56" spans="1:87" x14ac:dyDescent="0.2">
      <c r="A56" s="26"/>
      <c r="B56" s="84"/>
      <c r="C56" s="84"/>
      <c r="D56" s="84"/>
      <c r="E56" s="87"/>
      <c r="F56" s="87"/>
      <c r="G56" s="26"/>
      <c r="H56" s="85"/>
      <c r="I56" s="85"/>
      <c r="J56" s="85"/>
      <c r="K56" s="86"/>
      <c r="L56" s="86"/>
      <c r="M56" s="86"/>
      <c r="N56" s="85"/>
      <c r="O56" s="85"/>
      <c r="P56" s="85"/>
      <c r="Q56" s="85"/>
      <c r="R56" s="72"/>
      <c r="S56" s="75"/>
      <c r="T56" s="20"/>
      <c r="U56" s="23">
        <v>2013</v>
      </c>
      <c r="V56" s="39">
        <v>2362175</v>
      </c>
      <c r="W56" s="39"/>
      <c r="X56" s="145">
        <v>1303703</v>
      </c>
      <c r="Y56" s="39"/>
      <c r="Z56" s="145">
        <v>115996.5</v>
      </c>
      <c r="AA56" s="145"/>
      <c r="AB56" s="39">
        <v>1077569</v>
      </c>
      <c r="AC56" s="39"/>
      <c r="AD56" s="39">
        <v>2887303</v>
      </c>
      <c r="AE56" s="39"/>
      <c r="AF56" s="39">
        <v>4486872</v>
      </c>
      <c r="AG56" s="39"/>
      <c r="AH56" s="39">
        <f t="shared" si="155"/>
        <v>1303703</v>
      </c>
      <c r="AI56" s="39"/>
      <c r="AJ56" s="39">
        <f t="shared" si="156"/>
        <v>115996.5</v>
      </c>
      <c r="AK56" s="39">
        <v>6669999</v>
      </c>
      <c r="AL56" s="39"/>
      <c r="AM56" s="39">
        <v>4561630</v>
      </c>
      <c r="AN56" s="39"/>
      <c r="AO56" s="39">
        <v>5172833</v>
      </c>
      <c r="AP56" s="39"/>
      <c r="AQ56" s="39">
        <v>12249765</v>
      </c>
      <c r="AR56" s="39"/>
      <c r="AS56" s="39">
        <v>6164822</v>
      </c>
      <c r="AT56" s="39"/>
      <c r="AU56" s="39">
        <v>8859373</v>
      </c>
      <c r="AV56" s="39"/>
      <c r="AW56" s="39">
        <v>3385977</v>
      </c>
      <c r="AX56" s="39"/>
      <c r="AY56" s="39">
        <v>26936472</v>
      </c>
      <c r="AZ56" s="39"/>
      <c r="BA56" s="133">
        <v>3320457</v>
      </c>
      <c r="BB56" s="133"/>
      <c r="BC56" s="55">
        <f>'KU StructuralVars'!I20</f>
        <v>7375169</v>
      </c>
      <c r="BD56" s="55">
        <f t="shared" si="157"/>
        <v>7375169</v>
      </c>
      <c r="BE56" s="223">
        <f t="shared" si="166"/>
        <v>8.6099813038764683E-3</v>
      </c>
      <c r="BH56" s="31"/>
      <c r="BI56" s="31"/>
      <c r="BJ56" s="31"/>
      <c r="BK56" s="31"/>
      <c r="BO56" s="26" t="s">
        <v>149</v>
      </c>
      <c r="BP56" s="26"/>
      <c r="BQ56" s="26"/>
      <c r="BR56" s="26"/>
      <c r="BS56" s="26"/>
      <c r="BT56" s="26"/>
      <c r="BU56" s="26"/>
      <c r="BV56" s="26"/>
      <c r="BW56" s="26"/>
      <c r="BX56" s="26"/>
      <c r="BZ56" s="26" t="s">
        <v>150</v>
      </c>
      <c r="CA56" s="26"/>
      <c r="CB56" s="26"/>
      <c r="CC56" s="26"/>
      <c r="CD56" s="26"/>
      <c r="CE56" s="26"/>
      <c r="CF56" s="26"/>
      <c r="CG56" s="26"/>
      <c r="CH56" s="26"/>
      <c r="CI56" s="26"/>
    </row>
    <row r="57" spans="1:87" x14ac:dyDescent="0.2">
      <c r="A57" s="26"/>
      <c r="B57" s="84"/>
      <c r="C57" s="84"/>
      <c r="D57" s="84"/>
      <c r="E57" s="87"/>
      <c r="F57" s="87"/>
      <c r="G57" s="26"/>
      <c r="H57" s="85"/>
      <c r="I57" s="85"/>
      <c r="J57" s="85"/>
      <c r="K57" s="55"/>
      <c r="L57" s="55"/>
      <c r="M57" s="106"/>
      <c r="N57" s="85"/>
      <c r="O57" s="85"/>
      <c r="P57" s="85"/>
      <c r="Q57" s="85"/>
      <c r="R57" s="72"/>
      <c r="S57" s="75"/>
      <c r="T57" s="20"/>
      <c r="U57" s="23">
        <v>2014</v>
      </c>
      <c r="V57" s="39">
        <v>2366640</v>
      </c>
      <c r="W57" s="39"/>
      <c r="X57" s="145">
        <v>1339481</v>
      </c>
      <c r="Y57" s="39"/>
      <c r="Z57" s="145">
        <v>127144</v>
      </c>
      <c r="AA57" s="145"/>
      <c r="AB57" s="39">
        <v>1074163</v>
      </c>
      <c r="AC57" s="39"/>
      <c r="AD57" s="39">
        <v>2871762</v>
      </c>
      <c r="AE57" s="39"/>
      <c r="AF57" s="39">
        <v>4529281</v>
      </c>
      <c r="AG57" s="39"/>
      <c r="AH57" s="39">
        <f t="shared" si="155"/>
        <v>1339481</v>
      </c>
      <c r="AI57" s="39"/>
      <c r="AJ57" s="39">
        <f t="shared" si="156"/>
        <v>127144</v>
      </c>
      <c r="AK57" s="39">
        <v>6728728</v>
      </c>
      <c r="AL57" s="39"/>
      <c r="AM57" s="39">
        <v>4625564</v>
      </c>
      <c r="AN57" s="39"/>
      <c r="AO57" s="39">
        <v>5229843</v>
      </c>
      <c r="AP57" s="39"/>
      <c r="AQ57" s="39">
        <v>12365844</v>
      </c>
      <c r="AR57" s="39"/>
      <c r="AS57" s="39">
        <v>6227136</v>
      </c>
      <c r="AT57" s="39"/>
      <c r="AU57" s="39">
        <v>8930568</v>
      </c>
      <c r="AV57" s="39"/>
      <c r="AW57" s="39">
        <v>3414212</v>
      </c>
      <c r="AX57" s="39"/>
      <c r="AY57" s="39">
        <v>26703101</v>
      </c>
      <c r="AZ57" s="39"/>
      <c r="BA57" s="133">
        <v>3327984</v>
      </c>
      <c r="BB57" s="133"/>
      <c r="BC57" s="55">
        <f>'KU StructuralVars'!I21</f>
        <v>7433285</v>
      </c>
      <c r="BD57" s="55">
        <f t="shared" si="157"/>
        <v>7433285</v>
      </c>
      <c r="BE57" s="223">
        <f t="shared" si="166"/>
        <v>7.8799550220476355E-3</v>
      </c>
      <c r="BH57" s="31"/>
      <c r="BI57" s="31"/>
      <c r="BJ57" s="31"/>
      <c r="BK57" s="31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</row>
    <row r="58" spans="1:87" x14ac:dyDescent="0.2">
      <c r="A58" s="26"/>
      <c r="B58" s="84"/>
      <c r="C58" s="84"/>
      <c r="D58" s="84"/>
      <c r="E58" s="87"/>
      <c r="F58" s="87"/>
      <c r="G58" s="26"/>
      <c r="H58" s="85"/>
      <c r="I58" s="85"/>
      <c r="J58" s="85"/>
      <c r="K58" s="55"/>
      <c r="L58" s="55"/>
      <c r="M58" s="106"/>
      <c r="N58" s="85"/>
      <c r="O58" s="85"/>
      <c r="P58" s="85"/>
      <c r="Q58" s="85"/>
      <c r="R58" s="72"/>
      <c r="S58" s="75"/>
      <c r="T58" s="20"/>
      <c r="U58" s="23">
        <v>2015</v>
      </c>
      <c r="V58" s="39">
        <v>2373478</v>
      </c>
      <c r="W58" s="39"/>
      <c r="X58" s="145">
        <v>1374872</v>
      </c>
      <c r="Y58" s="39"/>
      <c r="Z58" s="145">
        <v>138729</v>
      </c>
      <c r="AA58" s="145"/>
      <c r="AB58" s="39">
        <v>1071189</v>
      </c>
      <c r="AC58" s="39"/>
      <c r="AD58" s="39">
        <v>2856589</v>
      </c>
      <c r="AE58" s="39"/>
      <c r="AF58" s="39">
        <v>4575079</v>
      </c>
      <c r="AG58" s="39"/>
      <c r="AH58" s="39">
        <f t="shared" si="155"/>
        <v>1374872</v>
      </c>
      <c r="AI58" s="39"/>
      <c r="AJ58" s="39">
        <f t="shared" si="156"/>
        <v>138729</v>
      </c>
      <c r="AK58" s="39">
        <v>6791414</v>
      </c>
      <c r="AL58" s="39"/>
      <c r="AM58" s="39">
        <v>4693131</v>
      </c>
      <c r="AN58" s="39"/>
      <c r="AO58" s="39">
        <v>5288214</v>
      </c>
      <c r="AP58" s="39"/>
      <c r="AQ58" s="39">
        <v>12488265</v>
      </c>
      <c r="AR58" s="39"/>
      <c r="AS58" s="39">
        <v>6293089</v>
      </c>
      <c r="AT58" s="39"/>
      <c r="AU58" s="39">
        <v>9005853</v>
      </c>
      <c r="AV58" s="39"/>
      <c r="AW58" s="39">
        <v>3444280</v>
      </c>
      <c r="AX58" s="39"/>
      <c r="AY58" s="39">
        <v>26537484</v>
      </c>
      <c r="AZ58" s="39"/>
      <c r="BA58" s="133">
        <v>3336976</v>
      </c>
      <c r="BB58" s="133"/>
      <c r="BC58" s="55">
        <f>'KU StructuralVars'!I22</f>
        <v>7495316</v>
      </c>
      <c r="BD58" s="55">
        <f t="shared" si="157"/>
        <v>7495316</v>
      </c>
      <c r="BE58" s="223">
        <f t="shared" si="166"/>
        <v>8.3450318398932133E-3</v>
      </c>
      <c r="BH58" s="31"/>
      <c r="BI58" s="31"/>
      <c r="BJ58" s="31"/>
      <c r="BK58" s="31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</row>
    <row r="59" spans="1:87" x14ac:dyDescent="0.2">
      <c r="A59" s="26"/>
      <c r="B59" s="84"/>
      <c r="C59" s="84"/>
      <c r="D59" s="84"/>
      <c r="E59" s="87"/>
      <c r="F59" s="87"/>
      <c r="G59" s="26"/>
      <c r="H59" s="85"/>
      <c r="I59" s="85"/>
      <c r="J59" s="85"/>
      <c r="K59" s="55"/>
      <c r="L59" s="55"/>
      <c r="M59" s="106"/>
      <c r="N59" s="85"/>
      <c r="O59" s="85"/>
      <c r="P59" s="85"/>
      <c r="Q59" s="85"/>
      <c r="R59" s="72"/>
      <c r="S59" s="75"/>
      <c r="T59" s="20"/>
      <c r="U59" s="23">
        <v>2016</v>
      </c>
      <c r="V59" s="39">
        <v>2382826</v>
      </c>
      <c r="W59" s="39"/>
      <c r="X59" s="145">
        <v>1409760.5</v>
      </c>
      <c r="Y59" s="39"/>
      <c r="Z59" s="145">
        <v>150392</v>
      </c>
      <c r="AA59" s="145"/>
      <c r="AB59" s="39">
        <v>1068654</v>
      </c>
      <c r="AC59" s="39"/>
      <c r="AD59" s="39">
        <v>2841788</v>
      </c>
      <c r="AE59" s="39"/>
      <c r="AF59" s="39">
        <v>4623930</v>
      </c>
      <c r="AG59" s="39"/>
      <c r="AH59" s="39">
        <f t="shared" si="155"/>
        <v>1409760.5</v>
      </c>
      <c r="AI59" s="39"/>
      <c r="AJ59" s="39">
        <f t="shared" si="156"/>
        <v>150392</v>
      </c>
      <c r="AK59" s="39">
        <v>6857238</v>
      </c>
      <c r="AL59" s="39"/>
      <c r="AM59" s="39">
        <v>4763554</v>
      </c>
      <c r="AN59" s="39"/>
      <c r="AO59" s="39">
        <v>5348374</v>
      </c>
      <c r="AP59" s="39"/>
      <c r="AQ59" s="39">
        <v>12605566</v>
      </c>
      <c r="AR59" s="39"/>
      <c r="AS59" s="39">
        <v>6361701</v>
      </c>
      <c r="AT59" s="39"/>
      <c r="AU59" s="39">
        <v>9084067</v>
      </c>
      <c r="AV59" s="39"/>
      <c r="AW59" s="39">
        <v>3475588</v>
      </c>
      <c r="AX59" s="39"/>
      <c r="AY59" s="39">
        <v>26478317</v>
      </c>
      <c r="AZ59" s="39"/>
      <c r="BA59" s="133">
        <v>3346947</v>
      </c>
      <c r="BB59" s="133"/>
      <c r="BC59" s="55">
        <f>'KU StructuralVars'!I23</f>
        <v>7560444</v>
      </c>
      <c r="BD59" s="55">
        <f t="shared" si="157"/>
        <v>7560444</v>
      </c>
      <c r="BE59" s="223">
        <f t="shared" si="166"/>
        <v>8.6891600033940364E-3</v>
      </c>
      <c r="BH59" s="31"/>
      <c r="BI59" s="31"/>
      <c r="BJ59" s="31"/>
      <c r="BK59" s="31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</row>
    <row r="60" spans="1:87" x14ac:dyDescent="0.2">
      <c r="A60" s="26"/>
      <c r="B60" s="84"/>
      <c r="C60" s="84"/>
      <c r="D60" s="84"/>
      <c r="E60" s="87"/>
      <c r="F60" s="87"/>
      <c r="G60" s="26"/>
      <c r="H60" s="85"/>
      <c r="I60" s="85"/>
      <c r="J60" s="85"/>
      <c r="K60" s="55"/>
      <c r="L60" s="55"/>
      <c r="M60" s="106"/>
      <c r="N60" s="85"/>
      <c r="O60" s="85"/>
      <c r="P60" s="85"/>
      <c r="Q60" s="85"/>
      <c r="R60" s="72"/>
      <c r="S60" s="75"/>
      <c r="T60" s="20"/>
      <c r="U60" s="23">
        <v>2017</v>
      </c>
      <c r="V60" s="39">
        <v>2393430</v>
      </c>
      <c r="W60" s="39"/>
      <c r="X60" s="145">
        <v>1444010</v>
      </c>
      <c r="Y60" s="39"/>
      <c r="Z60" s="145">
        <v>160243</v>
      </c>
      <c r="AA60" s="145"/>
      <c r="AB60" s="39">
        <v>1066297</v>
      </c>
      <c r="AC60" s="39"/>
      <c r="AD60" s="39">
        <v>2827240</v>
      </c>
      <c r="AE60" s="39"/>
      <c r="AF60" s="39">
        <v>4674209</v>
      </c>
      <c r="AG60" s="39"/>
      <c r="AH60" s="39">
        <f t="shared" si="155"/>
        <v>1444010</v>
      </c>
      <c r="AI60" s="39"/>
      <c r="AJ60" s="39">
        <f t="shared" si="156"/>
        <v>160243</v>
      </c>
      <c r="AK60" s="39">
        <v>6922940</v>
      </c>
      <c r="AL60" s="39"/>
      <c r="AM60" s="39">
        <v>4834149</v>
      </c>
      <c r="AN60" s="39"/>
      <c r="AO60" s="39">
        <v>5408169</v>
      </c>
      <c r="AP60" s="39"/>
      <c r="AQ60" s="39">
        <v>12722181</v>
      </c>
      <c r="AR60" s="39"/>
      <c r="AS60" s="39">
        <v>6429819</v>
      </c>
      <c r="AT60" s="39"/>
      <c r="AU60" s="39">
        <v>9161523</v>
      </c>
      <c r="AV60" s="39"/>
      <c r="AW60" s="39">
        <v>3506451</v>
      </c>
      <c r="AX60" s="39"/>
      <c r="AY60" s="39">
        <v>26526919</v>
      </c>
      <c r="AZ60" s="39"/>
      <c r="BA60" s="133">
        <v>3356045</v>
      </c>
      <c r="BB60" s="133"/>
      <c r="BC60" s="55">
        <f>'KU StructuralVars'!I24</f>
        <v>7625367</v>
      </c>
      <c r="BD60" s="55">
        <f t="shared" si="157"/>
        <v>7625367</v>
      </c>
      <c r="BE60" s="223">
        <f t="shared" si="166"/>
        <v>8.5871940854267415E-3</v>
      </c>
      <c r="BH60" s="31"/>
      <c r="BI60" s="31"/>
      <c r="BJ60" s="31"/>
      <c r="BK60" s="31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</row>
    <row r="61" spans="1:87" x14ac:dyDescent="0.2">
      <c r="A61" s="26"/>
      <c r="B61" s="84"/>
      <c r="C61" s="84"/>
      <c r="D61" s="84"/>
      <c r="E61" s="87"/>
      <c r="F61" s="87"/>
      <c r="G61" s="26"/>
      <c r="H61" s="85"/>
      <c r="I61" s="85"/>
      <c r="J61" s="85"/>
      <c r="K61" s="55"/>
      <c r="L61" s="55"/>
      <c r="M61" s="106"/>
      <c r="N61" s="85"/>
      <c r="O61" s="85"/>
      <c r="P61" s="85"/>
      <c r="Q61" s="85"/>
      <c r="R61" s="72"/>
      <c r="S61" s="75"/>
      <c r="T61" s="20"/>
      <c r="U61" s="23">
        <v>2018</v>
      </c>
      <c r="V61" s="39">
        <v>2404616</v>
      </c>
      <c r="W61" s="39"/>
      <c r="X61" s="145">
        <v>1477527.5</v>
      </c>
      <c r="Y61" s="39"/>
      <c r="Z61" s="145">
        <v>169232</v>
      </c>
      <c r="AA61" s="145"/>
      <c r="AB61" s="39">
        <v>1064001</v>
      </c>
      <c r="AC61" s="39"/>
      <c r="AD61" s="39">
        <v>2812905</v>
      </c>
      <c r="AE61" s="39"/>
      <c r="AF61" s="39">
        <v>4725098</v>
      </c>
      <c r="AG61" s="39"/>
      <c r="AH61" s="39">
        <f t="shared" si="155"/>
        <v>1477527.5</v>
      </c>
      <c r="AI61" s="39"/>
      <c r="AJ61" s="39">
        <f t="shared" si="156"/>
        <v>169232</v>
      </c>
      <c r="AK61" s="39">
        <v>6987851</v>
      </c>
      <c r="AL61" s="39"/>
      <c r="AM61" s="39">
        <v>4904498</v>
      </c>
      <c r="AN61" s="39"/>
      <c r="AO61" s="39">
        <v>5466264</v>
      </c>
      <c r="AP61" s="39"/>
      <c r="AQ61" s="39">
        <v>12837596</v>
      </c>
      <c r="AR61" s="39"/>
      <c r="AS61" s="39">
        <v>6496927</v>
      </c>
      <c r="AT61" s="39"/>
      <c r="AU61" s="39">
        <v>9237650</v>
      </c>
      <c r="AV61" s="39"/>
      <c r="AW61" s="39">
        <v>3536679</v>
      </c>
      <c r="AX61" s="39"/>
      <c r="AY61" s="39">
        <v>26672236</v>
      </c>
      <c r="AZ61" s="39"/>
      <c r="BA61" s="133">
        <v>3365052</v>
      </c>
      <c r="BB61" s="133"/>
      <c r="BC61" s="55">
        <f>'KU StructuralVars'!I25</f>
        <v>7689379</v>
      </c>
      <c r="BD61" s="55">
        <f t="shared" si="157"/>
        <v>7689379</v>
      </c>
      <c r="BE61" s="223">
        <f t="shared" si="166"/>
        <v>8.3946123511169368E-3</v>
      </c>
      <c r="BH61" s="31"/>
      <c r="BI61" s="31"/>
      <c r="BJ61" s="31"/>
      <c r="BK61" s="31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</row>
    <row r="62" spans="1:87" x14ac:dyDescent="0.2">
      <c r="A62" s="26"/>
      <c r="B62" s="84"/>
      <c r="C62" s="84"/>
      <c r="D62" s="84"/>
      <c r="E62" s="87"/>
      <c r="F62" s="87"/>
      <c r="G62" s="26"/>
      <c r="H62" s="85"/>
      <c r="I62" s="85"/>
      <c r="J62" s="85"/>
      <c r="K62" s="55"/>
      <c r="L62" s="55"/>
      <c r="M62" s="106"/>
      <c r="N62" s="85"/>
      <c r="O62" s="85"/>
      <c r="P62" s="85"/>
      <c r="Q62" s="85"/>
      <c r="R62" s="72"/>
      <c r="S62" s="75"/>
      <c r="T62" s="20"/>
      <c r="U62" s="23">
        <v>2019</v>
      </c>
      <c r="V62" s="39">
        <v>2415935</v>
      </c>
      <c r="W62" s="39"/>
      <c r="X62" s="145">
        <v>1510453</v>
      </c>
      <c r="Y62" s="39"/>
      <c r="Z62" s="145">
        <v>177378</v>
      </c>
      <c r="AA62" s="145"/>
      <c r="AB62" s="39">
        <v>1061667</v>
      </c>
      <c r="AC62" s="39"/>
      <c r="AD62" s="39">
        <v>2798738</v>
      </c>
      <c r="AE62" s="39"/>
      <c r="AF62" s="39">
        <v>4776082</v>
      </c>
      <c r="AG62" s="39"/>
      <c r="AH62" s="39">
        <f t="shared" si="155"/>
        <v>1510453</v>
      </c>
      <c r="AI62" s="39"/>
      <c r="AJ62" s="39">
        <f t="shared" si="156"/>
        <v>177378</v>
      </c>
      <c r="AK62" s="39">
        <v>7051822</v>
      </c>
      <c r="AL62" s="39"/>
      <c r="AM62" s="39">
        <v>4974553</v>
      </c>
      <c r="AN62" s="39"/>
      <c r="AO62" s="39">
        <v>5522565</v>
      </c>
      <c r="AP62" s="39"/>
      <c r="AQ62" s="39">
        <v>12950327</v>
      </c>
      <c r="AR62" s="39"/>
      <c r="AS62" s="39">
        <v>6562923</v>
      </c>
      <c r="AT62" s="39"/>
      <c r="AU62" s="39">
        <v>9312462</v>
      </c>
      <c r="AV62" s="39"/>
      <c r="AW62" s="39">
        <v>3566234</v>
      </c>
      <c r="AX62" s="39"/>
      <c r="AY62" s="39">
        <v>26889463</v>
      </c>
      <c r="AZ62" s="39"/>
      <c r="BA62" s="133">
        <v>3375183</v>
      </c>
      <c r="BB62" s="133"/>
      <c r="BC62" s="55">
        <f>'KU StructuralVars'!I26</f>
        <v>7752336</v>
      </c>
      <c r="BD62" s="55">
        <f t="shared" si="157"/>
        <v>7752336</v>
      </c>
      <c r="BE62" s="223">
        <f t="shared" si="166"/>
        <v>8.1875272372451402E-3</v>
      </c>
      <c r="BH62" s="31"/>
      <c r="BI62" s="31"/>
      <c r="BJ62" s="31"/>
      <c r="BK62" s="31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</row>
    <row r="63" spans="1:87" x14ac:dyDescent="0.2">
      <c r="A63" s="26"/>
      <c r="B63" s="84"/>
      <c r="C63" s="84"/>
      <c r="D63" s="84"/>
      <c r="E63" s="87"/>
      <c r="F63" s="87"/>
      <c r="G63" s="26"/>
      <c r="H63" s="85"/>
      <c r="I63" s="85"/>
      <c r="J63" s="85"/>
      <c r="K63" s="55"/>
      <c r="L63" s="55"/>
      <c r="M63" s="106"/>
      <c r="N63" s="85"/>
      <c r="O63" s="85"/>
      <c r="P63" s="85"/>
      <c r="Q63" s="85"/>
      <c r="R63" s="72"/>
      <c r="S63" s="75"/>
      <c r="T63" s="20"/>
      <c r="U63" s="23">
        <v>2020</v>
      </c>
      <c r="V63" s="39">
        <v>2427063</v>
      </c>
      <c r="W63" s="39"/>
      <c r="X63" s="145">
        <v>1542522</v>
      </c>
      <c r="Y63" s="39"/>
      <c r="Z63" s="145">
        <v>184815</v>
      </c>
      <c r="AA63" s="145"/>
      <c r="AB63" s="39">
        <v>1059271</v>
      </c>
      <c r="AC63" s="39"/>
      <c r="AD63" s="39">
        <v>2784737</v>
      </c>
      <c r="AE63" s="39"/>
      <c r="AF63" s="39">
        <v>4826217</v>
      </c>
      <c r="AG63" s="39"/>
      <c r="AH63" s="39">
        <f t="shared" si="155"/>
        <v>1542522</v>
      </c>
      <c r="AI63" s="39"/>
      <c r="AJ63" s="39">
        <f t="shared" si="156"/>
        <v>184815</v>
      </c>
      <c r="AK63" s="39">
        <v>7113752</v>
      </c>
      <c r="AL63" s="39"/>
      <c r="AM63" s="39">
        <v>5043289</v>
      </c>
      <c r="AN63" s="39"/>
      <c r="AO63" s="39">
        <v>5576539</v>
      </c>
      <c r="AP63" s="39"/>
      <c r="AQ63" s="39">
        <v>13059250</v>
      </c>
      <c r="AR63" s="39"/>
      <c r="AS63" s="39">
        <v>6626725</v>
      </c>
      <c r="AT63" s="39"/>
      <c r="AU63" s="39">
        <v>9384568</v>
      </c>
      <c r="AV63" s="39"/>
      <c r="AW63" s="39">
        <v>3594527</v>
      </c>
      <c r="AX63" s="39"/>
      <c r="AY63" s="39">
        <v>27151398</v>
      </c>
      <c r="AZ63" s="39"/>
      <c r="BA63" s="133">
        <v>3384767</v>
      </c>
      <c r="BB63" s="133"/>
      <c r="BC63" s="55">
        <f>'KU StructuralVars'!I27</f>
        <v>7813102</v>
      </c>
      <c r="BD63" s="55">
        <f t="shared" si="157"/>
        <v>7813102</v>
      </c>
      <c r="BE63" s="223">
        <f t="shared" si="166"/>
        <v>7.8384115445977454E-3</v>
      </c>
      <c r="BH63" s="31"/>
      <c r="BI63" s="31"/>
      <c r="BJ63" s="31"/>
      <c r="BK63" s="31"/>
      <c r="BO63" s="64" t="s">
        <v>15</v>
      </c>
      <c r="BP63" s="64" t="s">
        <v>83</v>
      </c>
      <c r="BQ63" s="64" t="s">
        <v>84</v>
      </c>
      <c r="BR63" s="64" t="s">
        <v>85</v>
      </c>
      <c r="BS63" s="64" t="s">
        <v>86</v>
      </c>
      <c r="BT63" s="64" t="s">
        <v>87</v>
      </c>
      <c r="BU63" s="64" t="s">
        <v>88</v>
      </c>
      <c r="BV63" s="64" t="s">
        <v>89</v>
      </c>
      <c r="BW63" s="64" t="s">
        <v>90</v>
      </c>
      <c r="BX63" s="64" t="s">
        <v>91</v>
      </c>
      <c r="BZ63" s="64" t="s">
        <v>15</v>
      </c>
      <c r="CA63" s="64" t="s">
        <v>83</v>
      </c>
      <c r="CB63" s="64" t="s">
        <v>84</v>
      </c>
      <c r="CC63" s="64" t="s">
        <v>85</v>
      </c>
      <c r="CD63" s="64" t="s">
        <v>86</v>
      </c>
      <c r="CE63" s="64" t="s">
        <v>87</v>
      </c>
      <c r="CF63" s="64" t="s">
        <v>88</v>
      </c>
      <c r="CG63" s="64" t="s">
        <v>89</v>
      </c>
      <c r="CH63" s="64" t="s">
        <v>90</v>
      </c>
      <c r="CI63" s="64" t="s">
        <v>91</v>
      </c>
    </row>
    <row r="64" spans="1:87" x14ac:dyDescent="0.2">
      <c r="A64" s="26"/>
      <c r="B64" s="84"/>
      <c r="C64" s="84"/>
      <c r="D64" s="84"/>
      <c r="E64" s="87"/>
      <c r="F64" s="87"/>
      <c r="G64" s="26"/>
      <c r="H64" s="85"/>
      <c r="I64" s="85"/>
      <c r="J64" s="85"/>
      <c r="K64" s="55"/>
      <c r="L64" s="55"/>
      <c r="M64" s="106"/>
      <c r="N64" s="85"/>
      <c r="O64" s="85"/>
      <c r="P64" s="85"/>
      <c r="Q64" s="85"/>
      <c r="R64" s="72"/>
      <c r="S64" s="75"/>
      <c r="T64" s="20"/>
      <c r="U64" s="23">
        <v>2021</v>
      </c>
      <c r="V64" s="39">
        <v>2438423</v>
      </c>
      <c r="W64" s="39"/>
      <c r="X64" s="145">
        <v>1573756</v>
      </c>
      <c r="Y64" s="39"/>
      <c r="Z64" s="145">
        <v>191556</v>
      </c>
      <c r="AA64" s="145"/>
      <c r="AB64" s="39">
        <v>1056874</v>
      </c>
      <c r="AC64" s="39"/>
      <c r="AD64" s="39">
        <v>2770904</v>
      </c>
      <c r="AE64" s="39"/>
      <c r="AF64" s="39">
        <v>4875740</v>
      </c>
      <c r="AG64" s="39"/>
      <c r="AH64" s="39">
        <f t="shared" si="155"/>
        <v>1573756</v>
      </c>
      <c r="AI64" s="39"/>
      <c r="AJ64" s="39">
        <f t="shared" si="156"/>
        <v>191556</v>
      </c>
      <c r="AK64" s="39">
        <v>7173934</v>
      </c>
      <c r="AL64" s="39"/>
      <c r="AM64" s="39">
        <v>5110733</v>
      </c>
      <c r="AN64" s="39"/>
      <c r="AO64" s="39">
        <v>5629219</v>
      </c>
      <c r="AP64" s="39"/>
      <c r="AQ64" s="39">
        <v>13172238</v>
      </c>
      <c r="AR64" s="39"/>
      <c r="AS64" s="39">
        <v>6688535</v>
      </c>
      <c r="AT64" s="39"/>
      <c r="AU64" s="39">
        <v>9454110</v>
      </c>
      <c r="AV64" s="39"/>
      <c r="AW64" s="39">
        <v>3621495</v>
      </c>
      <c r="AX64" s="39"/>
      <c r="AY64" s="39">
        <v>27416648</v>
      </c>
      <c r="AZ64" s="39"/>
      <c r="BA64" s="133">
        <v>3393159</v>
      </c>
      <c r="BB64" s="133"/>
      <c r="BC64" s="55">
        <f>'KU StructuralVars'!I28</f>
        <v>7871998</v>
      </c>
      <c r="BD64" s="55">
        <f t="shared" si="157"/>
        <v>7871998</v>
      </c>
      <c r="BE64" s="223">
        <f t="shared" si="166"/>
        <v>7.5381071436160241E-3</v>
      </c>
      <c r="BH64" s="31"/>
      <c r="BI64" s="31"/>
      <c r="BJ64" s="31"/>
      <c r="BK64" s="31"/>
      <c r="BO64" s="26">
        <v>1990</v>
      </c>
      <c r="BP64" s="130">
        <v>27.64</v>
      </c>
      <c r="BQ64" s="130">
        <v>31.89</v>
      </c>
      <c r="BR64" s="130">
        <v>15.03</v>
      </c>
      <c r="BS64" s="130">
        <v>13.17</v>
      </c>
      <c r="BT64" s="130">
        <v>16.43</v>
      </c>
      <c r="BU64" s="130">
        <v>13.32</v>
      </c>
      <c r="BV64" s="130">
        <v>14.94</v>
      </c>
      <c r="BW64" s="130">
        <v>13.31</v>
      </c>
      <c r="BX64" s="130">
        <v>17.690000000000001</v>
      </c>
      <c r="BZ64" s="26">
        <v>1990</v>
      </c>
      <c r="CA64" s="121">
        <v>6.86</v>
      </c>
      <c r="CB64" s="121">
        <v>6.06</v>
      </c>
      <c r="CC64" s="121">
        <v>4.5199999999999996</v>
      </c>
      <c r="CD64" s="121">
        <v>4.21</v>
      </c>
      <c r="CE64" s="121">
        <v>5.85</v>
      </c>
      <c r="CF64" s="121">
        <v>4.76</v>
      </c>
      <c r="CG64" s="121">
        <v>4.8600000000000003</v>
      </c>
      <c r="CH64" s="121">
        <v>4.53</v>
      </c>
      <c r="CI64" s="121">
        <v>4.97</v>
      </c>
    </row>
    <row r="65" spans="1:87" x14ac:dyDescent="0.2">
      <c r="A65" s="26"/>
      <c r="B65" s="84"/>
      <c r="C65" s="84"/>
      <c r="D65" s="84"/>
      <c r="E65" s="87"/>
      <c r="F65" s="87"/>
      <c r="G65" s="26"/>
      <c r="H65" s="85"/>
      <c r="I65" s="85"/>
      <c r="J65" s="85"/>
      <c r="K65" s="55"/>
      <c r="L65" s="55"/>
      <c r="M65" s="106"/>
      <c r="N65" s="85"/>
      <c r="O65" s="85"/>
      <c r="P65" s="85"/>
      <c r="Q65" s="85"/>
      <c r="R65" s="72"/>
      <c r="S65" s="75"/>
      <c r="T65" s="20"/>
      <c r="U65" s="23">
        <v>2022</v>
      </c>
      <c r="V65" s="39">
        <v>2450629</v>
      </c>
      <c r="W65" s="39"/>
      <c r="X65" s="145">
        <v>1605051.5</v>
      </c>
      <c r="Y65" s="39"/>
      <c r="Z65" s="145">
        <v>197895</v>
      </c>
      <c r="AA65" s="145"/>
      <c r="AB65" s="39">
        <v>1054608</v>
      </c>
      <c r="AC65" s="39"/>
      <c r="AD65" s="39">
        <v>2757298</v>
      </c>
      <c r="AE65" s="39"/>
      <c r="AF65" s="39">
        <v>4925979</v>
      </c>
      <c r="AG65" s="39"/>
      <c r="AH65" s="39">
        <f t="shared" si="155"/>
        <v>1605051.5</v>
      </c>
      <c r="AI65" s="39"/>
      <c r="AJ65" s="39">
        <f t="shared" si="156"/>
        <v>197895</v>
      </c>
      <c r="AK65" s="39">
        <v>7234809</v>
      </c>
      <c r="AL65" s="39"/>
      <c r="AM65" s="39">
        <v>5179311</v>
      </c>
      <c r="AN65" s="39"/>
      <c r="AO65" s="39">
        <v>5682447</v>
      </c>
      <c r="AP65" s="39"/>
      <c r="AQ65" s="39">
        <v>13285721</v>
      </c>
      <c r="AR65" s="39"/>
      <c r="AS65" s="39">
        <v>6750924</v>
      </c>
      <c r="AT65" s="39"/>
      <c r="AU65" s="39">
        <v>9524202</v>
      </c>
      <c r="AV65" s="39"/>
      <c r="AW65" s="39">
        <v>3648623</v>
      </c>
      <c r="AX65" s="39"/>
      <c r="AY65" s="39">
        <v>27742762</v>
      </c>
      <c r="AZ65" s="39"/>
      <c r="BA65" s="133">
        <v>3401678</v>
      </c>
      <c r="BB65" s="133"/>
      <c r="BC65" s="55">
        <f>'KU StructuralVars'!I29</f>
        <v>7931592</v>
      </c>
      <c r="BD65" s="55">
        <f t="shared" si="157"/>
        <v>7931592</v>
      </c>
      <c r="BE65" s="223">
        <f t="shared" si="166"/>
        <v>7.5703779396285587E-3</v>
      </c>
      <c r="BH65" s="31"/>
      <c r="BI65" s="31"/>
      <c r="BJ65" s="31"/>
      <c r="BK65" s="31"/>
      <c r="BO65" s="26">
        <f t="shared" ref="BO65:BO73" si="171">BO66-1</f>
        <v>1991</v>
      </c>
      <c r="BP65" s="130">
        <v>26.03</v>
      </c>
      <c r="BQ65" s="130">
        <v>26.33</v>
      </c>
      <c r="BR65" s="130">
        <v>16.899999999999999</v>
      </c>
      <c r="BS65" s="130">
        <v>15.26</v>
      </c>
      <c r="BT65" s="130">
        <v>17.100000000000001</v>
      </c>
      <c r="BU65" s="130">
        <v>15.74</v>
      </c>
      <c r="BV65" s="130">
        <v>15.47</v>
      </c>
      <c r="BW65" s="130">
        <v>14.4</v>
      </c>
      <c r="BX65" s="130">
        <v>18.13</v>
      </c>
      <c r="BZ65" s="26">
        <f>BZ64+1</f>
        <v>1991</v>
      </c>
      <c r="CA65" s="121">
        <v>6.84</v>
      </c>
      <c r="CB65" s="121">
        <v>5.9</v>
      </c>
      <c r="CC65" s="121">
        <v>4.34</v>
      </c>
      <c r="CD65" s="121">
        <v>3.98</v>
      </c>
      <c r="CE65" s="121">
        <v>5.58</v>
      </c>
      <c r="CF65" s="121">
        <v>4.67</v>
      </c>
      <c r="CG65" s="121">
        <v>4.59</v>
      </c>
      <c r="CH65" s="121">
        <v>4.38</v>
      </c>
      <c r="CI65" s="121">
        <v>5.13</v>
      </c>
    </row>
    <row r="66" spans="1:87" x14ac:dyDescent="0.2">
      <c r="A66" s="26"/>
      <c r="B66" s="84"/>
      <c r="C66" s="84"/>
      <c r="D66" s="84"/>
      <c r="E66" s="87"/>
      <c r="F66" s="87"/>
      <c r="G66" s="26"/>
      <c r="H66" s="85"/>
      <c r="I66" s="85"/>
      <c r="J66" s="85"/>
      <c r="K66" s="55"/>
      <c r="L66" s="55"/>
      <c r="M66" s="106"/>
      <c r="N66" s="85"/>
      <c r="O66" s="85"/>
      <c r="P66" s="85"/>
      <c r="Q66" s="85"/>
      <c r="R66" s="72"/>
      <c r="S66" s="75"/>
      <c r="T66" s="20"/>
      <c r="U66" s="23">
        <v>2023</v>
      </c>
      <c r="V66" s="39">
        <v>2462546</v>
      </c>
      <c r="W66" s="39"/>
      <c r="X66" s="145">
        <v>1635712</v>
      </c>
      <c r="Y66" s="39"/>
      <c r="Z66" s="145">
        <v>203790</v>
      </c>
      <c r="AA66" s="145"/>
      <c r="AB66" s="39">
        <v>1052263</v>
      </c>
      <c r="AC66" s="39"/>
      <c r="AD66" s="39">
        <v>2743830</v>
      </c>
      <c r="AE66" s="39"/>
      <c r="AF66" s="39">
        <v>4975249</v>
      </c>
      <c r="AG66" s="39"/>
      <c r="AH66" s="39">
        <f t="shared" si="155"/>
        <v>1635712</v>
      </c>
      <c r="AI66" s="39"/>
      <c r="AJ66" s="39">
        <f t="shared" si="156"/>
        <v>203790</v>
      </c>
      <c r="AK66" s="39">
        <v>7293874</v>
      </c>
      <c r="AL66" s="39"/>
      <c r="AM66" s="39">
        <v>5246902</v>
      </c>
      <c r="AN66" s="39"/>
      <c r="AO66" s="39">
        <v>5734486</v>
      </c>
      <c r="AP66" s="39"/>
      <c r="AQ66" s="39">
        <v>13396182</v>
      </c>
      <c r="AR66" s="39"/>
      <c r="AS66" s="39">
        <v>6811547</v>
      </c>
      <c r="AT66" s="39"/>
      <c r="AU66" s="39">
        <v>9592136</v>
      </c>
      <c r="AV66" s="39"/>
      <c r="AW66" s="39">
        <v>3674718</v>
      </c>
      <c r="AX66" s="39"/>
      <c r="AY66" s="39">
        <v>28069383</v>
      </c>
      <c r="AZ66" s="39"/>
      <c r="BA66" s="133">
        <v>3410233</v>
      </c>
      <c r="BB66" s="133"/>
      <c r="BC66" s="55">
        <f>'KU StructuralVars'!I30</f>
        <v>7989389</v>
      </c>
      <c r="BD66" s="55">
        <f t="shared" si="157"/>
        <v>7989389</v>
      </c>
      <c r="BE66" s="223">
        <f t="shared" si="166"/>
        <v>7.2869355861975293E-3</v>
      </c>
      <c r="BH66" s="31"/>
      <c r="BI66" s="31"/>
      <c r="BJ66" s="31"/>
      <c r="BK66" s="31"/>
      <c r="BO66" s="26">
        <f t="shared" si="171"/>
        <v>1992</v>
      </c>
      <c r="BP66" s="130">
        <v>26.63</v>
      </c>
      <c r="BQ66" s="130">
        <v>25.21</v>
      </c>
      <c r="BR66" s="130">
        <v>17.98</v>
      </c>
      <c r="BS66" s="130">
        <v>16.28</v>
      </c>
      <c r="BT66" s="130">
        <v>17.420000000000002</v>
      </c>
      <c r="BU66" s="130">
        <v>16.489999999999998</v>
      </c>
      <c r="BV66" s="130">
        <v>15.96</v>
      </c>
      <c r="BW66" s="130">
        <v>15.76</v>
      </c>
      <c r="BX66" s="130">
        <v>18.57</v>
      </c>
      <c r="BZ66" s="26">
        <f t="shared" ref="BZ66:BZ110" si="172">BZ65+1</f>
        <v>1992</v>
      </c>
      <c r="CA66" s="121">
        <v>6.64</v>
      </c>
      <c r="CB66" s="121">
        <v>5.84</v>
      </c>
      <c r="CC66" s="121">
        <v>4.28</v>
      </c>
      <c r="CD66" s="121">
        <v>4.08</v>
      </c>
      <c r="CE66" s="121">
        <v>5.47</v>
      </c>
      <c r="CF66" s="121">
        <v>4.59</v>
      </c>
      <c r="CG66" s="121">
        <v>4.55</v>
      </c>
      <c r="CH66" s="121">
        <v>4.2300000000000004</v>
      </c>
      <c r="CI66" s="121">
        <v>4.8099999999999996</v>
      </c>
    </row>
    <row r="67" spans="1:87" x14ac:dyDescent="0.2">
      <c r="A67" s="26"/>
      <c r="B67" s="84"/>
      <c r="C67" s="84"/>
      <c r="D67" s="84"/>
      <c r="E67" s="87"/>
      <c r="F67" s="87"/>
      <c r="G67" s="26"/>
      <c r="H67" s="85"/>
      <c r="I67" s="85"/>
      <c r="J67" s="85"/>
      <c r="K67" s="55"/>
      <c r="L67" s="55"/>
      <c r="M67" s="106"/>
      <c r="N67" s="85"/>
      <c r="O67" s="85"/>
      <c r="P67" s="85"/>
      <c r="Q67" s="85"/>
      <c r="R67" s="72"/>
      <c r="S67" s="75"/>
      <c r="T67" s="20"/>
      <c r="U67" s="23">
        <v>2024</v>
      </c>
      <c r="V67" s="39">
        <v>2474113</v>
      </c>
      <c r="W67" s="39"/>
      <c r="X67" s="145">
        <v>1665960</v>
      </c>
      <c r="Y67" s="39"/>
      <c r="Z67" s="145">
        <v>209355</v>
      </c>
      <c r="AA67" s="145"/>
      <c r="AB67" s="39">
        <v>1049830</v>
      </c>
      <c r="AC67" s="39"/>
      <c r="AD67" s="39">
        <v>2730499</v>
      </c>
      <c r="AE67" s="39"/>
      <c r="AF67" s="39">
        <v>5023629</v>
      </c>
      <c r="AG67" s="39"/>
      <c r="AH67" s="39">
        <f t="shared" si="155"/>
        <v>1665960</v>
      </c>
      <c r="AI67" s="39"/>
      <c r="AJ67" s="39">
        <f t="shared" si="156"/>
        <v>209355</v>
      </c>
      <c r="AK67" s="39">
        <v>7351546</v>
      </c>
      <c r="AL67" s="39"/>
      <c r="AM67" s="39">
        <v>5313928</v>
      </c>
      <c r="AN67" s="39"/>
      <c r="AO67" s="39">
        <v>5785419</v>
      </c>
      <c r="AP67" s="39"/>
      <c r="AQ67" s="39">
        <v>13505040</v>
      </c>
      <c r="AR67" s="39"/>
      <c r="AS67" s="39">
        <v>6870841</v>
      </c>
      <c r="AT67" s="39"/>
      <c r="AU67" s="39">
        <v>9658477</v>
      </c>
      <c r="AV67" s="39"/>
      <c r="AW67" s="39">
        <v>3700050</v>
      </c>
      <c r="AX67" s="39"/>
      <c r="AY67" s="39">
        <v>28393079</v>
      </c>
      <c r="AZ67" s="39"/>
      <c r="BA67" s="133">
        <v>3418411</v>
      </c>
      <c r="BB67" s="133"/>
      <c r="BC67" s="55">
        <f>'KU StructuralVars'!I31</f>
        <v>8045794</v>
      </c>
      <c r="BD67" s="55">
        <f t="shared" si="157"/>
        <v>8045794</v>
      </c>
      <c r="BE67" s="223">
        <f t="shared" si="166"/>
        <v>7.059989193166194E-3</v>
      </c>
      <c r="BO67" s="26">
        <f t="shared" si="171"/>
        <v>1993</v>
      </c>
      <c r="BP67" s="130">
        <v>27.92</v>
      </c>
      <c r="BQ67" s="130">
        <v>24.89</v>
      </c>
      <c r="BR67" s="130">
        <v>18.21</v>
      </c>
      <c r="BS67" s="130">
        <v>16.48</v>
      </c>
      <c r="BT67" s="130">
        <v>17.350000000000001</v>
      </c>
      <c r="BU67" s="130">
        <v>16.52</v>
      </c>
      <c r="BV67" s="130">
        <v>16.78</v>
      </c>
      <c r="BW67" s="130">
        <v>15.89</v>
      </c>
      <c r="BX67" s="130">
        <v>18.61</v>
      </c>
      <c r="BZ67" s="26">
        <f t="shared" si="172"/>
        <v>1993</v>
      </c>
      <c r="CA67" s="121">
        <v>6.85</v>
      </c>
      <c r="CB67" s="121">
        <v>6.01</v>
      </c>
      <c r="CC67" s="121">
        <v>4.46</v>
      </c>
      <c r="CD67" s="121">
        <v>4.2300000000000004</v>
      </c>
      <c r="CE67" s="121">
        <v>5.76</v>
      </c>
      <c r="CF67" s="121">
        <v>4.7</v>
      </c>
      <c r="CG67" s="121">
        <v>4.58</v>
      </c>
      <c r="CH67" s="121">
        <v>4.16</v>
      </c>
      <c r="CI67" s="121">
        <v>4.92</v>
      </c>
    </row>
    <row r="68" spans="1:87" x14ac:dyDescent="0.2">
      <c r="A68" s="26"/>
      <c r="B68" s="84"/>
      <c r="C68" s="84"/>
      <c r="D68" s="84"/>
      <c r="E68" s="87"/>
      <c r="F68" s="87"/>
      <c r="G68" s="26"/>
      <c r="H68" s="85"/>
      <c r="I68" s="85"/>
      <c r="J68" s="85"/>
      <c r="K68" s="55"/>
      <c r="L68" s="55"/>
      <c r="M68" s="106"/>
      <c r="N68" s="85"/>
      <c r="O68" s="85"/>
      <c r="P68" s="85"/>
      <c r="Q68" s="85"/>
      <c r="R68" s="72"/>
      <c r="T68" s="20"/>
      <c r="U68" s="23">
        <v>2025</v>
      </c>
      <c r="V68" s="39">
        <v>2485851</v>
      </c>
      <c r="W68" s="39"/>
      <c r="X68" s="145">
        <v>1696639.5</v>
      </c>
      <c r="Y68" s="39"/>
      <c r="Z68" s="145">
        <v>214785</v>
      </c>
      <c r="AA68" s="145"/>
      <c r="AB68" s="39">
        <v>1047396</v>
      </c>
      <c r="AC68" s="39"/>
      <c r="AD68" s="39">
        <v>2717336</v>
      </c>
      <c r="AE68" s="39"/>
      <c r="AF68" s="39">
        <v>5072276</v>
      </c>
      <c r="AG68" s="39"/>
      <c r="AH68" s="39">
        <f t="shared" si="155"/>
        <v>1696639.5</v>
      </c>
      <c r="AI68" s="39"/>
      <c r="AJ68" s="39">
        <f t="shared" si="156"/>
        <v>214785</v>
      </c>
      <c r="AK68" s="39">
        <v>7410054</v>
      </c>
      <c r="AL68" s="39"/>
      <c r="AM68" s="39">
        <v>5382473</v>
      </c>
      <c r="AN68" s="39"/>
      <c r="AO68" s="39">
        <v>5836629</v>
      </c>
      <c r="AP68" s="39"/>
      <c r="AQ68" s="39">
        <v>13614716</v>
      </c>
      <c r="AR68" s="39"/>
      <c r="AS68" s="39">
        <v>6930993</v>
      </c>
      <c r="AT68" s="39"/>
      <c r="AU68" s="39">
        <v>9725899</v>
      </c>
      <c r="AV68" s="39"/>
      <c r="AW68" s="39">
        <v>3725780</v>
      </c>
      <c r="AX68" s="39"/>
      <c r="AY68" s="39">
        <v>28721679</v>
      </c>
      <c r="AZ68" s="39"/>
      <c r="BA68" s="133">
        <v>3427064</v>
      </c>
      <c r="BB68" s="133"/>
      <c r="BC68" s="55">
        <f>'KU StructuralVars'!I32</f>
        <v>8103040</v>
      </c>
      <c r="BD68" s="55">
        <f t="shared" si="157"/>
        <v>8103040</v>
      </c>
      <c r="BE68" s="89"/>
      <c r="BO68" s="26">
        <f t="shared" si="171"/>
        <v>1994</v>
      </c>
      <c r="BP68" s="130">
        <v>29.1</v>
      </c>
      <c r="BQ68" s="130">
        <v>25.35</v>
      </c>
      <c r="BR68" s="130">
        <v>18.52</v>
      </c>
      <c r="BS68" s="130">
        <v>16.989999999999998</v>
      </c>
      <c r="BT68" s="130">
        <v>17.760000000000002</v>
      </c>
      <c r="BU68" s="130">
        <v>17.010000000000002</v>
      </c>
      <c r="BV68" s="130">
        <v>17.260000000000002</v>
      </c>
      <c r="BW68" s="130">
        <v>16.86</v>
      </c>
      <c r="BX68" s="130">
        <v>19.21</v>
      </c>
      <c r="BZ68" s="26">
        <f t="shared" si="172"/>
        <v>1994</v>
      </c>
      <c r="CA68" s="121">
        <v>7.22</v>
      </c>
      <c r="CB68" s="121">
        <v>6.26</v>
      </c>
      <c r="CC68" s="121">
        <v>4.42</v>
      </c>
      <c r="CD68" s="121">
        <v>4.1399999999999997</v>
      </c>
      <c r="CE68" s="121">
        <v>5.83</v>
      </c>
      <c r="CF68" s="121">
        <v>4.8499999999999996</v>
      </c>
      <c r="CG68" s="121">
        <v>4.6500000000000004</v>
      </c>
      <c r="CH68" s="121">
        <v>4.3099999999999996</v>
      </c>
      <c r="CI68" s="121">
        <v>4.97</v>
      </c>
    </row>
    <row r="69" spans="1:87" x14ac:dyDescent="0.2">
      <c r="A69" s="26"/>
      <c r="B69" s="84"/>
      <c r="C69" s="84"/>
      <c r="D69" s="84"/>
      <c r="E69" s="87"/>
      <c r="F69" s="87"/>
      <c r="G69" s="26"/>
      <c r="H69" s="85"/>
      <c r="I69" s="85"/>
      <c r="J69" s="85"/>
      <c r="K69" s="55"/>
      <c r="L69" s="55"/>
      <c r="M69" s="106"/>
      <c r="N69" s="85"/>
      <c r="O69" s="85"/>
      <c r="P69" s="85"/>
      <c r="Q69" s="85"/>
      <c r="R69" s="72"/>
      <c r="T69" s="20"/>
      <c r="U69" s="23">
        <v>2026</v>
      </c>
      <c r="V69" s="39">
        <v>2498037</v>
      </c>
      <c r="W69" s="39"/>
      <c r="X69" s="145">
        <v>1727238</v>
      </c>
      <c r="Y69" s="39"/>
      <c r="Z69" s="145">
        <v>219971</v>
      </c>
      <c r="AA69" s="145"/>
      <c r="AB69" s="39">
        <v>1045045</v>
      </c>
      <c r="AC69" s="39"/>
      <c r="AD69" s="39">
        <v>2704364</v>
      </c>
      <c r="AE69" s="39"/>
      <c r="AF69" s="39">
        <v>5121077</v>
      </c>
      <c r="AG69" s="39"/>
      <c r="AH69" s="39">
        <f t="shared" si="155"/>
        <v>1727238</v>
      </c>
      <c r="AI69" s="39"/>
      <c r="AJ69" s="39">
        <f t="shared" si="156"/>
        <v>219971</v>
      </c>
      <c r="AK69" s="39">
        <v>7468650</v>
      </c>
      <c r="AL69" s="39"/>
      <c r="AM69" s="39">
        <v>5451763</v>
      </c>
      <c r="AN69" s="39"/>
      <c r="AO69" s="39">
        <v>5887728</v>
      </c>
      <c r="AP69" s="39"/>
      <c r="AQ69" s="39">
        <v>13724603</v>
      </c>
      <c r="AR69" s="39"/>
      <c r="AS69" s="39">
        <v>6991256</v>
      </c>
      <c r="AT69" s="39"/>
      <c r="AU69" s="39">
        <v>9793301</v>
      </c>
      <c r="AV69" s="39"/>
      <c r="AW69" s="39">
        <v>3751493</v>
      </c>
      <c r="AX69" s="39"/>
      <c r="AY69" s="39">
        <v>29054702</v>
      </c>
      <c r="AZ69" s="39"/>
      <c r="BA69" s="133">
        <v>3435621</v>
      </c>
      <c r="BB69" s="133"/>
      <c r="BC69" s="55">
        <f>'KU StructuralVars'!I33</f>
        <v>8160402</v>
      </c>
      <c r="BD69" s="55">
        <f t="shared" si="157"/>
        <v>8160402</v>
      </c>
      <c r="BE69" s="89"/>
      <c r="BO69" s="26">
        <f t="shared" si="171"/>
        <v>1995</v>
      </c>
      <c r="BP69" s="130">
        <v>27.34</v>
      </c>
      <c r="BQ69" s="130">
        <v>27.44</v>
      </c>
      <c r="BR69" s="130">
        <v>19.72</v>
      </c>
      <c r="BS69" s="130">
        <v>17.11</v>
      </c>
      <c r="BT69" s="130">
        <v>18.34</v>
      </c>
      <c r="BU69" s="130">
        <v>14.51</v>
      </c>
      <c r="BV69" s="130">
        <v>17.63</v>
      </c>
      <c r="BW69" s="130">
        <v>18.09</v>
      </c>
      <c r="BX69" s="130">
        <v>20.97</v>
      </c>
      <c r="BZ69" s="26">
        <f t="shared" si="172"/>
        <v>1995</v>
      </c>
      <c r="CA69" s="121">
        <v>7</v>
      </c>
      <c r="CB69" s="121">
        <v>6</v>
      </c>
      <c r="CC69" s="121">
        <v>3.9</v>
      </c>
      <c r="CD69" s="121">
        <v>3.84</v>
      </c>
      <c r="CE69" s="121">
        <v>5.33</v>
      </c>
      <c r="CF69" s="121">
        <v>4.4400000000000004</v>
      </c>
      <c r="CG69" s="121">
        <v>4.5</v>
      </c>
      <c r="CH69" s="121">
        <v>4.12</v>
      </c>
      <c r="CI69" s="121">
        <v>4.8899999999999997</v>
      </c>
    </row>
    <row r="70" spans="1:87" x14ac:dyDescent="0.2">
      <c r="A70" s="26"/>
      <c r="B70" s="84"/>
      <c r="C70" s="84"/>
      <c r="D70" s="84"/>
      <c r="E70" s="87"/>
      <c r="F70" s="87"/>
      <c r="G70" s="26"/>
      <c r="H70" s="85"/>
      <c r="I70" s="85"/>
      <c r="J70" s="85"/>
      <c r="K70" s="55"/>
      <c r="L70" s="55"/>
      <c r="M70" s="106"/>
      <c r="N70" s="85"/>
      <c r="O70" s="85"/>
      <c r="P70" s="85"/>
      <c r="Q70" s="85"/>
      <c r="R70" s="72"/>
      <c r="T70" s="20"/>
      <c r="U70" s="23">
        <v>2027</v>
      </c>
      <c r="V70" s="39">
        <v>2510503</v>
      </c>
      <c r="W70" s="39"/>
      <c r="X70" s="145">
        <v>1756790.5</v>
      </c>
      <c r="Y70" s="39"/>
      <c r="Z70" s="145">
        <v>224741</v>
      </c>
      <c r="AA70" s="145"/>
      <c r="AB70" s="39">
        <v>1042784</v>
      </c>
      <c r="AC70" s="39"/>
      <c r="AD70" s="39">
        <v>2691580</v>
      </c>
      <c r="AE70" s="39"/>
      <c r="AF70" s="39">
        <v>5169175</v>
      </c>
      <c r="AG70" s="39"/>
      <c r="AH70" s="39">
        <f t="shared" si="155"/>
        <v>1756790.5</v>
      </c>
      <c r="AI70" s="39"/>
      <c r="AJ70" s="39">
        <f t="shared" si="156"/>
        <v>224741</v>
      </c>
      <c r="AK70" s="39">
        <v>7525368</v>
      </c>
      <c r="AL70" s="39"/>
      <c r="AM70" s="39">
        <v>5519262</v>
      </c>
      <c r="AN70" s="39"/>
      <c r="AO70" s="39">
        <v>5937580</v>
      </c>
      <c r="AP70" s="39"/>
      <c r="AQ70" s="39">
        <v>13831965</v>
      </c>
      <c r="AR70" s="39"/>
      <c r="AS70" s="39">
        <v>7049671</v>
      </c>
      <c r="AT70" s="39"/>
      <c r="AU70" s="39">
        <v>9858134</v>
      </c>
      <c r="AV70" s="39"/>
      <c r="AW70" s="39">
        <v>3776152</v>
      </c>
      <c r="AX70" s="39"/>
      <c r="AY70" s="39">
        <v>29382035</v>
      </c>
      <c r="AZ70" s="39"/>
      <c r="BA70" s="133">
        <v>3443439</v>
      </c>
      <c r="BB70" s="133"/>
      <c r="BC70" s="55">
        <f>'KU StructuralVars'!I34</f>
        <v>8215878</v>
      </c>
      <c r="BD70" s="55">
        <f t="shared" si="157"/>
        <v>8215878</v>
      </c>
      <c r="BE70" s="89"/>
      <c r="BO70" s="26">
        <f t="shared" si="171"/>
        <v>1996</v>
      </c>
      <c r="BP70" s="130">
        <v>27</v>
      </c>
      <c r="BQ70" s="130">
        <v>27.05</v>
      </c>
      <c r="BR70" s="130">
        <v>19.350000000000001</v>
      </c>
      <c r="BS70" s="130">
        <v>16.55</v>
      </c>
      <c r="BT70" s="130">
        <v>17.920000000000002</v>
      </c>
      <c r="BU70" s="130">
        <v>14.13</v>
      </c>
      <c r="BV70" s="130">
        <v>17.47</v>
      </c>
      <c r="BW70" s="130">
        <v>17.57</v>
      </c>
      <c r="BX70" s="130">
        <v>20.23</v>
      </c>
      <c r="BZ70" s="26">
        <f t="shared" si="172"/>
        <v>1996</v>
      </c>
      <c r="CA70" s="121">
        <v>6.85</v>
      </c>
      <c r="CB70" s="121">
        <v>6.07</v>
      </c>
      <c r="CC70" s="121">
        <v>4.13</v>
      </c>
      <c r="CD70" s="121">
        <v>4.2</v>
      </c>
      <c r="CE70" s="121">
        <v>5.7</v>
      </c>
      <c r="CF70" s="121">
        <v>4.71</v>
      </c>
      <c r="CG70" s="121">
        <v>4.53</v>
      </c>
      <c r="CH70" s="121">
        <v>3.72</v>
      </c>
      <c r="CI70" s="121">
        <v>4.76</v>
      </c>
    </row>
    <row r="71" spans="1:87" x14ac:dyDescent="0.2">
      <c r="A71" s="26"/>
      <c r="B71" s="84"/>
      <c r="C71" s="84"/>
      <c r="D71" s="84"/>
      <c r="E71" s="87"/>
      <c r="F71" s="87"/>
      <c r="G71" s="26"/>
      <c r="H71" s="85"/>
      <c r="I71" s="85"/>
      <c r="J71" s="85"/>
      <c r="K71" s="55"/>
      <c r="L71" s="55"/>
      <c r="M71" s="106"/>
      <c r="N71" s="85"/>
      <c r="O71" s="85"/>
      <c r="P71" s="85"/>
      <c r="Q71" s="85"/>
      <c r="R71" s="72"/>
      <c r="T71" s="20"/>
      <c r="U71" s="23">
        <v>2028</v>
      </c>
      <c r="V71" s="39">
        <v>2522754</v>
      </c>
      <c r="W71" s="39"/>
      <c r="X71" s="145">
        <v>1784887.5</v>
      </c>
      <c r="Y71" s="39"/>
      <c r="Z71" s="145">
        <v>229055</v>
      </c>
      <c r="AA71" s="145"/>
      <c r="AB71" s="39">
        <v>1040507</v>
      </c>
      <c r="AC71" s="39"/>
      <c r="AD71" s="39">
        <v>2678936</v>
      </c>
      <c r="AE71" s="39"/>
      <c r="AF71" s="39">
        <v>5215693</v>
      </c>
      <c r="AG71" s="39"/>
      <c r="AH71" s="39">
        <f t="shared" si="155"/>
        <v>1784887.5</v>
      </c>
      <c r="AI71" s="39"/>
      <c r="AJ71" s="39">
        <f t="shared" si="156"/>
        <v>229055</v>
      </c>
      <c r="AK71" s="39">
        <v>7578821</v>
      </c>
      <c r="AL71" s="39"/>
      <c r="AM71" s="39">
        <v>5583609</v>
      </c>
      <c r="AN71" s="39"/>
      <c r="AO71" s="39">
        <v>5985107</v>
      </c>
      <c r="AP71" s="39"/>
      <c r="AQ71" s="39">
        <v>13933290</v>
      </c>
      <c r="AR71" s="39"/>
      <c r="AS71" s="39">
        <v>7104850</v>
      </c>
      <c r="AT71" s="39"/>
      <c r="AU71" s="39">
        <v>9918795</v>
      </c>
      <c r="AV71" s="39"/>
      <c r="AW71" s="39">
        <v>3798965</v>
      </c>
      <c r="AX71" s="39"/>
      <c r="AY71" s="39">
        <v>29698661</v>
      </c>
      <c r="AZ71" s="39"/>
      <c r="BA71" s="133">
        <v>3450011</v>
      </c>
      <c r="BB71" s="133"/>
      <c r="BC71" s="55">
        <f>'KU StructuralVars'!I35</f>
        <v>8268095</v>
      </c>
      <c r="BD71" s="55">
        <f t="shared" si="157"/>
        <v>8268095</v>
      </c>
      <c r="BE71" s="89"/>
      <c r="BO71" s="26">
        <f t="shared" si="171"/>
        <v>1997</v>
      </c>
      <c r="BP71" s="130">
        <v>27.07</v>
      </c>
      <c r="BQ71" s="130">
        <v>26.87</v>
      </c>
      <c r="BR71" s="130">
        <v>19.2</v>
      </c>
      <c r="BS71" s="130">
        <v>16.309999999999999</v>
      </c>
      <c r="BT71" s="130">
        <v>17.760000000000002</v>
      </c>
      <c r="BU71" s="130">
        <v>14.08</v>
      </c>
      <c r="BV71" s="130">
        <v>17.18</v>
      </c>
      <c r="BW71" s="130">
        <v>17.100000000000001</v>
      </c>
      <c r="BX71" s="130">
        <v>20.12</v>
      </c>
      <c r="BZ71" s="26">
        <f t="shared" si="172"/>
        <v>1997</v>
      </c>
      <c r="CA71" s="121">
        <v>7.13</v>
      </c>
      <c r="CB71" s="121">
        <v>6.6</v>
      </c>
      <c r="CC71" s="121">
        <v>4.5</v>
      </c>
      <c r="CD71" s="121">
        <v>4.57</v>
      </c>
      <c r="CE71" s="121">
        <v>6.14</v>
      </c>
      <c r="CF71" s="121">
        <v>5.22</v>
      </c>
      <c r="CG71" s="121">
        <v>4.8099999999999996</v>
      </c>
      <c r="CH71" s="121">
        <v>4.05</v>
      </c>
      <c r="CI71" s="121">
        <v>4.91</v>
      </c>
    </row>
    <row r="72" spans="1:87" x14ac:dyDescent="0.2">
      <c r="A72" s="26"/>
      <c r="B72" s="84"/>
      <c r="C72" s="84"/>
      <c r="D72" s="84"/>
      <c r="E72" s="87"/>
      <c r="F72" s="87"/>
      <c r="G72" s="26"/>
      <c r="H72" s="85"/>
      <c r="I72" s="85"/>
      <c r="J72" s="85"/>
      <c r="K72" s="55"/>
      <c r="L72" s="55"/>
      <c r="M72" s="106"/>
      <c r="N72" s="85"/>
      <c r="O72" s="85"/>
      <c r="P72" s="85"/>
      <c r="Q72" s="85"/>
      <c r="R72" s="72"/>
      <c r="T72" s="20"/>
      <c r="U72" s="23">
        <v>2029</v>
      </c>
      <c r="V72" s="39">
        <v>2534412</v>
      </c>
      <c r="W72" s="39"/>
      <c r="X72" s="145">
        <v>1811834</v>
      </c>
      <c r="Y72" s="39"/>
      <c r="Z72" s="145">
        <v>233035</v>
      </c>
      <c r="AA72" s="145"/>
      <c r="AB72" s="39">
        <v>1038138</v>
      </c>
      <c r="AC72" s="39"/>
      <c r="AD72" s="39">
        <v>2666406</v>
      </c>
      <c r="AE72" s="39"/>
      <c r="AF72" s="39">
        <v>5260534</v>
      </c>
      <c r="AG72" s="39"/>
      <c r="AH72" s="39">
        <f t="shared" si="155"/>
        <v>1811834</v>
      </c>
      <c r="AI72" s="39"/>
      <c r="AJ72" s="39">
        <f t="shared" si="156"/>
        <v>233035</v>
      </c>
      <c r="AK72" s="39">
        <v>7629339</v>
      </c>
      <c r="AL72" s="39"/>
      <c r="AM72" s="39">
        <v>5645297</v>
      </c>
      <c r="AN72" s="39"/>
      <c r="AO72" s="39">
        <v>6030411</v>
      </c>
      <c r="AP72" s="39"/>
      <c r="AQ72" s="39">
        <v>14030492</v>
      </c>
      <c r="AR72" s="39"/>
      <c r="AS72" s="39">
        <v>7157159</v>
      </c>
      <c r="AT72" s="39"/>
      <c r="AU72" s="39">
        <v>9975932</v>
      </c>
      <c r="AV72" s="39"/>
      <c r="AW72" s="39">
        <v>3820239</v>
      </c>
      <c r="AX72" s="39"/>
      <c r="AY72" s="39">
        <v>30009006</v>
      </c>
      <c r="AZ72" s="39"/>
      <c r="BA72" s="133">
        <v>3455622</v>
      </c>
      <c r="BB72" s="133"/>
      <c r="BC72" s="55">
        <f>'KU StructuralVars'!I36</f>
        <v>8317381</v>
      </c>
      <c r="BD72" s="55">
        <f t="shared" si="157"/>
        <v>8317381</v>
      </c>
      <c r="BE72" s="89"/>
      <c r="BO72" s="26">
        <f t="shared" si="171"/>
        <v>1998</v>
      </c>
      <c r="BP72" s="130">
        <v>25.67</v>
      </c>
      <c r="BQ72" s="130">
        <v>25.94</v>
      </c>
      <c r="BR72" s="130">
        <v>18.89</v>
      </c>
      <c r="BS72" s="130">
        <v>16.260000000000002</v>
      </c>
      <c r="BT72" s="130">
        <v>17.34</v>
      </c>
      <c r="BU72" s="130">
        <v>14.32</v>
      </c>
      <c r="BV72" s="130">
        <v>16.55</v>
      </c>
      <c r="BW72" s="130">
        <v>16.940000000000001</v>
      </c>
      <c r="BX72" s="130">
        <v>18.91</v>
      </c>
      <c r="BZ72" s="26">
        <f t="shared" si="172"/>
        <v>1998</v>
      </c>
      <c r="CA72" s="121">
        <v>7.03</v>
      </c>
      <c r="CB72" s="121">
        <v>6.36</v>
      </c>
      <c r="CC72" s="121">
        <v>4.25</v>
      </c>
      <c r="CD72" s="121">
        <v>4.32</v>
      </c>
      <c r="CE72" s="121">
        <v>5.89</v>
      </c>
      <c r="CF72" s="121">
        <v>4.99</v>
      </c>
      <c r="CG72" s="121">
        <v>4.59</v>
      </c>
      <c r="CH72" s="121">
        <v>4.28</v>
      </c>
      <c r="CI72" s="121">
        <v>4.95</v>
      </c>
    </row>
    <row r="73" spans="1:87" x14ac:dyDescent="0.2">
      <c r="A73" s="26"/>
      <c r="B73" s="84"/>
      <c r="C73" s="84"/>
      <c r="D73" s="84"/>
      <c r="E73" s="87"/>
      <c r="F73" s="87"/>
      <c r="G73" s="26"/>
      <c r="H73" s="85"/>
      <c r="I73" s="85"/>
      <c r="J73" s="85"/>
      <c r="K73" s="55"/>
      <c r="L73" s="55"/>
      <c r="M73" s="106"/>
      <c r="N73" s="85"/>
      <c r="O73" s="85"/>
      <c r="P73" s="85"/>
      <c r="Q73" s="85"/>
      <c r="R73" s="72"/>
      <c r="T73" s="20"/>
      <c r="U73" s="23">
        <v>2030</v>
      </c>
      <c r="V73" s="39">
        <v>2545783</v>
      </c>
      <c r="W73" s="39"/>
      <c r="X73" s="145">
        <v>1838723.5</v>
      </c>
      <c r="Y73" s="39"/>
      <c r="Z73" s="145">
        <v>236917</v>
      </c>
      <c r="AA73" s="145"/>
      <c r="AB73" s="39">
        <v>1035706</v>
      </c>
      <c r="AC73" s="39"/>
      <c r="AD73" s="39">
        <v>2654000</v>
      </c>
      <c r="AE73" s="39"/>
      <c r="AF73" s="39">
        <v>5304778</v>
      </c>
      <c r="AG73" s="39"/>
      <c r="AH73" s="39">
        <f t="shared" si="155"/>
        <v>1838723.5</v>
      </c>
      <c r="AI73" s="39"/>
      <c r="AJ73" s="39">
        <f t="shared" si="156"/>
        <v>236917</v>
      </c>
      <c r="AK73" s="39">
        <v>7679323</v>
      </c>
      <c r="AL73" s="39"/>
      <c r="AM73" s="39">
        <v>5706665</v>
      </c>
      <c r="AN73" s="39"/>
      <c r="AO73" s="39">
        <v>6074510</v>
      </c>
      <c r="AP73" s="39"/>
      <c r="AQ73" s="39">
        <v>14126277</v>
      </c>
      <c r="AR73" s="39"/>
      <c r="AS73" s="39">
        <v>7208959</v>
      </c>
      <c r="AT73" s="39"/>
      <c r="AU73" s="39">
        <v>10032541</v>
      </c>
      <c r="AV73" s="39"/>
      <c r="AW73" s="39">
        <v>3841218</v>
      </c>
      <c r="AX73" s="39"/>
      <c r="AY73" s="39">
        <v>30319282</v>
      </c>
      <c r="AZ73" s="39"/>
      <c r="BA73" s="133">
        <v>3461059</v>
      </c>
      <c r="BB73" s="133"/>
      <c r="BC73" s="55">
        <f>'KU StructuralVars'!I37</f>
        <v>8366144</v>
      </c>
      <c r="BD73" s="55">
        <f t="shared" si="157"/>
        <v>8366144</v>
      </c>
      <c r="BE73" s="89"/>
      <c r="BO73" s="26">
        <f t="shared" si="171"/>
        <v>1999</v>
      </c>
      <c r="BP73" s="130">
        <v>24.42</v>
      </c>
      <c r="BQ73" s="130">
        <v>24.28</v>
      </c>
      <c r="BR73" s="130">
        <v>18.079999999999998</v>
      </c>
      <c r="BS73" s="130">
        <v>16.100000000000001</v>
      </c>
      <c r="BT73" s="130">
        <v>16.899999999999999</v>
      </c>
      <c r="BU73" s="130">
        <v>14.05</v>
      </c>
      <c r="BV73" s="130">
        <v>16.12</v>
      </c>
      <c r="BW73" s="130">
        <v>16.27</v>
      </c>
      <c r="BX73" s="130">
        <v>18.59</v>
      </c>
      <c r="BZ73" s="26">
        <f t="shared" si="172"/>
        <v>1999</v>
      </c>
      <c r="CA73" s="121">
        <v>6.87</v>
      </c>
      <c r="CB73" s="121">
        <v>6.14</v>
      </c>
      <c r="CC73" s="121">
        <v>4.13</v>
      </c>
      <c r="CD73" s="121">
        <v>4.2699999999999996</v>
      </c>
      <c r="CE73" s="121">
        <v>5.42</v>
      </c>
      <c r="CF73" s="121">
        <v>4.8</v>
      </c>
      <c r="CG73" s="121">
        <v>4.57</v>
      </c>
      <c r="CH73" s="121">
        <v>4.26</v>
      </c>
      <c r="CI73" s="121">
        <v>4.72</v>
      </c>
    </row>
    <row r="74" spans="1:87" x14ac:dyDescent="0.2">
      <c r="A74" s="26"/>
      <c r="B74" s="84"/>
      <c r="C74" s="84"/>
      <c r="D74" s="84"/>
      <c r="E74" s="87"/>
      <c r="F74" s="87"/>
      <c r="G74" s="26"/>
      <c r="H74" s="85"/>
      <c r="I74" s="85"/>
      <c r="J74" s="85"/>
      <c r="K74" s="55"/>
      <c r="L74" s="55"/>
      <c r="M74" s="106"/>
      <c r="N74" s="85"/>
      <c r="O74" s="85"/>
      <c r="P74" s="85"/>
      <c r="Q74" s="85"/>
      <c r="R74" s="72"/>
      <c r="T74" s="20"/>
      <c r="U74" s="23">
        <v>2031</v>
      </c>
      <c r="V74" s="39">
        <v>2556851</v>
      </c>
      <c r="W74" s="39"/>
      <c r="X74" s="145">
        <v>1865037</v>
      </c>
      <c r="Y74" s="39"/>
      <c r="Z74" s="145">
        <v>240608</v>
      </c>
      <c r="AA74" s="145"/>
      <c r="AB74" s="39">
        <v>1033226</v>
      </c>
      <c r="AC74" s="39"/>
      <c r="AD74" s="39">
        <v>2641717</v>
      </c>
      <c r="AE74" s="39"/>
      <c r="AF74" s="39">
        <v>5348037</v>
      </c>
      <c r="AG74" s="39"/>
      <c r="AH74" s="39">
        <f t="shared" si="155"/>
        <v>1865037</v>
      </c>
      <c r="AI74" s="39"/>
      <c r="AJ74" s="39">
        <f t="shared" si="156"/>
        <v>240608</v>
      </c>
      <c r="AK74" s="39">
        <v>7727772</v>
      </c>
      <c r="AL74" s="39"/>
      <c r="AM74" s="39">
        <v>5766696</v>
      </c>
      <c r="AN74" s="39"/>
      <c r="AO74" s="39">
        <v>6117524</v>
      </c>
      <c r="AP74" s="39"/>
      <c r="AQ74" s="39">
        <v>14216761</v>
      </c>
      <c r="AR74" s="39"/>
      <c r="AS74" s="39">
        <v>7259286</v>
      </c>
      <c r="AT74" s="39"/>
      <c r="AU74" s="39">
        <v>10087324</v>
      </c>
      <c r="AV74" s="39"/>
      <c r="AW74" s="39">
        <v>3861389</v>
      </c>
      <c r="AX74" s="39"/>
      <c r="AY74" s="39">
        <v>30625558</v>
      </c>
      <c r="AZ74" s="39"/>
      <c r="BA74" s="133">
        <v>3466039</v>
      </c>
      <c r="BB74" s="133"/>
      <c r="BC74" s="55">
        <f>'KU StructuralVars'!I38</f>
        <v>8413375</v>
      </c>
      <c r="BD74" s="55">
        <f>BC74</f>
        <v>8413375</v>
      </c>
      <c r="BE74" s="89"/>
      <c r="BO74" s="26">
        <f>BO75-1</f>
        <v>2000</v>
      </c>
      <c r="BP74" s="130">
        <v>23.92</v>
      </c>
      <c r="BQ74" s="130">
        <v>24.39</v>
      </c>
      <c r="BR74" s="130">
        <v>17.600000000000001</v>
      </c>
      <c r="BS74" s="130">
        <v>15.75</v>
      </c>
      <c r="BT74" s="130">
        <v>16.5</v>
      </c>
      <c r="BU74" s="130">
        <v>13.77</v>
      </c>
      <c r="BV74" s="130">
        <v>16.64</v>
      </c>
      <c r="BW74" s="130">
        <v>15.88</v>
      </c>
      <c r="BX74" s="130">
        <v>18.690000000000001</v>
      </c>
      <c r="BZ74" s="26">
        <f t="shared" si="172"/>
        <v>2000</v>
      </c>
      <c r="CA74" s="121">
        <v>7.28</v>
      </c>
      <c r="CB74" s="121">
        <v>6.27</v>
      </c>
      <c r="CC74" s="121">
        <v>4.83</v>
      </c>
      <c r="CD74" s="121">
        <v>5.29</v>
      </c>
      <c r="CE74" s="121">
        <v>6.6</v>
      </c>
      <c r="CF74" s="121">
        <v>5.59</v>
      </c>
      <c r="CG74" s="121">
        <v>5.37</v>
      </c>
      <c r="CH74" s="121">
        <v>4.66</v>
      </c>
      <c r="CI74" s="121">
        <v>5.68</v>
      </c>
    </row>
    <row r="75" spans="1:87" x14ac:dyDescent="0.2">
      <c r="A75" s="26"/>
      <c r="B75" s="84"/>
      <c r="C75" s="84"/>
      <c r="D75" s="84"/>
      <c r="E75" s="87"/>
      <c r="F75" s="87"/>
      <c r="G75" s="26"/>
      <c r="H75" s="85"/>
      <c r="I75" s="85"/>
      <c r="J75" s="85"/>
      <c r="K75" s="55"/>
      <c r="L75" s="55"/>
      <c r="M75" s="106"/>
      <c r="N75" s="85"/>
      <c r="O75" s="85"/>
      <c r="P75" s="85"/>
      <c r="Q75" s="85"/>
      <c r="R75" s="72"/>
      <c r="T75" s="20"/>
      <c r="U75" s="23">
        <v>2032</v>
      </c>
      <c r="V75" s="39">
        <v>2567490</v>
      </c>
      <c r="W75" s="39"/>
      <c r="X75" s="145">
        <v>1889901.5</v>
      </c>
      <c r="Y75" s="39"/>
      <c r="Z75" s="145">
        <v>243945</v>
      </c>
      <c r="AA75" s="145"/>
      <c r="AB75" s="39">
        <v>1030708</v>
      </c>
      <c r="AC75" s="39"/>
      <c r="AD75" s="39">
        <v>2629564</v>
      </c>
      <c r="AE75" s="39"/>
      <c r="AF75" s="39">
        <v>5389549</v>
      </c>
      <c r="AG75" s="39"/>
      <c r="AH75" s="39">
        <f t="shared" si="155"/>
        <v>1889901.5</v>
      </c>
      <c r="AI75" s="39"/>
      <c r="AJ75" s="39">
        <f t="shared" si="156"/>
        <v>243945</v>
      </c>
      <c r="AK75" s="39">
        <v>7772919</v>
      </c>
      <c r="AL75" s="39"/>
      <c r="AM75" s="39">
        <v>5823635</v>
      </c>
      <c r="AN75" s="39"/>
      <c r="AO75" s="39">
        <v>6158319</v>
      </c>
      <c r="AP75" s="39"/>
      <c r="AQ75" s="39">
        <v>14304569</v>
      </c>
      <c r="AR75" s="39"/>
      <c r="AS75" s="39">
        <v>7306414</v>
      </c>
      <c r="AT75" s="39"/>
      <c r="AU75" s="39">
        <v>10137994</v>
      </c>
      <c r="AV75" s="39"/>
      <c r="AW75" s="39">
        <v>3879811</v>
      </c>
      <c r="AX75" s="39"/>
      <c r="AY75" s="39">
        <v>30923560</v>
      </c>
      <c r="AZ75" s="39"/>
      <c r="BA75" s="133">
        <v>3471257</v>
      </c>
      <c r="BB75" s="133"/>
      <c r="BC75" s="55">
        <f>'KU StructuralVars'!I39</f>
        <v>8457303</v>
      </c>
      <c r="BD75" s="55">
        <f>BC75</f>
        <v>8457303</v>
      </c>
      <c r="BE75" s="89"/>
      <c r="BO75" s="28">
        <v>2001</v>
      </c>
      <c r="BP75" s="130">
        <v>25.01</v>
      </c>
      <c r="BQ75" s="130">
        <v>23.97</v>
      </c>
      <c r="BR75" s="130">
        <v>17.02</v>
      </c>
      <c r="BS75" s="130">
        <v>15.42</v>
      </c>
      <c r="BT75" s="130">
        <v>16.86</v>
      </c>
      <c r="BU75" s="130">
        <v>13.62</v>
      </c>
      <c r="BV75" s="130">
        <v>17.7</v>
      </c>
      <c r="BW75" s="130">
        <v>16.32</v>
      </c>
      <c r="BX75" s="130">
        <v>21</v>
      </c>
      <c r="BZ75" s="26">
        <f t="shared" si="172"/>
        <v>2001</v>
      </c>
      <c r="CA75" s="121">
        <v>8.7100000000000009</v>
      </c>
      <c r="CB75" s="121">
        <v>7.37</v>
      </c>
      <c r="CC75" s="121">
        <v>5.82</v>
      </c>
      <c r="CD75" s="121">
        <v>6.44</v>
      </c>
      <c r="CE75" s="121">
        <v>7.89</v>
      </c>
      <c r="CF75" s="121">
        <v>7.27</v>
      </c>
      <c r="CG75" s="121">
        <v>6.49</v>
      </c>
      <c r="CH75" s="121">
        <v>5.89</v>
      </c>
      <c r="CI75" s="121">
        <v>7.05</v>
      </c>
    </row>
    <row r="76" spans="1:87" x14ac:dyDescent="0.2">
      <c r="A76" s="26"/>
      <c r="B76" s="84"/>
      <c r="C76" s="84"/>
      <c r="D76" s="84"/>
      <c r="E76" s="87"/>
      <c r="F76" s="87"/>
      <c r="G76" s="26"/>
      <c r="H76" s="85"/>
      <c r="I76" s="85"/>
      <c r="J76" s="85"/>
      <c r="K76" s="55"/>
      <c r="L76" s="55"/>
      <c r="M76" s="106"/>
      <c r="N76" s="85"/>
      <c r="O76" s="85"/>
      <c r="P76" s="85"/>
      <c r="Q76" s="85"/>
      <c r="R76" s="72"/>
      <c r="T76" s="20"/>
      <c r="U76" s="23">
        <v>2033</v>
      </c>
      <c r="V76" s="39">
        <v>2577562</v>
      </c>
      <c r="W76" s="39"/>
      <c r="X76" s="145">
        <v>1914096.5</v>
      </c>
      <c r="Y76" s="39"/>
      <c r="Z76" s="145">
        <v>247124</v>
      </c>
      <c r="AA76" s="145"/>
      <c r="AB76" s="39">
        <v>1028090</v>
      </c>
      <c r="AC76" s="39"/>
      <c r="AD76" s="39">
        <v>2617499</v>
      </c>
      <c r="AE76" s="39"/>
      <c r="AF76" s="39">
        <v>5429709</v>
      </c>
      <c r="AG76" s="39"/>
      <c r="AH76" s="39">
        <f t="shared" si="155"/>
        <v>1914096.5</v>
      </c>
      <c r="AI76" s="39"/>
      <c r="AJ76" s="39">
        <f t="shared" si="156"/>
        <v>247124</v>
      </c>
      <c r="AK76" s="39">
        <v>7816077</v>
      </c>
      <c r="AL76" s="39"/>
      <c r="AM76" s="39">
        <v>5878815</v>
      </c>
      <c r="AN76" s="39"/>
      <c r="AO76" s="39">
        <v>6197574</v>
      </c>
      <c r="AP76" s="39"/>
      <c r="AQ76" s="39">
        <v>14389134</v>
      </c>
      <c r="AR76" s="39"/>
      <c r="AS76" s="39">
        <v>7351616</v>
      </c>
      <c r="AT76" s="39"/>
      <c r="AU76" s="39">
        <v>10186345</v>
      </c>
      <c r="AV76" s="39"/>
      <c r="AW76" s="39">
        <v>3897165</v>
      </c>
      <c r="AX76" s="39"/>
      <c r="AY76" s="39">
        <v>31218538</v>
      </c>
      <c r="AZ76" s="39"/>
      <c r="BA76" s="133">
        <v>3476187</v>
      </c>
      <c r="BB76" s="133"/>
      <c r="BC76" s="55">
        <f>'KU StructuralVars'!I40</f>
        <v>8499250</v>
      </c>
      <c r="BD76" s="55">
        <f>BC76</f>
        <v>8499250</v>
      </c>
      <c r="BE76" s="89"/>
      <c r="BO76" s="28">
        <v>2002</v>
      </c>
      <c r="BP76" s="130">
        <v>23.03</v>
      </c>
      <c r="BQ76" s="130">
        <v>23.33</v>
      </c>
      <c r="BR76" s="130">
        <v>16.61</v>
      </c>
      <c r="BS76" s="130">
        <v>15.19</v>
      </c>
      <c r="BT76" s="130">
        <v>16.28</v>
      </c>
      <c r="BU76" s="130">
        <v>13.53</v>
      </c>
      <c r="BV76" s="130">
        <v>15.86</v>
      </c>
      <c r="BW76" s="130">
        <v>16.22</v>
      </c>
      <c r="BX76" s="130">
        <v>21.55</v>
      </c>
      <c r="BZ76" s="26">
        <f t="shared" si="172"/>
        <v>2002</v>
      </c>
      <c r="CA76" s="121">
        <v>7.17</v>
      </c>
      <c r="CB76" s="121">
        <v>6.19</v>
      </c>
      <c r="CC76" s="121">
        <v>4.18</v>
      </c>
      <c r="CD76" s="121">
        <v>4.82</v>
      </c>
      <c r="CE76" s="121">
        <v>6.7</v>
      </c>
      <c r="CF76" s="121">
        <v>5.78</v>
      </c>
      <c r="CG76" s="121">
        <v>5.23</v>
      </c>
      <c r="CH76" s="121">
        <v>4.79</v>
      </c>
      <c r="CI76" s="121">
        <v>5.13</v>
      </c>
    </row>
    <row r="77" spans="1:87" x14ac:dyDescent="0.2">
      <c r="A77" s="26"/>
      <c r="B77" s="84"/>
      <c r="C77" s="84"/>
      <c r="D77" s="84"/>
      <c r="E77" s="87"/>
      <c r="F77" s="87"/>
      <c r="G77" s="26"/>
      <c r="H77" s="85"/>
      <c r="I77" s="85"/>
      <c r="J77" s="85"/>
      <c r="K77" s="55"/>
      <c r="L77" s="55"/>
      <c r="M77" s="106"/>
      <c r="N77" s="85"/>
      <c r="O77" s="85"/>
      <c r="P77" s="85"/>
      <c r="Q77" s="85"/>
      <c r="R77" s="72"/>
      <c r="T77" s="20"/>
      <c r="U77" s="23">
        <v>2034</v>
      </c>
      <c r="V77" s="39">
        <v>2587141</v>
      </c>
      <c r="W77" s="39"/>
      <c r="X77" s="145">
        <v>1938203.5</v>
      </c>
      <c r="Y77" s="39"/>
      <c r="Z77" s="145">
        <v>250224</v>
      </c>
      <c r="AA77" s="145"/>
      <c r="AB77" s="39">
        <v>1025363</v>
      </c>
      <c r="AC77" s="39"/>
      <c r="AD77" s="39">
        <v>2605533</v>
      </c>
      <c r="AE77" s="39"/>
      <c r="AF77" s="39">
        <v>5469005</v>
      </c>
      <c r="AG77" s="39"/>
      <c r="AH77" s="39">
        <f t="shared" si="155"/>
        <v>1938203.5</v>
      </c>
      <c r="AI77" s="39"/>
      <c r="AJ77" s="39">
        <f t="shared" si="156"/>
        <v>250224</v>
      </c>
      <c r="AK77" s="39">
        <v>7858435</v>
      </c>
      <c r="AL77" s="39"/>
      <c r="AM77" s="39">
        <v>5933371</v>
      </c>
      <c r="AN77" s="39"/>
      <c r="AO77" s="39">
        <v>6236169</v>
      </c>
      <c r="AP77" s="39"/>
      <c r="AQ77" s="39">
        <v>14472532</v>
      </c>
      <c r="AR77" s="39"/>
      <c r="AS77" s="39">
        <v>7396075</v>
      </c>
      <c r="AT77" s="39"/>
      <c r="AU77" s="39">
        <v>10233893</v>
      </c>
      <c r="AV77" s="39"/>
      <c r="AW77" s="39">
        <v>3914078</v>
      </c>
      <c r="AX77" s="39"/>
      <c r="AY77" s="39">
        <v>31512265</v>
      </c>
      <c r="AZ77" s="39"/>
      <c r="BA77" s="133">
        <v>3480088</v>
      </c>
      <c r="BB77" s="133"/>
      <c r="BC77" s="55">
        <f>'KU StructuralVars'!I41</f>
        <v>8540397</v>
      </c>
      <c r="BD77" s="55">
        <f>BC77</f>
        <v>8540397</v>
      </c>
      <c r="BE77" s="89"/>
      <c r="BO77" s="28">
        <v>2003</v>
      </c>
      <c r="BP77" s="130">
        <v>23.55</v>
      </c>
      <c r="BQ77" s="130">
        <v>23.44</v>
      </c>
      <c r="BR77" s="130">
        <v>16.43</v>
      </c>
      <c r="BS77" s="130">
        <v>14.97</v>
      </c>
      <c r="BT77" s="130">
        <v>16.329999999999998</v>
      </c>
      <c r="BU77" s="130">
        <v>13.67</v>
      </c>
      <c r="BV77" s="130">
        <v>17.37</v>
      </c>
      <c r="BW77" s="130">
        <v>16.18</v>
      </c>
      <c r="BX77" s="130">
        <v>20.399999999999999</v>
      </c>
      <c r="BZ77" s="26">
        <f t="shared" si="172"/>
        <v>2003</v>
      </c>
      <c r="CA77" s="121">
        <v>8.31</v>
      </c>
      <c r="CB77" s="121">
        <v>7.48</v>
      </c>
      <c r="CC77" s="121">
        <v>5.73</v>
      </c>
      <c r="CD77" s="121">
        <v>5.92</v>
      </c>
      <c r="CE77" s="121">
        <v>7.75</v>
      </c>
      <c r="CF77" s="121">
        <v>6.7</v>
      </c>
      <c r="CG77" s="121">
        <v>6.3</v>
      </c>
      <c r="CH77" s="121">
        <v>5.18</v>
      </c>
      <c r="CI77" s="121">
        <v>6.01</v>
      </c>
    </row>
    <row r="78" spans="1:87" x14ac:dyDescent="0.2">
      <c r="A78" s="26"/>
      <c r="B78" s="84"/>
      <c r="C78" s="84"/>
      <c r="D78" s="84"/>
      <c r="E78" s="87"/>
      <c r="F78" s="87"/>
      <c r="G78" s="26"/>
      <c r="H78" s="85"/>
      <c r="I78" s="85"/>
      <c r="J78" s="85"/>
      <c r="K78" s="55"/>
      <c r="L78" s="55"/>
      <c r="M78" s="106"/>
      <c r="N78" s="85"/>
      <c r="O78" s="85"/>
      <c r="P78" s="85"/>
      <c r="Q78" s="85"/>
      <c r="R78" s="72"/>
      <c r="T78" s="20"/>
      <c r="U78" s="23">
        <v>2035</v>
      </c>
      <c r="V78" s="39">
        <v>2596280</v>
      </c>
      <c r="W78" s="39"/>
      <c r="X78" s="145">
        <v>1962287.5</v>
      </c>
      <c r="Y78" s="39"/>
      <c r="Z78" s="145">
        <v>253293</v>
      </c>
      <c r="AA78" s="145"/>
      <c r="AB78" s="39">
        <v>1022544</v>
      </c>
      <c r="AC78" s="39"/>
      <c r="AD78" s="39">
        <v>2593669</v>
      </c>
      <c r="AE78" s="39"/>
      <c r="AF78" s="39">
        <v>5507547</v>
      </c>
      <c r="AG78" s="39"/>
      <c r="AH78" s="39">
        <f t="shared" si="155"/>
        <v>1962287.5</v>
      </c>
      <c r="AI78" s="39"/>
      <c r="AJ78" s="39">
        <f t="shared" si="156"/>
        <v>253293</v>
      </c>
      <c r="AK78" s="39">
        <v>7900172</v>
      </c>
      <c r="AL78" s="39"/>
      <c r="AM78" s="39">
        <v>5987541</v>
      </c>
      <c r="AN78" s="39"/>
      <c r="AO78" s="39">
        <v>6274423</v>
      </c>
      <c r="AP78" s="39"/>
      <c r="AQ78" s="39">
        <v>14555068</v>
      </c>
      <c r="AR78" s="39"/>
      <c r="AS78" s="39">
        <v>7439989</v>
      </c>
      <c r="AT78" s="39"/>
      <c r="AU78" s="39">
        <v>10280877</v>
      </c>
      <c r="AV78" s="39"/>
      <c r="AW78" s="39">
        <v>3930662</v>
      </c>
      <c r="AX78" s="39"/>
      <c r="AY78" s="39">
        <v>31805524</v>
      </c>
      <c r="AZ78" s="39"/>
      <c r="BA78" s="133">
        <v>3483961</v>
      </c>
      <c r="BB78" s="133"/>
      <c r="BC78" s="55">
        <f>'KU StructuralVars'!I42</f>
        <v>8580944</v>
      </c>
      <c r="BD78" s="55">
        <f>BC78</f>
        <v>8580944</v>
      </c>
      <c r="BE78" s="47"/>
      <c r="BO78" s="28">
        <v>2004</v>
      </c>
      <c r="BP78" s="130">
        <v>23.35</v>
      </c>
      <c r="BQ78" s="130">
        <v>23.17</v>
      </c>
      <c r="BR78" s="130">
        <v>16.25</v>
      </c>
      <c r="BS78" s="130">
        <v>14.85</v>
      </c>
      <c r="BT78" s="130">
        <v>16.34</v>
      </c>
      <c r="BU78" s="130">
        <v>13.97</v>
      </c>
      <c r="BV78" s="130">
        <v>17.75</v>
      </c>
      <c r="BW78" s="130">
        <v>16.16</v>
      </c>
      <c r="BX78" s="130">
        <v>19.829999999999998</v>
      </c>
      <c r="BZ78" s="26">
        <f t="shared" si="172"/>
        <v>2004</v>
      </c>
      <c r="CA78" s="121">
        <v>9.23</v>
      </c>
      <c r="CB78" s="121">
        <v>7.95</v>
      </c>
      <c r="CC78" s="121">
        <v>6.23</v>
      </c>
      <c r="CD78" s="121">
        <v>6.6</v>
      </c>
      <c r="CE78" s="121">
        <v>8.5399999999999991</v>
      </c>
      <c r="CF78" s="121">
        <v>7.4</v>
      </c>
      <c r="CG78" s="121">
        <v>6.91</v>
      </c>
      <c r="CH78" s="121">
        <v>5.99</v>
      </c>
      <c r="CI78" s="121">
        <v>6.4</v>
      </c>
    </row>
    <row r="79" spans="1:87" x14ac:dyDescent="0.2">
      <c r="A79" s="26"/>
      <c r="B79" s="84"/>
      <c r="C79" s="84"/>
      <c r="D79" s="84"/>
      <c r="E79" s="87"/>
      <c r="F79" s="87"/>
      <c r="G79" s="26"/>
      <c r="H79" s="85"/>
      <c r="I79" s="85"/>
      <c r="J79" s="85"/>
      <c r="K79" s="55"/>
      <c r="L79" s="55"/>
      <c r="M79" s="106"/>
      <c r="N79" s="85"/>
      <c r="O79" s="85"/>
      <c r="P79" s="85"/>
      <c r="Q79" s="85"/>
      <c r="R79" s="72"/>
      <c r="U79" s="23">
        <v>2036</v>
      </c>
      <c r="V79" s="231">
        <f>(V78/V77)*V78</f>
        <v>2605451.283250507</v>
      </c>
      <c r="W79" s="55"/>
      <c r="X79" s="231">
        <f>(X78/X77)*X78</f>
        <v>1986670.7663340047</v>
      </c>
      <c r="Y79" s="55"/>
      <c r="Z79" s="231">
        <f>(Z78/Z77)*Z78</f>
        <v>256399.6413173796</v>
      </c>
      <c r="AA79" s="55"/>
      <c r="AB79" s="231">
        <f>(AB78/AB77)*AB78</f>
        <v>1019732.7501928585</v>
      </c>
      <c r="AC79" s="55"/>
      <c r="AD79" s="231">
        <f>(AD78/AD77)*AD78</f>
        <v>2581859.0213829568</v>
      </c>
      <c r="AE79" s="55"/>
      <c r="AF79" s="231">
        <f>(AF78/AF77)*AF78</f>
        <v>5546360.6190173524</v>
      </c>
      <c r="AG79" s="55"/>
      <c r="AH79" s="231">
        <f>(AH78/AH77)*AH78</f>
        <v>1986670.7663340047</v>
      </c>
      <c r="AI79" s="55"/>
      <c r="AJ79" s="231">
        <f>(AJ78/AJ77)*AJ78</f>
        <v>256399.6413173796</v>
      </c>
      <c r="AK79" s="231">
        <f>(AK78/AK77)*AK78</f>
        <v>7942130.6697305515</v>
      </c>
      <c r="AL79" s="55"/>
      <c r="AM79" s="231">
        <f>(AM78/AM77)*AM78</f>
        <v>6042205.5567873642</v>
      </c>
      <c r="AN79" s="55"/>
      <c r="AO79" s="231">
        <f>(AO78/AO77)*AO78</f>
        <v>6312911.6582518853</v>
      </c>
      <c r="AP79" s="55"/>
      <c r="AQ79" s="231">
        <f>(AQ78/AQ77)*AQ78</f>
        <v>14638074.697960524</v>
      </c>
      <c r="AR79" s="55"/>
      <c r="AS79" s="231">
        <f>(AS78/AS77)*AS78</f>
        <v>7484163.7382153375</v>
      </c>
      <c r="AT79" s="55"/>
      <c r="AU79" s="231">
        <f>(AU78/AU77)*AU78</f>
        <v>10328076.70444952</v>
      </c>
      <c r="AV79" s="55"/>
      <c r="AW79" s="231">
        <f>(AW78/AW77)*AW78</f>
        <v>3947316.2666262654</v>
      </c>
      <c r="AX79" s="55"/>
      <c r="AY79" s="231">
        <f>(AY78/AY77)*AY78</f>
        <v>32101512.122806024</v>
      </c>
      <c r="AZ79" s="55"/>
      <c r="BA79" s="231">
        <f>(BA78/BA77)*BA78</f>
        <v>3487838.3102729013</v>
      </c>
      <c r="BB79" s="55"/>
      <c r="BC79" s="231">
        <f>(BC78/BC77)*BC78</f>
        <v>8621683.5038389899</v>
      </c>
      <c r="BD79" s="231">
        <f>(BD78/BD77)*BD78</f>
        <v>8621683.5038389899</v>
      </c>
      <c r="BE79" s="47"/>
      <c r="BO79" s="28">
        <v>2005</v>
      </c>
      <c r="BP79" s="130">
        <v>25.5</v>
      </c>
      <c r="BQ79" s="130">
        <v>23.7</v>
      </c>
      <c r="BR79" s="130">
        <v>15.96</v>
      </c>
      <c r="BS79" s="130">
        <v>14.76</v>
      </c>
      <c r="BT79" s="130">
        <v>16.75</v>
      </c>
      <c r="BU79" s="130">
        <v>14.09</v>
      </c>
      <c r="BV79" s="130">
        <v>19.05</v>
      </c>
      <c r="BW79" s="130">
        <v>16.45</v>
      </c>
      <c r="BX79" s="130">
        <v>19.670000000000002</v>
      </c>
      <c r="BZ79" s="26">
        <f t="shared" si="172"/>
        <v>2005</v>
      </c>
      <c r="CA79" s="121">
        <v>9.76</v>
      </c>
      <c r="CB79" s="121">
        <v>8.5299999999999994</v>
      </c>
      <c r="CC79" s="121">
        <v>7.4</v>
      </c>
      <c r="CD79" s="121">
        <v>7.46</v>
      </c>
      <c r="CE79" s="121">
        <v>9.84</v>
      </c>
      <c r="CF79" s="121">
        <v>8.74</v>
      </c>
      <c r="CG79" s="121">
        <v>7.91</v>
      </c>
      <c r="CH79" s="121">
        <v>6.87</v>
      </c>
      <c r="CI79" s="121">
        <v>7.4</v>
      </c>
    </row>
    <row r="80" spans="1:87" x14ac:dyDescent="0.2">
      <c r="A80" s="26"/>
      <c r="B80" s="84"/>
      <c r="C80" s="84"/>
      <c r="D80" s="84"/>
      <c r="E80" s="87"/>
      <c r="F80" s="87"/>
      <c r="G80" s="26"/>
      <c r="H80" s="85"/>
      <c r="I80" s="85"/>
      <c r="J80" s="85"/>
      <c r="K80" s="55"/>
      <c r="L80" s="55"/>
      <c r="M80" s="106"/>
      <c r="N80" s="85"/>
      <c r="O80" s="85"/>
      <c r="P80" s="85"/>
      <c r="Q80" s="85"/>
      <c r="R80" s="72"/>
      <c r="U80" s="23">
        <v>2037</v>
      </c>
      <c r="V80" s="231">
        <f t="shared" ref="V80:V85" si="173">(V79/V78)*V79</f>
        <v>2614654.9637911604</v>
      </c>
      <c r="W80" s="55"/>
      <c r="X80" s="231">
        <f t="shared" ref="X80:X85" si="174">(X79/X78)*X79</f>
        <v>2011357.0176674628</v>
      </c>
      <c r="Y80" s="55"/>
      <c r="Z80" s="231">
        <f t="shared" ref="Z80:BD85" si="175">(Z79/Z78)*Z79</f>
        <v>259544.38562329364</v>
      </c>
      <c r="AA80" s="55"/>
      <c r="AB80" s="231">
        <f t="shared" si="175"/>
        <v>1016929.2292712008</v>
      </c>
      <c r="AC80" s="55"/>
      <c r="AD80" s="231">
        <f t="shared" si="175"/>
        <v>2570102.8181686094</v>
      </c>
      <c r="AE80" s="55"/>
      <c r="AF80" s="231">
        <f t="shared" si="175"/>
        <v>5585447.7712467182</v>
      </c>
      <c r="AG80" s="55"/>
      <c r="AH80" s="231">
        <f t="shared" si="175"/>
        <v>2011357.0176674628</v>
      </c>
      <c r="AI80" s="55"/>
      <c r="AJ80" s="231">
        <f t="shared" si="175"/>
        <v>259544.38562329364</v>
      </c>
      <c r="AK80" s="231">
        <f t="shared" si="175"/>
        <v>7984312.1865036171</v>
      </c>
      <c r="AL80" s="55"/>
      <c r="AM80" s="231">
        <f t="shared" si="175"/>
        <v>6097369.185525761</v>
      </c>
      <c r="AN80" s="55"/>
      <c r="AO80" s="231">
        <f t="shared" si="175"/>
        <v>6351636.4141997704</v>
      </c>
      <c r="AP80" s="55"/>
      <c r="AQ80" s="231">
        <f t="shared" si="175"/>
        <v>14721554.778244395</v>
      </c>
      <c r="AR80" s="55"/>
      <c r="AS80" s="231">
        <f t="shared" si="175"/>
        <v>7528600.7627722807</v>
      </c>
      <c r="AT80" s="55"/>
      <c r="AU80" s="231">
        <f t="shared" si="175"/>
        <v>10375493.103651842</v>
      </c>
      <c r="AV80" s="55"/>
      <c r="AW80" s="231">
        <f t="shared" si="175"/>
        <v>3964041.0975994165</v>
      </c>
      <c r="AX80" s="55"/>
      <c r="AY80" s="231">
        <f t="shared" si="175"/>
        <v>32400254.766142577</v>
      </c>
      <c r="AZ80" s="55"/>
      <c r="BA80" s="231">
        <f t="shared" si="175"/>
        <v>3491719.9356156192</v>
      </c>
      <c r="BB80" s="55"/>
      <c r="BC80" s="231">
        <f t="shared" si="175"/>
        <v>8662616.425461974</v>
      </c>
      <c r="BD80" s="231">
        <f t="shared" si="175"/>
        <v>8662616.425461974</v>
      </c>
      <c r="BE80" s="47"/>
      <c r="BO80" s="28"/>
      <c r="BP80" s="130"/>
      <c r="BQ80" s="130"/>
      <c r="BR80" s="130"/>
      <c r="BS80" s="130"/>
      <c r="BT80" s="130"/>
      <c r="BU80" s="130"/>
      <c r="BV80" s="130"/>
      <c r="BW80" s="130"/>
      <c r="BX80" s="130"/>
      <c r="BZ80" s="26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x14ac:dyDescent="0.2">
      <c r="A81" s="26"/>
      <c r="B81" s="84"/>
      <c r="C81" s="84"/>
      <c r="D81" s="84"/>
      <c r="E81" s="87"/>
      <c r="F81" s="87"/>
      <c r="G81" s="26"/>
      <c r="H81" s="85"/>
      <c r="I81" s="85"/>
      <c r="J81" s="85"/>
      <c r="K81" s="55"/>
      <c r="L81" s="55"/>
      <c r="M81" s="106"/>
      <c r="N81" s="85"/>
      <c r="O81" s="85"/>
      <c r="P81" s="85"/>
      <c r="Q81" s="85"/>
      <c r="R81" s="72"/>
      <c r="U81" s="23">
        <v>2038</v>
      </c>
      <c r="V81" s="231">
        <f t="shared" si="173"/>
        <v>2623891.156064441</v>
      </c>
      <c r="W81" s="55"/>
      <c r="X81" s="231">
        <f t="shared" si="174"/>
        <v>2036350.0188737363</v>
      </c>
      <c r="Y81" s="55"/>
      <c r="Z81" s="231">
        <f t="shared" si="175"/>
        <v>262727.70025129849</v>
      </c>
      <c r="AA81" s="55"/>
      <c r="AB81" s="231">
        <f t="shared" si="175"/>
        <v>1014133.415986232</v>
      </c>
      <c r="AC81" s="55"/>
      <c r="AD81" s="231">
        <f t="shared" si="175"/>
        <v>2558400.1454967405</v>
      </c>
      <c r="AE81" s="55"/>
      <c r="AF81" s="231">
        <f t="shared" si="175"/>
        <v>5624810.3843727596</v>
      </c>
      <c r="AG81" s="55"/>
      <c r="AH81" s="231">
        <f t="shared" si="175"/>
        <v>2036350.0188737363</v>
      </c>
      <c r="AI81" s="55"/>
      <c r="AJ81" s="231">
        <f t="shared" si="175"/>
        <v>262727.70025129849</v>
      </c>
      <c r="AK81" s="231">
        <f t="shared" si="175"/>
        <v>8026717.7338839928</v>
      </c>
      <c r="AL81" s="55"/>
      <c r="AM81" s="231">
        <f t="shared" si="175"/>
        <v>6153036.4426010279</v>
      </c>
      <c r="AN81" s="55"/>
      <c r="AO81" s="231">
        <f t="shared" si="175"/>
        <v>6390598.7161176298</v>
      </c>
      <c r="AP81" s="55"/>
      <c r="AQ81" s="231">
        <f t="shared" si="175"/>
        <v>14805510.9405232</v>
      </c>
      <c r="AR81" s="55"/>
      <c r="AS81" s="231">
        <f t="shared" si="175"/>
        <v>7573301.6309890561</v>
      </c>
      <c r="AT81" s="55"/>
      <c r="AU81" s="231">
        <f t="shared" si="175"/>
        <v>10423127.192456756</v>
      </c>
      <c r="AV81" s="55"/>
      <c r="AW81" s="231">
        <f t="shared" si="175"/>
        <v>3980836.7919015195</v>
      </c>
      <c r="AX81" s="55"/>
      <c r="AY81" s="231">
        <f t="shared" si="175"/>
        <v>32701777.56409011</v>
      </c>
      <c r="AZ81" s="55"/>
      <c r="BA81" s="231">
        <f t="shared" si="175"/>
        <v>3495605.8808304071</v>
      </c>
      <c r="BB81" s="55"/>
      <c r="BC81" s="231">
        <f t="shared" si="175"/>
        <v>8703743.6831530631</v>
      </c>
      <c r="BD81" s="231">
        <f t="shared" si="175"/>
        <v>8703743.6831530631</v>
      </c>
      <c r="BE81" s="47"/>
      <c r="BO81" s="28"/>
      <c r="BP81" s="130"/>
      <c r="BQ81" s="130"/>
      <c r="BR81" s="130"/>
      <c r="BS81" s="130"/>
      <c r="BT81" s="130"/>
      <c r="BU81" s="130"/>
      <c r="BV81" s="130"/>
      <c r="BW81" s="130"/>
      <c r="BX81" s="130"/>
      <c r="BZ81" s="26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x14ac:dyDescent="0.2">
      <c r="A82" s="26"/>
      <c r="B82" s="84"/>
      <c r="C82" s="84"/>
      <c r="D82" s="84"/>
      <c r="E82" s="87"/>
      <c r="F82" s="87"/>
      <c r="G82" s="26"/>
      <c r="H82" s="85"/>
      <c r="I82" s="85"/>
      <c r="J82" s="85"/>
      <c r="K82" s="55"/>
      <c r="L82" s="55"/>
      <c r="M82" s="106"/>
      <c r="N82" s="85"/>
      <c r="O82" s="85"/>
      <c r="P82" s="85"/>
      <c r="Q82" s="85"/>
      <c r="R82" s="72"/>
      <c r="U82" s="23">
        <v>2039</v>
      </c>
      <c r="V82" s="231">
        <f t="shared" si="173"/>
        <v>2633159.9749170942</v>
      </c>
      <c r="W82" s="55"/>
      <c r="X82" s="231">
        <f t="shared" si="174"/>
        <v>2061653.5816082763</v>
      </c>
      <c r="Y82" s="55"/>
      <c r="Z82" s="231">
        <f t="shared" si="175"/>
        <v>265950.05826680153</v>
      </c>
      <c r="AA82" s="55"/>
      <c r="AB82" s="231">
        <f t="shared" si="175"/>
        <v>1011345.2891475756</v>
      </c>
      <c r="AC82" s="55"/>
      <c r="AD82" s="231">
        <f t="shared" si="175"/>
        <v>2546750.7596220756</v>
      </c>
      <c r="AE82" s="55"/>
      <c r="AF82" s="231">
        <f t="shared" si="175"/>
        <v>5664450.3996652104</v>
      </c>
      <c r="AG82" s="55"/>
      <c r="AH82" s="231">
        <f t="shared" si="175"/>
        <v>2061653.5816082763</v>
      </c>
      <c r="AI82" s="55"/>
      <c r="AJ82" s="231">
        <f t="shared" si="175"/>
        <v>265950.05826680153</v>
      </c>
      <c r="AK82" s="231">
        <f t="shared" si="175"/>
        <v>8069348.5017225156</v>
      </c>
      <c r="AL82" s="55"/>
      <c r="AM82" s="231">
        <f t="shared" si="175"/>
        <v>6209211.9259975152</v>
      </c>
      <c r="AN82" s="55"/>
      <c r="AO82" s="231">
        <f t="shared" si="175"/>
        <v>6429800.0211634617</v>
      </c>
      <c r="AP82" s="55"/>
      <c r="AQ82" s="231">
        <f t="shared" si="175"/>
        <v>14889945.899864595</v>
      </c>
      <c r="AR82" s="55"/>
      <c r="AS82" s="231">
        <f t="shared" si="175"/>
        <v>7618267.9094304265</v>
      </c>
      <c r="AT82" s="55"/>
      <c r="AU82" s="231">
        <f t="shared" si="175"/>
        <v>10470979.97028142</v>
      </c>
      <c r="AV82" s="55"/>
      <c r="AW82" s="231">
        <f t="shared" si="175"/>
        <v>3997703.6497814325</v>
      </c>
      <c r="AX82" s="55"/>
      <c r="AY82" s="231">
        <f t="shared" si="175"/>
        <v>33006106.3892846</v>
      </c>
      <c r="AZ82" s="55"/>
      <c r="BA82" s="231">
        <f t="shared" si="175"/>
        <v>3499496.1507248632</v>
      </c>
      <c r="BB82" s="55"/>
      <c r="BC82" s="231">
        <f t="shared" si="175"/>
        <v>8745066.1995560843</v>
      </c>
      <c r="BD82" s="231">
        <f t="shared" si="175"/>
        <v>8745066.1995560843</v>
      </c>
      <c r="BE82" s="47"/>
      <c r="BO82" s="28"/>
      <c r="BP82" s="130"/>
      <c r="BQ82" s="130"/>
      <c r="BR82" s="130"/>
      <c r="BS82" s="130"/>
      <c r="BT82" s="130"/>
      <c r="BU82" s="130"/>
      <c r="BV82" s="130"/>
      <c r="BW82" s="130"/>
      <c r="BX82" s="130"/>
      <c r="BZ82" s="26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x14ac:dyDescent="0.2">
      <c r="A83" s="26"/>
      <c r="B83" s="84"/>
      <c r="C83" s="84"/>
      <c r="D83" s="84"/>
      <c r="E83" s="87"/>
      <c r="F83" s="87"/>
      <c r="G83" s="26"/>
      <c r="H83" s="85"/>
      <c r="I83" s="85"/>
      <c r="J83" s="85"/>
      <c r="K83" s="55"/>
      <c r="L83" s="55"/>
      <c r="M83" s="106"/>
      <c r="N83" s="85"/>
      <c r="O83" s="85"/>
      <c r="P83" s="85"/>
      <c r="Q83" s="85"/>
      <c r="R83" s="72"/>
      <c r="U83" s="23">
        <v>2040</v>
      </c>
      <c r="V83" s="231">
        <f t="shared" si="173"/>
        <v>2642461.5356015591</v>
      </c>
      <c r="W83" s="55"/>
      <c r="X83" s="231">
        <f t="shared" si="174"/>
        <v>2087271.5648899358</v>
      </c>
      <c r="Y83" s="55"/>
      <c r="Z83" s="231">
        <f t="shared" si="175"/>
        <v>269211.93853736232</v>
      </c>
      <c r="AA83" s="55"/>
      <c r="AB83" s="231">
        <f t="shared" si="175"/>
        <v>1008564.8276231135</v>
      </c>
      <c r="AC83" s="55"/>
      <c r="AD83" s="231">
        <f t="shared" si="175"/>
        <v>2535154.4179092068</v>
      </c>
      <c r="AE83" s="55"/>
      <c r="AF83" s="231">
        <f t="shared" si="175"/>
        <v>5704369.7720746147</v>
      </c>
      <c r="AG83" s="55"/>
      <c r="AH83" s="231">
        <f t="shared" si="175"/>
        <v>2087271.5648899358</v>
      </c>
      <c r="AI83" s="55"/>
      <c r="AJ83" s="231">
        <f t="shared" si="175"/>
        <v>269211.93853736232</v>
      </c>
      <c r="AK83" s="231">
        <f t="shared" si="175"/>
        <v>8112205.6861894475</v>
      </c>
      <c r="AL83" s="55"/>
      <c r="AM83" s="231">
        <f t="shared" si="175"/>
        <v>6265900.2756778719</v>
      </c>
      <c r="AN83" s="55"/>
      <c r="AO83" s="231">
        <f t="shared" si="175"/>
        <v>6469241.7954337848</v>
      </c>
      <c r="AP83" s="55"/>
      <c r="AQ83" s="231">
        <f t="shared" si="175"/>
        <v>14974862.386820108</v>
      </c>
      <c r="AR83" s="55"/>
      <c r="AS83" s="231">
        <f t="shared" si="175"/>
        <v>7663501.1739625912</v>
      </c>
      <c r="AT83" s="55"/>
      <c r="AU83" s="231">
        <f t="shared" si="175"/>
        <v>10519052.44113134</v>
      </c>
      <c r="AV83" s="55"/>
      <c r="AW83" s="231">
        <f t="shared" si="175"/>
        <v>4014641.9727601707</v>
      </c>
      <c r="AX83" s="55"/>
      <c r="AY83" s="231">
        <f t="shared" si="175"/>
        <v>33313267.355137583</v>
      </c>
      <c r="AZ83" s="55"/>
      <c r="BA83" s="231">
        <f t="shared" si="175"/>
        <v>3503390.7501119357</v>
      </c>
      <c r="BB83" s="55"/>
      <c r="BC83" s="231">
        <f t="shared" si="175"/>
        <v>8786584.901695272</v>
      </c>
      <c r="BD83" s="231">
        <f t="shared" si="175"/>
        <v>8786584.901695272</v>
      </c>
      <c r="BE83" s="47"/>
      <c r="BO83" s="28"/>
      <c r="BP83" s="130"/>
      <c r="BQ83" s="130"/>
      <c r="BR83" s="130"/>
      <c r="BS83" s="130"/>
      <c r="BT83" s="130"/>
      <c r="BU83" s="130"/>
      <c r="BV83" s="130"/>
      <c r="BW83" s="130"/>
      <c r="BX83" s="130"/>
      <c r="BZ83" s="26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x14ac:dyDescent="0.2">
      <c r="A84" s="26"/>
      <c r="B84" s="84"/>
      <c r="C84" s="84"/>
      <c r="D84" s="84"/>
      <c r="E84" s="87"/>
      <c r="F84" s="87"/>
      <c r="G84" s="26"/>
      <c r="H84" s="85"/>
      <c r="I84" s="85"/>
      <c r="J84" s="85"/>
      <c r="K84" s="55"/>
      <c r="L84" s="55"/>
      <c r="M84" s="106"/>
      <c r="N84" s="85"/>
      <c r="O84" s="85"/>
      <c r="P84" s="85"/>
      <c r="Q84" s="85"/>
      <c r="R84" s="72"/>
      <c r="U84" s="23">
        <v>2041</v>
      </c>
      <c r="V84" s="231">
        <f t="shared" si="173"/>
        <v>2651795.9537773998</v>
      </c>
      <c r="W84" s="55"/>
      <c r="X84" s="231">
        <f t="shared" si="174"/>
        <v>2113207.8756895033</v>
      </c>
      <c r="Y84" s="55"/>
      <c r="Z84" s="231">
        <f t="shared" si="175"/>
        <v>272513.82580385619</v>
      </c>
      <c r="AA84" s="55"/>
      <c r="AB84" s="231">
        <f t="shared" si="175"/>
        <v>1005792.0103388254</v>
      </c>
      <c r="AC84" s="55"/>
      <c r="AD84" s="231">
        <f t="shared" si="175"/>
        <v>2523610.8788275393</v>
      </c>
      <c r="AE84" s="55"/>
      <c r="AF84" s="231">
        <f t="shared" si="175"/>
        <v>5744570.4703287389</v>
      </c>
      <c r="AG84" s="55"/>
      <c r="AH84" s="231">
        <f t="shared" si="175"/>
        <v>2113207.8756895033</v>
      </c>
      <c r="AI84" s="55"/>
      <c r="AJ84" s="231">
        <f t="shared" si="175"/>
        <v>272513.82580385619</v>
      </c>
      <c r="AK84" s="231">
        <f t="shared" si="175"/>
        <v>8155290.4898080425</v>
      </c>
      <c r="AL84" s="55"/>
      <c r="AM84" s="231">
        <f t="shared" si="175"/>
        <v>6323106.1739662932</v>
      </c>
      <c r="AN84" s="55"/>
      <c r="AO84" s="231">
        <f t="shared" si="175"/>
        <v>6508925.5140184676</v>
      </c>
      <c r="AP84" s="55"/>
      <c r="AQ84" s="231">
        <f t="shared" si="175"/>
        <v>15060263.14751344</v>
      </c>
      <c r="AR84" s="55"/>
      <c r="AS84" s="231">
        <f t="shared" si="175"/>
        <v>7709003.0098084146</v>
      </c>
      <c r="AT84" s="55"/>
      <c r="AU84" s="231">
        <f t="shared" si="175"/>
        <v>10567345.61362143</v>
      </c>
      <c r="AV84" s="55"/>
      <c r="AW84" s="231">
        <f t="shared" si="175"/>
        <v>4031652.0636362988</v>
      </c>
      <c r="AX84" s="55"/>
      <c r="AY84" s="231">
        <f t="shared" si="175"/>
        <v>33623286.818076864</v>
      </c>
      <c r="AZ84" s="55"/>
      <c r="BA84" s="231">
        <f t="shared" si="175"/>
        <v>3507289.6838099295</v>
      </c>
      <c r="BB84" s="55"/>
      <c r="BC84" s="231">
        <f t="shared" si="175"/>
        <v>8828300.7209960651</v>
      </c>
      <c r="BD84" s="231">
        <f t="shared" si="175"/>
        <v>8828300.7209960651</v>
      </c>
      <c r="BE84" s="47"/>
      <c r="BO84" s="28"/>
      <c r="BP84" s="130"/>
      <c r="BQ84" s="130"/>
      <c r="BR84" s="130"/>
      <c r="BS84" s="130"/>
      <c r="BT84" s="130"/>
      <c r="BU84" s="130"/>
      <c r="BV84" s="130"/>
      <c r="BW84" s="130"/>
      <c r="BX84" s="130"/>
      <c r="BZ84" s="26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x14ac:dyDescent="0.2">
      <c r="A85" s="26"/>
      <c r="B85" s="84"/>
      <c r="C85" s="84"/>
      <c r="D85" s="84"/>
      <c r="E85" s="87"/>
      <c r="F85" s="87"/>
      <c r="G85" s="26"/>
      <c r="H85" s="85"/>
      <c r="I85" s="85"/>
      <c r="J85" s="85"/>
      <c r="K85" s="55"/>
      <c r="L85" s="55"/>
      <c r="M85" s="106"/>
      <c r="N85" s="85"/>
      <c r="O85" s="85"/>
      <c r="P85" s="85"/>
      <c r="Q85" s="85"/>
      <c r="R85" s="72"/>
      <c r="U85" s="23">
        <v>2042</v>
      </c>
      <c r="V85" s="231">
        <f t="shared" si="173"/>
        <v>2661163.3455127445</v>
      </c>
      <c r="W85" s="55"/>
      <c r="X85" s="231">
        <f t="shared" si="174"/>
        <v>2139466.469525551</v>
      </c>
      <c r="Y85" s="55"/>
      <c r="Z85" s="231">
        <f t="shared" si="175"/>
        <v>275856.21075251029</v>
      </c>
      <c r="AA85" s="55"/>
      <c r="AB85" s="231">
        <f t="shared" si="175"/>
        <v>1003026.816278629</v>
      </c>
      <c r="AC85" s="55"/>
      <c r="AD85" s="231">
        <f t="shared" si="175"/>
        <v>2512119.9019462606</v>
      </c>
      <c r="AE85" s="55"/>
      <c r="AF85" s="231">
        <f t="shared" si="175"/>
        <v>5785054.4770296663</v>
      </c>
      <c r="AG85" s="55"/>
      <c r="AH85" s="231">
        <f t="shared" si="175"/>
        <v>2139466.469525551</v>
      </c>
      <c r="AI85" s="55"/>
      <c r="AJ85" s="231">
        <f t="shared" si="175"/>
        <v>275856.21075251029</v>
      </c>
      <c r="AK85" s="231">
        <f t="shared" si="175"/>
        <v>8198604.1214882843</v>
      </c>
      <c r="AL85" s="55"/>
      <c r="AM85" s="231">
        <f t="shared" si="175"/>
        <v>6380834.3459352721</v>
      </c>
      <c r="AN85" s="55"/>
      <c r="AO85" s="231">
        <f t="shared" si="175"/>
        <v>6548852.6610558974</v>
      </c>
      <c r="AP85" s="55"/>
      <c r="AQ85" s="231">
        <f t="shared" si="175"/>
        <v>15146150.943729278</v>
      </c>
      <c r="AR85" s="55"/>
      <c r="AS85" s="231">
        <f t="shared" si="175"/>
        <v>7754775.0116029782</v>
      </c>
      <c r="AT85" s="55"/>
      <c r="AU85" s="231">
        <f t="shared" si="175"/>
        <v>10615860.500997173</v>
      </c>
      <c r="AV85" s="55"/>
      <c r="AW85" s="231">
        <f t="shared" si="175"/>
        <v>4048734.2264913423</v>
      </c>
      <c r="AX85" s="55"/>
      <c r="AY85" s="231">
        <f t="shared" si="175"/>
        <v>33936191.379808061</v>
      </c>
      <c r="AZ85" s="55"/>
      <c r="BA85" s="231">
        <f t="shared" si="175"/>
        <v>3511192.9566425122</v>
      </c>
      <c r="BB85" s="55"/>
      <c r="BC85" s="231">
        <f t="shared" si="175"/>
        <v>8870214.5933060087</v>
      </c>
      <c r="BD85" s="231">
        <f t="shared" si="175"/>
        <v>8870214.5933060087</v>
      </c>
      <c r="BE85" s="47"/>
      <c r="BO85" s="28"/>
      <c r="BP85" s="130"/>
      <c r="BQ85" s="130"/>
      <c r="BR85" s="130"/>
      <c r="BS85" s="130"/>
      <c r="BT85" s="130"/>
      <c r="BU85" s="130"/>
      <c r="BV85" s="130"/>
      <c r="BW85" s="130"/>
      <c r="BX85" s="130"/>
      <c r="BZ85" s="26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x14ac:dyDescent="0.2">
      <c r="A86" s="26"/>
      <c r="B86" s="84"/>
      <c r="C86" s="84"/>
      <c r="D86" s="84"/>
      <c r="E86" s="87"/>
      <c r="F86" s="87"/>
      <c r="G86" s="26"/>
      <c r="H86" s="85"/>
      <c r="I86" s="85"/>
      <c r="J86" s="85"/>
      <c r="K86" s="55"/>
      <c r="L86" s="55"/>
      <c r="M86" s="106"/>
      <c r="N86" s="85"/>
      <c r="O86" s="85"/>
      <c r="P86" s="85"/>
      <c r="Q86" s="85"/>
      <c r="R86" s="72"/>
      <c r="U86" s="23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47"/>
      <c r="BO86" s="28">
        <v>2006</v>
      </c>
      <c r="BP86" s="130">
        <v>29.38</v>
      </c>
      <c r="BQ86" s="130">
        <v>24.56</v>
      </c>
      <c r="BR86" s="130">
        <v>16.79</v>
      </c>
      <c r="BS86" s="130">
        <v>14.92</v>
      </c>
      <c r="BT86" s="130">
        <v>17.93</v>
      </c>
      <c r="BU86" s="130">
        <v>15</v>
      </c>
      <c r="BV86" s="130">
        <v>21.1</v>
      </c>
      <c r="BW86" s="130">
        <v>16.510000000000002</v>
      </c>
      <c r="BX86" s="130">
        <v>21.36</v>
      </c>
      <c r="BZ86" s="26">
        <f>BZ79+1</f>
        <v>2006</v>
      </c>
      <c r="CA86" s="121">
        <v>10.71</v>
      </c>
      <c r="CB86" s="121">
        <v>9.48</v>
      </c>
      <c r="CC86" s="121">
        <v>7.55</v>
      </c>
      <c r="CD86" s="121">
        <v>7.67</v>
      </c>
      <c r="CE86" s="121">
        <v>10.51</v>
      </c>
      <c r="CF86" s="121">
        <v>9.44</v>
      </c>
      <c r="CG86" s="121">
        <v>8.2100000000000009</v>
      </c>
      <c r="CH86" s="121">
        <v>7.33</v>
      </c>
      <c r="CI86" s="121">
        <v>7.33</v>
      </c>
    </row>
    <row r="87" spans="1:87" x14ac:dyDescent="0.2">
      <c r="A87" s="26"/>
      <c r="B87" s="84"/>
      <c r="C87" s="84"/>
      <c r="D87" s="84"/>
      <c r="E87" s="87"/>
      <c r="F87" s="87"/>
      <c r="G87" s="26"/>
      <c r="H87" s="85"/>
      <c r="I87" s="85"/>
      <c r="J87" s="85"/>
      <c r="K87" s="55"/>
      <c r="L87" s="55"/>
      <c r="M87" s="106"/>
      <c r="N87" s="85"/>
      <c r="O87" s="85"/>
      <c r="P87" s="85"/>
      <c r="Q87" s="85"/>
      <c r="R87" s="72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9"/>
      <c r="AI87" s="88"/>
      <c r="AJ87" s="89"/>
      <c r="AK87" s="89"/>
      <c r="AL87" s="88"/>
      <c r="AM87" s="89"/>
      <c r="AN87" s="88"/>
      <c r="AO87" s="89"/>
      <c r="AP87" s="88"/>
      <c r="AQ87" s="89"/>
      <c r="AR87" s="88"/>
      <c r="AS87" s="89"/>
      <c r="AT87" s="88"/>
      <c r="AU87" s="89"/>
      <c r="AV87" s="89"/>
      <c r="AW87" s="89"/>
      <c r="AX87" s="88"/>
      <c r="AY87" s="89"/>
      <c r="AZ87" s="89"/>
      <c r="BA87" s="89"/>
      <c r="BB87" s="89"/>
      <c r="BC87" s="89"/>
      <c r="BD87" s="88"/>
      <c r="BE87" s="110"/>
      <c r="BO87" s="28">
        <v>2007</v>
      </c>
      <c r="BP87" s="130">
        <v>29.82</v>
      </c>
      <c r="BQ87" s="130">
        <v>24.91</v>
      </c>
      <c r="BR87" s="130">
        <v>17.39</v>
      </c>
      <c r="BS87" s="130">
        <v>14.83</v>
      </c>
      <c r="BT87" s="130">
        <v>17.899999999999999</v>
      </c>
      <c r="BU87" s="130">
        <v>14.92</v>
      </c>
      <c r="BV87" s="130">
        <v>19.920000000000002</v>
      </c>
      <c r="BW87" s="130">
        <v>16.62</v>
      </c>
      <c r="BX87" s="130">
        <v>21.11</v>
      </c>
      <c r="BZ87" s="26">
        <f t="shared" si="172"/>
        <v>2007</v>
      </c>
      <c r="CA87" s="121">
        <v>9.93</v>
      </c>
      <c r="CB87" s="121">
        <v>8.94</v>
      </c>
      <c r="CC87" s="121">
        <v>6.87</v>
      </c>
      <c r="CD87" s="121">
        <v>7.09</v>
      </c>
      <c r="CE87" s="121">
        <v>9.6</v>
      </c>
      <c r="CF87" s="121">
        <v>8.25</v>
      </c>
      <c r="CG87" s="121">
        <v>7.31</v>
      </c>
      <c r="CH87" s="121">
        <v>6.47</v>
      </c>
      <c r="CI87" s="121">
        <v>7.09</v>
      </c>
    </row>
    <row r="88" spans="1:87" x14ac:dyDescent="0.2">
      <c r="A88" s="26"/>
      <c r="B88" s="84"/>
      <c r="C88" s="84"/>
      <c r="D88" s="84"/>
      <c r="E88" s="87"/>
      <c r="F88" s="87"/>
      <c r="G88" s="26"/>
      <c r="H88" s="85"/>
      <c r="I88" s="85"/>
      <c r="J88" s="85"/>
      <c r="K88" s="55"/>
      <c r="L88" s="55"/>
      <c r="M88" s="106"/>
      <c r="N88" s="85"/>
      <c r="O88" s="85"/>
      <c r="P88" s="85"/>
      <c r="Q88" s="85"/>
      <c r="R88" s="72"/>
      <c r="BE88" s="47"/>
      <c r="BO88" s="28">
        <v>2008</v>
      </c>
      <c r="BP88" s="130">
        <v>30.94</v>
      </c>
      <c r="BQ88" s="130">
        <v>26</v>
      </c>
      <c r="BR88" s="130">
        <v>18.149999999999999</v>
      </c>
      <c r="BS88" s="130">
        <v>15.15</v>
      </c>
      <c r="BT88" s="130">
        <v>18.64</v>
      </c>
      <c r="BU88" s="130">
        <v>16.28</v>
      </c>
      <c r="BV88" s="130">
        <v>20.72</v>
      </c>
      <c r="BW88" s="130">
        <v>17.190000000000001</v>
      </c>
      <c r="BX88" s="130">
        <v>20.18</v>
      </c>
      <c r="BZ88" s="26">
        <f t="shared" si="172"/>
        <v>2008</v>
      </c>
      <c r="CA88" s="121">
        <v>10.039999999999999</v>
      </c>
      <c r="CB88" s="121">
        <v>9.41</v>
      </c>
      <c r="CC88" s="121">
        <v>7.38</v>
      </c>
      <c r="CD88" s="121">
        <v>7.03</v>
      </c>
      <c r="CE88" s="121">
        <v>9.82</v>
      </c>
      <c r="CF88" s="121">
        <v>8.65</v>
      </c>
      <c r="CG88" s="121">
        <v>7.95</v>
      </c>
      <c r="CH88" s="121">
        <v>6.53</v>
      </c>
      <c r="CI88" s="121">
        <v>7.41</v>
      </c>
    </row>
    <row r="89" spans="1:87" x14ac:dyDescent="0.2">
      <c r="A89" s="26"/>
      <c r="B89" s="84"/>
      <c r="C89" s="84"/>
      <c r="D89" s="84"/>
      <c r="E89" s="87"/>
      <c r="F89" s="87"/>
      <c r="G89" s="26"/>
      <c r="H89" s="85"/>
      <c r="I89" s="85"/>
      <c r="J89" s="85"/>
      <c r="K89" s="55"/>
      <c r="L89" s="55"/>
      <c r="M89" s="106"/>
      <c r="N89" s="85"/>
      <c r="O89" s="85"/>
      <c r="P89" s="85"/>
      <c r="Q89" s="85"/>
      <c r="R89" s="72"/>
      <c r="V89" s="76" t="s">
        <v>79</v>
      </c>
      <c r="W89" s="76"/>
      <c r="Y89" s="76"/>
      <c r="BE89" s="91"/>
      <c r="BO89" s="28">
        <v>2009</v>
      </c>
      <c r="BP89" s="130">
        <v>30.29</v>
      </c>
      <c r="BQ89" s="130">
        <v>25.7</v>
      </c>
      <c r="BR89" s="130">
        <v>18.920000000000002</v>
      </c>
      <c r="BS89" s="130">
        <v>15.83</v>
      </c>
      <c r="BT89" s="130">
        <v>19.600000000000001</v>
      </c>
      <c r="BU89" s="130">
        <v>16.64</v>
      </c>
      <c r="BV89" s="130">
        <v>19.11</v>
      </c>
      <c r="BW89" s="130">
        <v>17.63</v>
      </c>
      <c r="BX89" s="130">
        <v>21.03</v>
      </c>
      <c r="BZ89" s="26">
        <f t="shared" si="172"/>
        <v>2009</v>
      </c>
      <c r="CA89" s="121">
        <v>9.68</v>
      </c>
      <c r="CB89" s="121">
        <v>8.58</v>
      </c>
      <c r="CC89" s="121">
        <v>6.27</v>
      </c>
      <c r="CD89" s="121">
        <v>5.94</v>
      </c>
      <c r="CE89" s="121">
        <v>8.68</v>
      </c>
      <c r="CF89" s="121">
        <v>7.62</v>
      </c>
      <c r="CG89" s="121">
        <v>6.73</v>
      </c>
      <c r="CH89" s="121">
        <v>5.96</v>
      </c>
      <c r="CI89" s="121">
        <v>5.97</v>
      </c>
    </row>
    <row r="90" spans="1:87" x14ac:dyDescent="0.2">
      <c r="A90" s="26"/>
      <c r="B90" s="84"/>
      <c r="C90" s="84"/>
      <c r="D90" s="84"/>
      <c r="E90" s="87"/>
      <c r="F90" s="87"/>
      <c r="G90" s="92"/>
      <c r="H90" s="87"/>
      <c r="I90" s="93"/>
      <c r="J90" s="87"/>
      <c r="K90" s="55"/>
      <c r="L90" s="55"/>
      <c r="M90" s="106"/>
      <c r="N90" s="94"/>
      <c r="P90" s="94"/>
      <c r="Q90" s="94"/>
      <c r="R90" s="72"/>
      <c r="T90" s="96"/>
      <c r="U90" s="8"/>
      <c r="V90" s="23" t="s">
        <v>36</v>
      </c>
      <c r="W90" s="23"/>
      <c r="X90" s="23" t="s">
        <v>39</v>
      </c>
      <c r="Y90" s="23"/>
      <c r="Z90" s="66" t="s">
        <v>166</v>
      </c>
      <c r="AA90" s="66"/>
      <c r="AB90" s="66" t="s">
        <v>145</v>
      </c>
      <c r="AC90" s="66"/>
      <c r="AD90" s="23" t="s">
        <v>4</v>
      </c>
      <c r="AE90" s="66"/>
      <c r="AF90" s="23" t="s">
        <v>2</v>
      </c>
      <c r="AG90" s="66"/>
      <c r="AH90" s="23" t="s">
        <v>40</v>
      </c>
      <c r="AI90" s="66"/>
      <c r="AJ90" s="66" t="s">
        <v>167</v>
      </c>
      <c r="AK90" s="23" t="s">
        <v>41</v>
      </c>
      <c r="AL90" s="66"/>
      <c r="AM90" s="23" t="s">
        <v>42</v>
      </c>
      <c r="AN90" s="66"/>
      <c r="AO90" s="23" t="s">
        <v>5</v>
      </c>
      <c r="AP90" s="66"/>
      <c r="AQ90" s="23" t="s">
        <v>43</v>
      </c>
      <c r="AR90" s="66"/>
      <c r="AS90" s="23" t="s">
        <v>44</v>
      </c>
      <c r="AT90" s="66"/>
      <c r="AU90" s="23" t="s">
        <v>45</v>
      </c>
      <c r="AV90" s="23"/>
      <c r="AW90" s="23" t="s">
        <v>9</v>
      </c>
      <c r="AX90" s="66"/>
      <c r="AY90" s="90" t="s">
        <v>100</v>
      </c>
      <c r="AZ90" s="90"/>
      <c r="BA90" s="90" t="s">
        <v>173</v>
      </c>
      <c r="BB90" s="90"/>
      <c r="BC90" s="23" t="s">
        <v>46</v>
      </c>
      <c r="BD90" s="23" t="s">
        <v>14</v>
      </c>
      <c r="BE90" s="91"/>
      <c r="BF90" s="8"/>
      <c r="BO90" s="28">
        <v>2010</v>
      </c>
      <c r="BP90" s="130">
        <v>31.16</v>
      </c>
      <c r="BQ90" s="130">
        <v>26.35</v>
      </c>
      <c r="BR90" s="130">
        <v>19.93</v>
      </c>
      <c r="BS90" s="130">
        <v>16.72</v>
      </c>
      <c r="BT90" s="130">
        <v>19.78</v>
      </c>
      <c r="BU90" s="130">
        <v>15.85</v>
      </c>
      <c r="BV90" s="130">
        <v>18.309999999999999</v>
      </c>
      <c r="BW90" s="130">
        <v>16.190000000000001</v>
      </c>
      <c r="BX90" s="130">
        <v>20.53</v>
      </c>
      <c r="BZ90" s="26">
        <f t="shared" si="172"/>
        <v>2010</v>
      </c>
      <c r="CA90" s="121">
        <v>8.73</v>
      </c>
      <c r="CB90" s="121">
        <v>7.62</v>
      </c>
      <c r="CC90" s="121">
        <v>5.92</v>
      </c>
      <c r="CD90" s="121">
        <v>5.86</v>
      </c>
      <c r="CE90" s="121">
        <v>7.88</v>
      </c>
      <c r="CF90" s="121">
        <v>6.76</v>
      </c>
      <c r="CG90" s="121">
        <v>6.02</v>
      </c>
      <c r="CH90" s="121">
        <v>5.78</v>
      </c>
      <c r="CI90" s="121">
        <v>6.32</v>
      </c>
    </row>
    <row r="91" spans="1:87" x14ac:dyDescent="0.2">
      <c r="A91" s="26"/>
      <c r="B91" s="84"/>
      <c r="C91" s="81"/>
      <c r="D91" s="81"/>
      <c r="E91" s="30"/>
      <c r="F91" s="30"/>
      <c r="G91" s="30"/>
      <c r="H91" s="81"/>
      <c r="I91" s="81"/>
      <c r="J91" s="95"/>
      <c r="K91" s="55"/>
      <c r="L91" s="55"/>
      <c r="M91" s="106"/>
      <c r="N91" s="96"/>
      <c r="O91" s="71"/>
      <c r="P91" s="20"/>
      <c r="Q91" s="20"/>
      <c r="R91" s="20"/>
      <c r="S91" s="96"/>
      <c r="T91" s="96"/>
      <c r="U91" s="8" t="s">
        <v>15</v>
      </c>
      <c r="V91" s="78" t="s">
        <v>77</v>
      </c>
      <c r="W91" s="78"/>
      <c r="X91" s="78" t="s">
        <v>77</v>
      </c>
      <c r="Y91" s="78"/>
      <c r="Z91" s="78" t="s">
        <v>77</v>
      </c>
      <c r="AA91" s="78"/>
      <c r="AB91" s="78" t="s">
        <v>77</v>
      </c>
      <c r="AC91" s="78"/>
      <c r="AD91" s="78" t="s">
        <v>77</v>
      </c>
      <c r="AE91" s="78"/>
      <c r="AF91" s="78" t="s">
        <v>77</v>
      </c>
      <c r="AG91" s="78"/>
      <c r="AH91" s="78" t="s">
        <v>77</v>
      </c>
      <c r="AI91" s="78"/>
      <c r="AJ91" s="78" t="s">
        <v>77</v>
      </c>
      <c r="AK91" s="78" t="s">
        <v>77</v>
      </c>
      <c r="AL91" s="78"/>
      <c r="AM91" s="78" t="s">
        <v>77</v>
      </c>
      <c r="AN91" s="78"/>
      <c r="AO91" s="78" t="s">
        <v>77</v>
      </c>
      <c r="AP91" s="78"/>
      <c r="AQ91" s="78" t="s">
        <v>77</v>
      </c>
      <c r="AR91" s="78"/>
      <c r="AS91" s="78" t="s">
        <v>77</v>
      </c>
      <c r="AT91" s="78"/>
      <c r="AU91" s="78" t="s">
        <v>77</v>
      </c>
      <c r="AV91" s="78"/>
      <c r="AW91" s="78" t="s">
        <v>77</v>
      </c>
      <c r="AX91" s="78"/>
      <c r="AY91" s="78" t="s">
        <v>77</v>
      </c>
      <c r="AZ91" s="78"/>
      <c r="BA91" s="78" t="s">
        <v>77</v>
      </c>
      <c r="BB91" s="78"/>
      <c r="BC91" s="78" t="s">
        <v>77</v>
      </c>
      <c r="BD91" s="78" t="s">
        <v>77</v>
      </c>
      <c r="BE91" s="97"/>
      <c r="BF91" s="8"/>
      <c r="BO91" s="28">
        <v>2011</v>
      </c>
      <c r="BP91" s="130">
        <v>32.99</v>
      </c>
      <c r="BQ91" s="130">
        <v>25.57</v>
      </c>
      <c r="BR91" s="130">
        <v>18.149999999999999</v>
      </c>
      <c r="BS91" s="130">
        <v>15.07</v>
      </c>
      <c r="BT91" s="130">
        <v>18.36</v>
      </c>
      <c r="BU91" s="130">
        <v>14.64</v>
      </c>
      <c r="BV91" s="130">
        <v>16.52</v>
      </c>
      <c r="BW91" s="130">
        <v>15.32</v>
      </c>
      <c r="BX91" s="130">
        <v>20.51</v>
      </c>
      <c r="BZ91" s="26">
        <f t="shared" si="172"/>
        <v>2011</v>
      </c>
      <c r="CA91" s="121">
        <v>7.92</v>
      </c>
      <c r="CB91" s="121">
        <v>6.97</v>
      </c>
      <c r="CC91" s="121">
        <v>5.47</v>
      </c>
      <c r="CD91" s="121">
        <v>5.43</v>
      </c>
      <c r="CE91" s="121">
        <v>7.49</v>
      </c>
      <c r="CF91" s="121">
        <v>6.38</v>
      </c>
      <c r="CG91" s="121">
        <v>5.84</v>
      </c>
      <c r="CH91" s="121">
        <v>5.47</v>
      </c>
      <c r="CI91" s="121">
        <v>5.9</v>
      </c>
    </row>
    <row r="92" spans="1:87" x14ac:dyDescent="0.2">
      <c r="A92" s="30"/>
      <c r="B92" s="81"/>
      <c r="C92" s="30"/>
      <c r="D92" s="30"/>
      <c r="E92" s="30"/>
      <c r="F92" s="30"/>
      <c r="G92" s="30"/>
      <c r="H92" s="30"/>
      <c r="I92" s="30"/>
      <c r="J92" s="95"/>
      <c r="K92" s="55"/>
      <c r="L92" s="55"/>
      <c r="M92" s="106"/>
      <c r="N92" s="96"/>
      <c r="O92" s="71"/>
      <c r="P92" s="20"/>
      <c r="Q92" s="20"/>
      <c r="R92" s="20"/>
      <c r="S92" s="96"/>
      <c r="T92" s="96"/>
      <c r="U92" s="8">
        <v>2005</v>
      </c>
      <c r="V92" s="133">
        <v>20494125</v>
      </c>
      <c r="W92" s="133"/>
      <c r="X92" s="55">
        <v>9340069</v>
      </c>
      <c r="Y92" s="133"/>
      <c r="Z92" s="55">
        <v>208675</v>
      </c>
      <c r="AA92" s="55"/>
      <c r="AB92" s="55">
        <v>2213161</v>
      </c>
      <c r="AC92" s="55"/>
      <c r="AD92" s="133">
        <v>9831042</v>
      </c>
      <c r="AE92" s="55"/>
      <c r="AF92" s="133">
        <v>63913651</v>
      </c>
      <c r="AG92" s="55"/>
      <c r="AH92" s="55">
        <v>14816839</v>
      </c>
      <c r="AI92" s="55"/>
      <c r="AJ92" s="55">
        <v>369877</v>
      </c>
      <c r="AK92" s="133">
        <v>2337285</v>
      </c>
      <c r="AL92" s="55"/>
      <c r="AM92" s="133">
        <v>6027026</v>
      </c>
      <c r="AN92" s="55"/>
      <c r="AO92" s="133">
        <v>47715975</v>
      </c>
      <c r="AP92" s="55"/>
      <c r="AQ92" s="133">
        <v>12869848</v>
      </c>
      <c r="AR92" s="55"/>
      <c r="AS92" s="133">
        <v>17820575</v>
      </c>
      <c r="AT92" s="55"/>
      <c r="AU92" s="133">
        <v>23733426</v>
      </c>
      <c r="AV92" s="133"/>
      <c r="AW92" s="133">
        <v>6871528</v>
      </c>
      <c r="AX92" s="55"/>
      <c r="AY92" s="133">
        <v>16964206</v>
      </c>
      <c r="AZ92" s="133"/>
      <c r="BA92" s="133">
        <v>5355859</v>
      </c>
      <c r="BB92" s="133"/>
      <c r="BC92" s="55">
        <v>47257268</v>
      </c>
      <c r="BD92" s="120">
        <v>92249539</v>
      </c>
      <c r="BE92" s="54"/>
      <c r="BF92" s="8"/>
      <c r="BO92" s="28">
        <v>2012</v>
      </c>
      <c r="BP92" s="130">
        <v>33.56</v>
      </c>
      <c r="BQ92" s="130">
        <v>26.38</v>
      </c>
      <c r="BR92" s="130">
        <v>18.059999999999999</v>
      </c>
      <c r="BS92" s="130">
        <v>15.06</v>
      </c>
      <c r="BT92" s="130">
        <v>18.43</v>
      </c>
      <c r="BU92" s="130">
        <v>14.61</v>
      </c>
      <c r="BV92" s="130">
        <v>16.690000000000001</v>
      </c>
      <c r="BW92" s="130">
        <v>15.79</v>
      </c>
      <c r="BX92" s="130">
        <v>20.49</v>
      </c>
      <c r="BZ92" s="26">
        <f t="shared" si="172"/>
        <v>2012</v>
      </c>
      <c r="CA92" s="121">
        <v>7.91</v>
      </c>
      <c r="CB92" s="121">
        <v>7.02</v>
      </c>
      <c r="CC92" s="121">
        <v>5.27</v>
      </c>
      <c r="CD92" s="121">
        <v>5.37</v>
      </c>
      <c r="CE92" s="121">
        <v>7.42</v>
      </c>
      <c r="CF92" s="121">
        <v>6.34</v>
      </c>
      <c r="CG92" s="121">
        <v>5.77</v>
      </c>
      <c r="CH92" s="121">
        <v>5.42</v>
      </c>
      <c r="CI92" s="121">
        <v>5.85</v>
      </c>
    </row>
    <row r="93" spans="1:87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20"/>
      <c r="N93" s="96"/>
      <c r="O93" s="71"/>
      <c r="P93" s="20"/>
      <c r="Q93" s="20"/>
      <c r="R93" s="20"/>
      <c r="S93" s="96"/>
      <c r="T93" s="96"/>
      <c r="U93" s="8">
        <v>2006</v>
      </c>
      <c r="V93" s="133">
        <v>17534643</v>
      </c>
      <c r="W93" s="133"/>
      <c r="X93" s="55">
        <v>8101381</v>
      </c>
      <c r="Y93" s="133"/>
      <c r="Z93" s="55">
        <v>194881</v>
      </c>
      <c r="AA93" s="55"/>
      <c r="AB93" s="55">
        <v>2008778</v>
      </c>
      <c r="AC93" s="55"/>
      <c r="AD93" s="133">
        <v>9142811</v>
      </c>
      <c r="AE93" s="55"/>
      <c r="AF93" s="133">
        <v>62833390</v>
      </c>
      <c r="AG93" s="55"/>
      <c r="AH93" s="55">
        <v>14042753</v>
      </c>
      <c r="AI93" s="55"/>
      <c r="AJ93" s="55">
        <v>377608</v>
      </c>
      <c r="AK93" s="133">
        <v>2372072</v>
      </c>
      <c r="AL93" s="55"/>
      <c r="AM93" s="133">
        <v>5933117</v>
      </c>
      <c r="AN93" s="55"/>
      <c r="AO93" s="133">
        <v>47231775</v>
      </c>
      <c r="AP93" s="55"/>
      <c r="AQ93" s="133">
        <v>12924445</v>
      </c>
      <c r="AR93" s="55"/>
      <c r="AS93" s="133">
        <v>17784108</v>
      </c>
      <c r="AT93" s="55"/>
      <c r="AU93" s="133">
        <v>23276832</v>
      </c>
      <c r="AV93" s="133"/>
      <c r="AW93" s="133">
        <v>6726589</v>
      </c>
      <c r="AX93" s="55"/>
      <c r="AY93" s="133">
        <v>18270788</v>
      </c>
      <c r="AZ93" s="133"/>
      <c r="BA93" s="133">
        <v>5160366</v>
      </c>
      <c r="BB93" s="133"/>
      <c r="BC93" s="55">
        <v>47201147</v>
      </c>
      <c r="BD93" s="120">
        <v>99172490</v>
      </c>
      <c r="BE93" s="54"/>
      <c r="BF93" s="8"/>
      <c r="BO93" s="28">
        <v>2013</v>
      </c>
      <c r="BP93" s="130">
        <v>33.869999999999997</v>
      </c>
      <c r="BQ93" s="130">
        <v>26.77</v>
      </c>
      <c r="BR93" s="130">
        <v>18.21</v>
      </c>
      <c r="BS93" s="130">
        <v>15.44</v>
      </c>
      <c r="BT93" s="130">
        <v>18.53</v>
      </c>
      <c r="BU93" s="130">
        <v>14.53</v>
      </c>
      <c r="BV93" s="130">
        <v>16.739999999999998</v>
      </c>
      <c r="BW93" s="130">
        <v>16.239999999999998</v>
      </c>
      <c r="BX93" s="130">
        <v>20.36</v>
      </c>
      <c r="BZ93" s="26">
        <f t="shared" si="172"/>
        <v>2013</v>
      </c>
      <c r="CA93" s="121">
        <v>8.0299999999999994</v>
      </c>
      <c r="CB93" s="121">
        <v>7.19</v>
      </c>
      <c r="CC93" s="121">
        <v>5.22</v>
      </c>
      <c r="CD93" s="121">
        <v>5.33</v>
      </c>
      <c r="CE93" s="121">
        <v>7.43</v>
      </c>
      <c r="CF93" s="121">
        <v>6.34</v>
      </c>
      <c r="CG93" s="121">
        <v>5.74</v>
      </c>
      <c r="CH93" s="121">
        <v>5.44</v>
      </c>
      <c r="CI93" s="121">
        <v>5.83</v>
      </c>
    </row>
    <row r="94" spans="1:87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20"/>
      <c r="N94" s="96"/>
      <c r="O94" s="71"/>
      <c r="P94" s="20"/>
      <c r="Q94" s="20"/>
      <c r="R94" s="20"/>
      <c r="S94" s="96"/>
      <c r="T94" s="96"/>
      <c r="U94" s="8">
        <v>2007</v>
      </c>
      <c r="V94" s="133">
        <v>17552512</v>
      </c>
      <c r="W94" s="133"/>
      <c r="X94" s="55">
        <v>8275669</v>
      </c>
      <c r="Y94" s="133"/>
      <c r="Z94" s="55">
        <v>239136</v>
      </c>
      <c r="AA94" s="55"/>
      <c r="AB94" s="55">
        <v>1965897</v>
      </c>
      <c r="AC94" s="55"/>
      <c r="AD94" s="133">
        <v>10653352</v>
      </c>
      <c r="AE94" s="55"/>
      <c r="AF94" s="133">
        <v>65537315</v>
      </c>
      <c r="AG94" s="55"/>
      <c r="AH94" s="55">
        <v>16869697</v>
      </c>
      <c r="AI94" s="55"/>
      <c r="AJ94" s="55">
        <v>543964</v>
      </c>
      <c r="AK94" s="133">
        <v>2333077</v>
      </c>
      <c r="AL94" s="55"/>
      <c r="AM94" s="133">
        <v>5880061</v>
      </c>
      <c r="AN94" s="55"/>
      <c r="AO94" s="133">
        <v>47555087</v>
      </c>
      <c r="AP94" s="55"/>
      <c r="AQ94" s="133">
        <v>13046963</v>
      </c>
      <c r="AR94" s="55"/>
      <c r="AS94" s="133">
        <v>17677198</v>
      </c>
      <c r="AT94" s="55"/>
      <c r="AU94" s="133">
        <v>22937221</v>
      </c>
      <c r="AV94" s="133"/>
      <c r="AW94" s="133">
        <v>6633289</v>
      </c>
      <c r="AX94" s="55"/>
      <c r="AY94" s="133">
        <v>19386927</v>
      </c>
      <c r="AZ94" s="133"/>
      <c r="BA94" s="133">
        <v>5265706</v>
      </c>
      <c r="BB94" s="133"/>
      <c r="BC94" s="55">
        <v>46885897</v>
      </c>
      <c r="BD94" s="120">
        <v>107820993</v>
      </c>
      <c r="BE94" s="54"/>
      <c r="BF94" s="8"/>
      <c r="BG94" s="8"/>
      <c r="BH94" s="55"/>
      <c r="BO94" s="28">
        <v>2014</v>
      </c>
      <c r="BP94" s="130">
        <v>33.67</v>
      </c>
      <c r="BQ94" s="130">
        <v>26.92</v>
      </c>
      <c r="BR94" s="130">
        <v>18.22</v>
      </c>
      <c r="BS94" s="130">
        <v>15.38</v>
      </c>
      <c r="BT94" s="130">
        <v>18.47</v>
      </c>
      <c r="BU94" s="130">
        <v>14.37</v>
      </c>
      <c r="BV94" s="130">
        <v>16.79</v>
      </c>
      <c r="BW94" s="130">
        <v>16.32</v>
      </c>
      <c r="BX94" s="130">
        <v>20.39</v>
      </c>
      <c r="BZ94" s="26">
        <f t="shared" si="172"/>
        <v>2014</v>
      </c>
      <c r="CA94" s="121">
        <v>8.09</v>
      </c>
      <c r="CB94" s="121">
        <v>7.33</v>
      </c>
      <c r="CC94" s="121">
        <v>5.16</v>
      </c>
      <c r="CD94" s="121">
        <v>5.27</v>
      </c>
      <c r="CE94" s="121">
        <v>7.31</v>
      </c>
      <c r="CF94" s="121">
        <v>6.32</v>
      </c>
      <c r="CG94" s="121">
        <v>5.69</v>
      </c>
      <c r="CH94" s="121">
        <v>5.38</v>
      </c>
      <c r="CI94" s="121">
        <v>5.74</v>
      </c>
    </row>
    <row r="95" spans="1:87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20"/>
      <c r="N95" s="96"/>
      <c r="O95" s="71"/>
      <c r="P95" s="20"/>
      <c r="Q95" s="20"/>
      <c r="R95" s="20"/>
      <c r="S95" s="96"/>
      <c r="T95" s="96"/>
      <c r="U95" s="8">
        <v>2008</v>
      </c>
      <c r="V95" s="133">
        <v>19534839</v>
      </c>
      <c r="W95" s="133"/>
      <c r="X95" s="55">
        <v>9275081</v>
      </c>
      <c r="Y95" s="133"/>
      <c r="Z95" s="55">
        <v>317277</v>
      </c>
      <c r="AA95" s="55"/>
      <c r="AB95" s="55">
        <v>2154513</v>
      </c>
      <c r="AC95" s="55"/>
      <c r="AD95" s="133">
        <v>8242545</v>
      </c>
      <c r="AE95" s="55"/>
      <c r="AF95" s="133">
        <v>54232169</v>
      </c>
      <c r="AG95" s="55"/>
      <c r="AH95" s="55">
        <v>13296407</v>
      </c>
      <c r="AI95" s="55"/>
      <c r="AJ95" s="55">
        <v>506397</v>
      </c>
      <c r="AK95" s="133">
        <v>2292121</v>
      </c>
      <c r="AL95" s="55"/>
      <c r="AM95" s="133">
        <v>5820279</v>
      </c>
      <c r="AN95" s="55"/>
      <c r="AO95" s="133">
        <v>47601738</v>
      </c>
      <c r="AP95" s="55"/>
      <c r="AQ95" s="133">
        <v>13138781</v>
      </c>
      <c r="AR95" s="55"/>
      <c r="AS95" s="133">
        <v>17466721</v>
      </c>
      <c r="AT95" s="55"/>
      <c r="AU95" s="133">
        <v>22591265</v>
      </c>
      <c r="AV95" s="133"/>
      <c r="AW95" s="133">
        <v>6545870</v>
      </c>
      <c r="AX95" s="55"/>
      <c r="AY95" s="133">
        <v>20100755</v>
      </c>
      <c r="AZ95" s="133"/>
      <c r="BA95" s="133">
        <v>6072899</v>
      </c>
      <c r="BB95" s="133"/>
      <c r="BC95" s="55">
        <v>46436271</v>
      </c>
      <c r="BD95" s="120">
        <v>113764020</v>
      </c>
      <c r="BE95" s="54"/>
      <c r="BF95" s="8"/>
      <c r="BG95" s="8"/>
      <c r="BH95" s="55"/>
      <c r="BO95" s="28">
        <v>2015</v>
      </c>
      <c r="BP95" s="130">
        <v>33.39</v>
      </c>
      <c r="BQ95" s="130">
        <v>26.81</v>
      </c>
      <c r="BR95" s="130">
        <v>18.27</v>
      </c>
      <c r="BS95" s="130">
        <v>15.34</v>
      </c>
      <c r="BT95" s="130">
        <v>18.48</v>
      </c>
      <c r="BU95" s="130">
        <v>14.27</v>
      </c>
      <c r="BV95" s="130">
        <v>16.899999999999999</v>
      </c>
      <c r="BW95" s="130">
        <v>16.489999999999998</v>
      </c>
      <c r="BX95" s="130">
        <v>20.309999999999999</v>
      </c>
      <c r="BZ95" s="26">
        <f t="shared" si="172"/>
        <v>2015</v>
      </c>
      <c r="CA95" s="121">
        <v>8.02</v>
      </c>
      <c r="CB95" s="121">
        <v>7.2</v>
      </c>
      <c r="CC95" s="121">
        <v>5.25</v>
      </c>
      <c r="CD95" s="121">
        <v>5.35</v>
      </c>
      <c r="CE95" s="121">
        <v>7.42</v>
      </c>
      <c r="CF95" s="121">
        <v>6.45</v>
      </c>
      <c r="CG95" s="121">
        <v>5.78</v>
      </c>
      <c r="CH95" s="121">
        <v>5.47</v>
      </c>
      <c r="CI95" s="121">
        <v>5.79</v>
      </c>
    </row>
    <row r="96" spans="1:87" x14ac:dyDescent="0.2">
      <c r="A96" s="30"/>
      <c r="B96" s="30"/>
      <c r="C96" s="77"/>
      <c r="D96" s="77"/>
      <c r="E96" s="32"/>
      <c r="F96" s="32"/>
      <c r="G96" s="23"/>
      <c r="H96" s="32"/>
      <c r="I96" s="77"/>
      <c r="J96" s="32"/>
      <c r="K96" s="23"/>
      <c r="L96" s="32"/>
      <c r="M96" s="20"/>
      <c r="N96" s="96"/>
      <c r="O96" s="71"/>
      <c r="P96" s="20"/>
      <c r="Q96" s="20"/>
      <c r="R96" s="20"/>
      <c r="S96" s="96"/>
      <c r="T96" s="96"/>
      <c r="U96" s="8">
        <v>2009</v>
      </c>
      <c r="V96" s="133">
        <v>18756529</v>
      </c>
      <c r="W96" s="133"/>
      <c r="X96" s="55">
        <v>9008521</v>
      </c>
      <c r="Y96" s="133"/>
      <c r="Z96" s="55">
        <v>366076</v>
      </c>
      <c r="AA96" s="55"/>
      <c r="AB96" s="55">
        <v>2054810</v>
      </c>
      <c r="AC96" s="55"/>
      <c r="AD96" s="133">
        <v>7658958</v>
      </c>
      <c r="AE96" s="55"/>
      <c r="AF96" s="133">
        <v>48231619</v>
      </c>
      <c r="AG96" s="55"/>
      <c r="AH96" s="55">
        <v>12627376</v>
      </c>
      <c r="AI96" s="55"/>
      <c r="AJ96" s="55">
        <v>568413</v>
      </c>
      <c r="AK96" s="133">
        <v>2240001</v>
      </c>
      <c r="AL96" s="55"/>
      <c r="AM96" s="133">
        <v>5745037</v>
      </c>
      <c r="AN96" s="55"/>
      <c r="AO96" s="133">
        <v>47486582</v>
      </c>
      <c r="AP96" s="55"/>
      <c r="AQ96" s="133">
        <v>13180097</v>
      </c>
      <c r="AR96" s="55"/>
      <c r="AS96" s="133">
        <v>17205102</v>
      </c>
      <c r="AT96" s="55"/>
      <c r="AU96" s="133">
        <v>22178662</v>
      </c>
      <c r="AV96" s="133"/>
      <c r="AW96" s="133">
        <v>6446920</v>
      </c>
      <c r="AX96" s="55"/>
      <c r="AY96" s="133">
        <v>20217282</v>
      </c>
      <c r="AZ96" s="133"/>
      <c r="BA96" s="133">
        <v>6130062</v>
      </c>
      <c r="BB96" s="133"/>
      <c r="BC96" s="55">
        <v>45678017</v>
      </c>
      <c r="BD96" s="120">
        <v>113482945</v>
      </c>
      <c r="BE96" s="54"/>
      <c r="BF96" s="8"/>
      <c r="BG96" s="8"/>
      <c r="BH96" s="55"/>
      <c r="BO96" s="28">
        <v>2016</v>
      </c>
      <c r="BP96" s="130">
        <v>32.61</v>
      </c>
      <c r="BQ96" s="130">
        <v>26.48</v>
      </c>
      <c r="BR96" s="130">
        <v>18.22</v>
      </c>
      <c r="BS96" s="130">
        <v>15.18</v>
      </c>
      <c r="BT96" s="130">
        <v>18.46</v>
      </c>
      <c r="BU96" s="130">
        <v>14.25</v>
      </c>
      <c r="BV96" s="130">
        <v>17.059999999999999</v>
      </c>
      <c r="BW96" s="130">
        <v>16.47</v>
      </c>
      <c r="BX96" s="130">
        <v>19.98</v>
      </c>
      <c r="BZ96" s="26">
        <f t="shared" si="172"/>
        <v>2016</v>
      </c>
      <c r="CA96" s="121">
        <v>8</v>
      </c>
      <c r="CB96" s="121">
        <v>7.02</v>
      </c>
      <c r="CC96" s="121">
        <v>5.35</v>
      </c>
      <c r="CD96" s="121">
        <v>5.45</v>
      </c>
      <c r="CE96" s="121">
        <v>7.5</v>
      </c>
      <c r="CF96" s="121">
        <v>6.51</v>
      </c>
      <c r="CG96" s="121">
        <v>5.82</v>
      </c>
      <c r="CH96" s="121">
        <v>5.54</v>
      </c>
      <c r="CI96" s="121">
        <v>5.91</v>
      </c>
    </row>
    <row r="97" spans="1:87" x14ac:dyDescent="0.2">
      <c r="A97" s="77"/>
      <c r="B97" s="77"/>
      <c r="C97" s="32"/>
      <c r="D97" s="32"/>
      <c r="E97" s="32"/>
      <c r="F97" s="32"/>
      <c r="G97" s="75"/>
      <c r="H97" s="32"/>
      <c r="I97" s="32"/>
      <c r="J97" s="32"/>
      <c r="K97" s="75"/>
      <c r="L97" s="32"/>
      <c r="M97" s="20"/>
      <c r="N97" s="96"/>
      <c r="O97" s="71"/>
      <c r="P97" s="20"/>
      <c r="Q97" s="20"/>
      <c r="R97" s="20"/>
      <c r="S97" s="96"/>
      <c r="T97" s="96"/>
      <c r="U97" s="8">
        <v>2010</v>
      </c>
      <c r="V97" s="133">
        <v>19625036</v>
      </c>
      <c r="W97" s="133"/>
      <c r="X97" s="55">
        <v>9628184</v>
      </c>
      <c r="Y97" s="133"/>
      <c r="Z97" s="55">
        <v>469516</v>
      </c>
      <c r="AA97" s="55"/>
      <c r="AB97" s="55">
        <v>2123918</v>
      </c>
      <c r="AC97" s="55"/>
      <c r="AD97" s="133">
        <v>10553263</v>
      </c>
      <c r="AE97" s="55"/>
      <c r="AF97" s="133">
        <v>80309223</v>
      </c>
      <c r="AG97" s="55"/>
      <c r="AH97" s="55">
        <v>17998204</v>
      </c>
      <c r="AI97" s="55"/>
      <c r="AJ97" s="55">
        <v>959607</v>
      </c>
      <c r="AK97" s="133">
        <v>2204388</v>
      </c>
      <c r="AL97" s="55"/>
      <c r="AM97" s="133">
        <v>5728916</v>
      </c>
      <c r="AN97" s="55"/>
      <c r="AO97" s="133">
        <v>48008669</v>
      </c>
      <c r="AP97" s="55"/>
      <c r="AQ97" s="133">
        <v>13351589</v>
      </c>
      <c r="AR97" s="55"/>
      <c r="AS97" s="133">
        <v>17190776</v>
      </c>
      <c r="AT97" s="55"/>
      <c r="AU97" s="133">
        <v>21982622</v>
      </c>
      <c r="AV97" s="133"/>
      <c r="AW97" s="133">
        <v>6414773</v>
      </c>
      <c r="AX97" s="55"/>
      <c r="AY97" s="133">
        <v>20524560</v>
      </c>
      <c r="AZ97" s="133"/>
      <c r="BA97" s="133">
        <v>6728265</v>
      </c>
      <c r="BB97" s="133"/>
      <c r="BC97" s="55">
        <v>45640539</v>
      </c>
      <c r="BD97" s="120">
        <v>118197971</v>
      </c>
      <c r="BE97" s="54"/>
      <c r="BF97" s="8"/>
      <c r="BG97" s="8"/>
      <c r="BH97" s="55"/>
      <c r="BO97" s="28">
        <v>2017</v>
      </c>
      <c r="BP97" s="130">
        <v>31.93</v>
      </c>
      <c r="BQ97" s="130">
        <v>26.1</v>
      </c>
      <c r="BR97" s="130">
        <v>18.04</v>
      </c>
      <c r="BS97" s="130">
        <v>15.1</v>
      </c>
      <c r="BT97" s="130">
        <v>18.579999999999998</v>
      </c>
      <c r="BU97" s="130">
        <v>14.47</v>
      </c>
      <c r="BV97" s="130">
        <v>17.09</v>
      </c>
      <c r="BW97" s="130">
        <v>16.510000000000002</v>
      </c>
      <c r="BX97" s="130">
        <v>19.739999999999998</v>
      </c>
      <c r="BZ97" s="26">
        <f t="shared" si="172"/>
        <v>2017</v>
      </c>
      <c r="CA97" s="121">
        <v>8.11</v>
      </c>
      <c r="CB97" s="121">
        <v>7.02</v>
      </c>
      <c r="CC97" s="121">
        <v>5.45</v>
      </c>
      <c r="CD97" s="121">
        <v>5.58</v>
      </c>
      <c r="CE97" s="121">
        <v>7.59</v>
      </c>
      <c r="CF97" s="121">
        <v>6.57</v>
      </c>
      <c r="CG97" s="121">
        <v>5.86</v>
      </c>
      <c r="CH97" s="121">
        <v>5.62</v>
      </c>
      <c r="CI97" s="121">
        <v>6.05</v>
      </c>
    </row>
    <row r="98" spans="1:87" x14ac:dyDescent="0.2">
      <c r="A98" s="83"/>
      <c r="B98" s="32"/>
      <c r="C98" s="33"/>
      <c r="D98" s="33"/>
      <c r="E98" s="32"/>
      <c r="F98" s="32"/>
      <c r="G98" s="75"/>
      <c r="H98" s="33"/>
      <c r="I98" s="33"/>
      <c r="J98" s="32"/>
      <c r="K98" s="75"/>
      <c r="L98" s="33"/>
      <c r="M98" s="20"/>
      <c r="N98" s="96"/>
      <c r="O98" s="71"/>
      <c r="P98" s="20"/>
      <c r="Q98" s="20"/>
      <c r="R98" s="20"/>
      <c r="S98" s="96"/>
      <c r="T98" s="96"/>
      <c r="U98" s="8">
        <v>2011</v>
      </c>
      <c r="V98" s="133">
        <v>17900930</v>
      </c>
      <c r="W98" s="133"/>
      <c r="X98" s="55">
        <v>9104430</v>
      </c>
      <c r="Y98" s="133"/>
      <c r="Z98" s="55">
        <v>517330</v>
      </c>
      <c r="AA98" s="55"/>
      <c r="AB98" s="55">
        <v>1930357</v>
      </c>
      <c r="AC98" s="55"/>
      <c r="AD98" s="133">
        <v>7747352</v>
      </c>
      <c r="AE98" s="55"/>
      <c r="AF98" s="133">
        <v>46866621</v>
      </c>
      <c r="AG98" s="55"/>
      <c r="AH98" s="55">
        <v>13730169</v>
      </c>
      <c r="AI98" s="55"/>
      <c r="AJ98" s="55">
        <v>843220</v>
      </c>
      <c r="AK98" s="133">
        <v>2170087</v>
      </c>
      <c r="AL98" s="55"/>
      <c r="AM98" s="133">
        <v>5723962</v>
      </c>
      <c r="AN98" s="55"/>
      <c r="AO98" s="133">
        <v>48349209</v>
      </c>
      <c r="AP98" s="55"/>
      <c r="AQ98" s="133">
        <v>13520044</v>
      </c>
      <c r="AR98" s="55"/>
      <c r="AS98" s="133">
        <v>17085848</v>
      </c>
      <c r="AT98" s="55"/>
      <c r="AU98" s="133">
        <v>21843433</v>
      </c>
      <c r="AV98" s="133"/>
      <c r="AW98" s="133">
        <v>6399868</v>
      </c>
      <c r="AX98" s="55"/>
      <c r="AY98" s="133">
        <v>20530468</v>
      </c>
      <c r="AZ98" s="133"/>
      <c r="BA98" s="133">
        <v>6434287</v>
      </c>
      <c r="BB98" s="133"/>
      <c r="BC98" s="55">
        <v>45030429</v>
      </c>
      <c r="BD98" s="120">
        <v>117047794</v>
      </c>
      <c r="BE98" s="223">
        <f t="shared" ref="BE98:BE103" si="176">BC98/BC97-1</f>
        <v>-1.3367721183135006E-2</v>
      </c>
      <c r="BF98" s="8"/>
      <c r="BG98" s="8"/>
      <c r="BH98" s="55"/>
      <c r="BO98" s="28">
        <v>2018</v>
      </c>
      <c r="BP98" s="130">
        <v>31.4</v>
      </c>
      <c r="BQ98" s="130">
        <v>25.8</v>
      </c>
      <c r="BR98" s="130">
        <v>17.84</v>
      </c>
      <c r="BS98" s="130">
        <v>14.97</v>
      </c>
      <c r="BT98" s="130">
        <v>18.7</v>
      </c>
      <c r="BU98" s="130">
        <v>14.46</v>
      </c>
      <c r="BV98" s="130">
        <v>17.22</v>
      </c>
      <c r="BW98" s="130">
        <v>16.52</v>
      </c>
      <c r="BX98" s="130">
        <v>19.41</v>
      </c>
      <c r="BZ98" s="26">
        <f t="shared" si="172"/>
        <v>2018</v>
      </c>
      <c r="CA98" s="121">
        <v>8.19</v>
      </c>
      <c r="CB98" s="121">
        <v>7.03</v>
      </c>
      <c r="CC98" s="121">
        <v>5.53</v>
      </c>
      <c r="CD98" s="121">
        <v>5.67</v>
      </c>
      <c r="CE98" s="121">
        <v>7.67</v>
      </c>
      <c r="CF98" s="121">
        <v>6.63</v>
      </c>
      <c r="CG98" s="121">
        <v>5.89</v>
      </c>
      <c r="CH98" s="121">
        <v>5.73</v>
      </c>
      <c r="CI98" s="121">
        <v>6.18</v>
      </c>
    </row>
    <row r="99" spans="1:87" x14ac:dyDescent="0.2">
      <c r="A99" s="83"/>
      <c r="B99" s="33"/>
      <c r="C99" s="33"/>
      <c r="D99" s="33"/>
      <c r="E99" s="98"/>
      <c r="F99" s="98"/>
      <c r="G99" s="75"/>
      <c r="H99" s="33"/>
      <c r="I99" s="33"/>
      <c r="J99" s="98"/>
      <c r="K99" s="75"/>
      <c r="L99" s="33"/>
      <c r="M99" s="20"/>
      <c r="N99" s="96"/>
      <c r="O99" s="71"/>
      <c r="P99" s="20"/>
      <c r="Q99" s="20"/>
      <c r="R99" s="20"/>
      <c r="S99" s="96"/>
      <c r="T99" s="96"/>
      <c r="U99" s="8">
        <v>2012</v>
      </c>
      <c r="V99" s="133">
        <v>17452731</v>
      </c>
      <c r="W99" s="133"/>
      <c r="X99" s="55">
        <v>9063426</v>
      </c>
      <c r="Y99" s="133"/>
      <c r="Z99" s="55">
        <v>566773</v>
      </c>
      <c r="AA99" s="55"/>
      <c r="AB99" s="55">
        <v>1842272</v>
      </c>
      <c r="AC99" s="55"/>
      <c r="AD99" s="133">
        <v>8130107</v>
      </c>
      <c r="AE99" s="55"/>
      <c r="AF99" s="133">
        <v>49675757</v>
      </c>
      <c r="AG99" s="55"/>
      <c r="AH99" s="55">
        <v>14833581</v>
      </c>
      <c r="AI99" s="55"/>
      <c r="AJ99" s="55">
        <v>995162</v>
      </c>
      <c r="AK99" s="133">
        <v>2134856</v>
      </c>
      <c r="AL99" s="55"/>
      <c r="AM99" s="133">
        <v>5713850</v>
      </c>
      <c r="AN99" s="55"/>
      <c r="AO99" s="133">
        <v>49422410</v>
      </c>
      <c r="AP99" s="55"/>
      <c r="AQ99" s="133">
        <v>13709113</v>
      </c>
      <c r="AR99" s="55"/>
      <c r="AS99" s="133">
        <v>17219678</v>
      </c>
      <c r="AT99" s="55"/>
      <c r="AU99" s="133">
        <v>21716527</v>
      </c>
      <c r="AV99" s="133"/>
      <c r="AW99" s="133">
        <v>6389494</v>
      </c>
      <c r="AX99" s="55"/>
      <c r="AY99" s="133">
        <v>20597130</v>
      </c>
      <c r="AZ99" s="133"/>
      <c r="BA99" s="133">
        <v>6422445</v>
      </c>
      <c r="BB99" s="133"/>
      <c r="BC99" s="55">
        <v>44840707</v>
      </c>
      <c r="BD99" s="120">
        <v>120364231</v>
      </c>
      <c r="BE99" s="223">
        <f t="shared" si="176"/>
        <v>-4.2131954816597705E-3</v>
      </c>
      <c r="BF99" s="8"/>
      <c r="BG99" s="8"/>
      <c r="BH99" s="55"/>
      <c r="BO99" s="28">
        <v>2019</v>
      </c>
      <c r="BP99" s="130">
        <v>31.05</v>
      </c>
      <c r="BQ99" s="130">
        <v>25.69</v>
      </c>
      <c r="BR99" s="130">
        <v>17.68</v>
      </c>
      <c r="BS99" s="130">
        <v>14.85</v>
      </c>
      <c r="BT99" s="130">
        <v>18.760000000000002</v>
      </c>
      <c r="BU99" s="130">
        <v>14.46</v>
      </c>
      <c r="BV99" s="130">
        <v>17.07</v>
      </c>
      <c r="BW99" s="130">
        <v>16.57</v>
      </c>
      <c r="BX99" s="130">
        <v>19.190000000000001</v>
      </c>
      <c r="BZ99" s="26">
        <f t="shared" si="172"/>
        <v>2019</v>
      </c>
      <c r="CA99" s="121">
        <v>8.27</v>
      </c>
      <c r="CB99" s="121">
        <v>7.06</v>
      </c>
      <c r="CC99" s="121">
        <v>5.6</v>
      </c>
      <c r="CD99" s="121">
        <v>5.75</v>
      </c>
      <c r="CE99" s="121">
        <v>7.73</v>
      </c>
      <c r="CF99" s="121">
        <v>6.69</v>
      </c>
      <c r="CG99" s="121">
        <v>5.93</v>
      </c>
      <c r="CH99" s="121">
        <v>5.84</v>
      </c>
      <c r="CI99" s="121">
        <v>6.3</v>
      </c>
    </row>
    <row r="100" spans="1:87" x14ac:dyDescent="0.2">
      <c r="A100" s="83"/>
      <c r="B100" s="33"/>
      <c r="C100" s="33"/>
      <c r="D100" s="33"/>
      <c r="E100" s="98"/>
      <c r="F100" s="98"/>
      <c r="G100" s="75"/>
      <c r="H100" s="33"/>
      <c r="I100" s="33"/>
      <c r="J100" s="98"/>
      <c r="K100" s="75"/>
      <c r="L100" s="33"/>
      <c r="M100" s="20"/>
      <c r="N100" s="96"/>
      <c r="O100" s="71"/>
      <c r="P100" s="20"/>
      <c r="Q100" s="20"/>
      <c r="R100" s="20"/>
      <c r="S100" s="96"/>
      <c r="T100" s="96"/>
      <c r="U100" s="8">
        <v>2013</v>
      </c>
      <c r="V100" s="133">
        <v>17302792</v>
      </c>
      <c r="W100" s="133"/>
      <c r="X100" s="55">
        <v>9191669</v>
      </c>
      <c r="Y100" s="133"/>
      <c r="Z100" s="55">
        <v>629432</v>
      </c>
      <c r="AA100" s="55"/>
      <c r="AB100" s="55">
        <v>1796103</v>
      </c>
      <c r="AC100" s="55"/>
      <c r="AD100" s="133">
        <v>8046340</v>
      </c>
      <c r="AE100" s="55"/>
      <c r="AF100" s="133">
        <v>49731948</v>
      </c>
      <c r="AG100" s="55"/>
      <c r="AH100" s="55">
        <v>15146644</v>
      </c>
      <c r="AI100" s="55"/>
      <c r="AJ100" s="55">
        <v>1104246</v>
      </c>
      <c r="AK100" s="133">
        <v>2090965</v>
      </c>
      <c r="AL100" s="55"/>
      <c r="AM100" s="133">
        <v>5662955</v>
      </c>
      <c r="AN100" s="55"/>
      <c r="AO100" s="133">
        <v>49942114</v>
      </c>
      <c r="AP100" s="55"/>
      <c r="AQ100" s="133">
        <v>13819797</v>
      </c>
      <c r="AR100" s="55"/>
      <c r="AS100" s="133">
        <v>17161197</v>
      </c>
      <c r="AT100" s="55"/>
      <c r="AU100" s="133">
        <v>21536272</v>
      </c>
      <c r="AV100" s="133"/>
      <c r="AW100" s="133">
        <v>6357458</v>
      </c>
      <c r="AX100" s="55"/>
      <c r="AY100" s="133">
        <v>20388724</v>
      </c>
      <c r="AZ100" s="133"/>
      <c r="BA100" s="133">
        <v>6531047</v>
      </c>
      <c r="BB100" s="133"/>
      <c r="BC100" s="55">
        <v>39606952</v>
      </c>
      <c r="BD100" s="120">
        <v>122514570</v>
      </c>
      <c r="BE100" s="223">
        <f t="shared" si="176"/>
        <v>-0.11671883317986043</v>
      </c>
      <c r="BF100" s="31"/>
      <c r="BG100" s="8"/>
      <c r="BH100" s="55"/>
      <c r="BI100" s="82"/>
      <c r="BJ100" s="64"/>
      <c r="BK100" s="64"/>
      <c r="BO100" s="28">
        <v>2020</v>
      </c>
      <c r="BP100" s="130">
        <v>30.72</v>
      </c>
      <c r="BQ100" s="130">
        <v>25.52</v>
      </c>
      <c r="BR100" s="130">
        <v>17.510000000000002</v>
      </c>
      <c r="BS100" s="130">
        <v>14.73</v>
      </c>
      <c r="BT100" s="130">
        <v>18.84</v>
      </c>
      <c r="BU100" s="130">
        <v>14.4</v>
      </c>
      <c r="BV100" s="130">
        <v>17.149999999999999</v>
      </c>
      <c r="BW100" s="130">
        <v>16.57</v>
      </c>
      <c r="BX100" s="130">
        <v>19</v>
      </c>
      <c r="BZ100" s="26">
        <f t="shared" si="172"/>
        <v>2020</v>
      </c>
      <c r="CA100" s="121">
        <v>8.36</v>
      </c>
      <c r="CB100" s="121">
        <v>7.1</v>
      </c>
      <c r="CC100" s="121">
        <v>5.71</v>
      </c>
      <c r="CD100" s="121">
        <v>5.87</v>
      </c>
      <c r="CE100" s="121">
        <v>7.84</v>
      </c>
      <c r="CF100" s="121">
        <v>6.83</v>
      </c>
      <c r="CG100" s="121">
        <v>6.04</v>
      </c>
      <c r="CH100" s="121">
        <v>5.94</v>
      </c>
      <c r="CI100" s="121">
        <v>6.4</v>
      </c>
    </row>
    <row r="101" spans="1:87" x14ac:dyDescent="0.2">
      <c r="A101" s="83"/>
      <c r="B101" s="33"/>
      <c r="C101" s="33"/>
      <c r="D101" s="33"/>
      <c r="E101" s="98"/>
      <c r="F101" s="98"/>
      <c r="G101" s="75"/>
      <c r="H101" s="33"/>
      <c r="I101" s="33"/>
      <c r="J101" s="98"/>
      <c r="K101" s="75"/>
      <c r="L101" s="33"/>
      <c r="M101" s="20"/>
      <c r="N101" s="96"/>
      <c r="O101" s="71"/>
      <c r="P101" s="20"/>
      <c r="Q101" s="20"/>
      <c r="R101" s="20"/>
      <c r="S101" s="96"/>
      <c r="T101" s="96"/>
      <c r="U101" s="8">
        <v>2014</v>
      </c>
      <c r="V101" s="133">
        <v>17154530</v>
      </c>
      <c r="W101" s="133"/>
      <c r="X101" s="55">
        <v>9308448</v>
      </c>
      <c r="Y101" s="133"/>
      <c r="Z101" s="55">
        <v>687253</v>
      </c>
      <c r="AA101" s="55"/>
      <c r="AB101" s="55">
        <v>1754701</v>
      </c>
      <c r="AC101" s="55"/>
      <c r="AD101" s="133">
        <v>7893727</v>
      </c>
      <c r="AE101" s="55"/>
      <c r="AF101" s="133">
        <v>49648697</v>
      </c>
      <c r="AG101" s="55"/>
      <c r="AH101" s="55">
        <v>15394619</v>
      </c>
      <c r="AI101" s="55"/>
      <c r="AJ101" s="55">
        <v>1201518</v>
      </c>
      <c r="AK101" s="133">
        <v>2050660</v>
      </c>
      <c r="AL101" s="55"/>
      <c r="AM101" s="133">
        <v>5626967</v>
      </c>
      <c r="AN101" s="55"/>
      <c r="AO101" s="133">
        <v>50462696</v>
      </c>
      <c r="AP101" s="55"/>
      <c r="AQ101" s="133">
        <v>13951817</v>
      </c>
      <c r="AR101" s="55"/>
      <c r="AS101" s="133">
        <v>17092064</v>
      </c>
      <c r="AT101" s="55"/>
      <c r="AU101" s="133">
        <v>21223912</v>
      </c>
      <c r="AV101" s="133"/>
      <c r="AW101" s="133">
        <v>6321571</v>
      </c>
      <c r="AX101" s="55"/>
      <c r="AY101" s="133">
        <v>20179081</v>
      </c>
      <c r="AZ101" s="133"/>
      <c r="BA101" s="133">
        <v>6649923</v>
      </c>
      <c r="BB101" s="133"/>
      <c r="BC101" s="55">
        <v>37641389</v>
      </c>
      <c r="BD101" s="120">
        <v>125880083</v>
      </c>
      <c r="BE101" s="223">
        <f t="shared" si="176"/>
        <v>-4.9626717047047686E-2</v>
      </c>
      <c r="BF101" s="31"/>
      <c r="BG101" s="8"/>
      <c r="BH101" s="55"/>
      <c r="BO101" s="26">
        <v>2021</v>
      </c>
      <c r="BP101" s="130">
        <v>30.46</v>
      </c>
      <c r="BQ101" s="130">
        <v>25.39</v>
      </c>
      <c r="BR101" s="130">
        <v>17.37</v>
      </c>
      <c r="BS101" s="130">
        <v>14.67</v>
      </c>
      <c r="BT101" s="130">
        <v>18.84</v>
      </c>
      <c r="BU101" s="130">
        <v>14.32</v>
      </c>
      <c r="BV101" s="130">
        <v>17.13</v>
      </c>
      <c r="BW101" s="130">
        <v>16.649999999999999</v>
      </c>
      <c r="BX101" s="130">
        <v>18.82</v>
      </c>
      <c r="BZ101" s="26">
        <f t="shared" si="172"/>
        <v>2021</v>
      </c>
      <c r="CA101" s="121">
        <v>8.4600000000000009</v>
      </c>
      <c r="CB101" s="121">
        <v>7.17</v>
      </c>
      <c r="CC101" s="121">
        <v>5.82</v>
      </c>
      <c r="CD101" s="121">
        <v>5.98</v>
      </c>
      <c r="CE101" s="121">
        <v>7.96</v>
      </c>
      <c r="CF101" s="121">
        <v>6.96</v>
      </c>
      <c r="CG101" s="121">
        <v>6.14</v>
      </c>
      <c r="CH101" s="121">
        <v>6.07</v>
      </c>
      <c r="CI101" s="121">
        <v>6.53</v>
      </c>
    </row>
    <row r="102" spans="1:87" x14ac:dyDescent="0.2">
      <c r="A102" s="83"/>
      <c r="B102" s="33"/>
      <c r="C102" s="33"/>
      <c r="D102" s="33"/>
      <c r="E102" s="98"/>
      <c r="F102" s="98"/>
      <c r="G102" s="75"/>
      <c r="H102" s="33"/>
      <c r="I102" s="33"/>
      <c r="J102" s="98"/>
      <c r="K102" s="75"/>
      <c r="L102" s="33"/>
      <c r="M102" s="20"/>
      <c r="N102" s="96"/>
      <c r="O102" s="71"/>
      <c r="P102" s="20"/>
      <c r="Q102" s="20"/>
      <c r="R102" s="20"/>
      <c r="S102" s="96"/>
      <c r="T102" s="96"/>
      <c r="U102" s="8">
        <v>2015</v>
      </c>
      <c r="V102" s="133">
        <v>17013690</v>
      </c>
      <c r="W102" s="133"/>
      <c r="X102" s="55">
        <v>9379326</v>
      </c>
      <c r="Y102" s="133"/>
      <c r="Z102" s="55">
        <v>746733</v>
      </c>
      <c r="AA102" s="55"/>
      <c r="AB102" s="55">
        <v>1714897</v>
      </c>
      <c r="AC102" s="55"/>
      <c r="AD102" s="133">
        <v>7755589</v>
      </c>
      <c r="AE102" s="55"/>
      <c r="AF102" s="133">
        <v>49443931</v>
      </c>
      <c r="AG102" s="55"/>
      <c r="AH102" s="55">
        <v>15578506</v>
      </c>
      <c r="AI102" s="55"/>
      <c r="AJ102" s="55">
        <v>1303945</v>
      </c>
      <c r="AK102" s="133">
        <v>2008373</v>
      </c>
      <c r="AL102" s="55"/>
      <c r="AM102" s="133">
        <v>5598474</v>
      </c>
      <c r="AN102" s="55"/>
      <c r="AO102" s="133">
        <v>50587708</v>
      </c>
      <c r="AP102" s="55"/>
      <c r="AQ102" s="133">
        <v>14091564</v>
      </c>
      <c r="AR102" s="55"/>
      <c r="AS102" s="133">
        <v>16962296</v>
      </c>
      <c r="AT102" s="55"/>
      <c r="AU102" s="133">
        <v>20959072</v>
      </c>
      <c r="AV102" s="133"/>
      <c r="AW102" s="133">
        <v>6296497</v>
      </c>
      <c r="AX102" s="55"/>
      <c r="AY102" s="133">
        <v>20031728</v>
      </c>
      <c r="AZ102" s="133"/>
      <c r="BA102" s="133">
        <v>6760741</v>
      </c>
      <c r="BB102" s="133"/>
      <c r="BC102" s="55">
        <v>36643994</v>
      </c>
      <c r="BD102" s="120">
        <v>129120196</v>
      </c>
      <c r="BE102" s="223">
        <f t="shared" si="176"/>
        <v>-2.6497295304378943E-2</v>
      </c>
      <c r="BF102" s="31"/>
      <c r="BG102" s="113"/>
      <c r="BH102" s="55"/>
      <c r="BO102" s="26">
        <v>2022</v>
      </c>
      <c r="BP102" s="130">
        <v>30.15</v>
      </c>
      <c r="BQ102" s="130">
        <v>25.24</v>
      </c>
      <c r="BR102" s="130">
        <v>17.25</v>
      </c>
      <c r="BS102" s="130">
        <v>14.63</v>
      </c>
      <c r="BT102" s="130">
        <v>18.77</v>
      </c>
      <c r="BU102" s="130">
        <v>14.17</v>
      </c>
      <c r="BV102" s="130">
        <v>17.350000000000001</v>
      </c>
      <c r="BW102" s="130">
        <v>16.79</v>
      </c>
      <c r="BX102" s="130">
        <v>18.739999999999998</v>
      </c>
      <c r="BZ102" s="26">
        <f t="shared" si="172"/>
        <v>2022</v>
      </c>
      <c r="CA102" s="121">
        <v>8.59</v>
      </c>
      <c r="CB102" s="121">
        <v>7.25</v>
      </c>
      <c r="CC102" s="121">
        <v>5.93</v>
      </c>
      <c r="CD102" s="121">
        <v>6.09</v>
      </c>
      <c r="CE102" s="121">
        <v>8.08</v>
      </c>
      <c r="CF102" s="121">
        <v>7.08</v>
      </c>
      <c r="CG102" s="121">
        <v>6.23</v>
      </c>
      <c r="CH102" s="121">
        <v>6.21</v>
      </c>
      <c r="CI102" s="121">
        <v>6.66</v>
      </c>
    </row>
    <row r="103" spans="1:87" x14ac:dyDescent="0.2">
      <c r="A103" s="83"/>
      <c r="B103" s="33"/>
      <c r="C103" s="33"/>
      <c r="D103" s="33"/>
      <c r="E103" s="98"/>
      <c r="F103" s="98"/>
      <c r="G103" s="75"/>
      <c r="H103" s="33"/>
      <c r="I103" s="33"/>
      <c r="J103" s="98"/>
      <c r="K103" s="75"/>
      <c r="L103" s="33"/>
      <c r="M103" s="20"/>
      <c r="N103" s="96"/>
      <c r="O103" s="71"/>
      <c r="P103" s="20"/>
      <c r="Q103" s="20"/>
      <c r="R103" s="20"/>
      <c r="S103" s="96"/>
      <c r="T103" s="96"/>
      <c r="U103" s="8">
        <v>2016</v>
      </c>
      <c r="V103" s="133">
        <v>16924269</v>
      </c>
      <c r="W103" s="133"/>
      <c r="X103" s="55">
        <v>9465291</v>
      </c>
      <c r="Y103" s="133"/>
      <c r="Z103" s="55">
        <v>808588</v>
      </c>
      <c r="AA103" s="55"/>
      <c r="AB103" s="55">
        <v>1680196</v>
      </c>
      <c r="AC103" s="55"/>
      <c r="AD103" s="133">
        <v>7621274</v>
      </c>
      <c r="AE103" s="55"/>
      <c r="AF103" s="133">
        <v>49244767</v>
      </c>
      <c r="AG103" s="55"/>
      <c r="AH103" s="55">
        <v>15748684</v>
      </c>
      <c r="AI103" s="55"/>
      <c r="AJ103" s="55">
        <v>1406402</v>
      </c>
      <c r="AK103" s="133">
        <v>1967156</v>
      </c>
      <c r="AL103" s="55"/>
      <c r="AM103" s="133">
        <v>5595630</v>
      </c>
      <c r="AN103" s="55"/>
      <c r="AO103" s="133">
        <v>50894378</v>
      </c>
      <c r="AP103" s="55"/>
      <c r="AQ103" s="133">
        <v>14268237</v>
      </c>
      <c r="AR103" s="55"/>
      <c r="AS103" s="133">
        <v>16854830</v>
      </c>
      <c r="AT103" s="55"/>
      <c r="AU103" s="133">
        <v>20793139</v>
      </c>
      <c r="AV103" s="133"/>
      <c r="AW103" s="133">
        <v>6297459</v>
      </c>
      <c r="AX103" s="55"/>
      <c r="AY103" s="133">
        <v>19980702</v>
      </c>
      <c r="AZ103" s="133"/>
      <c r="BA103" s="133">
        <v>6892399</v>
      </c>
      <c r="BB103" s="133"/>
      <c r="BC103" s="55">
        <v>36116167</v>
      </c>
      <c r="BD103" s="120">
        <v>133268170</v>
      </c>
      <c r="BE103" s="223">
        <f t="shared" si="176"/>
        <v>-1.4404188582718302E-2</v>
      </c>
      <c r="BF103" s="31"/>
      <c r="BG103" s="113"/>
      <c r="BH103" s="55"/>
      <c r="BI103" s="31"/>
      <c r="BJ103" s="31"/>
      <c r="BK103" s="31"/>
      <c r="BO103" s="26">
        <v>2023</v>
      </c>
      <c r="BP103" s="130">
        <v>29.94</v>
      </c>
      <c r="BQ103" s="130">
        <v>25.04</v>
      </c>
      <c r="BR103" s="130">
        <v>17.14</v>
      </c>
      <c r="BS103" s="130">
        <v>14.63</v>
      </c>
      <c r="BT103" s="130">
        <v>18.75</v>
      </c>
      <c r="BU103" s="130">
        <v>14</v>
      </c>
      <c r="BV103" s="130">
        <v>17.54</v>
      </c>
      <c r="BW103" s="130">
        <v>16.91</v>
      </c>
      <c r="BX103" s="130">
        <v>18.739999999999998</v>
      </c>
      <c r="BZ103" s="26">
        <f t="shared" si="172"/>
        <v>2023</v>
      </c>
      <c r="CA103" s="121">
        <v>8.73</v>
      </c>
      <c r="CB103" s="121">
        <v>7.36</v>
      </c>
      <c r="CC103" s="121">
        <v>6.05</v>
      </c>
      <c r="CD103" s="121">
        <v>6.21</v>
      </c>
      <c r="CE103" s="121">
        <v>8.2200000000000006</v>
      </c>
      <c r="CF103" s="121">
        <v>7.23</v>
      </c>
      <c r="CG103" s="121">
        <v>6.35</v>
      </c>
      <c r="CH103" s="121">
        <v>6.32</v>
      </c>
      <c r="CI103" s="121">
        <v>6.77</v>
      </c>
    </row>
    <row r="104" spans="1:87" x14ac:dyDescent="0.2">
      <c r="A104" s="83"/>
      <c r="B104" s="33"/>
      <c r="C104" s="33"/>
      <c r="D104" s="33"/>
      <c r="E104" s="98"/>
      <c r="F104" s="98"/>
      <c r="G104" s="75"/>
      <c r="H104" s="33"/>
      <c r="I104" s="33"/>
      <c r="J104" s="98"/>
      <c r="K104" s="75"/>
      <c r="L104" s="33"/>
      <c r="M104" s="20"/>
      <c r="N104" s="96"/>
      <c r="O104" s="71"/>
      <c r="P104" s="20"/>
      <c r="Q104" s="20"/>
      <c r="R104" s="20"/>
      <c r="S104" s="96"/>
      <c r="T104" s="96"/>
      <c r="U104" s="8">
        <v>2017</v>
      </c>
      <c r="V104" s="133">
        <v>16682458</v>
      </c>
      <c r="W104" s="133"/>
      <c r="X104" s="55">
        <v>9461490</v>
      </c>
      <c r="Y104" s="133"/>
      <c r="Z104" s="55">
        <v>853521</v>
      </c>
      <c r="AA104" s="55"/>
      <c r="AB104" s="55">
        <v>1633438</v>
      </c>
      <c r="AC104" s="55"/>
      <c r="AD104" s="133">
        <v>7466020</v>
      </c>
      <c r="AE104" s="55"/>
      <c r="AF104" s="133">
        <v>48926951</v>
      </c>
      <c r="AG104" s="55"/>
      <c r="AH104" s="55">
        <v>15857478</v>
      </c>
      <c r="AI104" s="55"/>
      <c r="AJ104" s="55">
        <v>1487958</v>
      </c>
      <c r="AK104" s="133">
        <v>1913623</v>
      </c>
      <c r="AL104" s="55"/>
      <c r="AM104" s="133">
        <v>5568115</v>
      </c>
      <c r="AN104" s="55"/>
      <c r="AO104" s="133">
        <v>50770534</v>
      </c>
      <c r="AP104" s="55"/>
      <c r="AQ104" s="133">
        <v>14355917</v>
      </c>
      <c r="AR104" s="55"/>
      <c r="AS104" s="133">
        <v>16587164</v>
      </c>
      <c r="AT104" s="55"/>
      <c r="AU104" s="133">
        <v>20547229</v>
      </c>
      <c r="AV104" s="133"/>
      <c r="AW104" s="133">
        <v>6269886</v>
      </c>
      <c r="AX104" s="55"/>
      <c r="AY104" s="133">
        <v>19822884</v>
      </c>
      <c r="AZ104" s="133"/>
      <c r="BA104" s="133">
        <v>6982457</v>
      </c>
      <c r="BB104" s="133"/>
      <c r="BC104" s="55">
        <v>35516997</v>
      </c>
      <c r="BD104" s="120">
        <v>135860986</v>
      </c>
      <c r="BE104" s="54"/>
      <c r="BF104" s="31"/>
      <c r="BG104" s="113"/>
      <c r="BH104" s="55"/>
      <c r="BI104" s="31"/>
      <c r="BJ104" s="31"/>
      <c r="BK104" s="31"/>
      <c r="BO104" s="26">
        <v>2024</v>
      </c>
      <c r="BP104" s="130">
        <v>29.56</v>
      </c>
      <c r="BQ104" s="130">
        <v>24.91</v>
      </c>
      <c r="BR104" s="130">
        <v>17.059999999999999</v>
      </c>
      <c r="BS104" s="130">
        <v>14.56</v>
      </c>
      <c r="BT104" s="130">
        <v>18.71</v>
      </c>
      <c r="BU104" s="130">
        <v>13.86</v>
      </c>
      <c r="BV104" s="130">
        <v>17.71</v>
      </c>
      <c r="BW104" s="130">
        <v>17.04</v>
      </c>
      <c r="BX104" s="130">
        <v>18.739999999999998</v>
      </c>
      <c r="BZ104" s="26">
        <f t="shared" si="172"/>
        <v>2024</v>
      </c>
      <c r="CA104" s="121">
        <v>8.84</v>
      </c>
      <c r="CB104" s="121">
        <v>7.44</v>
      </c>
      <c r="CC104" s="121">
        <v>6.17</v>
      </c>
      <c r="CD104" s="121">
        <v>6.31</v>
      </c>
      <c r="CE104" s="121">
        <v>8.35</v>
      </c>
      <c r="CF104" s="121">
        <v>7.37</v>
      </c>
      <c r="CG104" s="121">
        <v>6.46</v>
      </c>
      <c r="CH104" s="121">
        <v>6.43</v>
      </c>
      <c r="CI104" s="121">
        <v>6.87</v>
      </c>
    </row>
    <row r="105" spans="1:87" x14ac:dyDescent="0.2">
      <c r="A105" s="83"/>
      <c r="B105" s="33"/>
      <c r="C105" s="33"/>
      <c r="D105" s="33"/>
      <c r="E105" s="98"/>
      <c r="F105" s="98"/>
      <c r="G105" s="75"/>
      <c r="H105" s="33"/>
      <c r="I105" s="33"/>
      <c r="J105" s="98"/>
      <c r="K105" s="75"/>
      <c r="L105" s="33"/>
      <c r="M105" s="20"/>
      <c r="N105" s="96"/>
      <c r="O105" s="71"/>
      <c r="P105" s="20"/>
      <c r="Q105" s="20"/>
      <c r="R105" s="20"/>
      <c r="S105" s="96"/>
      <c r="T105" s="96"/>
      <c r="U105" s="8">
        <v>2018</v>
      </c>
      <c r="V105" s="133">
        <v>16502785</v>
      </c>
      <c r="W105" s="133"/>
      <c r="X105" s="55">
        <v>9490508</v>
      </c>
      <c r="Y105" s="133"/>
      <c r="Z105" s="55">
        <v>897326</v>
      </c>
      <c r="AA105" s="55"/>
      <c r="AB105" s="55">
        <v>1592460</v>
      </c>
      <c r="AC105" s="55"/>
      <c r="AD105" s="133">
        <v>7324132</v>
      </c>
      <c r="AE105" s="55"/>
      <c r="AF105" s="133">
        <v>48724380</v>
      </c>
      <c r="AG105" s="55"/>
      <c r="AH105" s="55">
        <v>15985121</v>
      </c>
      <c r="AI105" s="55"/>
      <c r="AJ105" s="55">
        <v>1563276</v>
      </c>
      <c r="AK105" s="133">
        <v>1861920</v>
      </c>
      <c r="AL105" s="55"/>
      <c r="AM105" s="133">
        <v>5568169</v>
      </c>
      <c r="AN105" s="55"/>
      <c r="AO105" s="133">
        <v>50781173</v>
      </c>
      <c r="AP105" s="55"/>
      <c r="AQ105" s="133">
        <v>14481199</v>
      </c>
      <c r="AR105" s="55"/>
      <c r="AS105" s="133">
        <v>16381242</v>
      </c>
      <c r="AT105" s="55"/>
      <c r="AU105" s="133">
        <v>20383582</v>
      </c>
      <c r="AV105" s="133"/>
      <c r="AW105" s="133">
        <v>6264554</v>
      </c>
      <c r="AX105" s="55"/>
      <c r="AY105" s="133">
        <v>19794301</v>
      </c>
      <c r="AZ105" s="133"/>
      <c r="BA105" s="133">
        <v>7090270</v>
      </c>
      <c r="BB105" s="133"/>
      <c r="BC105" s="55">
        <v>35179396</v>
      </c>
      <c r="BD105" s="120">
        <v>138733202</v>
      </c>
      <c r="BE105" s="54"/>
      <c r="BF105" s="31"/>
      <c r="BG105" s="113"/>
      <c r="BH105" s="55"/>
      <c r="BI105" s="31"/>
      <c r="BJ105" s="31"/>
      <c r="BK105" s="31"/>
      <c r="BO105" s="26">
        <v>2025</v>
      </c>
      <c r="BP105" s="130">
        <v>29.17</v>
      </c>
      <c r="BQ105" s="130">
        <v>24.8</v>
      </c>
      <c r="BR105" s="130">
        <v>17.03</v>
      </c>
      <c r="BS105" s="130">
        <v>14.49</v>
      </c>
      <c r="BT105" s="130">
        <v>18.760000000000002</v>
      </c>
      <c r="BU105" s="130">
        <v>13.84</v>
      </c>
      <c r="BV105" s="130">
        <v>17.89</v>
      </c>
      <c r="BW105" s="130">
        <v>17.25</v>
      </c>
      <c r="BX105" s="130">
        <v>18.760000000000002</v>
      </c>
      <c r="BZ105" s="26">
        <f t="shared" si="172"/>
        <v>2025</v>
      </c>
      <c r="CA105" s="121">
        <v>8.9700000000000006</v>
      </c>
      <c r="CB105" s="121">
        <v>7.55</v>
      </c>
      <c r="CC105" s="121">
        <v>6.28</v>
      </c>
      <c r="CD105" s="121">
        <v>6.41</v>
      </c>
      <c r="CE105" s="121">
        <v>8.48</v>
      </c>
      <c r="CF105" s="121">
        <v>7.5</v>
      </c>
      <c r="CG105" s="121">
        <v>6.56</v>
      </c>
      <c r="CH105" s="121">
        <v>6.53</v>
      </c>
      <c r="CI105" s="121">
        <v>6.97</v>
      </c>
    </row>
    <row r="106" spans="1:87" x14ac:dyDescent="0.2">
      <c r="A106" s="83"/>
      <c r="B106" s="33"/>
      <c r="C106" s="33"/>
      <c r="D106" s="33"/>
      <c r="E106" s="98"/>
      <c r="F106" s="98"/>
      <c r="G106" s="75"/>
      <c r="H106" s="33"/>
      <c r="I106" s="33"/>
      <c r="J106" s="98"/>
      <c r="K106" s="75"/>
      <c r="L106" s="33"/>
      <c r="M106" s="20"/>
      <c r="N106" s="96"/>
      <c r="O106" s="71"/>
      <c r="P106" s="20"/>
      <c r="Q106" s="20"/>
      <c r="R106" s="20"/>
      <c r="S106" s="96"/>
      <c r="T106" s="96"/>
      <c r="U106" s="8">
        <v>2019</v>
      </c>
      <c r="V106" s="133">
        <v>16336704</v>
      </c>
      <c r="W106" s="133"/>
      <c r="X106" s="55">
        <v>9525849</v>
      </c>
      <c r="Y106" s="133"/>
      <c r="Z106" s="55">
        <v>937079</v>
      </c>
      <c r="AA106" s="55"/>
      <c r="AB106" s="55">
        <v>1552168</v>
      </c>
      <c r="AC106" s="55"/>
      <c r="AD106" s="133">
        <v>7193789</v>
      </c>
      <c r="AE106" s="55"/>
      <c r="AF106" s="133">
        <v>48603546</v>
      </c>
      <c r="AG106" s="55"/>
      <c r="AH106" s="55">
        <v>16126972</v>
      </c>
      <c r="AI106" s="55"/>
      <c r="AJ106" s="55">
        <v>1631589</v>
      </c>
      <c r="AK106" s="133">
        <v>1817727</v>
      </c>
      <c r="AL106" s="55"/>
      <c r="AM106" s="133">
        <v>5580558</v>
      </c>
      <c r="AN106" s="55"/>
      <c r="AO106" s="133">
        <v>50822077</v>
      </c>
      <c r="AP106" s="55"/>
      <c r="AQ106" s="133">
        <v>14605983</v>
      </c>
      <c r="AR106" s="55"/>
      <c r="AS106" s="133">
        <v>16217698</v>
      </c>
      <c r="AT106" s="55"/>
      <c r="AU106" s="133">
        <v>20243558</v>
      </c>
      <c r="AV106" s="133"/>
      <c r="AW106" s="133">
        <v>6262835</v>
      </c>
      <c r="AX106" s="55"/>
      <c r="AY106" s="133">
        <v>19839799</v>
      </c>
      <c r="AZ106" s="133"/>
      <c r="BA106" s="133">
        <v>7190033</v>
      </c>
      <c r="BB106" s="133"/>
      <c r="BC106" s="55">
        <v>34967927</v>
      </c>
      <c r="BD106" s="120">
        <v>141682253</v>
      </c>
      <c r="BE106" s="54"/>
      <c r="BF106" s="31"/>
      <c r="BG106" s="113"/>
      <c r="BH106" s="55"/>
      <c r="BI106" s="31"/>
      <c r="BJ106" s="31"/>
      <c r="BK106" s="31"/>
      <c r="BO106" s="26">
        <v>2026</v>
      </c>
      <c r="BP106" s="130">
        <v>28.56</v>
      </c>
      <c r="BQ106" s="130">
        <v>24.65</v>
      </c>
      <c r="BR106" s="130">
        <v>17</v>
      </c>
      <c r="BS106" s="130">
        <v>14.51</v>
      </c>
      <c r="BT106" s="130">
        <v>18.829999999999998</v>
      </c>
      <c r="BU106" s="130">
        <v>13.88</v>
      </c>
      <c r="BV106" s="130">
        <v>18.059999999999999</v>
      </c>
      <c r="BW106" s="130">
        <v>17.43</v>
      </c>
      <c r="BX106" s="130">
        <v>18.62</v>
      </c>
      <c r="BZ106" s="26">
        <f t="shared" si="172"/>
        <v>2026</v>
      </c>
      <c r="CA106" s="121">
        <v>9.07</v>
      </c>
      <c r="CB106" s="121">
        <v>7.63</v>
      </c>
      <c r="CC106" s="121">
        <v>6.37</v>
      </c>
      <c r="CD106" s="121">
        <v>6.5</v>
      </c>
      <c r="CE106" s="121">
        <v>8.59</v>
      </c>
      <c r="CF106" s="121">
        <v>7.6</v>
      </c>
      <c r="CG106" s="121">
        <v>6.64</v>
      </c>
      <c r="CH106" s="121">
        <v>6.65</v>
      </c>
      <c r="CI106" s="121">
        <v>7.06</v>
      </c>
    </row>
    <row r="107" spans="1:87" x14ac:dyDescent="0.2">
      <c r="A107" s="83"/>
      <c r="B107" s="33"/>
      <c r="C107" s="33"/>
      <c r="D107" s="33"/>
      <c r="E107" s="98"/>
      <c r="F107" s="98"/>
      <c r="G107" s="75"/>
      <c r="H107" s="33"/>
      <c r="I107" s="33"/>
      <c r="J107" s="98"/>
      <c r="K107" s="75"/>
      <c r="L107" s="33"/>
      <c r="M107" s="20"/>
      <c r="N107" s="96"/>
      <c r="O107" s="71"/>
      <c r="P107" s="20"/>
      <c r="Q107" s="20"/>
      <c r="R107" s="20"/>
      <c r="S107" s="96"/>
      <c r="T107" s="96"/>
      <c r="U107" s="8">
        <v>2020</v>
      </c>
      <c r="V107" s="133">
        <v>16242723</v>
      </c>
      <c r="W107" s="133"/>
      <c r="X107" s="55">
        <v>9604591</v>
      </c>
      <c r="Y107" s="133"/>
      <c r="Z107" s="55">
        <v>973947</v>
      </c>
      <c r="AA107" s="55"/>
      <c r="AB107" s="55">
        <v>1517856</v>
      </c>
      <c r="AC107" s="55"/>
      <c r="AD107" s="133">
        <v>7074597</v>
      </c>
      <c r="AE107" s="55"/>
      <c r="AF107" s="133">
        <v>48523989</v>
      </c>
      <c r="AG107" s="55"/>
      <c r="AH107" s="55">
        <v>16278302</v>
      </c>
      <c r="AI107" s="55"/>
      <c r="AJ107" s="55">
        <v>1684519</v>
      </c>
      <c r="AK107" s="133">
        <v>1785387</v>
      </c>
      <c r="AL107" s="55"/>
      <c r="AM107" s="133">
        <v>5617605</v>
      </c>
      <c r="AN107" s="55"/>
      <c r="AO107" s="133">
        <v>51039202</v>
      </c>
      <c r="AP107" s="55"/>
      <c r="AQ107" s="133">
        <v>14770058</v>
      </c>
      <c r="AR107" s="55"/>
      <c r="AS107" s="133">
        <v>16146191</v>
      </c>
      <c r="AT107" s="55"/>
      <c r="AU107" s="133">
        <v>20168876</v>
      </c>
      <c r="AV107" s="133"/>
      <c r="AW107" s="133">
        <v>6281269</v>
      </c>
      <c r="AX107" s="55"/>
      <c r="AY107" s="133">
        <v>20008734</v>
      </c>
      <c r="AZ107" s="133"/>
      <c r="BA107" s="133">
        <v>7300865</v>
      </c>
      <c r="BB107" s="133"/>
      <c r="BC107" s="55">
        <v>33849534</v>
      </c>
      <c r="BD107" s="120">
        <v>145577278</v>
      </c>
      <c r="BE107" s="54"/>
      <c r="BF107" s="31"/>
      <c r="BG107" s="113"/>
      <c r="BH107" s="55"/>
      <c r="BI107" s="31"/>
      <c r="BJ107" s="31"/>
      <c r="BK107" s="31"/>
      <c r="BO107" s="26">
        <v>2027</v>
      </c>
      <c r="BP107" s="130">
        <v>28.03</v>
      </c>
      <c r="BQ107" s="130">
        <v>24.53</v>
      </c>
      <c r="BR107" s="130">
        <v>16.98</v>
      </c>
      <c r="BS107" s="130">
        <v>14.44</v>
      </c>
      <c r="BT107" s="130">
        <v>18.86</v>
      </c>
      <c r="BU107" s="130">
        <v>13.88</v>
      </c>
      <c r="BV107" s="130">
        <v>18.25</v>
      </c>
      <c r="BW107" s="130">
        <v>17.62</v>
      </c>
      <c r="BX107" s="130">
        <v>18.309999999999999</v>
      </c>
      <c r="BZ107" s="26">
        <f t="shared" si="172"/>
        <v>2027</v>
      </c>
      <c r="CA107" s="121">
        <v>9.18</v>
      </c>
      <c r="CB107" s="121">
        <v>7.72</v>
      </c>
      <c r="CC107" s="121">
        <v>6.45</v>
      </c>
      <c r="CD107" s="121">
        <v>6.58</v>
      </c>
      <c r="CE107" s="121">
        <v>8.7100000000000009</v>
      </c>
      <c r="CF107" s="121">
        <v>7.71</v>
      </c>
      <c r="CG107" s="121">
        <v>6.71</v>
      </c>
      <c r="CH107" s="121">
        <v>6.76</v>
      </c>
      <c r="CI107" s="121">
        <v>7.14</v>
      </c>
    </row>
    <row r="108" spans="1:87" x14ac:dyDescent="0.2">
      <c r="A108" s="83"/>
      <c r="B108" s="33"/>
      <c r="C108" s="33"/>
      <c r="D108" s="33"/>
      <c r="E108" s="98"/>
      <c r="F108" s="98"/>
      <c r="G108" s="75"/>
      <c r="H108" s="33"/>
      <c r="I108" s="33"/>
      <c r="J108" s="98"/>
      <c r="K108" s="75"/>
      <c r="L108" s="33"/>
      <c r="M108" s="20"/>
      <c r="N108" s="96"/>
      <c r="O108" s="71"/>
      <c r="P108" s="20"/>
      <c r="Q108" s="20"/>
      <c r="R108" s="20"/>
      <c r="S108" s="96"/>
      <c r="T108" s="96"/>
      <c r="U108" s="8">
        <v>2021</v>
      </c>
      <c r="V108" s="133">
        <v>16066083</v>
      </c>
      <c r="W108" s="133"/>
      <c r="X108" s="55">
        <v>9629338</v>
      </c>
      <c r="Y108" s="133"/>
      <c r="Z108" s="55">
        <v>1002310</v>
      </c>
      <c r="AA108" s="55"/>
      <c r="AB108" s="55">
        <v>1475626</v>
      </c>
      <c r="AC108" s="55"/>
      <c r="AD108" s="133">
        <v>6970347</v>
      </c>
      <c r="AE108" s="55"/>
      <c r="AF108" s="133">
        <v>48535920</v>
      </c>
      <c r="AG108" s="55"/>
      <c r="AH108" s="55">
        <v>16445277</v>
      </c>
      <c r="AI108" s="55"/>
      <c r="AJ108" s="55">
        <v>1733403</v>
      </c>
      <c r="AK108" s="133">
        <v>1752098</v>
      </c>
      <c r="AL108" s="55"/>
      <c r="AM108" s="133">
        <v>5632536</v>
      </c>
      <c r="AN108" s="55"/>
      <c r="AO108" s="133">
        <v>50980788</v>
      </c>
      <c r="AP108" s="55"/>
      <c r="AQ108" s="133">
        <v>14853865</v>
      </c>
      <c r="AR108" s="55"/>
      <c r="AS108" s="133">
        <v>16023093</v>
      </c>
      <c r="AT108" s="55"/>
      <c r="AU108" s="133">
        <v>19997787</v>
      </c>
      <c r="AV108" s="133"/>
      <c r="AW108" s="133">
        <v>6266518</v>
      </c>
      <c r="AX108" s="55"/>
      <c r="AY108" s="133">
        <v>20100489</v>
      </c>
      <c r="AZ108" s="133"/>
      <c r="BA108" s="133">
        <v>7359598</v>
      </c>
      <c r="BB108" s="133"/>
      <c r="BC108" s="55">
        <v>33274970</v>
      </c>
      <c r="BD108" s="120">
        <v>148774849</v>
      </c>
      <c r="BE108" s="54"/>
      <c r="BF108" s="31"/>
      <c r="BG108" s="113"/>
      <c r="BH108" s="55"/>
      <c r="BI108" s="31"/>
      <c r="BJ108" s="31"/>
      <c r="BK108" s="31"/>
      <c r="BO108" s="26">
        <v>2028</v>
      </c>
      <c r="BP108" s="130">
        <v>27.64</v>
      </c>
      <c r="BQ108" s="130">
        <v>24.41</v>
      </c>
      <c r="BR108" s="130">
        <v>17.05</v>
      </c>
      <c r="BS108" s="130">
        <v>14.45</v>
      </c>
      <c r="BT108" s="130">
        <v>18.850000000000001</v>
      </c>
      <c r="BU108" s="130">
        <v>13.9</v>
      </c>
      <c r="BV108" s="130">
        <v>18.46</v>
      </c>
      <c r="BW108" s="130">
        <v>17.739999999999998</v>
      </c>
      <c r="BX108" s="130">
        <v>18.059999999999999</v>
      </c>
      <c r="BZ108" s="26">
        <f t="shared" si="172"/>
        <v>2028</v>
      </c>
      <c r="CA108" s="121">
        <v>9.2799999999999994</v>
      </c>
      <c r="CB108" s="121">
        <v>7.8</v>
      </c>
      <c r="CC108" s="121">
        <v>6.52</v>
      </c>
      <c r="CD108" s="121">
        <v>6.65</v>
      </c>
      <c r="CE108" s="121">
        <v>8.7899999999999991</v>
      </c>
      <c r="CF108" s="121">
        <v>7.77</v>
      </c>
      <c r="CG108" s="121">
        <v>6.74</v>
      </c>
      <c r="CH108" s="121">
        <v>6.86</v>
      </c>
      <c r="CI108" s="121">
        <v>7.23</v>
      </c>
    </row>
    <row r="109" spans="1:87" x14ac:dyDescent="0.2">
      <c r="A109" s="83"/>
      <c r="B109" s="33"/>
      <c r="C109" s="33"/>
      <c r="D109" s="33"/>
      <c r="E109" s="98"/>
      <c r="F109" s="98"/>
      <c r="G109" s="75"/>
      <c r="H109" s="33"/>
      <c r="I109" s="33"/>
      <c r="J109" s="98"/>
      <c r="K109" s="75"/>
      <c r="L109" s="33"/>
      <c r="M109" s="20"/>
      <c r="N109" s="96"/>
      <c r="O109" s="71"/>
      <c r="P109" s="20"/>
      <c r="Q109" s="20"/>
      <c r="R109" s="20"/>
      <c r="S109" s="96"/>
      <c r="T109" s="96"/>
      <c r="U109" s="8">
        <v>2022</v>
      </c>
      <c r="V109" s="133">
        <v>15963900</v>
      </c>
      <c r="W109" s="133"/>
      <c r="X109" s="55">
        <v>9696893</v>
      </c>
      <c r="Y109" s="133"/>
      <c r="Z109" s="55">
        <v>1032538</v>
      </c>
      <c r="AA109" s="55"/>
      <c r="AB109" s="55">
        <v>1439321</v>
      </c>
      <c r="AC109" s="55"/>
      <c r="AD109" s="133">
        <v>6876824</v>
      </c>
      <c r="AE109" s="55"/>
      <c r="AF109" s="133">
        <v>48643123</v>
      </c>
      <c r="AG109" s="55"/>
      <c r="AH109" s="55">
        <v>16636526</v>
      </c>
      <c r="AI109" s="55"/>
      <c r="AJ109" s="55">
        <v>1780161</v>
      </c>
      <c r="AK109" s="133">
        <v>1734604</v>
      </c>
      <c r="AL109" s="55"/>
      <c r="AM109" s="133">
        <v>5674191</v>
      </c>
      <c r="AN109" s="55"/>
      <c r="AO109" s="133">
        <v>51093823</v>
      </c>
      <c r="AP109" s="55"/>
      <c r="AQ109" s="133">
        <v>14981786</v>
      </c>
      <c r="AR109" s="55"/>
      <c r="AS109" s="133">
        <v>15994013</v>
      </c>
      <c r="AT109" s="55"/>
      <c r="AU109" s="133">
        <v>19911544</v>
      </c>
      <c r="AV109" s="133"/>
      <c r="AW109" s="133">
        <v>6272155</v>
      </c>
      <c r="AX109" s="55"/>
      <c r="AY109" s="133">
        <v>20317550</v>
      </c>
      <c r="AZ109" s="133"/>
      <c r="BA109" s="133">
        <v>7433538</v>
      </c>
      <c r="BB109" s="133"/>
      <c r="BC109" s="55">
        <v>33001028</v>
      </c>
      <c r="BD109" s="120">
        <v>152876841</v>
      </c>
      <c r="BE109" s="54"/>
      <c r="BF109" s="31"/>
      <c r="BG109" s="113"/>
      <c r="BH109" s="55"/>
      <c r="BI109" s="73"/>
      <c r="BJ109" s="73"/>
      <c r="BK109" s="73"/>
      <c r="BO109" s="26">
        <v>2029</v>
      </c>
      <c r="BP109" s="130">
        <v>27.35</v>
      </c>
      <c r="BQ109" s="130">
        <v>24.35</v>
      </c>
      <c r="BR109" s="130">
        <v>17.13</v>
      </c>
      <c r="BS109" s="130">
        <v>14.5</v>
      </c>
      <c r="BT109" s="130">
        <v>18.84</v>
      </c>
      <c r="BU109" s="130">
        <v>13.92</v>
      </c>
      <c r="BV109" s="130">
        <v>18.62</v>
      </c>
      <c r="BW109" s="130">
        <v>17.899999999999999</v>
      </c>
      <c r="BX109" s="130">
        <v>18.010000000000002</v>
      </c>
      <c r="BZ109" s="26">
        <f t="shared" si="172"/>
        <v>2029</v>
      </c>
      <c r="CA109" s="121">
        <v>9.41</v>
      </c>
      <c r="CB109" s="121">
        <v>7.89</v>
      </c>
      <c r="CC109" s="121">
        <v>6.58</v>
      </c>
      <c r="CD109" s="121">
        <v>6.72</v>
      </c>
      <c r="CE109" s="121">
        <v>8.8699999999999992</v>
      </c>
      <c r="CF109" s="121">
        <v>7.82</v>
      </c>
      <c r="CG109" s="121">
        <v>6.76</v>
      </c>
      <c r="CH109" s="121">
        <v>6.95</v>
      </c>
      <c r="CI109" s="121">
        <v>7.32</v>
      </c>
    </row>
    <row r="110" spans="1:87" x14ac:dyDescent="0.2">
      <c r="A110" s="83"/>
      <c r="B110" s="33"/>
      <c r="C110" s="33"/>
      <c r="D110" s="33"/>
      <c r="E110" s="98"/>
      <c r="F110" s="98"/>
      <c r="G110" s="75"/>
      <c r="H110" s="33"/>
      <c r="I110" s="33"/>
      <c r="J110" s="98"/>
      <c r="K110" s="75"/>
      <c r="L110" s="33"/>
      <c r="M110" s="20"/>
      <c r="N110" s="96"/>
      <c r="O110" s="71"/>
      <c r="P110" s="20"/>
      <c r="Q110" s="20"/>
      <c r="R110" s="20"/>
      <c r="S110" s="96"/>
      <c r="T110" s="96"/>
      <c r="U110" s="8">
        <v>2023</v>
      </c>
      <c r="V110" s="133">
        <v>15871209</v>
      </c>
      <c r="W110" s="133"/>
      <c r="X110" s="55">
        <v>9772733</v>
      </c>
      <c r="Y110" s="133"/>
      <c r="Z110" s="55">
        <v>1061184</v>
      </c>
      <c r="AA110" s="55"/>
      <c r="AB110" s="55">
        <v>1403499</v>
      </c>
      <c r="AC110" s="55"/>
      <c r="AD110" s="133">
        <v>6785522</v>
      </c>
      <c r="AE110" s="55"/>
      <c r="AF110" s="133">
        <v>48797369</v>
      </c>
      <c r="AG110" s="55"/>
      <c r="AH110" s="55">
        <v>16836778</v>
      </c>
      <c r="AI110" s="55"/>
      <c r="AJ110" s="55">
        <v>1823393</v>
      </c>
      <c r="AK110" s="133">
        <v>1729444</v>
      </c>
      <c r="AL110" s="55"/>
      <c r="AM110" s="133">
        <v>5720801</v>
      </c>
      <c r="AN110" s="55"/>
      <c r="AO110" s="133">
        <v>51207823</v>
      </c>
      <c r="AP110" s="55"/>
      <c r="AQ110" s="133">
        <v>15108760</v>
      </c>
      <c r="AR110" s="55"/>
      <c r="AS110" s="133">
        <v>16008681</v>
      </c>
      <c r="AT110" s="55"/>
      <c r="AU110" s="133">
        <v>19851294</v>
      </c>
      <c r="AV110" s="133"/>
      <c r="AW110" s="133">
        <v>6279371</v>
      </c>
      <c r="AX110" s="55"/>
      <c r="AY110" s="133">
        <v>20572519</v>
      </c>
      <c r="AZ110" s="133"/>
      <c r="BA110" s="133">
        <v>7497596</v>
      </c>
      <c r="BB110" s="133"/>
      <c r="BC110" s="55">
        <v>32864530</v>
      </c>
      <c r="BD110" s="120">
        <v>156994106</v>
      </c>
      <c r="BE110" s="54"/>
      <c r="BF110" s="31"/>
      <c r="BG110" s="113"/>
      <c r="BH110" s="55"/>
      <c r="BI110" s="31"/>
      <c r="BJ110" s="31"/>
      <c r="BK110" s="31"/>
      <c r="BO110" s="26">
        <v>2030</v>
      </c>
      <c r="BP110" s="130">
        <v>27.11</v>
      </c>
      <c r="BQ110" s="130">
        <v>24.28</v>
      </c>
      <c r="BR110" s="130">
        <v>17.14</v>
      </c>
      <c r="BS110" s="130">
        <v>14.48</v>
      </c>
      <c r="BT110" s="130">
        <v>18.79</v>
      </c>
      <c r="BU110" s="130">
        <v>13.82</v>
      </c>
      <c r="BV110" s="130">
        <v>18.54</v>
      </c>
      <c r="BW110" s="130">
        <v>18.03</v>
      </c>
      <c r="BX110" s="130">
        <v>17.91</v>
      </c>
      <c r="BZ110" s="26">
        <f t="shared" si="172"/>
        <v>2030</v>
      </c>
      <c r="CA110" s="121">
        <v>9.5399999999999991</v>
      </c>
      <c r="CB110" s="121">
        <v>8</v>
      </c>
      <c r="CC110" s="121">
        <v>6.64</v>
      </c>
      <c r="CD110" s="121">
        <v>6.79</v>
      </c>
      <c r="CE110" s="121">
        <v>8.9499999999999993</v>
      </c>
      <c r="CF110" s="121">
        <v>7.9</v>
      </c>
      <c r="CG110" s="121">
        <v>6.8</v>
      </c>
      <c r="CH110" s="121">
        <v>7.03</v>
      </c>
      <c r="CI110" s="121">
        <v>7.4</v>
      </c>
    </row>
    <row r="111" spans="1:87" x14ac:dyDescent="0.2">
      <c r="A111" s="83"/>
      <c r="B111" s="33"/>
      <c r="C111" s="33"/>
      <c r="D111" s="33"/>
      <c r="E111" s="98"/>
      <c r="F111" s="98"/>
      <c r="G111" s="75"/>
      <c r="H111" s="33"/>
      <c r="I111" s="33"/>
      <c r="J111" s="98"/>
      <c r="K111" s="75"/>
      <c r="L111" s="33"/>
      <c r="M111" s="20"/>
      <c r="N111" s="96"/>
      <c r="O111" s="71"/>
      <c r="P111" s="20"/>
      <c r="Q111" s="20"/>
      <c r="R111" s="20"/>
      <c r="S111" s="96"/>
      <c r="T111" s="96"/>
      <c r="U111" s="8">
        <v>2024</v>
      </c>
      <c r="V111" s="133">
        <v>15826762</v>
      </c>
      <c r="W111" s="133"/>
      <c r="X111" s="55">
        <v>9883257</v>
      </c>
      <c r="Y111" s="133"/>
      <c r="Z111" s="55">
        <v>1091685</v>
      </c>
      <c r="AA111" s="55"/>
      <c r="AB111" s="55">
        <v>1372160</v>
      </c>
      <c r="AC111" s="55"/>
      <c r="AD111" s="133">
        <v>6702610</v>
      </c>
      <c r="AE111" s="55"/>
      <c r="AF111" s="133">
        <v>49026417</v>
      </c>
      <c r="AG111" s="55"/>
      <c r="AH111" s="55">
        <v>17058263</v>
      </c>
      <c r="AI111" s="55"/>
      <c r="AJ111" s="55">
        <v>1865202</v>
      </c>
      <c r="AK111" s="133">
        <v>1737541</v>
      </c>
      <c r="AL111" s="55"/>
      <c r="AM111" s="133">
        <v>5789121</v>
      </c>
      <c r="AN111" s="55"/>
      <c r="AO111" s="133">
        <v>51408373</v>
      </c>
      <c r="AP111" s="55"/>
      <c r="AQ111" s="133">
        <v>15275823</v>
      </c>
      <c r="AR111" s="55"/>
      <c r="AS111" s="133">
        <v>16102578</v>
      </c>
      <c r="AT111" s="55"/>
      <c r="AU111" s="133">
        <v>19873103</v>
      </c>
      <c r="AV111" s="133"/>
      <c r="AW111" s="133">
        <v>6306207</v>
      </c>
      <c r="AX111" s="55"/>
      <c r="AY111" s="133">
        <v>20902863</v>
      </c>
      <c r="AZ111" s="133"/>
      <c r="BA111" s="133">
        <v>7578273</v>
      </c>
      <c r="BB111" s="133"/>
      <c r="BC111" s="55">
        <v>32899486</v>
      </c>
      <c r="BD111" s="120">
        <v>161686644</v>
      </c>
      <c r="BE111" s="54"/>
      <c r="BF111" s="31"/>
      <c r="BG111" s="113"/>
      <c r="BH111" s="55"/>
      <c r="BI111" s="31"/>
      <c r="BJ111" s="31"/>
      <c r="BK111" s="31"/>
      <c r="BO111" s="26">
        <v>2031</v>
      </c>
      <c r="BP111" s="130">
        <v>26.94</v>
      </c>
      <c r="BQ111" s="130">
        <v>24.28</v>
      </c>
      <c r="BR111" s="130">
        <v>17.22</v>
      </c>
      <c r="BS111" s="130">
        <v>14.49</v>
      </c>
      <c r="BT111" s="130">
        <v>18.82</v>
      </c>
      <c r="BU111" s="130">
        <v>13.85</v>
      </c>
      <c r="BV111" s="130">
        <v>18.690000000000001</v>
      </c>
      <c r="BW111" s="130">
        <v>18.16</v>
      </c>
      <c r="BX111" s="130">
        <v>17.809999999999999</v>
      </c>
      <c r="BZ111" s="26">
        <f>BZ110+1</f>
        <v>2031</v>
      </c>
      <c r="CA111" s="121">
        <v>9.67</v>
      </c>
      <c r="CB111" s="121">
        <v>8.1</v>
      </c>
      <c r="CC111" s="121">
        <v>6.73</v>
      </c>
      <c r="CD111" s="121">
        <v>6.87</v>
      </c>
      <c r="CE111" s="121">
        <v>9.06</v>
      </c>
      <c r="CF111" s="121">
        <v>8.02</v>
      </c>
      <c r="CG111" s="121">
        <v>6.89</v>
      </c>
      <c r="CH111" s="121">
        <v>7.13</v>
      </c>
      <c r="CI111" s="121">
        <v>7.48</v>
      </c>
    </row>
    <row r="112" spans="1:87" x14ac:dyDescent="0.2">
      <c r="A112" s="83"/>
      <c r="B112" s="33"/>
      <c r="C112" s="33"/>
      <c r="D112" s="33"/>
      <c r="E112" s="98"/>
      <c r="F112" s="98"/>
      <c r="G112" s="75"/>
      <c r="H112" s="33"/>
      <c r="I112" s="33"/>
      <c r="J112" s="98"/>
      <c r="K112" s="75"/>
      <c r="L112" s="33"/>
      <c r="M112" s="20"/>
      <c r="N112" s="96"/>
      <c r="O112" s="71"/>
      <c r="P112" s="20"/>
      <c r="Q112" s="20"/>
      <c r="R112" s="20"/>
      <c r="S112" s="96"/>
      <c r="T112" s="96"/>
      <c r="U112" s="8">
        <v>2025</v>
      </c>
      <c r="V112" s="133">
        <v>15667855</v>
      </c>
      <c r="W112" s="133"/>
      <c r="X112" s="55">
        <v>9930661</v>
      </c>
      <c r="Y112" s="133"/>
      <c r="Z112" s="55">
        <v>1113841</v>
      </c>
      <c r="AA112" s="55"/>
      <c r="AB112" s="55">
        <v>1332612</v>
      </c>
      <c r="AC112" s="55"/>
      <c r="AD112" s="133">
        <v>6612175</v>
      </c>
      <c r="AE112" s="55"/>
      <c r="AF112" s="133">
        <v>49215047</v>
      </c>
      <c r="AG112" s="55"/>
      <c r="AH112" s="55">
        <v>17268310</v>
      </c>
      <c r="AI112" s="55"/>
      <c r="AJ112" s="55">
        <v>1902807</v>
      </c>
      <c r="AK112" s="133">
        <v>1746768</v>
      </c>
      <c r="AL112" s="55"/>
      <c r="AM112" s="133">
        <v>5830680</v>
      </c>
      <c r="AN112" s="55"/>
      <c r="AO112" s="133">
        <v>51211651</v>
      </c>
      <c r="AP112" s="55"/>
      <c r="AQ112" s="133">
        <v>15356218</v>
      </c>
      <c r="AR112" s="55"/>
      <c r="AS112" s="133">
        <v>16124327</v>
      </c>
      <c r="AT112" s="55"/>
      <c r="AU112" s="133">
        <v>19819310</v>
      </c>
      <c r="AV112" s="133"/>
      <c r="AW112" s="133">
        <v>6299574</v>
      </c>
      <c r="AX112" s="55"/>
      <c r="AY112" s="133">
        <v>21107262</v>
      </c>
      <c r="AZ112" s="133"/>
      <c r="BA112" s="133">
        <v>7613585</v>
      </c>
      <c r="BB112" s="133"/>
      <c r="BC112" s="55">
        <v>32765808</v>
      </c>
      <c r="BD112" s="120">
        <v>165648104</v>
      </c>
      <c r="BE112" s="54"/>
      <c r="BF112" s="31"/>
      <c r="BG112" s="113"/>
      <c r="BH112" s="55"/>
      <c r="BI112" s="31"/>
      <c r="BJ112" s="31"/>
      <c r="BK112" s="31"/>
      <c r="BO112" s="26">
        <v>2032</v>
      </c>
      <c r="BP112" s="130">
        <v>26.96</v>
      </c>
      <c r="BQ112" s="130">
        <v>24.4</v>
      </c>
      <c r="BR112" s="130">
        <v>17.25</v>
      </c>
      <c r="BS112" s="130">
        <v>14.47</v>
      </c>
      <c r="BT112" s="130">
        <v>18.850000000000001</v>
      </c>
      <c r="BU112" s="130">
        <v>13.76</v>
      </c>
      <c r="BV112" s="130">
        <v>18.8</v>
      </c>
      <c r="BW112" s="130">
        <v>18.260000000000002</v>
      </c>
      <c r="BX112" s="130">
        <v>17.7</v>
      </c>
      <c r="BZ112" s="26">
        <f>BZ111+1</f>
        <v>2032</v>
      </c>
      <c r="CA112" s="121">
        <v>9.7799999999999994</v>
      </c>
      <c r="CB112" s="121">
        <v>8.18</v>
      </c>
      <c r="CC112" s="121">
        <v>6.82</v>
      </c>
      <c r="CD112" s="121">
        <v>6.96</v>
      </c>
      <c r="CE112" s="121">
        <v>9.17</v>
      </c>
      <c r="CF112" s="121">
        <v>8.14</v>
      </c>
      <c r="CG112" s="121">
        <v>6.98</v>
      </c>
      <c r="CH112" s="121">
        <v>7.22</v>
      </c>
      <c r="CI112" s="121">
        <v>7.58</v>
      </c>
    </row>
    <row r="113" spans="1:87" x14ac:dyDescent="0.2">
      <c r="A113" s="83"/>
      <c r="B113" s="33"/>
      <c r="C113" s="33"/>
      <c r="D113" s="33"/>
      <c r="E113" s="98"/>
      <c r="F113" s="98"/>
      <c r="G113" s="75"/>
      <c r="H113" s="33"/>
      <c r="I113" s="33"/>
      <c r="J113" s="98"/>
      <c r="K113" s="75"/>
      <c r="L113" s="33"/>
      <c r="M113" s="20"/>
      <c r="N113" s="96"/>
      <c r="O113" s="71"/>
      <c r="P113" s="20"/>
      <c r="Q113" s="20"/>
      <c r="R113" s="20"/>
      <c r="S113" s="96"/>
      <c r="T113" s="96"/>
      <c r="U113" s="23">
        <v>2026</v>
      </c>
      <c r="V113" s="133">
        <v>15517804</v>
      </c>
      <c r="W113" s="133"/>
      <c r="X113" s="55">
        <v>9985471</v>
      </c>
      <c r="Y113" s="133"/>
      <c r="Z113" s="55">
        <v>1135236</v>
      </c>
      <c r="AA113" s="55"/>
      <c r="AB113" s="55">
        <v>1295780</v>
      </c>
      <c r="AC113" s="55"/>
      <c r="AD113" s="133">
        <v>6509407</v>
      </c>
      <c r="AE113" s="55"/>
      <c r="AF113" s="133">
        <v>49311248</v>
      </c>
      <c r="AG113" s="55"/>
      <c r="AH113" s="55">
        <v>17444505</v>
      </c>
      <c r="AI113" s="55"/>
      <c r="AJ113" s="55">
        <v>1933302</v>
      </c>
      <c r="AK113" s="133">
        <v>1760799</v>
      </c>
      <c r="AL113" s="55"/>
      <c r="AM113" s="133">
        <v>5892167</v>
      </c>
      <c r="AN113" s="55"/>
      <c r="AO113" s="133">
        <v>51031057</v>
      </c>
      <c r="AP113" s="55"/>
      <c r="AQ113" s="133">
        <v>15473031</v>
      </c>
      <c r="AR113" s="55"/>
      <c r="AS113" s="133">
        <v>16200418</v>
      </c>
      <c r="AT113" s="55"/>
      <c r="AU113" s="133">
        <v>19851669</v>
      </c>
      <c r="AV113" s="133"/>
      <c r="AW113" s="133">
        <v>6312383</v>
      </c>
      <c r="AX113" s="55"/>
      <c r="AY113" s="133">
        <v>21346309</v>
      </c>
      <c r="AZ113" s="133"/>
      <c r="BA113" s="133">
        <v>7664331</v>
      </c>
      <c r="BB113" s="133"/>
      <c r="BC113" s="55">
        <v>32707288</v>
      </c>
      <c r="BD113" s="55">
        <v>169612620</v>
      </c>
      <c r="BE113" s="54"/>
      <c r="BF113" s="31"/>
      <c r="BG113" s="113"/>
      <c r="BH113" s="55"/>
      <c r="BI113" s="31"/>
      <c r="BJ113" s="31"/>
      <c r="BK113" s="31"/>
      <c r="BO113" s="26">
        <v>2033</v>
      </c>
      <c r="BP113" s="130">
        <v>27.06</v>
      </c>
      <c r="BQ113" s="130">
        <v>24.54</v>
      </c>
      <c r="BR113" s="130">
        <v>17.32</v>
      </c>
      <c r="BS113" s="130">
        <v>14.53</v>
      </c>
      <c r="BT113" s="130">
        <v>18.91</v>
      </c>
      <c r="BU113" s="130">
        <v>13.81</v>
      </c>
      <c r="BV113" s="130">
        <v>18.95</v>
      </c>
      <c r="BW113" s="130">
        <v>18.41</v>
      </c>
      <c r="BX113" s="130">
        <v>17.600000000000001</v>
      </c>
      <c r="BZ113" s="26">
        <f>BZ112+1</f>
        <v>2033</v>
      </c>
      <c r="CA113" s="121">
        <v>9.91</v>
      </c>
      <c r="CB113" s="121">
        <v>8.2799999999999994</v>
      </c>
      <c r="CC113" s="121">
        <v>6.92</v>
      </c>
      <c r="CD113" s="121">
        <v>7.07</v>
      </c>
      <c r="CE113" s="121">
        <v>9.2799999999999994</v>
      </c>
      <c r="CF113" s="121">
        <v>8.25</v>
      </c>
      <c r="CG113" s="121">
        <v>7.05</v>
      </c>
      <c r="CH113" s="121">
        <v>7.31</v>
      </c>
      <c r="CI113" s="121">
        <v>7.69</v>
      </c>
    </row>
    <row r="114" spans="1:87" x14ac:dyDescent="0.2">
      <c r="A114" s="83"/>
      <c r="B114" s="33"/>
      <c r="C114" s="33"/>
      <c r="D114" s="33"/>
      <c r="E114" s="98"/>
      <c r="F114" s="98"/>
      <c r="G114" s="75"/>
      <c r="H114" s="33"/>
      <c r="I114" s="33"/>
      <c r="J114" s="98"/>
      <c r="K114" s="75"/>
      <c r="L114" s="33"/>
      <c r="M114" s="20"/>
      <c r="N114" s="96"/>
      <c r="O114" s="71"/>
      <c r="P114" s="20"/>
      <c r="Q114" s="20"/>
      <c r="R114" s="20"/>
      <c r="S114" s="96"/>
      <c r="T114" s="96"/>
      <c r="U114" s="23">
        <v>2027</v>
      </c>
      <c r="V114" s="133">
        <v>15367343</v>
      </c>
      <c r="W114" s="133"/>
      <c r="X114" s="55">
        <v>10033930</v>
      </c>
      <c r="Y114" s="133"/>
      <c r="Z114" s="55">
        <v>1154089</v>
      </c>
      <c r="AA114" s="55"/>
      <c r="AB114" s="55">
        <v>1259584</v>
      </c>
      <c r="AC114" s="55"/>
      <c r="AD114" s="133">
        <v>6412925</v>
      </c>
      <c r="AE114" s="55"/>
      <c r="AF114" s="133">
        <v>49436215</v>
      </c>
      <c r="AG114" s="55"/>
      <c r="AH114" s="55">
        <v>17622260</v>
      </c>
      <c r="AI114" s="55"/>
      <c r="AJ114" s="55">
        <v>1960266</v>
      </c>
      <c r="AK114" s="133">
        <v>1774320</v>
      </c>
      <c r="AL114" s="55"/>
      <c r="AM114" s="133">
        <v>5954377</v>
      </c>
      <c r="AN114" s="55"/>
      <c r="AO114" s="133">
        <v>50782956</v>
      </c>
      <c r="AP114" s="55"/>
      <c r="AQ114" s="133">
        <v>15585014</v>
      </c>
      <c r="AR114" s="55"/>
      <c r="AS114" s="133">
        <v>16291255</v>
      </c>
      <c r="AT114" s="55"/>
      <c r="AU114" s="133">
        <v>19911517</v>
      </c>
      <c r="AV114" s="133"/>
      <c r="AW114" s="133">
        <v>6325412</v>
      </c>
      <c r="AX114" s="55"/>
      <c r="AY114" s="133">
        <v>21586346</v>
      </c>
      <c r="AZ114" s="133"/>
      <c r="BA114" s="133">
        <v>7709971</v>
      </c>
      <c r="BB114" s="133"/>
      <c r="BC114" s="55">
        <v>32661393</v>
      </c>
      <c r="BD114" s="55">
        <v>173653334</v>
      </c>
      <c r="BE114" s="54"/>
      <c r="BF114" s="31"/>
      <c r="BG114" s="113"/>
      <c r="BH114" s="55"/>
      <c r="BO114" s="26">
        <v>2034</v>
      </c>
      <c r="BP114" s="130">
        <v>27.17</v>
      </c>
      <c r="BQ114" s="130">
        <v>24.71</v>
      </c>
      <c r="BR114" s="130">
        <v>17.46</v>
      </c>
      <c r="BS114" s="130">
        <v>14.61</v>
      </c>
      <c r="BT114" s="130">
        <v>19.02</v>
      </c>
      <c r="BU114" s="130">
        <v>13.85</v>
      </c>
      <c r="BV114" s="130">
        <v>19.04</v>
      </c>
      <c r="BW114" s="130">
        <v>18.55</v>
      </c>
      <c r="BX114" s="130">
        <v>17.62</v>
      </c>
      <c r="BZ114" s="26">
        <f>BZ113+1</f>
        <v>2034</v>
      </c>
      <c r="CA114" s="121">
        <v>10.01</v>
      </c>
      <c r="CB114" s="121">
        <v>8.34</v>
      </c>
      <c r="CC114" s="121">
        <v>7.03</v>
      </c>
      <c r="CD114" s="121">
        <v>7.2</v>
      </c>
      <c r="CE114" s="121">
        <v>9.4</v>
      </c>
      <c r="CF114" s="121">
        <v>8.39</v>
      </c>
      <c r="CG114" s="121">
        <v>7.15</v>
      </c>
      <c r="CH114" s="121">
        <v>7.45</v>
      </c>
      <c r="CI114" s="121">
        <v>7.82</v>
      </c>
    </row>
    <row r="115" spans="1:87" x14ac:dyDescent="0.2">
      <c r="A115" s="83"/>
      <c r="B115" s="33"/>
      <c r="C115" s="33"/>
      <c r="D115" s="33"/>
      <c r="E115" s="98"/>
      <c r="F115" s="98"/>
      <c r="G115" s="75"/>
      <c r="H115" s="33"/>
      <c r="I115" s="33"/>
      <c r="J115" s="98"/>
      <c r="K115" s="75"/>
      <c r="L115" s="33"/>
      <c r="M115" s="20"/>
      <c r="N115" s="96"/>
      <c r="O115" s="71"/>
      <c r="P115" s="20"/>
      <c r="Q115" s="20"/>
      <c r="R115" s="20"/>
      <c r="S115" s="96"/>
      <c r="T115" s="96"/>
      <c r="U115" s="23">
        <v>2028</v>
      </c>
      <c r="V115" s="133">
        <v>15253553</v>
      </c>
      <c r="W115" s="133"/>
      <c r="X115" s="55">
        <v>10097637</v>
      </c>
      <c r="Y115" s="133"/>
      <c r="Z115" s="55">
        <v>1173268</v>
      </c>
      <c r="AA115" s="55"/>
      <c r="AB115" s="55">
        <v>1227001</v>
      </c>
      <c r="AC115" s="55"/>
      <c r="AD115" s="133">
        <v>6315906</v>
      </c>
      <c r="AE115" s="55"/>
      <c r="AF115" s="133">
        <v>49504716</v>
      </c>
      <c r="AG115" s="55"/>
      <c r="AH115" s="55">
        <v>17771198</v>
      </c>
      <c r="AI115" s="55"/>
      <c r="AJ115" s="55">
        <v>1981068</v>
      </c>
      <c r="AK115" s="133">
        <v>1791839</v>
      </c>
      <c r="AL115" s="55"/>
      <c r="AM115" s="133">
        <v>6032191</v>
      </c>
      <c r="AN115" s="55"/>
      <c r="AO115" s="133">
        <v>50596208</v>
      </c>
      <c r="AP115" s="55"/>
      <c r="AQ115" s="133">
        <v>15732554</v>
      </c>
      <c r="AR115" s="55"/>
      <c r="AS115" s="133">
        <v>16423069</v>
      </c>
      <c r="AT115" s="55"/>
      <c r="AU115" s="133">
        <v>20035436</v>
      </c>
      <c r="AV115" s="133"/>
      <c r="AW115" s="133">
        <v>6354709</v>
      </c>
      <c r="AX115" s="55"/>
      <c r="AY115" s="133">
        <v>21885330</v>
      </c>
      <c r="AZ115" s="133"/>
      <c r="BA115" s="133">
        <v>7774128</v>
      </c>
      <c r="BB115" s="133"/>
      <c r="BC115" s="55">
        <v>32709214</v>
      </c>
      <c r="BD115" s="55">
        <v>178213991</v>
      </c>
      <c r="BE115" s="54"/>
      <c r="BF115" s="31"/>
      <c r="BG115" s="113"/>
      <c r="BH115" s="55"/>
      <c r="BO115" s="26">
        <v>2035</v>
      </c>
      <c r="BP115" s="130">
        <v>27.28</v>
      </c>
      <c r="BQ115" s="130">
        <v>24.81</v>
      </c>
      <c r="BR115" s="130">
        <v>17.48</v>
      </c>
      <c r="BS115" s="130">
        <v>14.62</v>
      </c>
      <c r="BT115" s="130">
        <v>19.07</v>
      </c>
      <c r="BU115" s="130">
        <v>13.65</v>
      </c>
      <c r="BV115" s="130">
        <v>19.239999999999998</v>
      </c>
      <c r="BW115" s="130">
        <v>18.68</v>
      </c>
      <c r="BX115" s="130">
        <v>17.68</v>
      </c>
      <c r="BZ115" s="26">
        <f>BZ114+1</f>
        <v>2035</v>
      </c>
      <c r="CA115" s="121">
        <v>10.07</v>
      </c>
      <c r="CB115" s="121">
        <v>8.35</v>
      </c>
      <c r="CC115" s="121">
        <v>7.16</v>
      </c>
      <c r="CD115" s="121">
        <v>7.34</v>
      </c>
      <c r="CE115" s="121">
        <v>9.5399999999999991</v>
      </c>
      <c r="CF115" s="121">
        <v>8.57</v>
      </c>
      <c r="CG115" s="121">
        <v>7.29</v>
      </c>
      <c r="CH115" s="121">
        <v>7.59</v>
      </c>
      <c r="CI115" s="121">
        <v>7.97</v>
      </c>
    </row>
    <row r="116" spans="1:87" x14ac:dyDescent="0.2">
      <c r="A116" s="83"/>
      <c r="B116" s="33"/>
      <c r="C116" s="33"/>
      <c r="D116" s="33"/>
      <c r="E116" s="98"/>
      <c r="F116" s="98"/>
      <c r="G116" s="75"/>
      <c r="H116" s="33"/>
      <c r="I116" s="33"/>
      <c r="J116" s="98"/>
      <c r="K116" s="75"/>
      <c r="L116" s="33"/>
      <c r="S116" s="96"/>
      <c r="T116" s="96"/>
      <c r="U116" s="23">
        <v>2029</v>
      </c>
      <c r="V116" s="133">
        <v>15049895</v>
      </c>
      <c r="W116" s="133"/>
      <c r="X116" s="55">
        <v>10099846</v>
      </c>
      <c r="Y116" s="133"/>
      <c r="Z116" s="55">
        <v>1183893</v>
      </c>
      <c r="AA116" s="55"/>
      <c r="AB116" s="55">
        <v>1187729</v>
      </c>
      <c r="AC116" s="55"/>
      <c r="AD116" s="133">
        <v>6229289</v>
      </c>
      <c r="AE116" s="55"/>
      <c r="AF116" s="133">
        <v>49607604</v>
      </c>
      <c r="AG116" s="55"/>
      <c r="AH116" s="55">
        <v>17927403</v>
      </c>
      <c r="AI116" s="55"/>
      <c r="AJ116" s="55">
        <v>2000115</v>
      </c>
      <c r="AK116" s="133">
        <v>1798780</v>
      </c>
      <c r="AL116" s="55"/>
      <c r="AM116" s="133">
        <v>6076781</v>
      </c>
      <c r="AN116" s="55"/>
      <c r="AO116" s="133">
        <v>50069639</v>
      </c>
      <c r="AP116" s="55"/>
      <c r="AQ116" s="133">
        <v>15789118</v>
      </c>
      <c r="AR116" s="55"/>
      <c r="AS116" s="133">
        <v>16466371</v>
      </c>
      <c r="AT116" s="55"/>
      <c r="AU116" s="133">
        <v>20055283</v>
      </c>
      <c r="AV116" s="133"/>
      <c r="AW116" s="133">
        <v>6348807</v>
      </c>
      <c r="AX116" s="55"/>
      <c r="AY116" s="133">
        <v>22069758</v>
      </c>
      <c r="AZ116" s="133"/>
      <c r="BA116" s="133">
        <v>7786722</v>
      </c>
      <c r="BB116" s="133"/>
      <c r="BC116" s="55">
        <v>32590224</v>
      </c>
      <c r="BD116" s="55">
        <v>181528251</v>
      </c>
      <c r="BE116" s="54"/>
      <c r="BF116" s="31"/>
      <c r="BG116" s="113"/>
      <c r="BH116" s="55"/>
    </row>
    <row r="117" spans="1:87" x14ac:dyDescent="0.2">
      <c r="A117" s="83"/>
      <c r="B117" s="33"/>
      <c r="C117" s="33"/>
      <c r="D117" s="33"/>
      <c r="E117" s="98"/>
      <c r="F117" s="98"/>
      <c r="G117" s="75"/>
      <c r="H117" s="33"/>
      <c r="I117" s="33"/>
      <c r="J117" s="98"/>
      <c r="K117" s="75"/>
      <c r="L117" s="33"/>
      <c r="S117" s="96"/>
      <c r="T117" s="96"/>
      <c r="U117" s="23">
        <v>2030</v>
      </c>
      <c r="V117" s="133">
        <v>14913886</v>
      </c>
      <c r="W117" s="133"/>
      <c r="X117" s="55">
        <v>10148886</v>
      </c>
      <c r="Y117" s="133"/>
      <c r="Z117" s="55">
        <v>1198950</v>
      </c>
      <c r="AA117" s="55"/>
      <c r="AB117" s="55">
        <v>1153162</v>
      </c>
      <c r="AC117" s="55"/>
      <c r="AD117" s="133">
        <v>6156827</v>
      </c>
      <c r="AE117" s="55"/>
      <c r="AF117" s="133">
        <v>49780084</v>
      </c>
      <c r="AG117" s="55"/>
      <c r="AH117" s="55">
        <v>18106404</v>
      </c>
      <c r="AI117" s="55"/>
      <c r="AJ117" s="55">
        <v>2020535</v>
      </c>
      <c r="AK117" s="133">
        <v>1810522</v>
      </c>
      <c r="AL117" s="55"/>
      <c r="AM117" s="133">
        <v>6140232</v>
      </c>
      <c r="AN117" s="55"/>
      <c r="AO117" s="133">
        <v>49699340</v>
      </c>
      <c r="AP117" s="55"/>
      <c r="AQ117" s="133">
        <v>15891537</v>
      </c>
      <c r="AR117" s="55"/>
      <c r="AS117" s="133">
        <v>16580570</v>
      </c>
      <c r="AT117" s="55"/>
      <c r="AU117" s="133">
        <v>20141000</v>
      </c>
      <c r="AV117" s="133"/>
      <c r="AW117" s="133">
        <v>6361736</v>
      </c>
      <c r="AX117" s="55"/>
      <c r="AY117" s="133">
        <v>22354464</v>
      </c>
      <c r="AZ117" s="133"/>
      <c r="BA117" s="133">
        <v>7816115</v>
      </c>
      <c r="BB117" s="133"/>
      <c r="BC117" s="55">
        <v>32618771</v>
      </c>
      <c r="BD117" s="55">
        <v>185903808</v>
      </c>
      <c r="BE117" s="54"/>
      <c r="BF117" s="31"/>
      <c r="BG117" s="113"/>
      <c r="BH117" s="55"/>
    </row>
    <row r="118" spans="1:87" x14ac:dyDescent="0.2">
      <c r="A118" s="83"/>
      <c r="B118" s="33"/>
      <c r="C118" s="33"/>
      <c r="D118" s="33"/>
      <c r="E118" s="98"/>
      <c r="F118" s="98"/>
      <c r="G118" s="75"/>
      <c r="H118" s="33"/>
      <c r="I118" s="33"/>
      <c r="J118" s="98"/>
      <c r="K118" s="75"/>
      <c r="L118" s="33"/>
      <c r="S118" s="96"/>
      <c r="T118" s="96"/>
      <c r="U118" s="23">
        <v>2031</v>
      </c>
      <c r="V118" s="132">
        <v>14764766</v>
      </c>
      <c r="W118" s="132"/>
      <c r="X118" s="132">
        <v>10188405</v>
      </c>
      <c r="Y118" s="132"/>
      <c r="Z118" s="132">
        <v>1212206</v>
      </c>
      <c r="AA118" s="132"/>
      <c r="AB118" s="132">
        <v>1118526</v>
      </c>
      <c r="AC118" s="132"/>
      <c r="AD118" s="132">
        <v>6078219</v>
      </c>
      <c r="AE118" s="132"/>
      <c r="AF118" s="132">
        <v>49877133</v>
      </c>
      <c r="AG118" s="132"/>
      <c r="AH118" s="132">
        <v>18257256</v>
      </c>
      <c r="AI118" s="132"/>
      <c r="AJ118" s="132">
        <v>2036730</v>
      </c>
      <c r="AK118" s="132">
        <v>1821925</v>
      </c>
      <c r="AL118" s="132"/>
      <c r="AM118" s="132">
        <v>6204831</v>
      </c>
      <c r="AN118" s="132"/>
      <c r="AO118" s="132">
        <v>49273830</v>
      </c>
      <c r="AP118" s="132"/>
      <c r="AQ118" s="132">
        <v>15987712</v>
      </c>
      <c r="AR118" s="132"/>
      <c r="AS118" s="132">
        <v>16687726</v>
      </c>
      <c r="AT118" s="132"/>
      <c r="AU118" s="132">
        <v>20233673</v>
      </c>
      <c r="AV118" s="132"/>
      <c r="AW118" s="132">
        <v>6375751</v>
      </c>
      <c r="AX118" s="132"/>
      <c r="AY118" s="132">
        <v>22630150</v>
      </c>
      <c r="AZ118" s="132"/>
      <c r="BA118" s="132">
        <v>7834260</v>
      </c>
      <c r="BB118" s="132"/>
      <c r="BC118" s="132">
        <v>32675180</v>
      </c>
      <c r="BD118" s="132">
        <v>189776430</v>
      </c>
      <c r="BE118" s="54"/>
      <c r="BF118" s="31"/>
      <c r="BG118" s="113"/>
      <c r="BH118" s="55"/>
    </row>
    <row r="119" spans="1:87" x14ac:dyDescent="0.2">
      <c r="A119" s="83"/>
      <c r="B119" s="33"/>
      <c r="C119" s="33"/>
      <c r="D119" s="33"/>
      <c r="E119" s="98"/>
      <c r="F119" s="98"/>
      <c r="G119" s="75"/>
      <c r="H119" s="33"/>
      <c r="I119" s="33"/>
      <c r="J119" s="98"/>
      <c r="K119" s="75"/>
      <c r="L119" s="33"/>
      <c r="S119" s="96"/>
      <c r="T119" s="96"/>
      <c r="U119" s="23">
        <v>2032</v>
      </c>
      <c r="V119" s="132">
        <v>14653256</v>
      </c>
      <c r="W119" s="132"/>
      <c r="X119" s="132">
        <v>10251112</v>
      </c>
      <c r="Y119" s="132"/>
      <c r="Z119" s="132">
        <v>1227442</v>
      </c>
      <c r="AA119" s="132"/>
      <c r="AB119" s="132">
        <v>1086799</v>
      </c>
      <c r="AC119" s="132"/>
      <c r="AD119" s="132">
        <v>6009648</v>
      </c>
      <c r="AE119" s="132"/>
      <c r="AF119" s="132">
        <v>50016579</v>
      </c>
      <c r="AG119" s="132"/>
      <c r="AH119" s="132">
        <v>18417954</v>
      </c>
      <c r="AI119" s="132"/>
      <c r="AJ119" s="132">
        <v>2052735</v>
      </c>
      <c r="AK119" s="132">
        <v>1837599</v>
      </c>
      <c r="AL119" s="132"/>
      <c r="AM119" s="132">
        <v>6283269</v>
      </c>
      <c r="AN119" s="132"/>
      <c r="AO119" s="132">
        <v>49018472</v>
      </c>
      <c r="AP119" s="132"/>
      <c r="AQ119" s="132">
        <v>16125127</v>
      </c>
      <c r="AR119" s="132"/>
      <c r="AS119" s="132">
        <v>16852755</v>
      </c>
      <c r="AT119" s="132"/>
      <c r="AU119" s="132">
        <v>20382562</v>
      </c>
      <c r="AV119" s="132"/>
      <c r="AW119" s="132">
        <v>6406805</v>
      </c>
      <c r="AX119" s="132"/>
      <c r="AY119" s="132">
        <v>22987262</v>
      </c>
      <c r="AZ119" s="132"/>
      <c r="BA119" s="132">
        <v>7865493</v>
      </c>
      <c r="BB119" s="132"/>
      <c r="BC119" s="132">
        <v>32867587</v>
      </c>
      <c r="BD119" s="132">
        <v>194260131</v>
      </c>
      <c r="BE119" s="54"/>
      <c r="BF119" s="31"/>
      <c r="BG119" s="113"/>
      <c r="BH119" s="55"/>
    </row>
    <row r="120" spans="1:87" x14ac:dyDescent="0.2">
      <c r="A120" s="83"/>
      <c r="B120" s="33"/>
      <c r="C120" s="33"/>
      <c r="D120" s="33"/>
      <c r="E120" s="98"/>
      <c r="F120" s="98"/>
      <c r="G120" s="75"/>
      <c r="H120" s="33"/>
      <c r="I120" s="33"/>
      <c r="J120" s="98"/>
      <c r="K120" s="75"/>
      <c r="L120" s="33"/>
      <c r="S120" s="96"/>
      <c r="U120" s="23">
        <v>2033</v>
      </c>
      <c r="V120" s="132">
        <v>14445202</v>
      </c>
      <c r="W120" s="132"/>
      <c r="X120" s="132">
        <v>10248056</v>
      </c>
      <c r="Y120" s="132"/>
      <c r="Z120" s="132">
        <v>1234191</v>
      </c>
      <c r="AA120" s="132"/>
      <c r="AB120" s="132">
        <v>1049133</v>
      </c>
      <c r="AC120" s="132"/>
      <c r="AD120" s="132">
        <v>5933947</v>
      </c>
      <c r="AE120" s="132"/>
      <c r="AF120" s="132">
        <v>50071958</v>
      </c>
      <c r="AG120" s="132"/>
      <c r="AH120" s="132">
        <v>18545614</v>
      </c>
      <c r="AI120" s="132"/>
      <c r="AJ120" s="132">
        <v>2064013</v>
      </c>
      <c r="AK120" s="132">
        <v>1842786</v>
      </c>
      <c r="AL120" s="132"/>
      <c r="AM120" s="132">
        <v>6325480</v>
      </c>
      <c r="AN120" s="132"/>
      <c r="AO120" s="132">
        <v>48502439</v>
      </c>
      <c r="AP120" s="132"/>
      <c r="AQ120" s="132">
        <v>16167263</v>
      </c>
      <c r="AR120" s="132"/>
      <c r="AS120" s="132">
        <v>16910942</v>
      </c>
      <c r="AT120" s="132"/>
      <c r="AU120" s="132">
        <v>20421879</v>
      </c>
      <c r="AV120" s="132"/>
      <c r="AW120" s="132">
        <v>6402548</v>
      </c>
      <c r="AX120" s="132"/>
      <c r="AY120" s="132">
        <v>23201819</v>
      </c>
      <c r="AZ120" s="132"/>
      <c r="BA120" s="132">
        <v>7854187</v>
      </c>
      <c r="BB120" s="132"/>
      <c r="BC120" s="132">
        <v>32864946</v>
      </c>
      <c r="BD120" s="132">
        <v>197393048</v>
      </c>
      <c r="BE120" s="54"/>
      <c r="BG120" s="113"/>
      <c r="BH120" s="55"/>
    </row>
    <row r="121" spans="1:87" x14ac:dyDescent="0.2">
      <c r="A121" s="83"/>
      <c r="B121" s="33"/>
      <c r="C121" s="33"/>
      <c r="D121" s="33"/>
      <c r="E121" s="98"/>
      <c r="F121" s="98"/>
      <c r="G121" s="75"/>
      <c r="H121" s="33"/>
      <c r="I121" s="33"/>
      <c r="J121" s="98"/>
      <c r="K121" s="75"/>
      <c r="L121" s="33"/>
      <c r="U121" s="23">
        <v>2034</v>
      </c>
      <c r="V121" s="132">
        <v>14266567</v>
      </c>
      <c r="W121" s="132"/>
      <c r="X121" s="132">
        <v>10269909</v>
      </c>
      <c r="Y121" s="132"/>
      <c r="Z121" s="132">
        <v>1243266</v>
      </c>
      <c r="AA121" s="132"/>
      <c r="AB121" s="132">
        <v>1014370</v>
      </c>
      <c r="AC121" s="132"/>
      <c r="AD121" s="132">
        <v>5862065</v>
      </c>
      <c r="AE121" s="132"/>
      <c r="AF121" s="132">
        <v>50141381</v>
      </c>
      <c r="AG121" s="132"/>
      <c r="AH121" s="132">
        <v>18679457</v>
      </c>
      <c r="AI121" s="132"/>
      <c r="AJ121" s="132">
        <v>2075048</v>
      </c>
      <c r="AK121" s="132">
        <v>1852806</v>
      </c>
      <c r="AL121" s="132"/>
      <c r="AM121" s="132">
        <v>6384189</v>
      </c>
      <c r="AN121" s="132"/>
      <c r="AO121" s="132">
        <v>48197099</v>
      </c>
      <c r="AP121" s="132"/>
      <c r="AQ121" s="132">
        <v>16250320</v>
      </c>
      <c r="AR121" s="132"/>
      <c r="AS121" s="132">
        <v>17011672</v>
      </c>
      <c r="AT121" s="132"/>
      <c r="AU121" s="132">
        <v>20522221</v>
      </c>
      <c r="AV121" s="132"/>
      <c r="AW121" s="132">
        <v>6416827</v>
      </c>
      <c r="AX121" s="132"/>
      <c r="AY121" s="132">
        <v>23472526</v>
      </c>
      <c r="AZ121" s="132"/>
      <c r="BA121" s="132">
        <v>7861925</v>
      </c>
      <c r="BB121" s="132"/>
      <c r="BC121" s="132">
        <v>32955020</v>
      </c>
      <c r="BD121" s="132">
        <v>201059951</v>
      </c>
      <c r="BE121" s="47"/>
      <c r="BG121" s="113"/>
      <c r="BH121" s="55"/>
    </row>
    <row r="122" spans="1:87" x14ac:dyDescent="0.2">
      <c r="A122" s="83"/>
      <c r="B122" s="33"/>
      <c r="C122" s="33"/>
      <c r="D122" s="33"/>
      <c r="E122" s="98"/>
      <c r="F122" s="98"/>
      <c r="G122" s="75"/>
      <c r="H122" s="33"/>
      <c r="I122" s="33"/>
      <c r="J122" s="98"/>
      <c r="K122" s="75"/>
      <c r="L122" s="33"/>
      <c r="U122" s="23">
        <v>2035</v>
      </c>
      <c r="V122" s="132">
        <v>14121238</v>
      </c>
      <c r="W122" s="132"/>
      <c r="X122" s="132">
        <v>10318193</v>
      </c>
      <c r="Y122" s="132"/>
      <c r="Z122" s="132">
        <v>1254660</v>
      </c>
      <c r="AA122" s="132"/>
      <c r="AB122" s="132">
        <v>980566</v>
      </c>
      <c r="AC122" s="132"/>
      <c r="AD122" s="132">
        <v>5805585</v>
      </c>
      <c r="AE122" s="132"/>
      <c r="AF122" s="132">
        <v>50331899</v>
      </c>
      <c r="AG122" s="132"/>
      <c r="AH122" s="132">
        <v>18860375</v>
      </c>
      <c r="AI122" s="132"/>
      <c r="AJ122" s="132">
        <v>2090540</v>
      </c>
      <c r="AK122" s="132">
        <v>1862692</v>
      </c>
      <c r="AL122" s="132"/>
      <c r="AM122" s="132">
        <v>6442481</v>
      </c>
      <c r="AN122" s="132"/>
      <c r="AO122" s="132">
        <v>48132648</v>
      </c>
      <c r="AP122" s="132"/>
      <c r="AQ122" s="132">
        <v>16339726</v>
      </c>
      <c r="AR122" s="132"/>
      <c r="AS122" s="132">
        <v>17155888</v>
      </c>
      <c r="AT122" s="132"/>
      <c r="AU122" s="132">
        <v>20627653</v>
      </c>
      <c r="AV122" s="132"/>
      <c r="AW122" s="132">
        <v>6432340</v>
      </c>
      <c r="AX122" s="132"/>
      <c r="AY122" s="132">
        <v>23801701</v>
      </c>
      <c r="AZ122" s="132"/>
      <c r="BA122" s="132">
        <v>7863084</v>
      </c>
      <c r="BB122" s="132"/>
      <c r="BC122" s="132">
        <v>33139890</v>
      </c>
      <c r="BD122" s="132">
        <v>205169294</v>
      </c>
      <c r="BE122" s="47"/>
      <c r="BG122" s="113"/>
      <c r="BH122" s="55"/>
    </row>
    <row r="123" spans="1:87" x14ac:dyDescent="0.2">
      <c r="A123" s="83"/>
      <c r="B123" s="33"/>
      <c r="C123" s="33"/>
      <c r="D123" s="33"/>
      <c r="E123" s="98"/>
      <c r="F123" s="98"/>
      <c r="G123" s="75"/>
      <c r="H123" s="33"/>
      <c r="I123" s="33"/>
      <c r="J123" s="98"/>
      <c r="K123" s="75"/>
      <c r="L123" s="33"/>
      <c r="U123" s="23">
        <v>2036</v>
      </c>
      <c r="V123" s="231">
        <f>(V122/V121)*V122</f>
        <v>13977389.420499269</v>
      </c>
      <c r="X123" s="231">
        <f>(X122/X121)*X122</f>
        <v>10366704.007333364</v>
      </c>
      <c r="Z123" s="231">
        <f>(Z122/Z121)*Z122</f>
        <v>1266158.4211262916</v>
      </c>
      <c r="AB123" s="231">
        <f>(AB122/AB121)*AB122</f>
        <v>947888.52229068289</v>
      </c>
      <c r="AD123" s="231">
        <f>(AD122/AD121)*AD122</f>
        <v>5749649.1752010603</v>
      </c>
      <c r="AF123" s="231">
        <f>(AF122/AF121)*AF122</f>
        <v>50523140.895265743</v>
      </c>
      <c r="AH123" s="231">
        <f>(AH122/AH121)*AH122</f>
        <v>19043045.26307296</v>
      </c>
      <c r="AJ123" s="231">
        <f t="shared" ref="AJ123:AK129" si="177">(AJ122/AJ121)*AJ122</f>
        <v>2106147.6609697705</v>
      </c>
      <c r="AK123" s="231">
        <f t="shared" si="177"/>
        <v>1872630.7486396311</v>
      </c>
      <c r="AM123" s="231">
        <f>(AM122/AM121)*AM122</f>
        <v>6501305.2457189159</v>
      </c>
      <c r="AO123" s="231">
        <f>(AO122/AO121)*AO122</f>
        <v>48068283.186336674</v>
      </c>
      <c r="AQ123" s="231">
        <f>(AQ122/AQ121)*AQ122</f>
        <v>16429623.893872615</v>
      </c>
      <c r="AS123" s="231">
        <f>(AS122/AS121)*AS122</f>
        <v>17301326.587330393</v>
      </c>
      <c r="AU123" s="231">
        <f>(AU122/AU121)*AU122</f>
        <v>20733626.652222928</v>
      </c>
      <c r="AW123" s="231">
        <f>(AW122/AW121)*AW122</f>
        <v>6447890.5034528747</v>
      </c>
      <c r="AY123" s="231">
        <f>(AY122/AY121)*AY122</f>
        <v>24135492.298246935</v>
      </c>
      <c r="BA123" s="231">
        <f>(BA122/BA121)*BA122</f>
        <v>7864243.1708590453</v>
      </c>
      <c r="BC123" s="231">
        <f t="shared" ref="BC123:BD129" si="178">(BC122/BC121)*BC122</f>
        <v>33325797.077716835</v>
      </c>
      <c r="BD123" s="231">
        <f t="shared" si="178"/>
        <v>209362625.38161287</v>
      </c>
      <c r="BE123" s="47"/>
      <c r="BG123" s="113"/>
      <c r="BH123" s="55"/>
    </row>
    <row r="124" spans="1:87" x14ac:dyDescent="0.2">
      <c r="A124" s="83"/>
      <c r="B124" s="33"/>
      <c r="C124" s="33"/>
      <c r="D124" s="33"/>
      <c r="E124" s="98"/>
      <c r="F124" s="98"/>
      <c r="G124" s="75"/>
      <c r="H124" s="33"/>
      <c r="I124" s="33"/>
      <c r="J124" s="98"/>
      <c r="K124" s="75"/>
      <c r="L124" s="33"/>
      <c r="U124" s="23">
        <v>2037</v>
      </c>
      <c r="V124" s="231">
        <f t="shared" ref="V124:V129" si="179">(V123/V122)*V123</f>
        <v>13835006.180923011</v>
      </c>
      <c r="X124" s="231">
        <f t="shared" ref="X124:X129" si="180">(X123/X122)*X123</f>
        <v>10415443.089275578</v>
      </c>
      <c r="Z124" s="231">
        <f t="shared" ref="Z124:Z129" si="181">(Z123/Z122)*Z123</f>
        <v>1277762.22035374</v>
      </c>
      <c r="AB124" s="231">
        <f t="shared" ref="AB124:AB129" si="182">(AB123/AB122)*AB123</f>
        <v>916300.02538372169</v>
      </c>
      <c r="AD124" s="231">
        <f t="shared" ref="AD124:AD129" si="183">(AD123/AD122)*AD123</f>
        <v>5694252.2825676017</v>
      </c>
      <c r="AF124" s="231">
        <f t="shared" ref="AF124:AF129" si="184">(AF123/AF122)*AF123</f>
        <v>50715109.436321363</v>
      </c>
      <c r="AH124" s="231">
        <f t="shared" ref="AH124:AH129" si="185">(AH123/AH122)*AH123</f>
        <v>19227484.760586441</v>
      </c>
      <c r="AJ124" s="231">
        <f t="shared" si="177"/>
        <v>2121871.8464169232</v>
      </c>
      <c r="AK124" s="231">
        <f t="shared" si="177"/>
        <v>1882622.5273693262</v>
      </c>
      <c r="AM124" s="231">
        <f t="shared" ref="AM124:AM129" si="186">(AM123/AM122)*AM123</f>
        <v>6560666.5969231874</v>
      </c>
      <c r="AO124" s="231">
        <f t="shared" ref="AO124:AO129" si="187">(AO123/AO122)*AO123</f>
        <v>48004004.443758361</v>
      </c>
      <c r="AQ124" s="231">
        <f t="shared" ref="AQ124:AQ129" si="188">(AQ123/AQ122)*AQ123</f>
        <v>16520016.38791923</v>
      </c>
      <c r="AS124" s="231">
        <f t="shared" ref="AS124:AS129" si="189">(AS123/AS122)*AS123</f>
        <v>17447998.126442976</v>
      </c>
      <c r="AU124" s="231">
        <f t="shared" ref="AU124:AU129" si="190">(AU123/AU122)*AU123</f>
        <v>20840144.739383046</v>
      </c>
      <c r="AW124" s="231">
        <f t="shared" ref="AW124:AW129" si="191">(AW123/AW122)*AW123</f>
        <v>6463478.6010250961</v>
      </c>
      <c r="AY124" s="231">
        <f t="shared" ref="AY124:AY129" si="192">(AY123/AY122)*AY123</f>
        <v>24473964.632978842</v>
      </c>
      <c r="BA124" s="231">
        <f t="shared" ref="BA124:BA129" si="193">(BA123/BA122)*BA123</f>
        <v>7865402.5126023237</v>
      </c>
      <c r="BC124" s="231">
        <f t="shared" si="178"/>
        <v>33512747.050915375</v>
      </c>
      <c r="BD124" s="231">
        <f t="shared" si="178"/>
        <v>213641661.73268387</v>
      </c>
    </row>
    <row r="125" spans="1:87" x14ac:dyDescent="0.2">
      <c r="A125" s="83"/>
      <c r="B125" s="33"/>
      <c r="C125" s="33"/>
      <c r="D125" s="33"/>
      <c r="E125" s="98"/>
      <c r="F125" s="98"/>
      <c r="G125" s="75"/>
      <c r="H125" s="33"/>
      <c r="I125" s="33"/>
      <c r="J125" s="98"/>
      <c r="K125" s="75"/>
      <c r="L125" s="33"/>
      <c r="U125" s="23">
        <v>2038</v>
      </c>
      <c r="V125" s="231">
        <f t="shared" si="179"/>
        <v>13694073.354317468</v>
      </c>
      <c r="X125" s="231">
        <f t="shared" si="180"/>
        <v>10464411.318119921</v>
      </c>
      <c r="Z125" s="231">
        <f t="shared" si="181"/>
        <v>1289472.3634274753</v>
      </c>
      <c r="AB125" s="231">
        <f t="shared" si="182"/>
        <v>885764.21886531985</v>
      </c>
      <c r="AD125" s="231">
        <f t="shared" si="183"/>
        <v>5639389.1295798039</v>
      </c>
      <c r="AF125" s="231">
        <f t="shared" si="184"/>
        <v>50907807.384141922</v>
      </c>
      <c r="AH125" s="231">
        <f t="shared" si="185"/>
        <v>19413710.628282476</v>
      </c>
      <c r="AJ125" s="231">
        <f t="shared" si="177"/>
        <v>2137713.4262958905</v>
      </c>
      <c r="AK125" s="231">
        <f t="shared" si="177"/>
        <v>1892667.6191412513</v>
      </c>
      <c r="AM125" s="231">
        <f t="shared" si="186"/>
        <v>6620569.9577522362</v>
      </c>
      <c r="AO125" s="231">
        <f t="shared" si="187"/>
        <v>47939811.657167517</v>
      </c>
      <c r="AQ125" s="231">
        <f t="shared" si="188"/>
        <v>16610906.203330763</v>
      </c>
      <c r="AS125" s="231">
        <f t="shared" si="189"/>
        <v>17595913.069653913</v>
      </c>
      <c r="AU125" s="231">
        <f t="shared" si="190"/>
        <v>20947210.058490694</v>
      </c>
      <c r="AW125" s="231">
        <f t="shared" si="191"/>
        <v>6479104.3836023267</v>
      </c>
      <c r="AY125" s="231">
        <f t="shared" si="192"/>
        <v>24817183.650312588</v>
      </c>
      <c r="BA125" s="231">
        <f t="shared" si="193"/>
        <v>7866562.0252550272</v>
      </c>
      <c r="BC125" s="231">
        <f t="shared" si="178"/>
        <v>33700745.7699968</v>
      </c>
      <c r="BD125" s="231">
        <f t="shared" si="178"/>
        <v>218008154.72536135</v>
      </c>
    </row>
    <row r="126" spans="1:87" x14ac:dyDescent="0.2">
      <c r="A126" s="83"/>
      <c r="B126" s="33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U126" s="23">
        <v>2039</v>
      </c>
      <c r="V126" s="231">
        <f t="shared" si="179"/>
        <v>13554576.165785031</v>
      </c>
      <c r="X126" s="231">
        <f t="shared" si="180"/>
        <v>10513609.771201063</v>
      </c>
      <c r="Z126" s="231">
        <f t="shared" si="181"/>
        <v>1301289.8249432673</v>
      </c>
      <c r="AB126" s="231">
        <f t="shared" si="182"/>
        <v>856246.02170400473</v>
      </c>
      <c r="AD126" s="231">
        <f t="shared" si="183"/>
        <v>5585054.5737468917</v>
      </c>
      <c r="AF126" s="231">
        <f t="shared" si="184"/>
        <v>51101237.510193132</v>
      </c>
      <c r="AH126" s="231">
        <f t="shared" si="185"/>
        <v>19601740.167869609</v>
      </c>
      <c r="AJ126" s="231">
        <f t="shared" si="177"/>
        <v>2153673.2770560542</v>
      </c>
      <c r="AK126" s="231">
        <f t="shared" si="177"/>
        <v>1902766.3084173172</v>
      </c>
      <c r="AM126" s="231">
        <f t="shared" si="186"/>
        <v>6681020.2771236226</v>
      </c>
      <c r="AO126" s="231">
        <f t="shared" si="187"/>
        <v>47875704.711620517</v>
      </c>
      <c r="AQ126" s="231">
        <f t="shared" si="188"/>
        <v>16702296.076269574</v>
      </c>
      <c r="AS126" s="231">
        <f t="shared" si="189"/>
        <v>17745081.957888603</v>
      </c>
      <c r="AU126" s="231">
        <f t="shared" si="190"/>
        <v>21054825.420925725</v>
      </c>
      <c r="AW126" s="231">
        <f t="shared" si="191"/>
        <v>6494767.9422899494</v>
      </c>
      <c r="AY126" s="231">
        <f t="shared" si="192"/>
        <v>25165215.916975819</v>
      </c>
      <c r="BA126" s="231">
        <f t="shared" si="193"/>
        <v>7867721.7088423511</v>
      </c>
      <c r="BC126" s="231">
        <f t="shared" si="178"/>
        <v>33889799.118181661</v>
      </c>
      <c r="BD126" s="231">
        <f t="shared" si="178"/>
        <v>222463891.8331635</v>
      </c>
    </row>
    <row r="127" spans="1:87" x14ac:dyDescent="0.2">
      <c r="A127" s="32"/>
      <c r="B127" s="32"/>
      <c r="C127" s="98"/>
      <c r="D127" s="98"/>
      <c r="E127" s="98"/>
      <c r="F127" s="98"/>
      <c r="G127" s="99"/>
      <c r="H127" s="98"/>
      <c r="I127" s="98"/>
      <c r="J127" s="98"/>
      <c r="K127" s="99"/>
      <c r="L127" s="98"/>
      <c r="U127" s="23">
        <v>2040</v>
      </c>
      <c r="V127" s="231">
        <f t="shared" si="179"/>
        <v>13416499.9909353</v>
      </c>
      <c r="X127" s="231">
        <f t="shared" si="180"/>
        <v>10563039.530918764</v>
      </c>
      <c r="Z127" s="231">
        <f t="shared" si="181"/>
        <v>1313215.5884286384</v>
      </c>
      <c r="AB127" s="231">
        <f t="shared" si="182"/>
        <v>827711.52194781892</v>
      </c>
      <c r="AD127" s="231">
        <f t="shared" si="183"/>
        <v>5531243.5221251138</v>
      </c>
      <c r="AF127" s="231">
        <f t="shared" si="184"/>
        <v>51295402.596471205</v>
      </c>
      <c r="AH127" s="231">
        <f t="shared" si="185"/>
        <v>19791590.848630331</v>
      </c>
      <c r="AJ127" s="231">
        <f t="shared" si="177"/>
        <v>2169752.2816902371</v>
      </c>
      <c r="AK127" s="231">
        <f t="shared" si="177"/>
        <v>1912918.8811772359</v>
      </c>
      <c r="AM127" s="231">
        <f t="shared" si="186"/>
        <v>6742022.5491418988</v>
      </c>
      <c r="AO127" s="231">
        <f t="shared" si="187"/>
        <v>47811683.492327444</v>
      </c>
      <c r="AQ127" s="231">
        <f t="shared" si="188"/>
        <v>16794188.757951841</v>
      </c>
      <c r="AS127" s="231">
        <f t="shared" si="189"/>
        <v>17895515.42143286</v>
      </c>
      <c r="AU127" s="231">
        <f t="shared" si="190"/>
        <v>21162993.652511336</v>
      </c>
      <c r="AW127" s="231">
        <f t="shared" si="191"/>
        <v>6510469.3684136001</v>
      </c>
      <c r="AY127" s="231">
        <f t="shared" si="192"/>
        <v>25518128.933217466</v>
      </c>
      <c r="BA127" s="231">
        <f t="shared" si="193"/>
        <v>7868881.5633894941</v>
      </c>
      <c r="BC127" s="231">
        <f t="shared" si="178"/>
        <v>34079913.011694036</v>
      </c>
      <c r="BD127" s="231">
        <f t="shared" si="178"/>
        <v>227010697.06270108</v>
      </c>
    </row>
    <row r="128" spans="1:87" x14ac:dyDescent="0.2">
      <c r="A128" s="32"/>
      <c r="B128" s="98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U128" s="23">
        <v>2041</v>
      </c>
      <c r="V128" s="231">
        <f t="shared" si="179"/>
        <v>13279830.354351902</v>
      </c>
      <c r="X128" s="231">
        <f t="shared" si="180"/>
        <v>10612701.684761692</v>
      </c>
      <c r="Z128" s="231">
        <f t="shared" si="181"/>
        <v>1325250.6464247196</v>
      </c>
      <c r="AB128" s="231">
        <f t="shared" si="182"/>
        <v>800127.9377646076</v>
      </c>
      <c r="AD128" s="231">
        <f t="shared" si="183"/>
        <v>5477950.9308403665</v>
      </c>
      <c r="AF128" s="231">
        <f t="shared" si="184"/>
        <v>51490305.435542874</v>
      </c>
      <c r="AH128" s="231">
        <f t="shared" si="185"/>
        <v>19983280.309044119</v>
      </c>
      <c r="AJ128" s="231">
        <f t="shared" si="177"/>
        <v>2185951.3297835561</v>
      </c>
      <c r="AK128" s="231">
        <f t="shared" si="177"/>
        <v>1923125.6249266183</v>
      </c>
      <c r="AM128" s="231">
        <f t="shared" si="186"/>
        <v>6803581.8135111993</v>
      </c>
      <c r="AO128" s="231">
        <f t="shared" si="187"/>
        <v>47747747.884651884</v>
      </c>
      <c r="AQ128" s="231">
        <f t="shared" si="188"/>
        <v>16886587.014730383</v>
      </c>
      <c r="AS128" s="231">
        <f t="shared" si="189"/>
        <v>18047224.180690464</v>
      </c>
      <c r="AU128" s="231">
        <f t="shared" si="190"/>
        <v>21271717.593588259</v>
      </c>
      <c r="AW128" s="231">
        <f t="shared" si="191"/>
        <v>6526208.7535196971</v>
      </c>
      <c r="AY128" s="231">
        <f t="shared" si="192"/>
        <v>25875991.1458993</v>
      </c>
      <c r="BA128" s="231">
        <f t="shared" si="193"/>
        <v>7870041.5889216596</v>
      </c>
      <c r="BC128" s="231">
        <f t="shared" si="178"/>
        <v>34271093.399946623</v>
      </c>
      <c r="BD128" s="231">
        <f t="shared" si="178"/>
        <v>231650431.70035517</v>
      </c>
    </row>
    <row r="129" spans="1:56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U129" s="23">
        <v>2042</v>
      </c>
      <c r="V129" s="231">
        <f t="shared" si="179"/>
        <v>13144552.928074952</v>
      </c>
      <c r="X129" s="231">
        <f t="shared" si="180"/>
        <v>10662597.325331343</v>
      </c>
      <c r="Z129" s="231">
        <f t="shared" si="181"/>
        <v>1337396.0005688556</v>
      </c>
      <c r="AB129" s="231">
        <f t="shared" si="182"/>
        <v>773463.57978064241</v>
      </c>
      <c r="AD129" s="231">
        <f t="shared" si="183"/>
        <v>5425171.8046154166</v>
      </c>
      <c r="AF129" s="231">
        <f t="shared" si="184"/>
        <v>51685948.830585554</v>
      </c>
      <c r="AH129" s="231">
        <f t="shared" si="185"/>
        <v>20176826.358426157</v>
      </c>
      <c r="AJ129" s="231">
        <f t="shared" si="177"/>
        <v>2202271.3175626374</v>
      </c>
      <c r="AK129" s="231">
        <f t="shared" si="177"/>
        <v>1933386.8287051169</v>
      </c>
      <c r="AM129" s="231">
        <f t="shared" si="186"/>
        <v>6865703.1559515931</v>
      </c>
      <c r="AO129" s="231">
        <f t="shared" si="187"/>
        <v>47683897.774110712</v>
      </c>
      <c r="AQ129" s="231">
        <f t="shared" si="188"/>
        <v>16979493.628177933</v>
      </c>
      <c r="AS129" s="231">
        <f t="shared" si="189"/>
        <v>18200219.04694714</v>
      </c>
      <c r="AU129" s="231">
        <f t="shared" si="190"/>
        <v>21381000.099089358</v>
      </c>
      <c r="AW129" s="231">
        <f t="shared" si="191"/>
        <v>6541986.189375978</v>
      </c>
      <c r="AY129" s="231">
        <f t="shared" si="192"/>
        <v>26238871.961771071</v>
      </c>
      <c r="BA129" s="231">
        <f t="shared" si="193"/>
        <v>7871201.785464054</v>
      </c>
      <c r="BC129" s="231">
        <f t="shared" si="178"/>
        <v>34463346.265726946</v>
      </c>
      <c r="BD129" s="231">
        <f t="shared" si="178"/>
        <v>236384995.07421592</v>
      </c>
    </row>
    <row r="130" spans="1:56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1:56" x14ac:dyDescent="0.2">
      <c r="A131" s="30"/>
      <c r="B131" s="30"/>
    </row>
  </sheetData>
  <phoneticPr fontId="0" type="noConversion"/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view="pageBreakPreview" zoomScale="60" zoomScaleNormal="100" workbookViewId="0">
      <selection activeCell="P1" sqref="P1:Q15"/>
    </sheetView>
  </sheetViews>
  <sheetFormatPr defaultRowHeight="12.75" x14ac:dyDescent="0.2"/>
  <cols>
    <col min="1" max="14" width="8.7109375" style="1" customWidth="1"/>
  </cols>
  <sheetData>
    <row r="1" spans="1:17" x14ac:dyDescent="0.2">
      <c r="A1" s="22" t="s">
        <v>15</v>
      </c>
      <c r="B1" s="22" t="s">
        <v>18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10</v>
      </c>
      <c r="I1" s="3" t="s">
        <v>11</v>
      </c>
      <c r="J1" s="3" t="s">
        <v>12</v>
      </c>
      <c r="K1" s="3" t="s">
        <v>100</v>
      </c>
      <c r="L1" s="3" t="s">
        <v>173</v>
      </c>
      <c r="M1" s="3" t="s">
        <v>13</v>
      </c>
      <c r="N1" s="3" t="s">
        <v>14</v>
      </c>
    </row>
    <row r="2" spans="1:17" s="2" customFormat="1" x14ac:dyDescent="0.2">
      <c r="A2" s="56">
        <v>2001</v>
      </c>
      <c r="B2" s="57">
        <v>1</v>
      </c>
      <c r="C2" s="58">
        <v>0.1015625</v>
      </c>
      <c r="D2" s="58">
        <f>1/12</f>
        <v>8.3333333333333329E-2</v>
      </c>
      <c r="E2" s="58">
        <v>7.5709779179810713E-2</v>
      </c>
      <c r="F2" s="58">
        <v>7.5709779179810713E-2</v>
      </c>
      <c r="G2" s="58">
        <v>7.8171091445427721E-2</v>
      </c>
      <c r="H2" s="58">
        <f>1/12</f>
        <v>8.3333333333333329E-2</v>
      </c>
      <c r="I2" s="58">
        <f>1/12</f>
        <v>8.3333333333333329E-2</v>
      </c>
      <c r="J2" s="58">
        <f>1/12</f>
        <v>8.3333333333333329E-2</v>
      </c>
      <c r="K2" s="58">
        <f t="shared" ref="K2:K13" si="0">1/12</f>
        <v>8.3333333333333329E-2</v>
      </c>
      <c r="L2" s="58">
        <v>0.22752497225305215</v>
      </c>
      <c r="M2" s="58">
        <v>9.8182753897774241E-2</v>
      </c>
      <c r="N2" s="58">
        <f t="shared" ref="N2:N13" si="1">1/12</f>
        <v>8.3333333333333329E-2</v>
      </c>
      <c r="P2" s="128"/>
      <c r="Q2" s="144"/>
    </row>
    <row r="3" spans="1:17" x14ac:dyDescent="0.2">
      <c r="A3" s="56">
        <v>2001</v>
      </c>
      <c r="B3" s="57">
        <v>2</v>
      </c>
      <c r="C3" s="58">
        <v>9.765625E-2</v>
      </c>
      <c r="D3" s="58">
        <f t="shared" ref="D3:D13" si="2">1/12</f>
        <v>8.3333333333333329E-2</v>
      </c>
      <c r="E3" s="58">
        <v>7.7812828601472123E-2</v>
      </c>
      <c r="F3" s="58">
        <v>7.7812828601472123E-2</v>
      </c>
      <c r="G3" s="58">
        <v>7.8171091445427721E-2</v>
      </c>
      <c r="H3" s="58">
        <f t="shared" ref="H3:J13" si="3">1/12</f>
        <v>8.3333333333333329E-2</v>
      </c>
      <c r="I3" s="58">
        <f t="shared" si="3"/>
        <v>8.3333333333333329E-2</v>
      </c>
      <c r="J3" s="58">
        <f t="shared" si="3"/>
        <v>8.3333333333333329E-2</v>
      </c>
      <c r="K3" s="58">
        <f t="shared" si="0"/>
        <v>8.3333333333333329E-2</v>
      </c>
      <c r="L3" s="58">
        <v>0.17286348501664817</v>
      </c>
      <c r="M3" s="58">
        <v>9.4422296773449807E-2</v>
      </c>
      <c r="N3" s="58">
        <f t="shared" si="1"/>
        <v>8.3333333333333329E-2</v>
      </c>
      <c r="P3" s="128"/>
      <c r="Q3" s="144"/>
    </row>
    <row r="4" spans="1:17" x14ac:dyDescent="0.2">
      <c r="A4" s="56">
        <v>2001</v>
      </c>
      <c r="B4" s="57">
        <v>3</v>
      </c>
      <c r="C4" s="58">
        <v>9.375E-2</v>
      </c>
      <c r="D4" s="58">
        <f t="shared" si="2"/>
        <v>8.3333333333333329E-2</v>
      </c>
      <c r="E4" s="58">
        <v>7.8864353312302821E-2</v>
      </c>
      <c r="F4" s="58">
        <v>7.8864353312302821E-2</v>
      </c>
      <c r="G4" s="58">
        <v>7.9646017699115029E-2</v>
      </c>
      <c r="H4" s="58">
        <f t="shared" si="3"/>
        <v>8.3333333333333329E-2</v>
      </c>
      <c r="I4" s="58">
        <f t="shared" si="3"/>
        <v>8.3333333333333329E-2</v>
      </c>
      <c r="J4" s="58">
        <f t="shared" si="3"/>
        <v>8.3333333333333329E-2</v>
      </c>
      <c r="K4" s="58">
        <f t="shared" si="0"/>
        <v>8.3333333333333329E-2</v>
      </c>
      <c r="L4" s="58">
        <v>0.12541620421753608</v>
      </c>
      <c r="M4" s="58">
        <v>9.0621776199670406E-2</v>
      </c>
      <c r="N4" s="58">
        <f t="shared" si="1"/>
        <v>8.3333333333333329E-2</v>
      </c>
      <c r="P4" s="128"/>
      <c r="Q4" s="144"/>
    </row>
    <row r="5" spans="1:17" x14ac:dyDescent="0.2">
      <c r="A5" s="56">
        <v>2001</v>
      </c>
      <c r="B5" s="57">
        <v>4</v>
      </c>
      <c r="C5" s="58">
        <v>8.59375E-2</v>
      </c>
      <c r="D5" s="58">
        <f t="shared" si="2"/>
        <v>8.3333333333333329E-2</v>
      </c>
      <c r="E5" s="58">
        <v>7.9915878023133546E-2</v>
      </c>
      <c r="F5" s="58">
        <v>7.9915878023133546E-2</v>
      </c>
      <c r="G5" s="58">
        <v>8.1120943952802352E-2</v>
      </c>
      <c r="H5" s="58">
        <f t="shared" si="3"/>
        <v>8.3333333333333329E-2</v>
      </c>
      <c r="I5" s="58">
        <f t="shared" si="3"/>
        <v>8.3333333333333329E-2</v>
      </c>
      <c r="J5" s="58">
        <f t="shared" si="3"/>
        <v>8.3333333333333329E-2</v>
      </c>
      <c r="K5" s="58">
        <f t="shared" si="0"/>
        <v>8.3333333333333329E-2</v>
      </c>
      <c r="L5" s="58">
        <v>5.9933407325194227E-2</v>
      </c>
      <c r="M5" s="58">
        <v>8.5759184176289791E-2</v>
      </c>
      <c r="N5" s="58">
        <f t="shared" si="1"/>
        <v>8.3333333333333329E-2</v>
      </c>
      <c r="P5" s="128"/>
      <c r="Q5" s="144"/>
    </row>
    <row r="6" spans="1:17" x14ac:dyDescent="0.2">
      <c r="A6" s="56">
        <v>2001</v>
      </c>
      <c r="B6" s="57">
        <v>5</v>
      </c>
      <c r="C6" s="58">
        <v>8.203125E-2</v>
      </c>
      <c r="D6" s="58">
        <f t="shared" si="2"/>
        <v>8.3333333333333329E-2</v>
      </c>
      <c r="E6" s="58">
        <v>8.4121976866456366E-2</v>
      </c>
      <c r="F6" s="58">
        <v>8.4121976866456366E-2</v>
      </c>
      <c r="G6" s="58">
        <v>8.259587020648966E-2</v>
      </c>
      <c r="H6" s="58">
        <f t="shared" si="3"/>
        <v>8.3333333333333329E-2</v>
      </c>
      <c r="I6" s="58">
        <f t="shared" si="3"/>
        <v>8.3333333333333329E-2</v>
      </c>
      <c r="J6" s="58">
        <f t="shared" si="3"/>
        <v>8.3333333333333329E-2</v>
      </c>
      <c r="K6" s="58">
        <f t="shared" si="0"/>
        <v>8.3333333333333329E-2</v>
      </c>
      <c r="L6" s="58">
        <v>2.1087680355160933E-2</v>
      </c>
      <c r="M6" s="58">
        <v>7.8758507816662299E-2</v>
      </c>
      <c r="N6" s="58">
        <f t="shared" si="1"/>
        <v>8.3333333333333329E-2</v>
      </c>
      <c r="P6" s="128"/>
      <c r="Q6" s="144"/>
    </row>
    <row r="7" spans="1:17" x14ac:dyDescent="0.2">
      <c r="A7" s="56">
        <v>2001</v>
      </c>
      <c r="B7" s="57">
        <v>6</v>
      </c>
      <c r="C7" s="58">
        <v>7.8125E-2</v>
      </c>
      <c r="D7" s="58">
        <f t="shared" si="2"/>
        <v>8.3333333333333329E-2</v>
      </c>
      <c r="E7" s="58">
        <v>9.0431125131440568E-2</v>
      </c>
      <c r="F7" s="58">
        <v>9.0431125131440568E-2</v>
      </c>
      <c r="G7" s="58">
        <v>8.7020648967551628E-2</v>
      </c>
      <c r="H7" s="58">
        <f t="shared" si="3"/>
        <v>8.3333333333333329E-2</v>
      </c>
      <c r="I7" s="58">
        <f t="shared" si="3"/>
        <v>8.3333333333333329E-2</v>
      </c>
      <c r="J7" s="58">
        <f t="shared" si="3"/>
        <v>8.3333333333333329E-2</v>
      </c>
      <c r="K7" s="58">
        <f t="shared" si="0"/>
        <v>8.3333333333333329E-2</v>
      </c>
      <c r="L7" s="58">
        <v>1.9422863485016649E-3</v>
      </c>
      <c r="M7" s="58">
        <v>7.0474300891255795E-2</v>
      </c>
      <c r="N7" s="58">
        <f t="shared" si="1"/>
        <v>8.3333333333333329E-2</v>
      </c>
      <c r="P7" s="128"/>
      <c r="Q7" s="144"/>
    </row>
    <row r="8" spans="1:17" x14ac:dyDescent="0.2">
      <c r="A8" s="56">
        <v>2001</v>
      </c>
      <c r="B8" s="57">
        <v>7</v>
      </c>
      <c r="C8" s="58">
        <v>6.640625E-2</v>
      </c>
      <c r="D8" s="58">
        <f t="shared" si="2"/>
        <v>8.3333333333333329E-2</v>
      </c>
      <c r="E8" s="58">
        <v>9.2534174553102019E-2</v>
      </c>
      <c r="F8" s="58">
        <v>9.2534174553102019E-2</v>
      </c>
      <c r="G8" s="58">
        <v>9.4395280235988185E-2</v>
      </c>
      <c r="H8" s="58">
        <f t="shared" si="3"/>
        <v>8.3333333333333329E-2</v>
      </c>
      <c r="I8" s="58">
        <f t="shared" si="3"/>
        <v>8.3333333333333329E-2</v>
      </c>
      <c r="J8" s="58">
        <f t="shared" si="3"/>
        <v>8.3333333333333329E-2</v>
      </c>
      <c r="K8" s="58">
        <f t="shared" si="0"/>
        <v>8.3333333333333329E-2</v>
      </c>
      <c r="L8" s="58">
        <v>0</v>
      </c>
      <c r="M8" s="58">
        <v>6.7537871687453455E-2</v>
      </c>
      <c r="N8" s="58">
        <f t="shared" si="1"/>
        <v>8.3333333333333329E-2</v>
      </c>
      <c r="P8" s="128"/>
      <c r="Q8" s="144"/>
    </row>
    <row r="9" spans="1:17" s="2" customFormat="1" x14ac:dyDescent="0.2">
      <c r="A9" s="56">
        <v>2001</v>
      </c>
      <c r="B9" s="57">
        <v>8</v>
      </c>
      <c r="C9" s="58">
        <v>6.25E-2</v>
      </c>
      <c r="D9" s="58">
        <f t="shared" si="2"/>
        <v>8.3333333333333329E-2</v>
      </c>
      <c r="E9" s="58">
        <v>9.2534174553101992E-2</v>
      </c>
      <c r="F9" s="58">
        <v>9.2534174553101992E-2</v>
      </c>
      <c r="G9" s="58">
        <v>9.4395280235988185E-2</v>
      </c>
      <c r="H9" s="58">
        <f t="shared" si="3"/>
        <v>8.3333333333333329E-2</v>
      </c>
      <c r="I9" s="58">
        <f t="shared" si="3"/>
        <v>8.3333333333333329E-2</v>
      </c>
      <c r="J9" s="58">
        <f t="shared" si="3"/>
        <v>8.3333333333333329E-2</v>
      </c>
      <c r="K9" s="58">
        <f t="shared" si="0"/>
        <v>8.3333333333333329E-2</v>
      </c>
      <c r="L9" s="58">
        <v>2.7746947835738069E-4</v>
      </c>
      <c r="M9" s="58">
        <v>7.0007562503699813E-2</v>
      </c>
      <c r="N9" s="58">
        <f t="shared" si="1"/>
        <v>8.3333333333333329E-2</v>
      </c>
      <c r="P9" s="128"/>
      <c r="Q9" s="144"/>
    </row>
    <row r="10" spans="1:17" x14ac:dyDescent="0.2">
      <c r="A10" s="56">
        <v>2001</v>
      </c>
      <c r="B10" s="57">
        <v>9</v>
      </c>
      <c r="C10" s="58">
        <v>7.03125E-2</v>
      </c>
      <c r="D10" s="58">
        <f t="shared" si="2"/>
        <v>8.3333333333333329E-2</v>
      </c>
      <c r="E10" s="58">
        <v>8.6225026288117762E-2</v>
      </c>
      <c r="F10" s="58">
        <v>8.6225026288117762E-2</v>
      </c>
      <c r="G10" s="58">
        <v>8.5545722713864278E-2</v>
      </c>
      <c r="H10" s="58">
        <f t="shared" si="3"/>
        <v>8.3333333333333329E-2</v>
      </c>
      <c r="I10" s="58">
        <f t="shared" si="3"/>
        <v>8.3333333333333329E-2</v>
      </c>
      <c r="J10" s="58">
        <f t="shared" si="3"/>
        <v>8.3333333333333329E-2</v>
      </c>
      <c r="K10" s="58">
        <f t="shared" si="0"/>
        <v>8.3333333333333329E-2</v>
      </c>
      <c r="L10" s="58">
        <v>8.8790233074361822E-3</v>
      </c>
      <c r="M10" s="58">
        <v>7.5335892792489145E-2</v>
      </c>
      <c r="N10" s="58">
        <f t="shared" si="1"/>
        <v>8.3333333333333329E-2</v>
      </c>
      <c r="P10" s="128"/>
      <c r="Q10" s="144"/>
    </row>
    <row r="11" spans="1:17" x14ac:dyDescent="0.2">
      <c r="A11" s="56">
        <v>2001</v>
      </c>
      <c r="B11" s="57">
        <v>10</v>
      </c>
      <c r="C11" s="58">
        <v>7.8125E-2</v>
      </c>
      <c r="D11" s="58">
        <f t="shared" si="2"/>
        <v>8.3333333333333329E-2</v>
      </c>
      <c r="E11" s="58">
        <v>8.4121976866456352E-2</v>
      </c>
      <c r="F11" s="58">
        <v>8.4121976866456352E-2</v>
      </c>
      <c r="G11" s="58">
        <v>8.1120943952802352E-2</v>
      </c>
      <c r="H11" s="58">
        <f t="shared" si="3"/>
        <v>8.3333333333333329E-2</v>
      </c>
      <c r="I11" s="58">
        <f t="shared" si="3"/>
        <v>8.3333333333333329E-2</v>
      </c>
      <c r="J11" s="58">
        <f t="shared" si="3"/>
        <v>8.3333333333333329E-2</v>
      </c>
      <c r="K11" s="58">
        <f t="shared" si="0"/>
        <v>8.3333333333333329E-2</v>
      </c>
      <c r="L11" s="58">
        <v>5.9100998890122089E-2</v>
      </c>
      <c r="M11" s="58">
        <v>8.2900544703746845E-2</v>
      </c>
      <c r="N11" s="58">
        <f t="shared" si="1"/>
        <v>8.3333333333333329E-2</v>
      </c>
      <c r="P11" s="128"/>
      <c r="Q11" s="144"/>
    </row>
    <row r="12" spans="1:17" s="2" customFormat="1" x14ac:dyDescent="0.2">
      <c r="A12" s="56">
        <v>2001</v>
      </c>
      <c r="B12" s="57">
        <v>11</v>
      </c>
      <c r="C12" s="58">
        <v>8.59375E-2</v>
      </c>
      <c r="D12" s="58">
        <f t="shared" si="2"/>
        <v>8.3333333333333329E-2</v>
      </c>
      <c r="E12" s="58">
        <v>7.9915878023133533E-2</v>
      </c>
      <c r="F12" s="58">
        <v>7.9915878023133533E-2</v>
      </c>
      <c r="G12" s="58">
        <v>7.9646017699115015E-2</v>
      </c>
      <c r="H12" s="58">
        <f t="shared" si="3"/>
        <v>8.3333333333333329E-2</v>
      </c>
      <c r="I12" s="58">
        <f t="shared" si="3"/>
        <v>8.3333333333333329E-2</v>
      </c>
      <c r="J12" s="58">
        <f t="shared" si="3"/>
        <v>8.3333333333333329E-2</v>
      </c>
      <c r="K12" s="58">
        <f t="shared" si="0"/>
        <v>8.3333333333333329E-2</v>
      </c>
      <c r="L12" s="58">
        <v>0.12458379578246392</v>
      </c>
      <c r="M12" s="58">
        <v>9.0621776199670406E-2</v>
      </c>
      <c r="N12" s="58">
        <f t="shared" si="1"/>
        <v>8.3333333333333329E-2</v>
      </c>
      <c r="P12" s="128"/>
      <c r="Q12" s="144"/>
    </row>
    <row r="13" spans="1:17" x14ac:dyDescent="0.2">
      <c r="A13" s="56">
        <v>2001</v>
      </c>
      <c r="B13" s="57">
        <v>12</v>
      </c>
      <c r="C13" s="58">
        <v>9.765625E-2</v>
      </c>
      <c r="D13" s="58">
        <f t="shared" si="2"/>
        <v>8.3333333333333329E-2</v>
      </c>
      <c r="E13" s="58">
        <v>7.7812828601472123E-2</v>
      </c>
      <c r="F13" s="58">
        <v>7.7812828601472123E-2</v>
      </c>
      <c r="G13" s="58">
        <v>7.8171091445427721E-2</v>
      </c>
      <c r="H13" s="58">
        <f t="shared" si="3"/>
        <v>8.3333333333333329E-2</v>
      </c>
      <c r="I13" s="58">
        <f t="shared" si="3"/>
        <v>8.3333333333333329E-2</v>
      </c>
      <c r="J13" s="58">
        <f t="shared" si="3"/>
        <v>8.3333333333333329E-2</v>
      </c>
      <c r="K13" s="58">
        <f t="shared" si="0"/>
        <v>8.3333333333333329E-2</v>
      </c>
      <c r="L13" s="58">
        <v>0.19839067702552718</v>
      </c>
      <c r="M13" s="58">
        <v>9.5377532357837844E-2</v>
      </c>
      <c r="N13" s="58">
        <f t="shared" si="1"/>
        <v>8.3333333333333329E-2</v>
      </c>
      <c r="P13" s="128"/>
      <c r="Q13" s="144"/>
    </row>
  </sheetData>
  <phoneticPr fontId="0" type="noConversion"/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5"/>
  <sheetViews>
    <sheetView view="pageBreakPreview" zoomScale="60" zoomScaleNormal="100" workbookViewId="0">
      <pane xSplit="3" ySplit="1" topLeftCell="D2" activePane="bottomRight" state="frozen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9.140625" defaultRowHeight="12.75" x14ac:dyDescent="0.2"/>
  <cols>
    <col min="1" max="1" width="6" style="153" bestFit="1" customWidth="1"/>
    <col min="2" max="2" width="7.140625" style="153" bestFit="1" customWidth="1"/>
    <col min="3" max="4" width="7.140625" style="153" customWidth="1"/>
    <col min="5" max="5" width="18.28515625" style="153" bestFit="1" customWidth="1"/>
    <col min="6" max="6" width="18.28515625" style="153" customWidth="1"/>
    <col min="7" max="7" width="27.42578125" style="153" bestFit="1" customWidth="1"/>
    <col min="8" max="8" width="11.42578125" style="153" customWidth="1"/>
    <col min="9" max="9" width="18.28515625" style="153" customWidth="1"/>
    <col min="10" max="10" width="12.7109375" style="153" bestFit="1" customWidth="1"/>
    <col min="11" max="13" width="7.140625" style="153" customWidth="1"/>
    <col min="14" max="14" width="5.7109375" style="177" customWidth="1"/>
    <col min="15" max="15" width="8.7109375" style="177" customWidth="1"/>
    <col min="16" max="16" width="18.28515625" style="156" bestFit="1" customWidth="1"/>
    <col min="17" max="18" width="18.28515625" style="156" customWidth="1"/>
    <col min="19" max="19" width="20.140625" style="177" bestFit="1" customWidth="1"/>
    <col min="20" max="20" width="20.140625" style="177" customWidth="1"/>
    <col min="21" max="21" width="10.28515625" style="177" customWidth="1"/>
    <col min="22" max="16384" width="9.140625" style="177"/>
  </cols>
  <sheetData>
    <row r="1" spans="1:21" x14ac:dyDescent="0.2">
      <c r="A1" s="150" t="s">
        <v>15</v>
      </c>
      <c r="B1" s="150" t="s">
        <v>18</v>
      </c>
      <c r="C1" s="150" t="s">
        <v>189</v>
      </c>
      <c r="D1" s="150" t="s">
        <v>188</v>
      </c>
      <c r="E1" s="152" t="s">
        <v>185</v>
      </c>
      <c r="F1" s="152" t="s">
        <v>247</v>
      </c>
      <c r="G1" s="152" t="s">
        <v>187</v>
      </c>
      <c r="H1" s="152" t="s">
        <v>156</v>
      </c>
      <c r="I1" s="152" t="s">
        <v>186</v>
      </c>
      <c r="J1" s="152" t="s">
        <v>248</v>
      </c>
      <c r="K1" s="152" t="s">
        <v>221</v>
      </c>
      <c r="L1" s="152"/>
      <c r="M1" s="150" t="s">
        <v>184</v>
      </c>
      <c r="N1" s="177" t="s">
        <v>183</v>
      </c>
      <c r="O1" s="177" t="s">
        <v>182</v>
      </c>
      <c r="P1" s="152"/>
      <c r="Q1" s="152"/>
      <c r="R1" s="152" t="s">
        <v>186</v>
      </c>
      <c r="S1" s="152" t="s">
        <v>187</v>
      </c>
      <c r="T1" s="152"/>
      <c r="U1" s="152" t="s">
        <v>156</v>
      </c>
    </row>
    <row r="2" spans="1:21" x14ac:dyDescent="0.2">
      <c r="A2" s="153">
        <v>2001</v>
      </c>
      <c r="B2" s="153">
        <v>1</v>
      </c>
      <c r="C2" s="153" t="str">
        <f>A2&amp;B2</f>
        <v>20011</v>
      </c>
      <c r="D2" s="177" t="s">
        <v>178</v>
      </c>
      <c r="E2" s="153" t="e">
        <f>VLOOKUP($A2&amp;$D2,$O$1:$U$169,MATCH(E$1,$O$1:$U$1,0),0)</f>
        <v>#N/A</v>
      </c>
      <c r="F2" s="153" t="e">
        <f>VLOOKUP($A2&amp;$D2,$O$1:$U$169,MATCH(F$1,$O$1:$U$1,0),0)</f>
        <v>#N/A</v>
      </c>
      <c r="G2" s="153">
        <f>VLOOKUP($A2&amp;$D2,$O$1:$U$169,MATCH(G$1,$O$1:$U$1,0),0)</f>
        <v>34569.886538168648</v>
      </c>
      <c r="H2" s="153">
        <f>VLOOKUP($A2&amp;$D2,$O$1:$U$169,MATCH(H$1,$O$1:$U$1,0),0)</f>
        <v>1173.2090000000001</v>
      </c>
      <c r="I2" s="153">
        <f>VLOOKUP($A2&amp;$D2,$O$1:$U$169,MATCH(I$1,$O$1:$U$1,0),0)</f>
        <v>467.18474541524114</v>
      </c>
      <c r="J2" s="179"/>
      <c r="K2" s="290">
        <f>H2/I2</f>
        <v>2.5112313951030947</v>
      </c>
      <c r="M2" s="153">
        <v>2001</v>
      </c>
      <c r="N2" s="177" t="s">
        <v>178</v>
      </c>
      <c r="O2" s="177" t="str">
        <f t="shared" ref="O2:O49" si="0">M2&amp;N2</f>
        <v>2001Q1</v>
      </c>
      <c r="P2" s="184"/>
      <c r="Q2" s="184"/>
      <c r="R2" s="184">
        <v>467.18474541524114</v>
      </c>
      <c r="S2" s="189">
        <v>34569.886538168648</v>
      </c>
      <c r="T2" s="189"/>
      <c r="U2" s="189">
        <v>1173.2090000000001</v>
      </c>
    </row>
    <row r="3" spans="1:21" x14ac:dyDescent="0.2">
      <c r="A3" s="153">
        <v>2001</v>
      </c>
      <c r="B3" s="153">
        <v>2</v>
      </c>
      <c r="C3" s="153" t="str">
        <f t="shared" ref="C3:C66" si="1">A3&amp;B3</f>
        <v>20012</v>
      </c>
      <c r="D3" s="177" t="s">
        <v>178</v>
      </c>
      <c r="E3" s="153" t="e">
        <f t="shared" ref="E3:I34" si="2">VLOOKUP($A3&amp;$D3,$O$1:$U$169,MATCH(E$1,$O$1:$U$1,0),0)</f>
        <v>#N/A</v>
      </c>
      <c r="F3" s="153" t="e">
        <f t="shared" si="2"/>
        <v>#N/A</v>
      </c>
      <c r="G3" s="153">
        <f t="shared" si="2"/>
        <v>34569.886538168648</v>
      </c>
      <c r="H3" s="153">
        <f t="shared" si="2"/>
        <v>1173.2090000000001</v>
      </c>
      <c r="I3" s="153">
        <f t="shared" si="2"/>
        <v>467.18474541524114</v>
      </c>
      <c r="J3" s="179"/>
      <c r="K3" s="290">
        <f t="shared" ref="K3:K66" si="3">H3/I3</f>
        <v>2.5112313951030947</v>
      </c>
      <c r="M3" s="153">
        <v>2001</v>
      </c>
      <c r="N3" s="177" t="s">
        <v>179</v>
      </c>
      <c r="O3" s="177" t="str">
        <f t="shared" si="0"/>
        <v>2001Q2</v>
      </c>
      <c r="P3" s="184"/>
      <c r="Q3" s="184"/>
      <c r="R3" s="184">
        <v>468.39365839140879</v>
      </c>
      <c r="S3" s="189">
        <v>34431.916408019461</v>
      </c>
      <c r="T3" s="189"/>
      <c r="U3" s="189">
        <v>1175.5060000000001</v>
      </c>
    </row>
    <row r="4" spans="1:21" x14ac:dyDescent="0.2">
      <c r="A4" s="153">
        <v>2001</v>
      </c>
      <c r="B4" s="153">
        <v>3</v>
      </c>
      <c r="C4" s="153" t="str">
        <f t="shared" si="1"/>
        <v>20013</v>
      </c>
      <c r="D4" s="177" t="s">
        <v>178</v>
      </c>
      <c r="E4" s="153" t="e">
        <f t="shared" si="2"/>
        <v>#N/A</v>
      </c>
      <c r="F4" s="153" t="e">
        <f t="shared" si="2"/>
        <v>#N/A</v>
      </c>
      <c r="G4" s="153">
        <f t="shared" si="2"/>
        <v>34569.886538168648</v>
      </c>
      <c r="H4" s="153">
        <f t="shared" si="2"/>
        <v>1173.2090000000001</v>
      </c>
      <c r="I4" s="153">
        <f t="shared" si="2"/>
        <v>467.18474541524114</v>
      </c>
      <c r="J4" s="179"/>
      <c r="K4" s="290">
        <f t="shared" si="3"/>
        <v>2.5112313951030947</v>
      </c>
      <c r="M4" s="153">
        <v>2001</v>
      </c>
      <c r="N4" s="177" t="s">
        <v>180</v>
      </c>
      <c r="O4" s="177" t="str">
        <f t="shared" si="0"/>
        <v>2001Q3</v>
      </c>
      <c r="P4" s="184"/>
      <c r="Q4" s="184"/>
      <c r="R4" s="184">
        <v>469.62508778390287</v>
      </c>
      <c r="S4" s="189">
        <v>34399.937636938055</v>
      </c>
      <c r="T4" s="189"/>
      <c r="U4" s="189">
        <v>1177.7572499999999</v>
      </c>
    </row>
    <row r="5" spans="1:21" x14ac:dyDescent="0.2">
      <c r="A5" s="153">
        <v>2001</v>
      </c>
      <c r="B5" s="153">
        <v>4</v>
      </c>
      <c r="C5" s="153" t="str">
        <f t="shared" si="1"/>
        <v>20014</v>
      </c>
      <c r="D5" s="177" t="s">
        <v>179</v>
      </c>
      <c r="E5" s="153" t="e">
        <f t="shared" si="2"/>
        <v>#N/A</v>
      </c>
      <c r="F5" s="153" t="e">
        <f t="shared" si="2"/>
        <v>#N/A</v>
      </c>
      <c r="G5" s="153">
        <f t="shared" si="2"/>
        <v>34431.916408019461</v>
      </c>
      <c r="H5" s="153">
        <f t="shared" si="2"/>
        <v>1175.5060000000001</v>
      </c>
      <c r="I5" s="153">
        <f t="shared" si="2"/>
        <v>468.39365839140879</v>
      </c>
      <c r="J5" s="179"/>
      <c r="K5" s="290">
        <f t="shared" si="3"/>
        <v>2.5096539608093913</v>
      </c>
      <c r="M5" s="153">
        <v>2001</v>
      </c>
      <c r="N5" s="177" t="s">
        <v>181</v>
      </c>
      <c r="O5" s="177" t="str">
        <f t="shared" si="0"/>
        <v>2001Q4</v>
      </c>
      <c r="P5" s="184"/>
      <c r="Q5" s="184"/>
      <c r="R5" s="184">
        <v>470.85939986136515</v>
      </c>
      <c r="S5" s="189">
        <v>34635.991880930669</v>
      </c>
      <c r="T5" s="189"/>
      <c r="U5" s="189">
        <v>1180.0084999999999</v>
      </c>
    </row>
    <row r="6" spans="1:21" x14ac:dyDescent="0.2">
      <c r="A6" s="153">
        <v>2001</v>
      </c>
      <c r="B6" s="153">
        <v>5</v>
      </c>
      <c r="C6" s="153" t="str">
        <f t="shared" si="1"/>
        <v>20015</v>
      </c>
      <c r="D6" s="177" t="s">
        <v>179</v>
      </c>
      <c r="E6" s="153" t="e">
        <f t="shared" si="2"/>
        <v>#N/A</v>
      </c>
      <c r="F6" s="153" t="e">
        <f t="shared" si="2"/>
        <v>#N/A</v>
      </c>
      <c r="G6" s="153">
        <f t="shared" si="2"/>
        <v>34431.916408019461</v>
      </c>
      <c r="H6" s="153">
        <f t="shared" si="2"/>
        <v>1175.5060000000001</v>
      </c>
      <c r="I6" s="153">
        <f t="shared" si="2"/>
        <v>468.39365839140879</v>
      </c>
      <c r="J6" s="179"/>
      <c r="K6" s="290">
        <f t="shared" si="3"/>
        <v>2.5096539608093913</v>
      </c>
      <c r="M6" s="153">
        <f>M2+1</f>
        <v>2002</v>
      </c>
      <c r="N6" s="177" t="str">
        <f>N2</f>
        <v>Q1</v>
      </c>
      <c r="O6" s="177" t="str">
        <f t="shared" si="0"/>
        <v>2002Q1</v>
      </c>
      <c r="P6" s="184"/>
      <c r="Q6" s="184"/>
      <c r="R6" s="184">
        <v>472.09660259149229</v>
      </c>
      <c r="S6" s="189">
        <v>35447.445392607326</v>
      </c>
      <c r="T6" s="189"/>
      <c r="U6" s="189">
        <v>1182.2597499999999</v>
      </c>
    </row>
    <row r="7" spans="1:21" x14ac:dyDescent="0.2">
      <c r="A7" s="153">
        <v>2001</v>
      </c>
      <c r="B7" s="153">
        <v>6</v>
      </c>
      <c r="C7" s="153" t="str">
        <f t="shared" si="1"/>
        <v>20016</v>
      </c>
      <c r="D7" s="177" t="s">
        <v>179</v>
      </c>
      <c r="E7" s="153" t="e">
        <f t="shared" si="2"/>
        <v>#N/A</v>
      </c>
      <c r="F7" s="153" t="e">
        <f t="shared" si="2"/>
        <v>#N/A</v>
      </c>
      <c r="G7" s="153">
        <f t="shared" si="2"/>
        <v>34431.916408019461</v>
      </c>
      <c r="H7" s="153">
        <f t="shared" si="2"/>
        <v>1175.5060000000001</v>
      </c>
      <c r="I7" s="153">
        <f t="shared" si="2"/>
        <v>468.39365839140879</v>
      </c>
      <c r="J7" s="179"/>
      <c r="K7" s="290">
        <f t="shared" si="3"/>
        <v>2.5096539608093913</v>
      </c>
      <c r="M7" s="153">
        <f t="shared" ref="M7:M70" si="4">M3+1</f>
        <v>2002</v>
      </c>
      <c r="N7" s="177" t="str">
        <f t="shared" ref="N7:N70" si="5">N3</f>
        <v>Q2</v>
      </c>
      <c r="O7" s="177" t="str">
        <f t="shared" si="0"/>
        <v>2002Q2</v>
      </c>
      <c r="P7" s="184"/>
      <c r="Q7" s="184"/>
      <c r="R7" s="184">
        <v>473.33670396275488</v>
      </c>
      <c r="S7" s="189">
        <v>35596.576099127022</v>
      </c>
      <c r="T7" s="189"/>
      <c r="U7" s="189">
        <v>1184.5110000000002</v>
      </c>
    </row>
    <row r="8" spans="1:21" x14ac:dyDescent="0.2">
      <c r="A8" s="153">
        <v>2001</v>
      </c>
      <c r="B8" s="153">
        <v>7</v>
      </c>
      <c r="C8" s="153" t="str">
        <f t="shared" si="1"/>
        <v>20017</v>
      </c>
      <c r="D8" s="177" t="s">
        <v>180</v>
      </c>
      <c r="E8" s="153" t="e">
        <f t="shared" si="2"/>
        <v>#N/A</v>
      </c>
      <c r="F8" s="153" t="e">
        <f t="shared" si="2"/>
        <v>#N/A</v>
      </c>
      <c r="G8" s="153">
        <f t="shared" si="2"/>
        <v>34399.937636938055</v>
      </c>
      <c r="H8" s="153">
        <f t="shared" si="2"/>
        <v>1177.7572499999999</v>
      </c>
      <c r="I8" s="153">
        <f t="shared" si="2"/>
        <v>469.62508778390287</v>
      </c>
      <c r="J8" s="179"/>
      <c r="K8" s="290">
        <f t="shared" si="3"/>
        <v>2.5078669786524324</v>
      </c>
      <c r="M8" s="153">
        <f t="shared" si="4"/>
        <v>2002</v>
      </c>
      <c r="N8" s="177" t="str">
        <f t="shared" si="5"/>
        <v>Q3</v>
      </c>
      <c r="O8" s="177" t="str">
        <f t="shared" si="0"/>
        <v>2002Q3</v>
      </c>
      <c r="P8" s="184"/>
      <c r="Q8" s="184"/>
      <c r="R8" s="184">
        <v>474.82038433068863</v>
      </c>
      <c r="S8" s="189">
        <v>35529.120654001694</v>
      </c>
      <c r="T8" s="189"/>
      <c r="U8" s="189">
        <v>1187.4692499999996</v>
      </c>
    </row>
    <row r="9" spans="1:21" x14ac:dyDescent="0.2">
      <c r="A9" s="153">
        <v>2001</v>
      </c>
      <c r="B9" s="153">
        <v>8</v>
      </c>
      <c r="C9" s="153" t="str">
        <f t="shared" si="1"/>
        <v>20018</v>
      </c>
      <c r="D9" s="177" t="s">
        <v>180</v>
      </c>
      <c r="E9" s="153" t="e">
        <f t="shared" si="2"/>
        <v>#N/A</v>
      </c>
      <c r="F9" s="153" t="e">
        <f t="shared" si="2"/>
        <v>#N/A</v>
      </c>
      <c r="G9" s="153">
        <f t="shared" si="2"/>
        <v>34399.937636938055</v>
      </c>
      <c r="H9" s="153">
        <f t="shared" si="2"/>
        <v>1177.7572499999999</v>
      </c>
      <c r="I9" s="153">
        <f t="shared" si="2"/>
        <v>469.62508778390287</v>
      </c>
      <c r="J9" s="179"/>
      <c r="K9" s="290">
        <f t="shared" si="3"/>
        <v>2.5078669786524324</v>
      </c>
      <c r="M9" s="153">
        <f t="shared" si="4"/>
        <v>2002</v>
      </c>
      <c r="N9" s="177" t="str">
        <f t="shared" si="5"/>
        <v>Q4</v>
      </c>
      <c r="O9" s="177" t="str">
        <f t="shared" si="0"/>
        <v>2002Q4</v>
      </c>
      <c r="P9" s="184"/>
      <c r="Q9" s="184"/>
      <c r="R9" s="184">
        <v>476.30788408565888</v>
      </c>
      <c r="S9" s="189">
        <v>35618.929902433476</v>
      </c>
      <c r="T9" s="189"/>
      <c r="U9" s="189">
        <v>1190.4275</v>
      </c>
    </row>
    <row r="10" spans="1:21" x14ac:dyDescent="0.2">
      <c r="A10" s="153">
        <v>2001</v>
      </c>
      <c r="B10" s="153">
        <v>9</v>
      </c>
      <c r="C10" s="153" t="str">
        <f t="shared" si="1"/>
        <v>20019</v>
      </c>
      <c r="D10" s="177" t="s">
        <v>180</v>
      </c>
      <c r="E10" s="153" t="e">
        <f t="shared" si="2"/>
        <v>#N/A</v>
      </c>
      <c r="F10" s="153" t="e">
        <f t="shared" si="2"/>
        <v>#N/A</v>
      </c>
      <c r="G10" s="153">
        <f t="shared" si="2"/>
        <v>34399.937636938055</v>
      </c>
      <c r="H10" s="153">
        <f t="shared" si="2"/>
        <v>1177.7572499999999</v>
      </c>
      <c r="I10" s="153">
        <f t="shared" si="2"/>
        <v>469.62508778390287</v>
      </c>
      <c r="J10" s="179"/>
      <c r="K10" s="290">
        <f t="shared" si="3"/>
        <v>2.5078669786524324</v>
      </c>
      <c r="M10" s="153">
        <f t="shared" si="4"/>
        <v>2003</v>
      </c>
      <c r="N10" s="177" t="str">
        <f t="shared" si="5"/>
        <v>Q1</v>
      </c>
      <c r="O10" s="177" t="str">
        <f t="shared" si="0"/>
        <v>2003Q1</v>
      </c>
      <c r="P10" s="184"/>
      <c r="Q10" s="184"/>
      <c r="R10" s="184">
        <v>477.79921559285935</v>
      </c>
      <c r="S10" s="189">
        <v>35646.967823316591</v>
      </c>
      <c r="T10" s="189"/>
      <c r="U10" s="189">
        <v>1193.3857499999999</v>
      </c>
    </row>
    <row r="11" spans="1:21" x14ac:dyDescent="0.2">
      <c r="A11" s="153">
        <v>2001</v>
      </c>
      <c r="B11" s="153">
        <v>10</v>
      </c>
      <c r="C11" s="153" t="str">
        <f t="shared" si="1"/>
        <v>200110</v>
      </c>
      <c r="D11" s="177" t="s">
        <v>181</v>
      </c>
      <c r="E11" s="153" t="e">
        <f t="shared" si="2"/>
        <v>#N/A</v>
      </c>
      <c r="F11" s="153" t="e">
        <f t="shared" si="2"/>
        <v>#N/A</v>
      </c>
      <c r="G11" s="153">
        <f t="shared" si="2"/>
        <v>34635.991880930669</v>
      </c>
      <c r="H11" s="153">
        <f t="shared" si="2"/>
        <v>1180.0084999999999</v>
      </c>
      <c r="I11" s="153">
        <f t="shared" si="2"/>
        <v>470.85939986136515</v>
      </c>
      <c r="J11" s="179"/>
      <c r="K11" s="290">
        <f t="shared" si="3"/>
        <v>2.5060740007472062</v>
      </c>
      <c r="M11" s="153">
        <f t="shared" si="4"/>
        <v>2003</v>
      </c>
      <c r="N11" s="177" t="str">
        <f t="shared" si="5"/>
        <v>Q2</v>
      </c>
      <c r="O11" s="177" t="str">
        <f t="shared" si="0"/>
        <v>2003Q2</v>
      </c>
      <c r="P11" s="184"/>
      <c r="Q11" s="184"/>
      <c r="R11" s="184">
        <v>479.29439124818373</v>
      </c>
      <c r="S11" s="189">
        <v>35842.575547320266</v>
      </c>
      <c r="T11" s="189"/>
      <c r="U11" s="189">
        <v>1196.3440000000001</v>
      </c>
    </row>
    <row r="12" spans="1:21" x14ac:dyDescent="0.2">
      <c r="A12" s="153">
        <v>2001</v>
      </c>
      <c r="B12" s="153">
        <v>11</v>
      </c>
      <c r="C12" s="153" t="str">
        <f t="shared" si="1"/>
        <v>200111</v>
      </c>
      <c r="D12" s="177" t="s">
        <v>181</v>
      </c>
      <c r="E12" s="153" t="e">
        <f t="shared" si="2"/>
        <v>#N/A</v>
      </c>
      <c r="F12" s="153" t="e">
        <f t="shared" si="2"/>
        <v>#N/A</v>
      </c>
      <c r="G12" s="153">
        <f t="shared" si="2"/>
        <v>34635.991880930669</v>
      </c>
      <c r="H12" s="153">
        <f t="shared" si="2"/>
        <v>1180.0084999999999</v>
      </c>
      <c r="I12" s="153">
        <f t="shared" si="2"/>
        <v>470.85939986136515</v>
      </c>
      <c r="J12" s="179"/>
      <c r="K12" s="290">
        <f t="shared" si="3"/>
        <v>2.5060740007472062</v>
      </c>
      <c r="M12" s="153">
        <f t="shared" si="4"/>
        <v>2003</v>
      </c>
      <c r="N12" s="177" t="str">
        <f t="shared" si="5"/>
        <v>Q3</v>
      </c>
      <c r="O12" s="177" t="str">
        <f t="shared" si="0"/>
        <v>2003Q3</v>
      </c>
      <c r="P12" s="184"/>
      <c r="Q12" s="184"/>
      <c r="R12" s="184">
        <v>480.78907780993734</v>
      </c>
      <c r="S12" s="189">
        <v>35879.356060081816</v>
      </c>
      <c r="T12" s="189"/>
      <c r="U12" s="189">
        <v>1199.2184999999999</v>
      </c>
    </row>
    <row r="13" spans="1:21" x14ac:dyDescent="0.2">
      <c r="A13" s="153">
        <v>2001</v>
      </c>
      <c r="B13" s="153">
        <v>12</v>
      </c>
      <c r="C13" s="153" t="str">
        <f t="shared" si="1"/>
        <v>200112</v>
      </c>
      <c r="D13" s="177" t="s">
        <v>181</v>
      </c>
      <c r="E13" s="153" t="e">
        <f t="shared" si="2"/>
        <v>#N/A</v>
      </c>
      <c r="F13" s="153" t="e">
        <f t="shared" si="2"/>
        <v>#N/A</v>
      </c>
      <c r="G13" s="153">
        <f t="shared" si="2"/>
        <v>34635.991880930669</v>
      </c>
      <c r="H13" s="153">
        <f t="shared" si="2"/>
        <v>1180.0084999999999</v>
      </c>
      <c r="I13" s="153">
        <f t="shared" si="2"/>
        <v>470.85939986136515</v>
      </c>
      <c r="J13" s="179"/>
      <c r="K13" s="290">
        <f t="shared" si="3"/>
        <v>2.5060740007472062</v>
      </c>
      <c r="M13" s="153">
        <f t="shared" si="4"/>
        <v>2003</v>
      </c>
      <c r="N13" s="177" t="str">
        <f t="shared" si="5"/>
        <v>Q4</v>
      </c>
      <c r="O13" s="177" t="str">
        <f t="shared" si="0"/>
        <v>2003Q4</v>
      </c>
      <c r="P13" s="184"/>
      <c r="Q13" s="184"/>
      <c r="R13" s="184">
        <v>482.28779444709988</v>
      </c>
      <c r="S13" s="189">
        <v>36361.519986701038</v>
      </c>
      <c r="T13" s="189"/>
      <c r="U13" s="189">
        <v>1202.0929999999998</v>
      </c>
    </row>
    <row r="14" spans="1:21" x14ac:dyDescent="0.2">
      <c r="A14" s="153">
        <v>2002</v>
      </c>
      <c r="B14" s="153">
        <v>1</v>
      </c>
      <c r="C14" s="153" t="str">
        <f t="shared" si="1"/>
        <v>20021</v>
      </c>
      <c r="D14" s="153" t="str">
        <f>D2</f>
        <v>Q1</v>
      </c>
      <c r="E14" s="153" t="e">
        <f t="shared" si="2"/>
        <v>#N/A</v>
      </c>
      <c r="F14" s="153" t="e">
        <f t="shared" si="2"/>
        <v>#N/A</v>
      </c>
      <c r="G14" s="153">
        <f t="shared" si="2"/>
        <v>35447.445392607326</v>
      </c>
      <c r="H14" s="153">
        <f t="shared" si="2"/>
        <v>1182.2597499999999</v>
      </c>
      <c r="I14" s="153">
        <f t="shared" si="2"/>
        <v>472.09660259149229</v>
      </c>
      <c r="J14" s="179" t="e">
        <f t="shared" ref="J14:J77" si="6">E14/E2-1</f>
        <v>#N/A</v>
      </c>
      <c r="K14" s="290">
        <f t="shared" si="3"/>
        <v>2.5042750647011447</v>
      </c>
      <c r="M14" s="153">
        <f t="shared" si="4"/>
        <v>2004</v>
      </c>
      <c r="N14" s="177" t="str">
        <f t="shared" si="5"/>
        <v>Q1</v>
      </c>
      <c r="O14" s="177" t="str">
        <f t="shared" si="0"/>
        <v>2004Q1</v>
      </c>
      <c r="P14" s="184"/>
      <c r="Q14" s="184"/>
      <c r="R14" s="184">
        <v>483.79055407003409</v>
      </c>
      <c r="S14" s="189">
        <v>36644.026083426186</v>
      </c>
      <c r="T14" s="189"/>
      <c r="U14" s="189">
        <v>1204.9675</v>
      </c>
    </row>
    <row r="15" spans="1:21" x14ac:dyDescent="0.2">
      <c r="A15" s="153">
        <v>2002</v>
      </c>
      <c r="B15" s="153">
        <v>2</v>
      </c>
      <c r="C15" s="153" t="str">
        <f t="shared" si="1"/>
        <v>20022</v>
      </c>
      <c r="D15" s="153" t="str">
        <f t="shared" ref="D15:D78" si="7">D3</f>
        <v>Q1</v>
      </c>
      <c r="E15" s="153" t="e">
        <f t="shared" si="2"/>
        <v>#N/A</v>
      </c>
      <c r="F15" s="153" t="e">
        <f t="shared" si="2"/>
        <v>#N/A</v>
      </c>
      <c r="G15" s="153">
        <f t="shared" si="2"/>
        <v>35447.445392607326</v>
      </c>
      <c r="H15" s="153">
        <f t="shared" si="2"/>
        <v>1182.2597499999999</v>
      </c>
      <c r="I15" s="153">
        <f t="shared" si="2"/>
        <v>472.09660259149229</v>
      </c>
      <c r="J15" s="179" t="e">
        <f t="shared" si="6"/>
        <v>#N/A</v>
      </c>
      <c r="K15" s="290">
        <f t="shared" si="3"/>
        <v>2.5042750647011447</v>
      </c>
      <c r="M15" s="153">
        <f t="shared" si="4"/>
        <v>2004</v>
      </c>
      <c r="N15" s="177" t="str">
        <f t="shared" si="5"/>
        <v>Q2</v>
      </c>
      <c r="O15" s="177" t="str">
        <f t="shared" si="0"/>
        <v>2004Q2</v>
      </c>
      <c r="P15" s="184"/>
      <c r="Q15" s="184"/>
      <c r="R15" s="184">
        <v>485.29736962423021</v>
      </c>
      <c r="S15" s="189">
        <v>36771.492378685805</v>
      </c>
      <c r="T15" s="189"/>
      <c r="U15" s="189">
        <v>1207.8420000000001</v>
      </c>
    </row>
    <row r="16" spans="1:21" x14ac:dyDescent="0.2">
      <c r="A16" s="153">
        <v>2002</v>
      </c>
      <c r="B16" s="153">
        <v>3</v>
      </c>
      <c r="C16" s="153" t="str">
        <f t="shared" si="1"/>
        <v>20023</v>
      </c>
      <c r="D16" s="153" t="str">
        <f t="shared" si="7"/>
        <v>Q1</v>
      </c>
      <c r="E16" s="153" t="e">
        <f t="shared" si="2"/>
        <v>#N/A</v>
      </c>
      <c r="F16" s="153" t="e">
        <f t="shared" si="2"/>
        <v>#N/A</v>
      </c>
      <c r="G16" s="153">
        <f t="shared" si="2"/>
        <v>35447.445392607326</v>
      </c>
      <c r="H16" s="153">
        <f t="shared" si="2"/>
        <v>1182.2597499999999</v>
      </c>
      <c r="I16" s="153">
        <f t="shared" si="2"/>
        <v>472.09660259149229</v>
      </c>
      <c r="J16" s="179" t="e">
        <f t="shared" si="6"/>
        <v>#N/A</v>
      </c>
      <c r="K16" s="290">
        <f t="shared" si="3"/>
        <v>2.5042750647011447</v>
      </c>
      <c r="M16" s="153">
        <f t="shared" si="4"/>
        <v>2004</v>
      </c>
      <c r="N16" s="177" t="str">
        <f t="shared" si="5"/>
        <v>Q3</v>
      </c>
      <c r="O16" s="177" t="str">
        <f t="shared" si="0"/>
        <v>2004Q3</v>
      </c>
      <c r="P16" s="184">
        <v>40994.684699950601</v>
      </c>
      <c r="Q16" s="184">
        <v>40994.69488665786</v>
      </c>
      <c r="R16" s="184">
        <v>486.74980266099078</v>
      </c>
      <c r="S16" s="189">
        <v>36973.693354213639</v>
      </c>
      <c r="T16" s="189"/>
      <c r="U16" s="189">
        <v>1210.6405</v>
      </c>
    </row>
    <row r="17" spans="1:21" x14ac:dyDescent="0.2">
      <c r="A17" s="153">
        <v>2002</v>
      </c>
      <c r="B17" s="153">
        <v>4</v>
      </c>
      <c r="C17" s="153" t="str">
        <f t="shared" si="1"/>
        <v>20024</v>
      </c>
      <c r="D17" s="153" t="str">
        <f t="shared" si="7"/>
        <v>Q2</v>
      </c>
      <c r="E17" s="153" t="e">
        <f t="shared" si="2"/>
        <v>#N/A</v>
      </c>
      <c r="F17" s="153" t="e">
        <f t="shared" si="2"/>
        <v>#N/A</v>
      </c>
      <c r="G17" s="153">
        <f t="shared" si="2"/>
        <v>35596.576099127022</v>
      </c>
      <c r="H17" s="153">
        <f t="shared" si="2"/>
        <v>1184.5110000000002</v>
      </c>
      <c r="I17" s="153">
        <f t="shared" si="2"/>
        <v>473.33670396275488</v>
      </c>
      <c r="J17" s="179" t="e">
        <f t="shared" si="6"/>
        <v>#N/A</v>
      </c>
      <c r="K17" s="290">
        <f t="shared" si="3"/>
        <v>2.5024702079583605</v>
      </c>
      <c r="M17" s="153">
        <f t="shared" si="4"/>
        <v>2004</v>
      </c>
      <c r="N17" s="177" t="str">
        <f t="shared" si="5"/>
        <v>Q4</v>
      </c>
      <c r="O17" s="177" t="str">
        <f t="shared" si="0"/>
        <v>2004Q4</v>
      </c>
      <c r="P17" s="184">
        <v>41362.573028399456</v>
      </c>
      <c r="Q17" s="184">
        <v>41362.579839376005</v>
      </c>
      <c r="R17" s="184">
        <v>488.20669794066737</v>
      </c>
      <c r="S17" s="189">
        <v>37306.699921138053</v>
      </c>
      <c r="T17" s="189"/>
      <c r="U17" s="189">
        <v>1213.4390000000001</v>
      </c>
    </row>
    <row r="18" spans="1:21" x14ac:dyDescent="0.2">
      <c r="A18" s="153">
        <v>2002</v>
      </c>
      <c r="B18" s="153">
        <v>5</v>
      </c>
      <c r="C18" s="153" t="str">
        <f t="shared" si="1"/>
        <v>20025</v>
      </c>
      <c r="D18" s="153" t="str">
        <f t="shared" si="7"/>
        <v>Q2</v>
      </c>
      <c r="E18" s="153" t="e">
        <f t="shared" si="2"/>
        <v>#N/A</v>
      </c>
      <c r="F18" s="153" t="e">
        <f t="shared" si="2"/>
        <v>#N/A</v>
      </c>
      <c r="G18" s="153">
        <f t="shared" si="2"/>
        <v>35596.576099127022</v>
      </c>
      <c r="H18" s="153">
        <f t="shared" si="2"/>
        <v>1184.5110000000002</v>
      </c>
      <c r="I18" s="153">
        <f t="shared" si="2"/>
        <v>473.33670396275488</v>
      </c>
      <c r="J18" s="179" t="e">
        <f t="shared" si="6"/>
        <v>#N/A</v>
      </c>
      <c r="K18" s="290">
        <f t="shared" si="3"/>
        <v>2.5024702079583605</v>
      </c>
      <c r="M18" s="153">
        <f t="shared" si="4"/>
        <v>2005</v>
      </c>
      <c r="N18" s="177" t="str">
        <f t="shared" si="5"/>
        <v>Q1</v>
      </c>
      <c r="O18" s="177" t="str">
        <f t="shared" si="0"/>
        <v>2005Q1</v>
      </c>
      <c r="P18" s="184">
        <v>40750.82939644024</v>
      </c>
      <c r="Q18" s="184">
        <v>40750.825023893092</v>
      </c>
      <c r="R18" s="184">
        <v>489.66806935047487</v>
      </c>
      <c r="S18" s="189">
        <v>36497.743140651095</v>
      </c>
      <c r="T18" s="189"/>
      <c r="U18" s="189">
        <v>1216.2375</v>
      </c>
    </row>
    <row r="19" spans="1:21" x14ac:dyDescent="0.2">
      <c r="A19" s="153">
        <v>2002</v>
      </c>
      <c r="B19" s="153">
        <v>6</v>
      </c>
      <c r="C19" s="153" t="str">
        <f t="shared" si="1"/>
        <v>20026</v>
      </c>
      <c r="D19" s="153" t="str">
        <f t="shared" si="7"/>
        <v>Q2</v>
      </c>
      <c r="E19" s="153" t="e">
        <f t="shared" si="2"/>
        <v>#N/A</v>
      </c>
      <c r="F19" s="153" t="e">
        <f t="shared" si="2"/>
        <v>#N/A</v>
      </c>
      <c r="G19" s="153">
        <f t="shared" si="2"/>
        <v>35596.576099127022</v>
      </c>
      <c r="H19" s="153">
        <f t="shared" si="2"/>
        <v>1184.5110000000002</v>
      </c>
      <c r="I19" s="153">
        <f t="shared" si="2"/>
        <v>473.33670396275488</v>
      </c>
      <c r="J19" s="179" t="e">
        <f t="shared" si="6"/>
        <v>#N/A</v>
      </c>
      <c r="K19" s="290">
        <f t="shared" si="3"/>
        <v>2.5024702079583605</v>
      </c>
      <c r="M19" s="153">
        <f t="shared" si="4"/>
        <v>2005</v>
      </c>
      <c r="N19" s="177" t="str">
        <f t="shared" si="5"/>
        <v>Q2</v>
      </c>
      <c r="O19" s="177" t="str">
        <f t="shared" si="0"/>
        <v>2005Q2</v>
      </c>
      <c r="P19" s="184">
        <v>41225.451757478448</v>
      </c>
      <c r="Q19" s="184">
        <v>41225.449508547368</v>
      </c>
      <c r="R19" s="184">
        <v>491.13393082732341</v>
      </c>
      <c r="S19" s="189">
        <v>36925.598833112439</v>
      </c>
      <c r="T19" s="189"/>
      <c r="U19" s="189">
        <v>1219.0360000000001</v>
      </c>
    </row>
    <row r="20" spans="1:21" x14ac:dyDescent="0.2">
      <c r="A20" s="153">
        <v>2002</v>
      </c>
      <c r="B20" s="153">
        <v>7</v>
      </c>
      <c r="C20" s="153" t="str">
        <f t="shared" si="1"/>
        <v>20027</v>
      </c>
      <c r="D20" s="153" t="str">
        <f t="shared" si="7"/>
        <v>Q3</v>
      </c>
      <c r="E20" s="153" t="e">
        <f t="shared" si="2"/>
        <v>#N/A</v>
      </c>
      <c r="F20" s="153" t="e">
        <f t="shared" si="2"/>
        <v>#N/A</v>
      </c>
      <c r="G20" s="153">
        <f t="shared" si="2"/>
        <v>35529.120654001694</v>
      </c>
      <c r="H20" s="153">
        <f t="shared" si="2"/>
        <v>1187.4692499999996</v>
      </c>
      <c r="I20" s="153">
        <f t="shared" si="2"/>
        <v>474.82038433068863</v>
      </c>
      <c r="J20" s="179" t="e">
        <f t="shared" si="6"/>
        <v>#N/A</v>
      </c>
      <c r="K20" s="290">
        <f t="shared" si="3"/>
        <v>2.5008809419036795</v>
      </c>
      <c r="M20" s="153">
        <f t="shared" si="4"/>
        <v>2005</v>
      </c>
      <c r="N20" s="177" t="str">
        <f t="shared" si="5"/>
        <v>Q3</v>
      </c>
      <c r="O20" s="177" t="str">
        <f t="shared" si="0"/>
        <v>2005Q3</v>
      </c>
      <c r="P20" s="184">
        <v>41377.384679189803</v>
      </c>
      <c r="Q20" s="184">
        <v>41377.384669929059</v>
      </c>
      <c r="R20" s="184">
        <v>491.92143505393528</v>
      </c>
      <c r="S20" s="189">
        <v>37050.927192459436</v>
      </c>
      <c r="T20" s="189"/>
      <c r="U20" s="189">
        <v>1222.7842499999997</v>
      </c>
    </row>
    <row r="21" spans="1:21" x14ac:dyDescent="0.2">
      <c r="A21" s="153">
        <v>2002</v>
      </c>
      <c r="B21" s="153">
        <v>8</v>
      </c>
      <c r="C21" s="153" t="str">
        <f t="shared" si="1"/>
        <v>20028</v>
      </c>
      <c r="D21" s="153" t="str">
        <f t="shared" si="7"/>
        <v>Q3</v>
      </c>
      <c r="E21" s="153" t="e">
        <f t="shared" si="2"/>
        <v>#N/A</v>
      </c>
      <c r="F21" s="153" t="e">
        <f t="shared" si="2"/>
        <v>#N/A</v>
      </c>
      <c r="G21" s="153">
        <f t="shared" si="2"/>
        <v>35529.120654001694</v>
      </c>
      <c r="H21" s="153">
        <f t="shared" si="2"/>
        <v>1187.4692499999996</v>
      </c>
      <c r="I21" s="153">
        <f t="shared" si="2"/>
        <v>474.82038433068863</v>
      </c>
      <c r="J21" s="179" t="e">
        <f t="shared" si="6"/>
        <v>#N/A</v>
      </c>
      <c r="K21" s="290">
        <f t="shared" si="3"/>
        <v>2.5008809419036795</v>
      </c>
      <c r="M21" s="153">
        <f t="shared" si="4"/>
        <v>2005</v>
      </c>
      <c r="N21" s="177" t="str">
        <f t="shared" si="5"/>
        <v>Q4</v>
      </c>
      <c r="O21" s="177" t="str">
        <f t="shared" si="0"/>
        <v>2005Q4</v>
      </c>
      <c r="P21" s="184">
        <v>41556.193049165595</v>
      </c>
      <c r="Q21" s="184">
        <v>41556.1953963142</v>
      </c>
      <c r="R21" s="184">
        <v>492.70998243133829</v>
      </c>
      <c r="S21" s="189">
        <v>37214.08364461326</v>
      </c>
      <c r="T21" s="189"/>
      <c r="U21" s="189">
        <v>1226.5325</v>
      </c>
    </row>
    <row r="22" spans="1:21" x14ac:dyDescent="0.2">
      <c r="A22" s="153">
        <v>2002</v>
      </c>
      <c r="B22" s="153">
        <v>9</v>
      </c>
      <c r="C22" s="153" t="str">
        <f t="shared" si="1"/>
        <v>20029</v>
      </c>
      <c r="D22" s="153" t="str">
        <f t="shared" si="7"/>
        <v>Q3</v>
      </c>
      <c r="E22" s="153" t="e">
        <f t="shared" si="2"/>
        <v>#N/A</v>
      </c>
      <c r="F22" s="153" t="e">
        <f t="shared" si="2"/>
        <v>#N/A</v>
      </c>
      <c r="G22" s="153">
        <f t="shared" si="2"/>
        <v>35529.120654001694</v>
      </c>
      <c r="H22" s="153">
        <f t="shared" si="2"/>
        <v>1187.4692499999996</v>
      </c>
      <c r="I22" s="153">
        <f t="shared" si="2"/>
        <v>474.82038433068863</v>
      </c>
      <c r="J22" s="179" t="e">
        <f t="shared" si="6"/>
        <v>#N/A</v>
      </c>
      <c r="K22" s="290">
        <f t="shared" si="3"/>
        <v>2.5008809419036795</v>
      </c>
      <c r="M22" s="153">
        <f t="shared" si="4"/>
        <v>2006</v>
      </c>
      <c r="N22" s="177" t="str">
        <f t="shared" si="5"/>
        <v>Q1</v>
      </c>
      <c r="O22" s="177" t="str">
        <f t="shared" si="0"/>
        <v>2006Q1</v>
      </c>
      <c r="P22" s="184">
        <v>42737.212603830878</v>
      </c>
      <c r="Q22" s="184">
        <v>42737.232492531308</v>
      </c>
      <c r="R22" s="184">
        <v>493.49957934292712</v>
      </c>
      <c r="S22" s="189">
        <v>38232.076121240505</v>
      </c>
      <c r="T22" s="189"/>
      <c r="U22" s="189">
        <v>1230.2807499999999</v>
      </c>
    </row>
    <row r="23" spans="1:21" x14ac:dyDescent="0.2">
      <c r="A23" s="153">
        <v>2002</v>
      </c>
      <c r="B23" s="153">
        <v>10</v>
      </c>
      <c r="C23" s="153" t="str">
        <f t="shared" si="1"/>
        <v>200210</v>
      </c>
      <c r="D23" s="153" t="str">
        <f t="shared" si="7"/>
        <v>Q4</v>
      </c>
      <c r="E23" s="153" t="e">
        <f t="shared" si="2"/>
        <v>#N/A</v>
      </c>
      <c r="F23" s="153" t="e">
        <f t="shared" si="2"/>
        <v>#N/A</v>
      </c>
      <c r="G23" s="153">
        <f t="shared" si="2"/>
        <v>35618.929902433476</v>
      </c>
      <c r="H23" s="153">
        <f t="shared" si="2"/>
        <v>1190.4275</v>
      </c>
      <c r="I23" s="153">
        <f t="shared" si="2"/>
        <v>476.30788408565888</v>
      </c>
      <c r="J23" s="179" t="e">
        <f t="shared" si="6"/>
        <v>#N/A</v>
      </c>
      <c r="K23" s="290">
        <f t="shared" si="3"/>
        <v>2.4992815356923934</v>
      </c>
      <c r="M23" s="153">
        <f t="shared" si="4"/>
        <v>2006</v>
      </c>
      <c r="N23" s="177" t="str">
        <f t="shared" si="5"/>
        <v>Q2</v>
      </c>
      <c r="O23" s="177" t="str">
        <f t="shared" si="0"/>
        <v>2006Q2</v>
      </c>
      <c r="P23" s="184">
        <v>43080.83881473777</v>
      </c>
      <c r="Q23" s="184">
        <v>43080.851235020127</v>
      </c>
      <c r="R23" s="184">
        <v>494.29023214036977</v>
      </c>
      <c r="S23" s="189">
        <v>38551.986971371545</v>
      </c>
      <c r="T23" s="189"/>
      <c r="U23" s="189">
        <v>1234.029</v>
      </c>
    </row>
    <row r="24" spans="1:21" x14ac:dyDescent="0.2">
      <c r="A24" s="153">
        <v>2002</v>
      </c>
      <c r="B24" s="153">
        <v>11</v>
      </c>
      <c r="C24" s="153" t="str">
        <f t="shared" si="1"/>
        <v>200211</v>
      </c>
      <c r="D24" s="153" t="str">
        <f t="shared" si="7"/>
        <v>Q4</v>
      </c>
      <c r="E24" s="153" t="e">
        <f t="shared" si="2"/>
        <v>#N/A</v>
      </c>
      <c r="F24" s="153" t="e">
        <f t="shared" si="2"/>
        <v>#N/A</v>
      </c>
      <c r="G24" s="153">
        <f t="shared" si="2"/>
        <v>35618.929902433476</v>
      </c>
      <c r="H24" s="153">
        <f t="shared" si="2"/>
        <v>1190.4275</v>
      </c>
      <c r="I24" s="153">
        <f t="shared" si="2"/>
        <v>476.30788408565888</v>
      </c>
      <c r="J24" s="179" t="e">
        <f t="shared" si="6"/>
        <v>#N/A</v>
      </c>
      <c r="K24" s="290">
        <f t="shared" si="3"/>
        <v>2.4992815356923934</v>
      </c>
      <c r="M24" s="153">
        <f t="shared" si="4"/>
        <v>2006</v>
      </c>
      <c r="N24" s="177" t="str">
        <f t="shared" si="5"/>
        <v>Q3</v>
      </c>
      <c r="O24" s="177" t="str">
        <f t="shared" si="0"/>
        <v>2006Q3</v>
      </c>
      <c r="P24" s="184">
        <v>43232.890931695685</v>
      </c>
      <c r="Q24" s="184">
        <v>43232.896034690806</v>
      </c>
      <c r="R24" s="184">
        <v>494.79899603239028</v>
      </c>
      <c r="S24" s="189">
        <v>38698.21171607422</v>
      </c>
      <c r="T24" s="189"/>
      <c r="U24" s="189">
        <v>1237.9495000000002</v>
      </c>
    </row>
    <row r="25" spans="1:21" x14ac:dyDescent="0.2">
      <c r="A25" s="153">
        <v>2002</v>
      </c>
      <c r="B25" s="153">
        <v>12</v>
      </c>
      <c r="C25" s="153" t="str">
        <f t="shared" si="1"/>
        <v>200212</v>
      </c>
      <c r="D25" s="153" t="str">
        <f t="shared" si="7"/>
        <v>Q4</v>
      </c>
      <c r="E25" s="153" t="e">
        <f t="shared" si="2"/>
        <v>#N/A</v>
      </c>
      <c r="F25" s="153" t="e">
        <f t="shared" si="2"/>
        <v>#N/A</v>
      </c>
      <c r="G25" s="153">
        <f t="shared" si="2"/>
        <v>35618.929902433476</v>
      </c>
      <c r="H25" s="153">
        <f t="shared" si="2"/>
        <v>1190.4275</v>
      </c>
      <c r="I25" s="153">
        <f t="shared" si="2"/>
        <v>476.30788408565888</v>
      </c>
      <c r="J25" s="179" t="e">
        <f t="shared" si="6"/>
        <v>#N/A</v>
      </c>
      <c r="K25" s="290">
        <f t="shared" si="3"/>
        <v>2.4992815356923934</v>
      </c>
      <c r="M25" s="153">
        <f t="shared" si="4"/>
        <v>2006</v>
      </c>
      <c r="N25" s="177" t="str">
        <f t="shared" si="5"/>
        <v>Q4</v>
      </c>
      <c r="O25" s="177" t="str">
        <f t="shared" si="0"/>
        <v>2006Q4</v>
      </c>
      <c r="P25" s="184">
        <v>43708.566756693821</v>
      </c>
      <c r="Q25" s="184">
        <v>43708.564717690388</v>
      </c>
      <c r="R25" s="184">
        <v>495.30873724023559</v>
      </c>
      <c r="S25" s="189">
        <v>39120.882163460956</v>
      </c>
      <c r="T25" s="189"/>
      <c r="U25" s="189">
        <v>1241.8699999999999</v>
      </c>
    </row>
    <row r="26" spans="1:21" x14ac:dyDescent="0.2">
      <c r="A26" s="153">
        <v>2003</v>
      </c>
      <c r="B26" s="153">
        <v>1</v>
      </c>
      <c r="C26" s="153" t="str">
        <f t="shared" si="1"/>
        <v>20031</v>
      </c>
      <c r="D26" s="153" t="str">
        <f t="shared" si="7"/>
        <v>Q1</v>
      </c>
      <c r="E26" s="153" t="e">
        <f t="shared" si="2"/>
        <v>#N/A</v>
      </c>
      <c r="F26" s="153" t="e">
        <f t="shared" si="2"/>
        <v>#N/A</v>
      </c>
      <c r="G26" s="153">
        <f t="shared" si="2"/>
        <v>35646.967823316591</v>
      </c>
      <c r="H26" s="153">
        <f t="shared" si="2"/>
        <v>1193.3857499999999</v>
      </c>
      <c r="I26" s="153">
        <f t="shared" si="2"/>
        <v>477.79921559285935</v>
      </c>
      <c r="J26" s="179" t="e">
        <f t="shared" si="6"/>
        <v>#N/A</v>
      </c>
      <c r="K26" s="290">
        <f t="shared" si="3"/>
        <v>2.4976720577475868</v>
      </c>
      <c r="M26" s="153">
        <f t="shared" si="4"/>
        <v>2007</v>
      </c>
      <c r="N26" s="177" t="str">
        <f t="shared" si="5"/>
        <v>Q1</v>
      </c>
      <c r="O26" s="177" t="str">
        <f t="shared" si="0"/>
        <v>2007Q1</v>
      </c>
      <c r="P26" s="184">
        <v>44030.975504243055</v>
      </c>
      <c r="Q26" s="184">
        <v>44013.187872670511</v>
      </c>
      <c r="R26" s="184">
        <v>495.81946182717161</v>
      </c>
      <c r="S26" s="189">
        <v>39207.939116974187</v>
      </c>
      <c r="T26" s="189"/>
      <c r="U26" s="189">
        <v>1245.7904999999998</v>
      </c>
    </row>
    <row r="27" spans="1:21" x14ac:dyDescent="0.2">
      <c r="A27" s="153">
        <v>2003</v>
      </c>
      <c r="B27" s="153">
        <v>2</v>
      </c>
      <c r="C27" s="153" t="str">
        <f t="shared" si="1"/>
        <v>20032</v>
      </c>
      <c r="D27" s="153" t="str">
        <f t="shared" si="7"/>
        <v>Q1</v>
      </c>
      <c r="E27" s="153" t="e">
        <f t="shared" si="2"/>
        <v>#N/A</v>
      </c>
      <c r="F27" s="153" t="e">
        <f t="shared" si="2"/>
        <v>#N/A</v>
      </c>
      <c r="G27" s="153">
        <f t="shared" si="2"/>
        <v>35646.967823316591</v>
      </c>
      <c r="H27" s="153">
        <f t="shared" si="2"/>
        <v>1193.3857499999999</v>
      </c>
      <c r="I27" s="153">
        <f t="shared" si="2"/>
        <v>477.79921559285935</v>
      </c>
      <c r="J27" s="179" t="e">
        <f t="shared" si="6"/>
        <v>#N/A</v>
      </c>
      <c r="K27" s="290">
        <f t="shared" si="3"/>
        <v>2.4976720577475868</v>
      </c>
      <c r="M27" s="153">
        <f t="shared" si="4"/>
        <v>2007</v>
      </c>
      <c r="N27" s="177" t="str">
        <f t="shared" si="5"/>
        <v>Q2</v>
      </c>
      <c r="O27" s="177" t="str">
        <f t="shared" si="0"/>
        <v>2007Q2</v>
      </c>
      <c r="P27" s="184">
        <v>43976.320524817333</v>
      </c>
      <c r="Q27" s="184">
        <v>43970.391292151064</v>
      </c>
      <c r="R27" s="184">
        <v>496.33117579403972</v>
      </c>
      <c r="S27" s="189">
        <v>39146.160290129192</v>
      </c>
      <c r="T27" s="189"/>
      <c r="U27" s="189">
        <v>1249.7109999999998</v>
      </c>
    </row>
    <row r="28" spans="1:21" x14ac:dyDescent="0.2">
      <c r="A28" s="153">
        <v>2003</v>
      </c>
      <c r="B28" s="153">
        <v>3</v>
      </c>
      <c r="C28" s="153" t="str">
        <f t="shared" si="1"/>
        <v>20033</v>
      </c>
      <c r="D28" s="153" t="str">
        <f t="shared" si="7"/>
        <v>Q1</v>
      </c>
      <c r="E28" s="153" t="e">
        <f t="shared" si="2"/>
        <v>#N/A</v>
      </c>
      <c r="F28" s="153" t="e">
        <f t="shared" si="2"/>
        <v>#N/A</v>
      </c>
      <c r="G28" s="153">
        <f t="shared" si="2"/>
        <v>35646.967823316591</v>
      </c>
      <c r="H28" s="153">
        <f t="shared" si="2"/>
        <v>1193.3857499999999</v>
      </c>
      <c r="I28" s="153">
        <f t="shared" si="2"/>
        <v>477.79921559285935</v>
      </c>
      <c r="J28" s="179" t="e">
        <f t="shared" si="6"/>
        <v>#N/A</v>
      </c>
      <c r="K28" s="290">
        <f t="shared" si="3"/>
        <v>2.4976720577475868</v>
      </c>
      <c r="M28" s="153">
        <f t="shared" si="4"/>
        <v>2007</v>
      </c>
      <c r="N28" s="177" t="str">
        <f t="shared" si="5"/>
        <v>Q3</v>
      </c>
      <c r="O28" s="177" t="str">
        <f t="shared" si="0"/>
        <v>2007Q3</v>
      </c>
      <c r="P28" s="184">
        <v>43804.205605592666</v>
      </c>
      <c r="Q28" s="184">
        <v>43810.08803786114</v>
      </c>
      <c r="R28" s="184">
        <v>498.32041076592549</v>
      </c>
      <c r="S28" s="189">
        <v>39001.852326761655</v>
      </c>
      <c r="T28" s="189"/>
      <c r="U28" s="189">
        <v>1253.3617500000003</v>
      </c>
    </row>
    <row r="29" spans="1:21" x14ac:dyDescent="0.2">
      <c r="A29" s="153">
        <v>2003</v>
      </c>
      <c r="B29" s="153">
        <v>4</v>
      </c>
      <c r="C29" s="153" t="str">
        <f t="shared" si="1"/>
        <v>20034</v>
      </c>
      <c r="D29" s="153" t="str">
        <f t="shared" si="7"/>
        <v>Q2</v>
      </c>
      <c r="E29" s="153" t="e">
        <f t="shared" si="2"/>
        <v>#N/A</v>
      </c>
      <c r="F29" s="153" t="e">
        <f t="shared" si="2"/>
        <v>#N/A</v>
      </c>
      <c r="G29" s="153">
        <f t="shared" si="2"/>
        <v>35842.575547320266</v>
      </c>
      <c r="H29" s="153">
        <f t="shared" si="2"/>
        <v>1196.3440000000001</v>
      </c>
      <c r="I29" s="153">
        <f t="shared" si="2"/>
        <v>479.29439124818373</v>
      </c>
      <c r="J29" s="179" t="e">
        <f t="shared" si="6"/>
        <v>#N/A</v>
      </c>
      <c r="K29" s="290">
        <f t="shared" si="3"/>
        <v>2.4960525761306487</v>
      </c>
      <c r="M29" s="153">
        <f t="shared" si="4"/>
        <v>2007</v>
      </c>
      <c r="N29" s="177" t="str">
        <f t="shared" si="5"/>
        <v>Q4</v>
      </c>
      <c r="O29" s="177" t="str">
        <f t="shared" si="0"/>
        <v>2007Q4</v>
      </c>
      <c r="P29" s="184">
        <v>43950.038918735168</v>
      </c>
      <c r="Q29" s="184">
        <v>43967.80800846804</v>
      </c>
      <c r="R29" s="184">
        <v>500.31645665447218</v>
      </c>
      <c r="S29" s="189">
        <v>39135.118262944496</v>
      </c>
      <c r="T29" s="189"/>
      <c r="U29" s="189">
        <v>1257.0125</v>
      </c>
    </row>
    <row r="30" spans="1:21" x14ac:dyDescent="0.2">
      <c r="A30" s="153">
        <v>2003</v>
      </c>
      <c r="B30" s="153">
        <v>5</v>
      </c>
      <c r="C30" s="153" t="str">
        <f t="shared" si="1"/>
        <v>20035</v>
      </c>
      <c r="D30" s="153" t="str">
        <f t="shared" si="7"/>
        <v>Q2</v>
      </c>
      <c r="E30" s="153" t="e">
        <f t="shared" si="2"/>
        <v>#N/A</v>
      </c>
      <c r="F30" s="153" t="e">
        <f t="shared" si="2"/>
        <v>#N/A</v>
      </c>
      <c r="G30" s="153">
        <f t="shared" si="2"/>
        <v>35842.575547320266</v>
      </c>
      <c r="H30" s="153">
        <f t="shared" si="2"/>
        <v>1196.3440000000001</v>
      </c>
      <c r="I30" s="153">
        <f t="shared" si="2"/>
        <v>479.29439124818373</v>
      </c>
      <c r="J30" s="179" t="e">
        <f t="shared" si="6"/>
        <v>#N/A</v>
      </c>
      <c r="K30" s="290">
        <f t="shared" si="3"/>
        <v>2.4960525761306487</v>
      </c>
      <c r="M30" s="153">
        <f t="shared" si="4"/>
        <v>2008</v>
      </c>
      <c r="N30" s="177" t="str">
        <f t="shared" si="5"/>
        <v>Q1</v>
      </c>
      <c r="O30" s="177" t="str">
        <f t="shared" si="0"/>
        <v>2008Q1</v>
      </c>
      <c r="P30" s="184">
        <v>44416.108465011559</v>
      </c>
      <c r="Q30" s="184">
        <v>44581.667664751003</v>
      </c>
      <c r="R30" s="184">
        <v>502.31934308818666</v>
      </c>
      <c r="S30" s="189">
        <v>39632.680925057175</v>
      </c>
      <c r="T30" s="189"/>
      <c r="U30" s="189">
        <v>1260.6632500000001</v>
      </c>
    </row>
    <row r="31" spans="1:21" x14ac:dyDescent="0.2">
      <c r="A31" s="153">
        <v>2003</v>
      </c>
      <c r="B31" s="153">
        <v>6</v>
      </c>
      <c r="C31" s="153" t="str">
        <f t="shared" si="1"/>
        <v>20036</v>
      </c>
      <c r="D31" s="153" t="str">
        <f t="shared" si="7"/>
        <v>Q2</v>
      </c>
      <c r="E31" s="153" t="e">
        <f t="shared" si="2"/>
        <v>#N/A</v>
      </c>
      <c r="F31" s="153" t="e">
        <f t="shared" si="2"/>
        <v>#N/A</v>
      </c>
      <c r="G31" s="153">
        <f t="shared" si="2"/>
        <v>35842.575547320266</v>
      </c>
      <c r="H31" s="153">
        <f t="shared" si="2"/>
        <v>1196.3440000000001</v>
      </c>
      <c r="I31" s="153">
        <f t="shared" si="2"/>
        <v>479.29439124818373</v>
      </c>
      <c r="J31" s="179" t="e">
        <f t="shared" si="6"/>
        <v>#N/A</v>
      </c>
      <c r="K31" s="290">
        <f t="shared" si="3"/>
        <v>2.4960525761306487</v>
      </c>
      <c r="M31" s="153">
        <f t="shared" si="4"/>
        <v>2008</v>
      </c>
      <c r="N31" s="177" t="str">
        <f t="shared" si="5"/>
        <v>Q2</v>
      </c>
      <c r="O31" s="177" t="str">
        <f t="shared" si="0"/>
        <v>2008Q2</v>
      </c>
      <c r="P31" s="184">
        <v>44590.916353433233</v>
      </c>
      <c r="Q31" s="184">
        <v>44664.498239331857</v>
      </c>
      <c r="R31" s="184">
        <v>504.3290998175558</v>
      </c>
      <c r="S31" s="189">
        <v>39855.727140851915</v>
      </c>
      <c r="T31" s="189"/>
      <c r="U31" s="189">
        <v>1264.3140000000001</v>
      </c>
    </row>
    <row r="32" spans="1:21" x14ac:dyDescent="0.2">
      <c r="A32" s="153">
        <v>2003</v>
      </c>
      <c r="B32" s="153">
        <v>7</v>
      </c>
      <c r="C32" s="153" t="str">
        <f t="shared" si="1"/>
        <v>20037</v>
      </c>
      <c r="D32" s="153" t="str">
        <f t="shared" si="7"/>
        <v>Q3</v>
      </c>
      <c r="E32" s="153" t="e">
        <f t="shared" si="2"/>
        <v>#N/A</v>
      </c>
      <c r="F32" s="153" t="e">
        <f t="shared" si="2"/>
        <v>#N/A</v>
      </c>
      <c r="G32" s="153">
        <f t="shared" si="2"/>
        <v>35879.356060081816</v>
      </c>
      <c r="H32" s="153">
        <f t="shared" si="2"/>
        <v>1199.2184999999999</v>
      </c>
      <c r="I32" s="153">
        <f t="shared" si="2"/>
        <v>480.78907780993734</v>
      </c>
      <c r="J32" s="179" t="e">
        <f t="shared" si="6"/>
        <v>#N/A</v>
      </c>
      <c r="K32" s="290">
        <f t="shared" si="3"/>
        <v>2.4942715118708829</v>
      </c>
      <c r="M32" s="153">
        <f t="shared" si="4"/>
        <v>2008</v>
      </c>
      <c r="N32" s="177" t="str">
        <f t="shared" si="5"/>
        <v>Q3</v>
      </c>
      <c r="O32" s="177" t="str">
        <f t="shared" si="0"/>
        <v>2008Q3</v>
      </c>
      <c r="P32" s="184">
        <v>43631.992988675534</v>
      </c>
      <c r="Q32" s="184">
        <v>43626.405392296838</v>
      </c>
      <c r="R32" s="184">
        <v>505.25256082777889</v>
      </c>
      <c r="S32" s="189">
        <v>38971.970554889042</v>
      </c>
      <c r="T32" s="189"/>
      <c r="U32" s="189">
        <v>1267.0297499999999</v>
      </c>
    </row>
    <row r="33" spans="1:21" x14ac:dyDescent="0.2">
      <c r="A33" s="153">
        <v>2003</v>
      </c>
      <c r="B33" s="153">
        <v>8</v>
      </c>
      <c r="C33" s="153" t="str">
        <f t="shared" si="1"/>
        <v>20038</v>
      </c>
      <c r="D33" s="153" t="str">
        <f t="shared" si="7"/>
        <v>Q3</v>
      </c>
      <c r="E33" s="153" t="e">
        <f t="shared" si="2"/>
        <v>#N/A</v>
      </c>
      <c r="F33" s="153" t="e">
        <f t="shared" si="2"/>
        <v>#N/A</v>
      </c>
      <c r="G33" s="153">
        <f t="shared" si="2"/>
        <v>35879.356060081816</v>
      </c>
      <c r="H33" s="153">
        <f t="shared" si="2"/>
        <v>1199.2184999999999</v>
      </c>
      <c r="I33" s="153">
        <f t="shared" si="2"/>
        <v>480.78907780993734</v>
      </c>
      <c r="J33" s="179" t="e">
        <f t="shared" si="6"/>
        <v>#N/A</v>
      </c>
      <c r="K33" s="290">
        <f t="shared" si="3"/>
        <v>2.4942715118708829</v>
      </c>
      <c r="M33" s="153">
        <f t="shared" si="4"/>
        <v>2008</v>
      </c>
      <c r="N33" s="177" t="str">
        <f t="shared" si="5"/>
        <v>Q4</v>
      </c>
      <c r="O33" s="177" t="str">
        <f t="shared" si="0"/>
        <v>2008Q4</v>
      </c>
      <c r="P33" s="184">
        <v>43911.243613059996</v>
      </c>
      <c r="Q33" s="184">
        <v>43840.763163855794</v>
      </c>
      <c r="R33" s="184">
        <v>506.17727071899566</v>
      </c>
      <c r="S33" s="189">
        <v>39250.753059038092</v>
      </c>
      <c r="T33" s="189"/>
      <c r="U33" s="189">
        <v>1269.7455</v>
      </c>
    </row>
    <row r="34" spans="1:21" x14ac:dyDescent="0.2">
      <c r="A34" s="153">
        <v>2003</v>
      </c>
      <c r="B34" s="153">
        <v>9</v>
      </c>
      <c r="C34" s="153" t="str">
        <f t="shared" si="1"/>
        <v>20039</v>
      </c>
      <c r="D34" s="153" t="str">
        <f t="shared" si="7"/>
        <v>Q3</v>
      </c>
      <c r="E34" s="153" t="e">
        <f t="shared" si="2"/>
        <v>#N/A</v>
      </c>
      <c r="F34" s="153" t="e">
        <f t="shared" si="2"/>
        <v>#N/A</v>
      </c>
      <c r="G34" s="153">
        <f t="shared" si="2"/>
        <v>35879.356060081816</v>
      </c>
      <c r="H34" s="153">
        <f t="shared" si="2"/>
        <v>1199.2184999999999</v>
      </c>
      <c r="I34" s="153">
        <f t="shared" si="2"/>
        <v>480.78907780993734</v>
      </c>
      <c r="J34" s="179" t="e">
        <f t="shared" si="6"/>
        <v>#N/A</v>
      </c>
      <c r="K34" s="290">
        <f t="shared" si="3"/>
        <v>2.4942715118708829</v>
      </c>
      <c r="M34" s="153">
        <f t="shared" si="4"/>
        <v>2009</v>
      </c>
      <c r="N34" s="177" t="str">
        <f t="shared" si="5"/>
        <v>Q1</v>
      </c>
      <c r="O34" s="177" t="str">
        <f t="shared" si="0"/>
        <v>2009Q1</v>
      </c>
      <c r="P34" s="184">
        <v>43191.27492890181</v>
      </c>
      <c r="Q34" s="184">
        <v>42974.765116102171</v>
      </c>
      <c r="R34" s="184">
        <v>507.10323204385077</v>
      </c>
      <c r="S34" s="189">
        <v>39351.75300796557</v>
      </c>
      <c r="T34" s="189"/>
      <c r="U34" s="189">
        <v>1272.4612500000003</v>
      </c>
    </row>
    <row r="35" spans="1:21" x14ac:dyDescent="0.2">
      <c r="A35" s="153">
        <v>2003</v>
      </c>
      <c r="B35" s="153">
        <v>10</v>
      </c>
      <c r="C35" s="153" t="str">
        <f t="shared" si="1"/>
        <v>200310</v>
      </c>
      <c r="D35" s="153" t="str">
        <f t="shared" si="7"/>
        <v>Q4</v>
      </c>
      <c r="E35" s="153" t="e">
        <f t="shared" ref="E35:I66" si="8">VLOOKUP($A35&amp;$D35,$O$1:$U$169,MATCH(E$1,$O$1:$U$1,0),0)</f>
        <v>#N/A</v>
      </c>
      <c r="F35" s="153" t="e">
        <f t="shared" si="8"/>
        <v>#N/A</v>
      </c>
      <c r="G35" s="153">
        <f t="shared" si="8"/>
        <v>36361.519986701038</v>
      </c>
      <c r="H35" s="153">
        <f t="shared" si="8"/>
        <v>1202.0929999999998</v>
      </c>
      <c r="I35" s="153">
        <f t="shared" si="8"/>
        <v>482.28779444709988</v>
      </c>
      <c r="J35" s="179" t="e">
        <f t="shared" si="6"/>
        <v>#N/A</v>
      </c>
      <c r="K35" s="290">
        <f t="shared" si="3"/>
        <v>2.4924806595574176</v>
      </c>
      <c r="M35" s="153">
        <f t="shared" si="4"/>
        <v>2009</v>
      </c>
      <c r="N35" s="177" t="str">
        <f t="shared" si="5"/>
        <v>Q2</v>
      </c>
      <c r="O35" s="177" t="str">
        <f t="shared" si="0"/>
        <v>2009Q2</v>
      </c>
      <c r="P35" s="184">
        <v>43250.549196981534</v>
      </c>
      <c r="Q35" s="184">
        <v>42942.697151445958</v>
      </c>
      <c r="R35" s="184">
        <v>508.03044735539709</v>
      </c>
      <c r="S35" s="189">
        <v>39473.581717535344</v>
      </c>
      <c r="T35" s="189"/>
      <c r="U35" s="189">
        <v>1275.1770000000001</v>
      </c>
    </row>
    <row r="36" spans="1:21" x14ac:dyDescent="0.2">
      <c r="A36" s="153">
        <v>2003</v>
      </c>
      <c r="B36" s="153">
        <v>11</v>
      </c>
      <c r="C36" s="153" t="str">
        <f t="shared" si="1"/>
        <v>200311</v>
      </c>
      <c r="D36" s="153" t="str">
        <f t="shared" si="7"/>
        <v>Q4</v>
      </c>
      <c r="E36" s="153" t="e">
        <f t="shared" si="8"/>
        <v>#N/A</v>
      </c>
      <c r="F36" s="153" t="e">
        <f t="shared" si="8"/>
        <v>#N/A</v>
      </c>
      <c r="G36" s="153">
        <f t="shared" si="8"/>
        <v>36361.519986701038</v>
      </c>
      <c r="H36" s="153">
        <f t="shared" si="8"/>
        <v>1202.0929999999998</v>
      </c>
      <c r="I36" s="153">
        <f t="shared" si="8"/>
        <v>482.28779444709988</v>
      </c>
      <c r="J36" s="179" t="e">
        <f t="shared" si="6"/>
        <v>#N/A</v>
      </c>
      <c r="K36" s="290">
        <f t="shared" si="3"/>
        <v>2.4924806595574176</v>
      </c>
      <c r="M36" s="153">
        <f t="shared" si="4"/>
        <v>2009</v>
      </c>
      <c r="N36" s="177" t="str">
        <f t="shared" si="5"/>
        <v>Q3</v>
      </c>
      <c r="O36" s="177" t="str">
        <f t="shared" si="0"/>
        <v>2009Q3</v>
      </c>
      <c r="P36" s="184">
        <v>42885.490304860599</v>
      </c>
      <c r="Q36" s="184">
        <v>42528.578987910732</v>
      </c>
      <c r="R36" s="184">
        <v>509.99647779192645</v>
      </c>
      <c r="S36" s="189">
        <v>39137.875476073954</v>
      </c>
      <c r="T36" s="189"/>
      <c r="U36" s="189">
        <v>1277.9733333333331</v>
      </c>
    </row>
    <row r="37" spans="1:21" x14ac:dyDescent="0.2">
      <c r="A37" s="153">
        <v>2003</v>
      </c>
      <c r="B37" s="153">
        <v>12</v>
      </c>
      <c r="C37" s="153" t="str">
        <f t="shared" si="1"/>
        <v>200312</v>
      </c>
      <c r="D37" s="153" t="str">
        <f t="shared" si="7"/>
        <v>Q4</v>
      </c>
      <c r="E37" s="153" t="e">
        <f t="shared" si="8"/>
        <v>#N/A</v>
      </c>
      <c r="F37" s="153" t="e">
        <f t="shared" si="8"/>
        <v>#N/A</v>
      </c>
      <c r="G37" s="153">
        <f t="shared" si="8"/>
        <v>36361.519986701038</v>
      </c>
      <c r="H37" s="153">
        <f t="shared" si="8"/>
        <v>1202.0929999999998</v>
      </c>
      <c r="I37" s="153">
        <f t="shared" si="8"/>
        <v>482.28779444709988</v>
      </c>
      <c r="J37" s="179" t="e">
        <f t="shared" si="6"/>
        <v>#N/A</v>
      </c>
      <c r="K37" s="290">
        <f t="shared" si="3"/>
        <v>2.4924806595574176</v>
      </c>
      <c r="M37" s="153">
        <f t="shared" si="4"/>
        <v>2009</v>
      </c>
      <c r="N37" s="177" t="str">
        <f t="shared" si="5"/>
        <v>Q4</v>
      </c>
      <c r="O37" s="177" t="str">
        <f t="shared" si="0"/>
        <v>2009Q4</v>
      </c>
      <c r="P37" s="184">
        <v>42840.907212663566</v>
      </c>
      <c r="Q37" s="184">
        <v>42454.526941309079</v>
      </c>
      <c r="R37" s="184">
        <v>512.09889540358517</v>
      </c>
      <c r="S37" s="189">
        <v>39094.688351422847</v>
      </c>
      <c r="T37" s="189"/>
      <c r="U37" s="189">
        <v>1280.7696666666668</v>
      </c>
    </row>
    <row r="38" spans="1:21" x14ac:dyDescent="0.2">
      <c r="A38" s="153">
        <v>2004</v>
      </c>
      <c r="B38" s="153">
        <v>1</v>
      </c>
      <c r="C38" s="153" t="str">
        <f t="shared" si="1"/>
        <v>20041</v>
      </c>
      <c r="D38" s="153" t="str">
        <f t="shared" si="7"/>
        <v>Q1</v>
      </c>
      <c r="E38" s="153" t="e">
        <f t="shared" si="8"/>
        <v>#N/A</v>
      </c>
      <c r="F38" s="153" t="e">
        <f t="shared" si="8"/>
        <v>#N/A</v>
      </c>
      <c r="G38" s="153">
        <f t="shared" si="8"/>
        <v>36644.026083426186</v>
      </c>
      <c r="H38" s="153">
        <f t="shared" si="8"/>
        <v>1204.9675</v>
      </c>
      <c r="I38" s="153">
        <f t="shared" si="8"/>
        <v>483.79055407003409</v>
      </c>
      <c r="J38" s="179" t="e">
        <f t="shared" si="6"/>
        <v>#N/A</v>
      </c>
      <c r="K38" s="290">
        <f t="shared" si="3"/>
        <v>2.4906800884449831</v>
      </c>
      <c r="M38" s="153">
        <f t="shared" si="4"/>
        <v>2010</v>
      </c>
      <c r="N38" s="177" t="str">
        <f t="shared" si="5"/>
        <v>Q1</v>
      </c>
      <c r="O38" s="177" t="str">
        <f t="shared" si="0"/>
        <v>2010Q1</v>
      </c>
      <c r="P38" s="184">
        <v>42642.930928995687</v>
      </c>
      <c r="Q38" s="184">
        <v>42289.730389098157</v>
      </c>
      <c r="R38" s="184">
        <v>514.21400000000006</v>
      </c>
      <c r="S38" s="189">
        <v>38849.752908087466</v>
      </c>
      <c r="T38" s="189"/>
      <c r="U38" s="189">
        <v>1283.5660000000005</v>
      </c>
    </row>
    <row r="39" spans="1:21" x14ac:dyDescent="0.2">
      <c r="A39" s="153">
        <v>2004</v>
      </c>
      <c r="B39" s="153">
        <v>2</v>
      </c>
      <c r="C39" s="153" t="str">
        <f t="shared" si="1"/>
        <v>20042</v>
      </c>
      <c r="D39" s="153" t="str">
        <f t="shared" si="7"/>
        <v>Q1</v>
      </c>
      <c r="E39" s="153" t="e">
        <f t="shared" si="8"/>
        <v>#N/A</v>
      </c>
      <c r="F39" s="153" t="e">
        <f t="shared" si="8"/>
        <v>#N/A</v>
      </c>
      <c r="G39" s="153">
        <f t="shared" si="8"/>
        <v>36644.026083426186</v>
      </c>
      <c r="H39" s="153">
        <f t="shared" si="8"/>
        <v>1204.9675</v>
      </c>
      <c r="I39" s="153">
        <f t="shared" si="8"/>
        <v>483.79055407003409</v>
      </c>
      <c r="J39" s="179" t="e">
        <f t="shared" si="6"/>
        <v>#N/A</v>
      </c>
      <c r="K39" s="290">
        <f t="shared" si="3"/>
        <v>2.4906800884449831</v>
      </c>
      <c r="M39" s="153">
        <f t="shared" si="4"/>
        <v>2010</v>
      </c>
      <c r="N39" s="177" t="str">
        <f t="shared" si="5"/>
        <v>Q2</v>
      </c>
      <c r="O39" s="177" t="str">
        <f t="shared" si="0"/>
        <v>2010Q2</v>
      </c>
      <c r="P39" s="184">
        <v>43211.581247465539</v>
      </c>
      <c r="Q39" s="184">
        <v>42735.042780848024</v>
      </c>
      <c r="R39" s="184">
        <v>515.32310720002329</v>
      </c>
      <c r="S39" s="189">
        <v>39352.623912366878</v>
      </c>
      <c r="T39" s="189"/>
      <c r="U39" s="189">
        <v>1286.3918115642771</v>
      </c>
    </row>
    <row r="40" spans="1:21" x14ac:dyDescent="0.2">
      <c r="A40" s="153">
        <v>2004</v>
      </c>
      <c r="B40" s="153">
        <v>3</v>
      </c>
      <c r="C40" s="153" t="str">
        <f t="shared" si="1"/>
        <v>20043</v>
      </c>
      <c r="D40" s="153" t="str">
        <f t="shared" si="7"/>
        <v>Q1</v>
      </c>
      <c r="E40" s="153" t="e">
        <f t="shared" si="8"/>
        <v>#N/A</v>
      </c>
      <c r="F40" s="153" t="e">
        <f t="shared" si="8"/>
        <v>#N/A</v>
      </c>
      <c r="G40" s="153">
        <f t="shared" si="8"/>
        <v>36644.026083426186</v>
      </c>
      <c r="H40" s="153">
        <f t="shared" si="8"/>
        <v>1204.9675</v>
      </c>
      <c r="I40" s="153">
        <f t="shared" si="8"/>
        <v>483.79055407003409</v>
      </c>
      <c r="J40" s="179" t="e">
        <f t="shared" si="6"/>
        <v>#N/A</v>
      </c>
      <c r="K40" s="290">
        <f t="shared" si="3"/>
        <v>2.4906800884449831</v>
      </c>
      <c r="M40" s="153">
        <f t="shared" si="4"/>
        <v>2010</v>
      </c>
      <c r="N40" s="177" t="str">
        <f t="shared" si="5"/>
        <v>Q3</v>
      </c>
      <c r="O40" s="177" t="str">
        <f t="shared" si="0"/>
        <v>2010Q3</v>
      </c>
      <c r="P40" s="184">
        <v>43650.27856485646</v>
      </c>
      <c r="Q40" s="184">
        <v>43134.750294798105</v>
      </c>
      <c r="R40" s="184">
        <v>515.96317830861892</v>
      </c>
      <c r="S40" s="189">
        <v>39753.15333007311</v>
      </c>
      <c r="T40" s="189"/>
      <c r="U40" s="189">
        <v>1288.6361092618649</v>
      </c>
    </row>
    <row r="41" spans="1:21" x14ac:dyDescent="0.2">
      <c r="A41" s="153">
        <v>2004</v>
      </c>
      <c r="B41" s="153">
        <v>4</v>
      </c>
      <c r="C41" s="153" t="str">
        <f t="shared" si="1"/>
        <v>20044</v>
      </c>
      <c r="D41" s="153" t="str">
        <f t="shared" si="7"/>
        <v>Q2</v>
      </c>
      <c r="E41" s="153" t="e">
        <f t="shared" si="8"/>
        <v>#N/A</v>
      </c>
      <c r="F41" s="153" t="e">
        <f t="shared" si="8"/>
        <v>#N/A</v>
      </c>
      <c r="G41" s="153">
        <f t="shared" si="8"/>
        <v>36771.492378685805</v>
      </c>
      <c r="H41" s="153">
        <f t="shared" si="8"/>
        <v>1207.8420000000001</v>
      </c>
      <c r="I41" s="153">
        <f t="shared" si="8"/>
        <v>485.29736962423021</v>
      </c>
      <c r="J41" s="179" t="e">
        <f t="shared" si="6"/>
        <v>#N/A</v>
      </c>
      <c r="K41" s="290">
        <f t="shared" si="3"/>
        <v>2.4888698674283813</v>
      </c>
      <c r="M41" s="153">
        <f t="shared" si="4"/>
        <v>2010</v>
      </c>
      <c r="N41" s="177" t="str">
        <f t="shared" si="5"/>
        <v>Q4</v>
      </c>
      <c r="O41" s="177" t="str">
        <f t="shared" si="0"/>
        <v>2010Q4</v>
      </c>
      <c r="P41" s="184">
        <v>43628.765195334854</v>
      </c>
      <c r="Q41" s="184">
        <v>43077.72671706885</v>
      </c>
      <c r="R41" s="184">
        <v>516.54545003244323</v>
      </c>
      <c r="S41" s="189">
        <v>39757.383833693879</v>
      </c>
      <c r="T41" s="189"/>
      <c r="U41" s="189">
        <v>1290.8602084795916</v>
      </c>
    </row>
    <row r="42" spans="1:21" x14ac:dyDescent="0.2">
      <c r="A42" s="153">
        <v>2004</v>
      </c>
      <c r="B42" s="153">
        <v>5</v>
      </c>
      <c r="C42" s="153" t="str">
        <f t="shared" si="1"/>
        <v>20045</v>
      </c>
      <c r="D42" s="153" t="str">
        <f t="shared" si="7"/>
        <v>Q2</v>
      </c>
      <c r="E42" s="153" t="e">
        <f t="shared" si="8"/>
        <v>#N/A</v>
      </c>
      <c r="F42" s="153" t="e">
        <f t="shared" si="8"/>
        <v>#N/A</v>
      </c>
      <c r="G42" s="153">
        <f t="shared" si="8"/>
        <v>36771.492378685805</v>
      </c>
      <c r="H42" s="153">
        <f t="shared" si="8"/>
        <v>1207.8420000000001</v>
      </c>
      <c r="I42" s="153">
        <f t="shared" si="8"/>
        <v>485.29736962423021</v>
      </c>
      <c r="J42" s="179" t="e">
        <f t="shared" si="6"/>
        <v>#N/A</v>
      </c>
      <c r="K42" s="290">
        <f t="shared" si="3"/>
        <v>2.4888698674283813</v>
      </c>
      <c r="M42" s="153">
        <f t="shared" si="4"/>
        <v>2011</v>
      </c>
      <c r="N42" s="177" t="str">
        <f t="shared" si="5"/>
        <v>Q1</v>
      </c>
      <c r="O42" s="177" t="str">
        <f t="shared" si="0"/>
        <v>2011Q1</v>
      </c>
      <c r="P42" s="184">
        <v>44076.28205994812</v>
      </c>
      <c r="Q42" s="184">
        <v>43592.751614830653</v>
      </c>
      <c r="R42" s="184">
        <v>517.67568896974944</v>
      </c>
      <c r="S42" s="189">
        <v>39737.516530036453</v>
      </c>
      <c r="T42" s="189"/>
      <c r="U42" s="189">
        <v>1293.0639465124377</v>
      </c>
    </row>
    <row r="43" spans="1:21" x14ac:dyDescent="0.2">
      <c r="A43" s="153">
        <v>2004</v>
      </c>
      <c r="B43" s="153">
        <v>6</v>
      </c>
      <c r="C43" s="153" t="str">
        <f t="shared" si="1"/>
        <v>20046</v>
      </c>
      <c r="D43" s="153" t="str">
        <f t="shared" si="7"/>
        <v>Q2</v>
      </c>
      <c r="E43" s="153" t="e">
        <f t="shared" si="8"/>
        <v>#N/A</v>
      </c>
      <c r="F43" s="153" t="e">
        <f t="shared" si="8"/>
        <v>#N/A</v>
      </c>
      <c r="G43" s="153">
        <f t="shared" si="8"/>
        <v>36771.492378685805</v>
      </c>
      <c r="H43" s="153">
        <f t="shared" si="8"/>
        <v>1207.8420000000001</v>
      </c>
      <c r="I43" s="153">
        <f t="shared" si="8"/>
        <v>485.29736962423021</v>
      </c>
      <c r="J43" s="179" t="e">
        <f t="shared" si="6"/>
        <v>#N/A</v>
      </c>
      <c r="K43" s="290">
        <f t="shared" si="3"/>
        <v>2.4888698674283813</v>
      </c>
      <c r="M43" s="153">
        <f t="shared" si="4"/>
        <v>2011</v>
      </c>
      <c r="N43" s="177" t="str">
        <f t="shared" si="5"/>
        <v>Q2</v>
      </c>
      <c r="O43" s="177" t="str">
        <f t="shared" si="0"/>
        <v>2011Q2</v>
      </c>
      <c r="P43" s="184">
        <v>43951.481565191236</v>
      </c>
      <c r="Q43" s="184">
        <v>43425.685286284337</v>
      </c>
      <c r="R43" s="184">
        <v>518.48502098041047</v>
      </c>
      <c r="S43" s="189">
        <v>39626.695414935333</v>
      </c>
      <c r="T43" s="189"/>
      <c r="U43" s="189">
        <v>1295.2471582141143</v>
      </c>
    </row>
    <row r="44" spans="1:21" x14ac:dyDescent="0.2">
      <c r="A44" s="153">
        <v>2004</v>
      </c>
      <c r="B44" s="153">
        <v>7</v>
      </c>
      <c r="C44" s="153" t="str">
        <f t="shared" si="1"/>
        <v>20047</v>
      </c>
      <c r="D44" s="153" t="str">
        <f t="shared" si="7"/>
        <v>Q3</v>
      </c>
      <c r="E44" s="153" t="e">
        <f t="shared" si="8"/>
        <v>#N/A</v>
      </c>
      <c r="F44" s="153" t="e">
        <f t="shared" si="8"/>
        <v>#N/A</v>
      </c>
      <c r="G44" s="153">
        <f t="shared" si="8"/>
        <v>36973.693354213639</v>
      </c>
      <c r="H44" s="153">
        <f t="shared" si="8"/>
        <v>1210.6405</v>
      </c>
      <c r="I44" s="153">
        <f t="shared" si="8"/>
        <v>486.74980266099078</v>
      </c>
      <c r="J44" s="179" t="e">
        <f t="shared" si="6"/>
        <v>#N/A</v>
      </c>
      <c r="K44" s="290">
        <f t="shared" si="3"/>
        <v>2.4871925851466266</v>
      </c>
      <c r="M44" s="153">
        <f t="shared" si="4"/>
        <v>2011</v>
      </c>
      <c r="N44" s="177" t="str">
        <f t="shared" si="5"/>
        <v>Q3</v>
      </c>
      <c r="O44" s="177" t="str">
        <f t="shared" si="0"/>
        <v>2011Q3</v>
      </c>
      <c r="P44" s="184">
        <v>44013.736102153853</v>
      </c>
      <c r="Q44" s="184">
        <v>43632.225261079337</v>
      </c>
      <c r="R44" s="184">
        <v>519.43601630689602</v>
      </c>
      <c r="S44" s="189">
        <v>39675.467395051506</v>
      </c>
      <c r="T44" s="189"/>
      <c r="U44" s="189">
        <v>1297.5168166601879</v>
      </c>
    </row>
    <row r="45" spans="1:21" x14ac:dyDescent="0.2">
      <c r="A45" s="153">
        <v>2004</v>
      </c>
      <c r="B45" s="153">
        <v>8</v>
      </c>
      <c r="C45" s="153" t="str">
        <f t="shared" si="1"/>
        <v>20048</v>
      </c>
      <c r="D45" s="153" t="str">
        <f t="shared" si="7"/>
        <v>Q3</v>
      </c>
      <c r="E45" s="153" t="e">
        <f t="shared" si="8"/>
        <v>#N/A</v>
      </c>
      <c r="F45" s="153" t="e">
        <f t="shared" si="8"/>
        <v>#N/A</v>
      </c>
      <c r="G45" s="153">
        <f t="shared" si="8"/>
        <v>36973.693354213639</v>
      </c>
      <c r="H45" s="153">
        <f t="shared" si="8"/>
        <v>1210.6405</v>
      </c>
      <c r="I45" s="153">
        <f t="shared" si="8"/>
        <v>486.74980266099078</v>
      </c>
      <c r="J45" s="179" t="e">
        <f t="shared" si="6"/>
        <v>#N/A</v>
      </c>
      <c r="K45" s="290">
        <f t="shared" si="3"/>
        <v>2.4871925851466266</v>
      </c>
      <c r="M45" s="153">
        <f t="shared" si="4"/>
        <v>2011</v>
      </c>
      <c r="N45" s="177" t="str">
        <f t="shared" si="5"/>
        <v>Q4</v>
      </c>
      <c r="O45" s="177" t="str">
        <f t="shared" si="0"/>
        <v>2011Q4</v>
      </c>
      <c r="P45" s="184">
        <v>44207.369412128639</v>
      </c>
      <c r="Q45" s="184">
        <v>43922.606955385898</v>
      </c>
      <c r="R45" s="184">
        <v>520.05141137481951</v>
      </c>
      <c r="S45" s="189">
        <v>39786.860383818384</v>
      </c>
      <c r="T45" s="189"/>
      <c r="U45" s="189">
        <v>1298.9792497819678</v>
      </c>
    </row>
    <row r="46" spans="1:21" x14ac:dyDescent="0.2">
      <c r="A46" s="153">
        <v>2004</v>
      </c>
      <c r="B46" s="153">
        <v>9</v>
      </c>
      <c r="C46" s="153" t="str">
        <f t="shared" si="1"/>
        <v>20049</v>
      </c>
      <c r="D46" s="153" t="str">
        <f t="shared" si="7"/>
        <v>Q3</v>
      </c>
      <c r="E46" s="153" t="e">
        <f t="shared" si="8"/>
        <v>#N/A</v>
      </c>
      <c r="F46" s="153" t="e">
        <f t="shared" si="8"/>
        <v>#N/A</v>
      </c>
      <c r="G46" s="153">
        <f t="shared" si="8"/>
        <v>36973.693354213639</v>
      </c>
      <c r="H46" s="153">
        <f t="shared" si="8"/>
        <v>1210.6405</v>
      </c>
      <c r="I46" s="153">
        <f t="shared" si="8"/>
        <v>486.74980266099078</v>
      </c>
      <c r="J46" s="179" t="e">
        <f t="shared" si="6"/>
        <v>#N/A</v>
      </c>
      <c r="K46" s="290">
        <f t="shared" si="3"/>
        <v>2.4871925851466266</v>
      </c>
      <c r="M46" s="153">
        <f t="shared" si="4"/>
        <v>2012</v>
      </c>
      <c r="N46" s="177" t="str">
        <f t="shared" si="5"/>
        <v>Q1</v>
      </c>
      <c r="O46" s="177" t="str">
        <f t="shared" si="0"/>
        <v>2012Q1</v>
      </c>
      <c r="P46" s="184">
        <v>44318.072012361845</v>
      </c>
      <c r="Q46" s="184">
        <v>44128.803054052762</v>
      </c>
      <c r="R46" s="184">
        <v>521.38354769033094</v>
      </c>
      <c r="S46" s="189">
        <v>39800.138297807738</v>
      </c>
      <c r="T46" s="189"/>
      <c r="U46" s="189">
        <v>1301.2622358208077</v>
      </c>
    </row>
    <row r="47" spans="1:21" x14ac:dyDescent="0.2">
      <c r="A47" s="153">
        <v>2004</v>
      </c>
      <c r="B47" s="153">
        <v>10</v>
      </c>
      <c r="C47" s="153" t="str">
        <f t="shared" si="1"/>
        <v>200410</v>
      </c>
      <c r="D47" s="153" t="str">
        <f t="shared" si="7"/>
        <v>Q4</v>
      </c>
      <c r="E47" s="153" t="e">
        <f t="shared" si="8"/>
        <v>#N/A</v>
      </c>
      <c r="F47" s="153" t="e">
        <f t="shared" si="8"/>
        <v>#N/A</v>
      </c>
      <c r="G47" s="153">
        <f t="shared" si="8"/>
        <v>37306.699921138053</v>
      </c>
      <c r="H47" s="153">
        <f t="shared" si="8"/>
        <v>1213.4390000000001</v>
      </c>
      <c r="I47" s="153">
        <f t="shared" si="8"/>
        <v>488.20669794066737</v>
      </c>
      <c r="J47" s="179" t="e">
        <f t="shared" si="6"/>
        <v>#N/A</v>
      </c>
      <c r="K47" s="290">
        <f t="shared" si="3"/>
        <v>2.485502565037466</v>
      </c>
      <c r="M47" s="153">
        <f t="shared" si="4"/>
        <v>2012</v>
      </c>
      <c r="N47" s="177" t="str">
        <f t="shared" si="5"/>
        <v>Q2</v>
      </c>
      <c r="O47" s="177" t="str">
        <f t="shared" si="0"/>
        <v>2012Q2</v>
      </c>
      <c r="P47" s="184">
        <v>44550.767626808694</v>
      </c>
      <c r="Q47" s="184">
        <v>44291.494550008676</v>
      </c>
      <c r="R47" s="184">
        <v>522.68128010355463</v>
      </c>
      <c r="S47" s="189">
        <v>39988.352967991457</v>
      </c>
      <c r="T47" s="189"/>
      <c r="U47" s="189">
        <v>1303.5421567571614</v>
      </c>
    </row>
    <row r="48" spans="1:21" x14ac:dyDescent="0.2">
      <c r="A48" s="153">
        <v>2004</v>
      </c>
      <c r="B48" s="153">
        <v>11</v>
      </c>
      <c r="C48" s="153" t="str">
        <f t="shared" si="1"/>
        <v>200411</v>
      </c>
      <c r="D48" s="153" t="str">
        <f t="shared" si="7"/>
        <v>Q4</v>
      </c>
      <c r="E48" s="153" t="e">
        <f t="shared" si="8"/>
        <v>#N/A</v>
      </c>
      <c r="F48" s="153" t="e">
        <f t="shared" si="8"/>
        <v>#N/A</v>
      </c>
      <c r="G48" s="153">
        <f t="shared" si="8"/>
        <v>37306.699921138053</v>
      </c>
      <c r="H48" s="153">
        <f t="shared" si="8"/>
        <v>1213.4390000000001</v>
      </c>
      <c r="I48" s="153">
        <f t="shared" si="8"/>
        <v>488.20669794066737</v>
      </c>
      <c r="J48" s="179" t="e">
        <f t="shared" si="6"/>
        <v>#N/A</v>
      </c>
      <c r="K48" s="290">
        <f t="shared" si="3"/>
        <v>2.485502565037466</v>
      </c>
      <c r="M48" s="153">
        <f t="shared" si="4"/>
        <v>2012</v>
      </c>
      <c r="N48" s="177" t="str">
        <f t="shared" si="5"/>
        <v>Q3</v>
      </c>
      <c r="O48" s="177" t="str">
        <f t="shared" si="0"/>
        <v>2012Q3</v>
      </c>
      <c r="P48" s="184">
        <v>44866.258682791449</v>
      </c>
      <c r="Q48" s="184">
        <v>44576.237095416494</v>
      </c>
      <c r="R48" s="184">
        <v>523.88455449326602</v>
      </c>
      <c r="S48" s="189">
        <v>40189.459532165798</v>
      </c>
      <c r="T48" s="189"/>
      <c r="U48" s="189">
        <v>1305.7954720858047</v>
      </c>
    </row>
    <row r="49" spans="1:21" x14ac:dyDescent="0.2">
      <c r="A49" s="153">
        <v>2004</v>
      </c>
      <c r="B49" s="153">
        <v>12</v>
      </c>
      <c r="C49" s="153" t="str">
        <f t="shared" si="1"/>
        <v>200412</v>
      </c>
      <c r="D49" s="153" t="str">
        <f t="shared" si="7"/>
        <v>Q4</v>
      </c>
      <c r="E49" s="153" t="e">
        <f t="shared" si="8"/>
        <v>#N/A</v>
      </c>
      <c r="F49" s="153" t="e">
        <f t="shared" si="8"/>
        <v>#N/A</v>
      </c>
      <c r="G49" s="153">
        <f t="shared" si="8"/>
        <v>37306.699921138053</v>
      </c>
      <c r="H49" s="153">
        <f t="shared" si="8"/>
        <v>1213.4390000000001</v>
      </c>
      <c r="I49" s="153">
        <f t="shared" si="8"/>
        <v>488.20669794066737</v>
      </c>
      <c r="J49" s="179" t="e">
        <f t="shared" si="6"/>
        <v>#N/A</v>
      </c>
      <c r="K49" s="290">
        <f t="shared" si="3"/>
        <v>2.485502565037466</v>
      </c>
      <c r="M49" s="153">
        <f t="shared" si="4"/>
        <v>2012</v>
      </c>
      <c r="N49" s="177" t="str">
        <f t="shared" si="5"/>
        <v>Q4</v>
      </c>
      <c r="O49" s="177" t="str">
        <f t="shared" si="0"/>
        <v>2012Q4</v>
      </c>
      <c r="P49" s="184">
        <v>45216.086277613547</v>
      </c>
      <c r="Q49" s="184">
        <v>44928.76904195283</v>
      </c>
      <c r="R49" s="184">
        <v>525.08573646106072</v>
      </c>
      <c r="S49" s="189">
        <v>40421.283791564252</v>
      </c>
      <c r="T49" s="189"/>
      <c r="U49" s="189">
        <v>1308.0223962775731</v>
      </c>
    </row>
    <row r="50" spans="1:21" x14ac:dyDescent="0.2">
      <c r="A50" s="153">
        <v>2005</v>
      </c>
      <c r="B50" s="153">
        <v>1</v>
      </c>
      <c r="C50" s="153" t="str">
        <f t="shared" si="1"/>
        <v>20051</v>
      </c>
      <c r="D50" s="153" t="str">
        <f t="shared" si="7"/>
        <v>Q1</v>
      </c>
      <c r="E50" s="153" t="e">
        <f t="shared" si="8"/>
        <v>#N/A</v>
      </c>
      <c r="F50" s="153" t="e">
        <f t="shared" si="8"/>
        <v>#N/A</v>
      </c>
      <c r="G50" s="153">
        <f t="shared" si="8"/>
        <v>36497.743140651095</v>
      </c>
      <c r="H50" s="153">
        <f t="shared" si="8"/>
        <v>1216.2375</v>
      </c>
      <c r="I50" s="153">
        <f t="shared" si="8"/>
        <v>489.66806935047487</v>
      </c>
      <c r="J50" s="179" t="e">
        <f t="shared" si="6"/>
        <v>#N/A</v>
      </c>
      <c r="K50" s="290">
        <f t="shared" si="3"/>
        <v>2.4837998965570502</v>
      </c>
      <c r="M50" s="153">
        <f t="shared" si="4"/>
        <v>2013</v>
      </c>
      <c r="N50" s="177" t="str">
        <f t="shared" si="5"/>
        <v>Q1</v>
      </c>
      <c r="O50" s="177" t="str">
        <f>M50&amp;N50</f>
        <v>2013Q1</v>
      </c>
      <c r="P50" s="184">
        <v>45376.772191036856</v>
      </c>
      <c r="Q50" s="184">
        <v>45093.467886152204</v>
      </c>
      <c r="R50" s="184">
        <v>526.252817024004</v>
      </c>
      <c r="S50" s="189">
        <v>40466.045989246653</v>
      </c>
      <c r="T50" s="189"/>
      <c r="U50" s="189">
        <v>1310.232370241386</v>
      </c>
    </row>
    <row r="51" spans="1:21" x14ac:dyDescent="0.2">
      <c r="A51" s="153">
        <v>2005</v>
      </c>
      <c r="B51" s="153">
        <v>2</v>
      </c>
      <c r="C51" s="153" t="str">
        <f t="shared" si="1"/>
        <v>20052</v>
      </c>
      <c r="D51" s="153" t="str">
        <f t="shared" si="7"/>
        <v>Q1</v>
      </c>
      <c r="E51" s="153" t="e">
        <f t="shared" si="8"/>
        <v>#N/A</v>
      </c>
      <c r="F51" s="153" t="e">
        <f t="shared" si="8"/>
        <v>#N/A</v>
      </c>
      <c r="G51" s="153">
        <f t="shared" si="8"/>
        <v>36497.743140651095</v>
      </c>
      <c r="H51" s="153">
        <f t="shared" si="8"/>
        <v>1216.2375</v>
      </c>
      <c r="I51" s="153">
        <f t="shared" si="8"/>
        <v>489.66806935047487</v>
      </c>
      <c r="J51" s="179" t="e">
        <f t="shared" si="6"/>
        <v>#N/A</v>
      </c>
      <c r="K51" s="290">
        <f t="shared" si="3"/>
        <v>2.4837998965570502</v>
      </c>
      <c r="M51" s="153">
        <f t="shared" si="4"/>
        <v>2013</v>
      </c>
      <c r="N51" s="177" t="str">
        <f t="shared" si="5"/>
        <v>Q2</v>
      </c>
      <c r="O51" s="177" t="str">
        <f t="shared" ref="O51:O114" si="9">M51&amp;N51</f>
        <v>2013Q2</v>
      </c>
      <c r="P51" s="184">
        <v>45714.640476036977</v>
      </c>
      <c r="Q51" s="184">
        <v>45404.999945489988</v>
      </c>
      <c r="R51" s="184">
        <v>527.46911783491646</v>
      </c>
      <c r="S51" s="189">
        <v>40674.221991986815</v>
      </c>
      <c r="T51" s="189"/>
      <c r="U51" s="189">
        <v>1312.4721746129399</v>
      </c>
    </row>
    <row r="52" spans="1:21" x14ac:dyDescent="0.2">
      <c r="A52" s="153">
        <v>2005</v>
      </c>
      <c r="B52" s="153">
        <v>3</v>
      </c>
      <c r="C52" s="153" t="str">
        <f t="shared" si="1"/>
        <v>20053</v>
      </c>
      <c r="D52" s="153" t="str">
        <f t="shared" si="7"/>
        <v>Q1</v>
      </c>
      <c r="E52" s="153" t="e">
        <f t="shared" si="8"/>
        <v>#N/A</v>
      </c>
      <c r="F52" s="153" t="e">
        <f t="shared" si="8"/>
        <v>#N/A</v>
      </c>
      <c r="G52" s="153">
        <f t="shared" si="8"/>
        <v>36497.743140651095</v>
      </c>
      <c r="H52" s="153">
        <f t="shared" si="8"/>
        <v>1216.2375</v>
      </c>
      <c r="I52" s="153">
        <f t="shared" si="8"/>
        <v>489.66806935047487</v>
      </c>
      <c r="J52" s="179" t="e">
        <f t="shared" si="6"/>
        <v>#N/A</v>
      </c>
      <c r="K52" s="290">
        <f t="shared" si="3"/>
        <v>2.4837998965570502</v>
      </c>
      <c r="M52" s="153">
        <f t="shared" si="4"/>
        <v>2013</v>
      </c>
      <c r="N52" s="177" t="str">
        <f t="shared" si="5"/>
        <v>Q3</v>
      </c>
      <c r="O52" s="177" t="str">
        <f t="shared" si="9"/>
        <v>2013Q3</v>
      </c>
      <c r="P52" s="184">
        <v>45966.30346431151</v>
      </c>
      <c r="Q52" s="184">
        <v>45649.521247824974</v>
      </c>
      <c r="R52" s="184">
        <v>528.58111988898156</v>
      </c>
      <c r="S52" s="189">
        <v>40887.017192114734</v>
      </c>
      <c r="T52" s="189"/>
      <c r="U52" s="189">
        <v>1314.6929069541804</v>
      </c>
    </row>
    <row r="53" spans="1:21" x14ac:dyDescent="0.2">
      <c r="A53" s="153">
        <v>2005</v>
      </c>
      <c r="B53" s="153">
        <v>4</v>
      </c>
      <c r="C53" s="153" t="str">
        <f t="shared" si="1"/>
        <v>20054</v>
      </c>
      <c r="D53" s="153" t="str">
        <f t="shared" si="7"/>
        <v>Q2</v>
      </c>
      <c r="E53" s="153" t="e">
        <f t="shared" si="8"/>
        <v>#N/A</v>
      </c>
      <c r="F53" s="153" t="e">
        <f t="shared" si="8"/>
        <v>#N/A</v>
      </c>
      <c r="G53" s="153">
        <f t="shared" si="8"/>
        <v>36925.598833112439</v>
      </c>
      <c r="H53" s="153">
        <f t="shared" si="8"/>
        <v>1219.0360000000001</v>
      </c>
      <c r="I53" s="153">
        <f t="shared" si="8"/>
        <v>491.13393082732341</v>
      </c>
      <c r="J53" s="179" t="e">
        <f t="shared" si="6"/>
        <v>#N/A</v>
      </c>
      <c r="K53" s="290">
        <f t="shared" si="3"/>
        <v>2.4820846687308151</v>
      </c>
      <c r="M53" s="153">
        <f t="shared" si="4"/>
        <v>2013</v>
      </c>
      <c r="N53" s="177" t="str">
        <f t="shared" si="5"/>
        <v>Q4</v>
      </c>
      <c r="O53" s="177" t="str">
        <f t="shared" si="9"/>
        <v>2013Q4</v>
      </c>
      <c r="P53" s="184">
        <v>46209.347254077751</v>
      </c>
      <c r="Q53" s="184">
        <v>45873.258909905497</v>
      </c>
      <c r="R53" s="184">
        <v>529.78591162438261</v>
      </c>
      <c r="S53" s="189">
        <v>41128.895775846191</v>
      </c>
      <c r="T53" s="189"/>
      <c r="U53" s="189">
        <v>1316.7863350402588</v>
      </c>
    </row>
    <row r="54" spans="1:21" x14ac:dyDescent="0.2">
      <c r="A54" s="153">
        <v>2005</v>
      </c>
      <c r="B54" s="153">
        <v>5</v>
      </c>
      <c r="C54" s="153" t="str">
        <f t="shared" si="1"/>
        <v>20055</v>
      </c>
      <c r="D54" s="153" t="str">
        <f t="shared" si="7"/>
        <v>Q2</v>
      </c>
      <c r="E54" s="153" t="e">
        <f t="shared" si="8"/>
        <v>#N/A</v>
      </c>
      <c r="F54" s="153" t="e">
        <f t="shared" si="8"/>
        <v>#N/A</v>
      </c>
      <c r="G54" s="153">
        <f t="shared" si="8"/>
        <v>36925.598833112439</v>
      </c>
      <c r="H54" s="153">
        <f t="shared" si="8"/>
        <v>1219.0360000000001</v>
      </c>
      <c r="I54" s="153">
        <f t="shared" si="8"/>
        <v>491.13393082732341</v>
      </c>
      <c r="J54" s="179" t="e">
        <f t="shared" si="6"/>
        <v>#N/A</v>
      </c>
      <c r="K54" s="290">
        <f t="shared" si="3"/>
        <v>2.4820846687308151</v>
      </c>
      <c r="M54" s="153">
        <f t="shared" si="4"/>
        <v>2014</v>
      </c>
      <c r="N54" s="177" t="str">
        <f t="shared" si="5"/>
        <v>Q1</v>
      </c>
      <c r="O54" s="177" t="str">
        <f t="shared" si="9"/>
        <v>2014Q1</v>
      </c>
      <c r="P54" s="184">
        <v>46705.29407392587</v>
      </c>
      <c r="Q54" s="184">
        <v>46369.668210020063</v>
      </c>
      <c r="R54" s="184">
        <v>531.03270027044414</v>
      </c>
      <c r="S54" s="189">
        <v>41502.915812465311</v>
      </c>
      <c r="T54" s="189"/>
      <c r="U54" s="189">
        <v>1319.1344237950432</v>
      </c>
    </row>
    <row r="55" spans="1:21" x14ac:dyDescent="0.2">
      <c r="A55" s="153">
        <v>2005</v>
      </c>
      <c r="B55" s="153">
        <v>6</v>
      </c>
      <c r="C55" s="153" t="str">
        <f t="shared" si="1"/>
        <v>20056</v>
      </c>
      <c r="D55" s="153" t="str">
        <f t="shared" si="7"/>
        <v>Q2</v>
      </c>
      <c r="E55" s="153" t="e">
        <f t="shared" si="8"/>
        <v>#N/A</v>
      </c>
      <c r="F55" s="153" t="e">
        <f t="shared" si="8"/>
        <v>#N/A</v>
      </c>
      <c r="G55" s="153">
        <f t="shared" si="8"/>
        <v>36925.598833112439</v>
      </c>
      <c r="H55" s="153">
        <f t="shared" si="8"/>
        <v>1219.0360000000001</v>
      </c>
      <c r="I55" s="153">
        <f t="shared" si="8"/>
        <v>491.13393082732341</v>
      </c>
      <c r="J55" s="179" t="e">
        <f t="shared" si="6"/>
        <v>#N/A</v>
      </c>
      <c r="K55" s="290">
        <f t="shared" si="3"/>
        <v>2.4820846687308151</v>
      </c>
      <c r="M55" s="153">
        <f t="shared" si="4"/>
        <v>2014</v>
      </c>
      <c r="N55" s="177" t="str">
        <f t="shared" si="5"/>
        <v>Q2</v>
      </c>
      <c r="O55" s="177" t="str">
        <f t="shared" si="9"/>
        <v>2014Q2</v>
      </c>
      <c r="P55" s="184">
        <v>47013.881094000833</v>
      </c>
      <c r="Q55" s="184">
        <v>46687.643531691268</v>
      </c>
      <c r="R55" s="184">
        <v>532.54376996015947</v>
      </c>
      <c r="S55" s="189">
        <v>41808.34126836736</v>
      </c>
      <c r="T55" s="189"/>
      <c r="U55" s="189">
        <v>1322.1544157462699</v>
      </c>
    </row>
    <row r="56" spans="1:21" x14ac:dyDescent="0.2">
      <c r="A56" s="153">
        <v>2005</v>
      </c>
      <c r="B56" s="153">
        <v>7</v>
      </c>
      <c r="C56" s="153" t="str">
        <f t="shared" si="1"/>
        <v>20057</v>
      </c>
      <c r="D56" s="153" t="str">
        <f t="shared" si="7"/>
        <v>Q3</v>
      </c>
      <c r="E56" s="153" t="e">
        <f t="shared" si="8"/>
        <v>#N/A</v>
      </c>
      <c r="F56" s="153" t="e">
        <f t="shared" si="8"/>
        <v>#N/A</v>
      </c>
      <c r="G56" s="153">
        <f t="shared" si="8"/>
        <v>37050.927192459436</v>
      </c>
      <c r="H56" s="153">
        <f t="shared" si="8"/>
        <v>1222.7842499999997</v>
      </c>
      <c r="I56" s="153">
        <f t="shared" si="8"/>
        <v>491.92143505393528</v>
      </c>
      <c r="J56" s="179" t="e">
        <f t="shared" si="6"/>
        <v>#N/A</v>
      </c>
      <c r="K56" s="290">
        <f t="shared" si="3"/>
        <v>2.4857307750086783</v>
      </c>
      <c r="M56" s="153">
        <f t="shared" si="4"/>
        <v>2014</v>
      </c>
      <c r="N56" s="177" t="str">
        <f t="shared" si="5"/>
        <v>Q3</v>
      </c>
      <c r="O56" s="177" t="str">
        <f t="shared" si="9"/>
        <v>2014Q3</v>
      </c>
      <c r="P56" s="184">
        <v>47346.271744160622</v>
      </c>
      <c r="Q56" s="184">
        <v>47034.549595197212</v>
      </c>
      <c r="R56" s="184">
        <v>534.10465824892049</v>
      </c>
      <c r="S56" s="189">
        <v>42112.64484379522</v>
      </c>
      <c r="T56" s="189"/>
      <c r="U56" s="189">
        <v>1325.1874417068095</v>
      </c>
    </row>
    <row r="57" spans="1:21" x14ac:dyDescent="0.2">
      <c r="A57" s="153">
        <v>2005</v>
      </c>
      <c r="B57" s="153">
        <v>8</v>
      </c>
      <c r="C57" s="153" t="str">
        <f t="shared" si="1"/>
        <v>20058</v>
      </c>
      <c r="D57" s="153" t="str">
        <f t="shared" si="7"/>
        <v>Q3</v>
      </c>
      <c r="E57" s="153" t="e">
        <f t="shared" si="8"/>
        <v>#N/A</v>
      </c>
      <c r="F57" s="153" t="e">
        <f t="shared" si="8"/>
        <v>#N/A</v>
      </c>
      <c r="G57" s="153">
        <f t="shared" si="8"/>
        <v>37050.927192459436</v>
      </c>
      <c r="H57" s="153">
        <f t="shared" si="8"/>
        <v>1222.7842499999997</v>
      </c>
      <c r="I57" s="153">
        <f t="shared" si="8"/>
        <v>491.92143505393528</v>
      </c>
      <c r="J57" s="179" t="e">
        <f t="shared" si="6"/>
        <v>#N/A</v>
      </c>
      <c r="K57" s="290">
        <f t="shared" si="3"/>
        <v>2.4857307750086783</v>
      </c>
      <c r="M57" s="153">
        <f t="shared" si="4"/>
        <v>2014</v>
      </c>
      <c r="N57" s="177" t="str">
        <f t="shared" si="5"/>
        <v>Q4</v>
      </c>
      <c r="O57" s="177" t="str">
        <f t="shared" si="9"/>
        <v>2014Q4</v>
      </c>
      <c r="P57" s="184">
        <v>47702.338802235281</v>
      </c>
      <c r="Q57" s="184">
        <v>47431.35780517594</v>
      </c>
      <c r="R57" s="184">
        <v>535.59836197161826</v>
      </c>
      <c r="S57" s="189">
        <v>42435.52573788313</v>
      </c>
      <c r="T57" s="189"/>
      <c r="U57" s="189">
        <v>1328.117775673174</v>
      </c>
    </row>
    <row r="58" spans="1:21" x14ac:dyDescent="0.2">
      <c r="A58" s="153">
        <v>2005</v>
      </c>
      <c r="B58" s="153">
        <v>9</v>
      </c>
      <c r="C58" s="153" t="str">
        <f t="shared" si="1"/>
        <v>20059</v>
      </c>
      <c r="D58" s="153" t="str">
        <f t="shared" si="7"/>
        <v>Q3</v>
      </c>
      <c r="E58" s="153" t="e">
        <f t="shared" si="8"/>
        <v>#N/A</v>
      </c>
      <c r="F58" s="153" t="e">
        <f t="shared" si="8"/>
        <v>#N/A</v>
      </c>
      <c r="G58" s="153">
        <f t="shared" si="8"/>
        <v>37050.927192459436</v>
      </c>
      <c r="H58" s="153">
        <f t="shared" si="8"/>
        <v>1222.7842499999997</v>
      </c>
      <c r="I58" s="153">
        <f t="shared" si="8"/>
        <v>491.92143505393528</v>
      </c>
      <c r="J58" s="179" t="e">
        <f t="shared" si="6"/>
        <v>#N/A</v>
      </c>
      <c r="K58" s="290">
        <f t="shared" si="3"/>
        <v>2.4857307750086783</v>
      </c>
      <c r="M58" s="153">
        <f t="shared" si="4"/>
        <v>2015</v>
      </c>
      <c r="N58" s="177" t="str">
        <f t="shared" si="5"/>
        <v>Q1</v>
      </c>
      <c r="O58" s="177" t="str">
        <f t="shared" si="9"/>
        <v>2015Q1</v>
      </c>
      <c r="P58" s="184">
        <v>48074.236249002395</v>
      </c>
      <c r="Q58" s="184">
        <v>47826.294429794121</v>
      </c>
      <c r="R58" s="184">
        <v>536.81513705564737</v>
      </c>
      <c r="S58" s="189">
        <v>42650.097953529214</v>
      </c>
      <c r="T58" s="189"/>
      <c r="U58" s="189">
        <v>1330.506967929585</v>
      </c>
    </row>
    <row r="59" spans="1:21" x14ac:dyDescent="0.2">
      <c r="A59" s="153">
        <v>2005</v>
      </c>
      <c r="B59" s="153">
        <v>10</v>
      </c>
      <c r="C59" s="153" t="str">
        <f t="shared" si="1"/>
        <v>200510</v>
      </c>
      <c r="D59" s="153" t="str">
        <f t="shared" si="7"/>
        <v>Q4</v>
      </c>
      <c r="E59" s="153" t="e">
        <f t="shared" si="8"/>
        <v>#N/A</v>
      </c>
      <c r="F59" s="153" t="e">
        <f t="shared" si="8"/>
        <v>#N/A</v>
      </c>
      <c r="G59" s="153">
        <f t="shared" si="8"/>
        <v>37214.08364461326</v>
      </c>
      <c r="H59" s="153">
        <f t="shared" si="8"/>
        <v>1226.5325</v>
      </c>
      <c r="I59" s="153">
        <f t="shared" si="8"/>
        <v>492.70998243133829</v>
      </c>
      <c r="J59" s="179" t="e">
        <f t="shared" si="6"/>
        <v>#N/A</v>
      </c>
      <c r="K59" s="290">
        <f t="shared" si="3"/>
        <v>2.4893599556224206</v>
      </c>
      <c r="M59" s="153">
        <f t="shared" si="4"/>
        <v>2015</v>
      </c>
      <c r="N59" s="177" t="str">
        <f t="shared" si="5"/>
        <v>Q2</v>
      </c>
      <c r="O59" s="177" t="str">
        <f t="shared" si="9"/>
        <v>2015Q2</v>
      </c>
      <c r="P59" s="184">
        <v>48312.169389749288</v>
      </c>
      <c r="Q59" s="184">
        <v>48083.242187183117</v>
      </c>
      <c r="R59" s="184">
        <v>538.34763078032279</v>
      </c>
      <c r="S59" s="189">
        <v>42880.981284829548</v>
      </c>
      <c r="T59" s="189"/>
      <c r="U59" s="189">
        <v>1333.5727376408956</v>
      </c>
    </row>
    <row r="60" spans="1:21" x14ac:dyDescent="0.2">
      <c r="A60" s="153">
        <v>2005</v>
      </c>
      <c r="B60" s="153">
        <v>11</v>
      </c>
      <c r="C60" s="153" t="str">
        <f t="shared" si="1"/>
        <v>200511</v>
      </c>
      <c r="D60" s="153" t="str">
        <f t="shared" si="7"/>
        <v>Q4</v>
      </c>
      <c r="E60" s="153" t="e">
        <f t="shared" si="8"/>
        <v>#N/A</v>
      </c>
      <c r="F60" s="153" t="e">
        <f t="shared" si="8"/>
        <v>#N/A</v>
      </c>
      <c r="G60" s="153">
        <f t="shared" si="8"/>
        <v>37214.08364461326</v>
      </c>
      <c r="H60" s="153">
        <f t="shared" si="8"/>
        <v>1226.5325</v>
      </c>
      <c r="I60" s="153">
        <f t="shared" si="8"/>
        <v>492.70998243133829</v>
      </c>
      <c r="J60" s="179" t="e">
        <f t="shared" si="6"/>
        <v>#N/A</v>
      </c>
      <c r="K60" s="290">
        <f t="shared" si="3"/>
        <v>2.4893599556224206</v>
      </c>
      <c r="M60" s="153">
        <f t="shared" si="4"/>
        <v>2015</v>
      </c>
      <c r="N60" s="177" t="str">
        <f t="shared" si="5"/>
        <v>Q3</v>
      </c>
      <c r="O60" s="177" t="str">
        <f t="shared" si="9"/>
        <v>2015Q3</v>
      </c>
      <c r="P60" s="184">
        <v>48619.69369390588</v>
      </c>
      <c r="Q60" s="184">
        <v>48418.066459149137</v>
      </c>
      <c r="R60" s="184">
        <v>539.84449205444912</v>
      </c>
      <c r="S60" s="189">
        <v>43176.797187660617</v>
      </c>
      <c r="T60" s="189"/>
      <c r="U60" s="189">
        <v>1336.6816431664213</v>
      </c>
    </row>
    <row r="61" spans="1:21" x14ac:dyDescent="0.2">
      <c r="A61" s="153">
        <v>2005</v>
      </c>
      <c r="B61" s="153">
        <v>12</v>
      </c>
      <c r="C61" s="153" t="str">
        <f t="shared" si="1"/>
        <v>200512</v>
      </c>
      <c r="D61" s="153" t="str">
        <f t="shared" si="7"/>
        <v>Q4</v>
      </c>
      <c r="E61" s="153" t="e">
        <f t="shared" si="8"/>
        <v>#N/A</v>
      </c>
      <c r="F61" s="153" t="e">
        <f t="shared" si="8"/>
        <v>#N/A</v>
      </c>
      <c r="G61" s="153">
        <f t="shared" si="8"/>
        <v>37214.08364461326</v>
      </c>
      <c r="H61" s="153">
        <f t="shared" si="8"/>
        <v>1226.5325</v>
      </c>
      <c r="I61" s="153">
        <f t="shared" si="8"/>
        <v>492.70998243133829</v>
      </c>
      <c r="J61" s="179" t="e">
        <f t="shared" si="6"/>
        <v>#N/A</v>
      </c>
      <c r="K61" s="290">
        <f t="shared" si="3"/>
        <v>2.4893599556224206</v>
      </c>
      <c r="M61" s="153">
        <f t="shared" si="4"/>
        <v>2015</v>
      </c>
      <c r="N61" s="177" t="str">
        <f t="shared" si="5"/>
        <v>Q4</v>
      </c>
      <c r="O61" s="177" t="str">
        <f t="shared" si="9"/>
        <v>2015Q4</v>
      </c>
      <c r="P61" s="184">
        <v>48907.000684689374</v>
      </c>
      <c r="Q61" s="184">
        <v>48748.317465894957</v>
      </c>
      <c r="R61" s="184">
        <v>541.07507287670956</v>
      </c>
      <c r="S61" s="189">
        <v>43428.863134860279</v>
      </c>
      <c r="T61" s="189"/>
      <c r="U61" s="189">
        <v>1339.1444262070083</v>
      </c>
    </row>
    <row r="62" spans="1:21" x14ac:dyDescent="0.2">
      <c r="A62" s="153">
        <v>2006</v>
      </c>
      <c r="B62" s="153">
        <v>1</v>
      </c>
      <c r="C62" s="153" t="str">
        <f t="shared" si="1"/>
        <v>20061</v>
      </c>
      <c r="D62" s="153" t="str">
        <f t="shared" si="7"/>
        <v>Q1</v>
      </c>
      <c r="E62" s="153" t="e">
        <f t="shared" si="8"/>
        <v>#N/A</v>
      </c>
      <c r="F62" s="153" t="e">
        <f t="shared" si="8"/>
        <v>#N/A</v>
      </c>
      <c r="G62" s="153">
        <f t="shared" si="8"/>
        <v>38232.076121240505</v>
      </c>
      <c r="H62" s="153">
        <f t="shared" si="8"/>
        <v>1230.2807499999999</v>
      </c>
      <c r="I62" s="153">
        <f t="shared" si="8"/>
        <v>493.49957934292712</v>
      </c>
      <c r="J62" s="179" t="e">
        <f t="shared" si="6"/>
        <v>#N/A</v>
      </c>
      <c r="K62" s="290">
        <f t="shared" si="3"/>
        <v>2.4929722364466134</v>
      </c>
      <c r="M62" s="153">
        <f t="shared" si="4"/>
        <v>2016</v>
      </c>
      <c r="N62" s="177" t="str">
        <f t="shared" si="5"/>
        <v>Q1</v>
      </c>
      <c r="O62" s="177" t="str">
        <f t="shared" si="9"/>
        <v>2016Q1</v>
      </c>
      <c r="P62" s="184">
        <v>49378.354204960451</v>
      </c>
      <c r="Q62" s="184">
        <v>49246.64056676731</v>
      </c>
      <c r="R62" s="184">
        <v>542.22201950661622</v>
      </c>
      <c r="S62" s="189">
        <v>43755.370741727726</v>
      </c>
      <c r="T62" s="189"/>
      <c r="U62" s="189">
        <v>1341.4443414804639</v>
      </c>
    </row>
    <row r="63" spans="1:21" x14ac:dyDescent="0.2">
      <c r="A63" s="153">
        <v>2006</v>
      </c>
      <c r="B63" s="153">
        <v>2</v>
      </c>
      <c r="C63" s="153" t="str">
        <f t="shared" si="1"/>
        <v>20062</v>
      </c>
      <c r="D63" s="153" t="str">
        <f t="shared" si="7"/>
        <v>Q1</v>
      </c>
      <c r="E63" s="153" t="e">
        <f t="shared" si="8"/>
        <v>#N/A</v>
      </c>
      <c r="F63" s="153" t="e">
        <f t="shared" si="8"/>
        <v>#N/A</v>
      </c>
      <c r="G63" s="153">
        <f t="shared" si="8"/>
        <v>38232.076121240505</v>
      </c>
      <c r="H63" s="153">
        <f t="shared" si="8"/>
        <v>1230.2807499999999</v>
      </c>
      <c r="I63" s="153">
        <f t="shared" si="8"/>
        <v>493.49957934292712</v>
      </c>
      <c r="J63" s="179" t="e">
        <f t="shared" si="6"/>
        <v>#N/A</v>
      </c>
      <c r="K63" s="290">
        <f t="shared" si="3"/>
        <v>2.4929722364466134</v>
      </c>
      <c r="M63" s="153">
        <f t="shared" si="4"/>
        <v>2016</v>
      </c>
      <c r="N63" s="177" t="str">
        <f t="shared" si="5"/>
        <v>Q2</v>
      </c>
      <c r="O63" s="177" t="str">
        <f t="shared" si="9"/>
        <v>2016Q2</v>
      </c>
      <c r="P63" s="184">
        <v>49639.207781701007</v>
      </c>
      <c r="Q63" s="184">
        <v>49533.520153494879</v>
      </c>
      <c r="R63" s="184">
        <v>543.34997317783518</v>
      </c>
      <c r="S63" s="189">
        <v>43979.682119470162</v>
      </c>
      <c r="T63" s="189"/>
      <c r="U63" s="189">
        <v>1343.8741846014057</v>
      </c>
    </row>
    <row r="64" spans="1:21" x14ac:dyDescent="0.2">
      <c r="A64" s="153">
        <v>2006</v>
      </c>
      <c r="B64" s="153">
        <v>3</v>
      </c>
      <c r="C64" s="153" t="str">
        <f t="shared" si="1"/>
        <v>20063</v>
      </c>
      <c r="D64" s="153" t="str">
        <f t="shared" si="7"/>
        <v>Q1</v>
      </c>
      <c r="E64" s="153" t="e">
        <f t="shared" si="8"/>
        <v>#N/A</v>
      </c>
      <c r="F64" s="153" t="e">
        <f t="shared" si="8"/>
        <v>#N/A</v>
      </c>
      <c r="G64" s="153">
        <f t="shared" si="8"/>
        <v>38232.076121240505</v>
      </c>
      <c r="H64" s="153">
        <f t="shared" si="8"/>
        <v>1230.2807499999999</v>
      </c>
      <c r="I64" s="153">
        <f t="shared" si="8"/>
        <v>493.49957934292712</v>
      </c>
      <c r="J64" s="179" t="e">
        <f t="shared" si="6"/>
        <v>#N/A</v>
      </c>
      <c r="K64" s="290">
        <f t="shared" si="3"/>
        <v>2.4929722364466134</v>
      </c>
      <c r="M64" s="153">
        <f t="shared" si="4"/>
        <v>2016</v>
      </c>
      <c r="N64" s="177" t="str">
        <f t="shared" si="5"/>
        <v>Q3</v>
      </c>
      <c r="O64" s="177" t="str">
        <f t="shared" si="9"/>
        <v>2016Q3</v>
      </c>
      <c r="P64" s="184">
        <v>49844.700231059542</v>
      </c>
      <c r="Q64" s="184">
        <v>49763.955703525135</v>
      </c>
      <c r="R64" s="184">
        <v>544.4596023485401</v>
      </c>
      <c r="S64" s="189">
        <v>44190.115651236883</v>
      </c>
      <c r="T64" s="189"/>
      <c r="U64" s="189">
        <v>1346.2968769740344</v>
      </c>
    </row>
    <row r="65" spans="1:21" x14ac:dyDescent="0.2">
      <c r="A65" s="153">
        <v>2006</v>
      </c>
      <c r="B65" s="153">
        <v>4</v>
      </c>
      <c r="C65" s="153" t="str">
        <f t="shared" si="1"/>
        <v>20064</v>
      </c>
      <c r="D65" s="153" t="str">
        <f t="shared" si="7"/>
        <v>Q2</v>
      </c>
      <c r="E65" s="153" t="e">
        <f t="shared" si="8"/>
        <v>#N/A</v>
      </c>
      <c r="F65" s="153" t="e">
        <f t="shared" si="8"/>
        <v>#N/A</v>
      </c>
      <c r="G65" s="153">
        <f t="shared" si="8"/>
        <v>38551.986971371545</v>
      </c>
      <c r="H65" s="153">
        <f t="shared" si="8"/>
        <v>1234.029</v>
      </c>
      <c r="I65" s="153">
        <f t="shared" si="8"/>
        <v>494.29023214036977</v>
      </c>
      <c r="J65" s="179" t="e">
        <f t="shared" si="6"/>
        <v>#N/A</v>
      </c>
      <c r="K65" s="290">
        <f t="shared" si="3"/>
        <v>2.4965676433791177</v>
      </c>
      <c r="M65" s="153">
        <f t="shared" si="4"/>
        <v>2016</v>
      </c>
      <c r="N65" s="177" t="str">
        <f t="shared" si="5"/>
        <v>Q4</v>
      </c>
      <c r="O65" s="177" t="str">
        <f t="shared" si="9"/>
        <v>2016Q4</v>
      </c>
      <c r="P65" s="184">
        <v>50159.537156129816</v>
      </c>
      <c r="Q65" s="184">
        <v>50086.125131294684</v>
      </c>
      <c r="R65" s="184">
        <v>545.99926713612615</v>
      </c>
      <c r="S65" s="189">
        <v>44479.131361056192</v>
      </c>
      <c r="T65" s="189"/>
      <c r="U65" s="189">
        <v>1349.8101770103867</v>
      </c>
    </row>
    <row r="66" spans="1:21" x14ac:dyDescent="0.2">
      <c r="A66" s="153">
        <v>2006</v>
      </c>
      <c r="B66" s="153">
        <v>5</v>
      </c>
      <c r="C66" s="153" t="str">
        <f t="shared" si="1"/>
        <v>20065</v>
      </c>
      <c r="D66" s="153" t="str">
        <f t="shared" si="7"/>
        <v>Q2</v>
      </c>
      <c r="E66" s="153" t="e">
        <f t="shared" si="8"/>
        <v>#N/A</v>
      </c>
      <c r="F66" s="153" t="e">
        <f t="shared" si="8"/>
        <v>#N/A</v>
      </c>
      <c r="G66" s="153">
        <f t="shared" si="8"/>
        <v>38551.986971371545</v>
      </c>
      <c r="H66" s="153">
        <f t="shared" si="8"/>
        <v>1234.029</v>
      </c>
      <c r="I66" s="153">
        <f t="shared" si="8"/>
        <v>494.29023214036977</v>
      </c>
      <c r="J66" s="179" t="e">
        <f t="shared" si="6"/>
        <v>#N/A</v>
      </c>
      <c r="K66" s="290">
        <f t="shared" si="3"/>
        <v>2.4965676433791177</v>
      </c>
      <c r="M66" s="153">
        <f t="shared" si="4"/>
        <v>2017</v>
      </c>
      <c r="N66" s="177" t="str">
        <f t="shared" si="5"/>
        <v>Q1</v>
      </c>
      <c r="O66" s="177" t="str">
        <f t="shared" si="9"/>
        <v>2017Q1</v>
      </c>
      <c r="P66" s="184">
        <v>50368.026178079468</v>
      </c>
      <c r="Q66" s="184">
        <v>50324.640196941604</v>
      </c>
      <c r="R66" s="184">
        <v>546.70379626038107</v>
      </c>
      <c r="S66" s="189">
        <v>44591.826055215206</v>
      </c>
      <c r="T66" s="189"/>
      <c r="U66" s="189">
        <v>1352.2535727541979</v>
      </c>
    </row>
    <row r="67" spans="1:21" x14ac:dyDescent="0.2">
      <c r="A67" s="153">
        <v>2006</v>
      </c>
      <c r="B67" s="153">
        <v>6</v>
      </c>
      <c r="C67" s="153" t="str">
        <f t="shared" ref="C67:C130" si="10">A67&amp;B67</f>
        <v>20066</v>
      </c>
      <c r="D67" s="153" t="str">
        <f t="shared" si="7"/>
        <v>Q2</v>
      </c>
      <c r="E67" s="153" t="e">
        <f t="shared" ref="E67:I98" si="11">VLOOKUP($A67&amp;$D67,$O$1:$U$169,MATCH(E$1,$O$1:$U$1,0),0)</f>
        <v>#N/A</v>
      </c>
      <c r="F67" s="153" t="e">
        <f t="shared" si="11"/>
        <v>#N/A</v>
      </c>
      <c r="G67" s="153">
        <f t="shared" si="11"/>
        <v>38551.986971371545</v>
      </c>
      <c r="H67" s="153">
        <f t="shared" si="11"/>
        <v>1234.029</v>
      </c>
      <c r="I67" s="153">
        <f t="shared" si="11"/>
        <v>494.29023214036977</v>
      </c>
      <c r="J67" s="179" t="e">
        <f t="shared" si="6"/>
        <v>#N/A</v>
      </c>
      <c r="K67" s="290">
        <f t="shared" ref="K67:K130" si="12">H67/I67</f>
        <v>2.4965676433791177</v>
      </c>
      <c r="M67" s="153">
        <f t="shared" si="4"/>
        <v>2017</v>
      </c>
      <c r="N67" s="177" t="str">
        <f t="shared" si="5"/>
        <v>Q2</v>
      </c>
      <c r="O67" s="177" t="str">
        <f t="shared" si="9"/>
        <v>2017Q2</v>
      </c>
      <c r="P67" s="184">
        <v>50719.748760711722</v>
      </c>
      <c r="Q67" s="184">
        <v>50729.069809249559</v>
      </c>
      <c r="R67" s="184">
        <v>547.82118724552993</v>
      </c>
      <c r="S67" s="189">
        <v>44904.574224823955</v>
      </c>
      <c r="T67" s="189"/>
      <c r="U67" s="189">
        <v>1355.6247603896084</v>
      </c>
    </row>
    <row r="68" spans="1:21" x14ac:dyDescent="0.2">
      <c r="A68" s="153">
        <v>2006</v>
      </c>
      <c r="B68" s="153">
        <v>7</v>
      </c>
      <c r="C68" s="153" t="str">
        <f t="shared" si="10"/>
        <v>20067</v>
      </c>
      <c r="D68" s="153" t="str">
        <f t="shared" si="7"/>
        <v>Q3</v>
      </c>
      <c r="E68" s="153" t="e">
        <f t="shared" si="11"/>
        <v>#N/A</v>
      </c>
      <c r="F68" s="153" t="e">
        <f t="shared" si="11"/>
        <v>#N/A</v>
      </c>
      <c r="G68" s="153">
        <f t="shared" si="11"/>
        <v>38698.21171607422</v>
      </c>
      <c r="H68" s="153">
        <f t="shared" si="11"/>
        <v>1237.9495000000002</v>
      </c>
      <c r="I68" s="153">
        <f t="shared" si="11"/>
        <v>494.79899603239028</v>
      </c>
      <c r="J68" s="179" t="e">
        <f t="shared" si="6"/>
        <v>#N/A</v>
      </c>
      <c r="K68" s="290">
        <f t="shared" si="12"/>
        <v>2.501924033651358</v>
      </c>
      <c r="M68" s="153">
        <f t="shared" si="4"/>
        <v>2017</v>
      </c>
      <c r="N68" s="177" t="str">
        <f t="shared" si="5"/>
        <v>Q3</v>
      </c>
      <c r="O68" s="177" t="str">
        <f t="shared" si="9"/>
        <v>2017Q3</v>
      </c>
      <c r="P68" s="184">
        <v>51038.68588553305</v>
      </c>
      <c r="Q68" s="184">
        <v>51101.651080139811</v>
      </c>
      <c r="R68" s="184">
        <v>548.51264204130632</v>
      </c>
      <c r="S68" s="189">
        <v>45194.496478629822</v>
      </c>
      <c r="T68" s="189"/>
      <c r="U68" s="189">
        <v>1358.0185639300744</v>
      </c>
    </row>
    <row r="69" spans="1:21" x14ac:dyDescent="0.2">
      <c r="A69" s="153">
        <v>2006</v>
      </c>
      <c r="B69" s="153">
        <v>8</v>
      </c>
      <c r="C69" s="153" t="str">
        <f t="shared" si="10"/>
        <v>20068</v>
      </c>
      <c r="D69" s="153" t="str">
        <f t="shared" si="7"/>
        <v>Q3</v>
      </c>
      <c r="E69" s="153" t="e">
        <f t="shared" si="11"/>
        <v>#N/A</v>
      </c>
      <c r="F69" s="153" t="e">
        <f t="shared" si="11"/>
        <v>#N/A</v>
      </c>
      <c r="G69" s="153">
        <f t="shared" si="11"/>
        <v>38698.21171607422</v>
      </c>
      <c r="H69" s="153">
        <f t="shared" si="11"/>
        <v>1237.9495000000002</v>
      </c>
      <c r="I69" s="153">
        <f t="shared" si="11"/>
        <v>494.79899603239028</v>
      </c>
      <c r="J69" s="179" t="e">
        <f t="shared" si="6"/>
        <v>#N/A</v>
      </c>
      <c r="K69" s="290">
        <f t="shared" si="12"/>
        <v>2.501924033651358</v>
      </c>
      <c r="M69" s="153">
        <f t="shared" si="4"/>
        <v>2017</v>
      </c>
      <c r="N69" s="177" t="str">
        <f t="shared" si="5"/>
        <v>Q4</v>
      </c>
      <c r="O69" s="177" t="str">
        <f t="shared" si="9"/>
        <v>2017Q4</v>
      </c>
      <c r="P69" s="184">
        <v>51319.989249768565</v>
      </c>
      <c r="Q69" s="184">
        <v>51425.403513494428</v>
      </c>
      <c r="R69" s="184">
        <v>549.48578309977268</v>
      </c>
      <c r="S69" s="189">
        <v>45448.674552537363</v>
      </c>
      <c r="T69" s="189"/>
      <c r="U69" s="189">
        <v>1361.1067204817111</v>
      </c>
    </row>
    <row r="70" spans="1:21" x14ac:dyDescent="0.2">
      <c r="A70" s="153">
        <v>2006</v>
      </c>
      <c r="B70" s="153">
        <v>9</v>
      </c>
      <c r="C70" s="153" t="str">
        <f t="shared" si="10"/>
        <v>20069</v>
      </c>
      <c r="D70" s="153" t="str">
        <f t="shared" si="7"/>
        <v>Q3</v>
      </c>
      <c r="E70" s="153" t="e">
        <f t="shared" si="11"/>
        <v>#N/A</v>
      </c>
      <c r="F70" s="153" t="e">
        <f t="shared" si="11"/>
        <v>#N/A</v>
      </c>
      <c r="G70" s="153">
        <f t="shared" si="11"/>
        <v>38698.21171607422</v>
      </c>
      <c r="H70" s="153">
        <f t="shared" si="11"/>
        <v>1237.9495000000002</v>
      </c>
      <c r="I70" s="153">
        <f t="shared" si="11"/>
        <v>494.79899603239028</v>
      </c>
      <c r="J70" s="179" t="e">
        <f t="shared" si="6"/>
        <v>#N/A</v>
      </c>
      <c r="K70" s="290">
        <f t="shared" si="12"/>
        <v>2.501924033651358</v>
      </c>
      <c r="M70" s="153">
        <f t="shared" si="4"/>
        <v>2018</v>
      </c>
      <c r="N70" s="177" t="str">
        <f t="shared" si="5"/>
        <v>Q1</v>
      </c>
      <c r="O70" s="177" t="str">
        <f t="shared" si="9"/>
        <v>2018Q1</v>
      </c>
      <c r="P70" s="184">
        <v>51716.257312554895</v>
      </c>
      <c r="Q70" s="184">
        <v>51816.590715849547</v>
      </c>
      <c r="R70" s="184">
        <v>550.78242885989221</v>
      </c>
      <c r="S70" s="189">
        <v>45721.18203228699</v>
      </c>
      <c r="T70" s="189"/>
      <c r="U70" s="189">
        <v>1364.3717319823133</v>
      </c>
    </row>
    <row r="71" spans="1:21" x14ac:dyDescent="0.2">
      <c r="A71" s="153">
        <v>2006</v>
      </c>
      <c r="B71" s="153">
        <v>10</v>
      </c>
      <c r="C71" s="153" t="str">
        <f t="shared" si="10"/>
        <v>200610</v>
      </c>
      <c r="D71" s="153" t="str">
        <f t="shared" si="7"/>
        <v>Q4</v>
      </c>
      <c r="E71" s="153" t="e">
        <f t="shared" si="11"/>
        <v>#N/A</v>
      </c>
      <c r="F71" s="153" t="e">
        <f t="shared" si="11"/>
        <v>#N/A</v>
      </c>
      <c r="G71" s="153">
        <f t="shared" si="11"/>
        <v>39120.882163460956</v>
      </c>
      <c r="H71" s="153">
        <f t="shared" si="11"/>
        <v>1241.8699999999999</v>
      </c>
      <c r="I71" s="153">
        <f t="shared" si="11"/>
        <v>495.30873724023559</v>
      </c>
      <c r="J71" s="179" t="e">
        <f t="shared" si="6"/>
        <v>#N/A</v>
      </c>
      <c r="K71" s="290">
        <f t="shared" si="12"/>
        <v>2.5072644729012032</v>
      </c>
      <c r="M71" s="153">
        <f t="shared" ref="M71:M134" si="13">M67+1</f>
        <v>2018</v>
      </c>
      <c r="N71" s="177" t="str">
        <f t="shared" ref="N71:N134" si="14">N67</f>
        <v>Q2</v>
      </c>
      <c r="O71" s="177" t="str">
        <f t="shared" si="9"/>
        <v>2018Q2</v>
      </c>
      <c r="P71" s="184">
        <v>51972.835608912494</v>
      </c>
      <c r="Q71" s="184">
        <v>52070.486059876144</v>
      </c>
      <c r="R71" s="184">
        <v>551.69070371431644</v>
      </c>
      <c r="S71" s="189">
        <v>45952.240193290287</v>
      </c>
      <c r="T71" s="189"/>
      <c r="U71" s="189">
        <v>1366.8450445227297</v>
      </c>
    </row>
    <row r="72" spans="1:21" x14ac:dyDescent="0.2">
      <c r="A72" s="153">
        <v>2006</v>
      </c>
      <c r="B72" s="153">
        <v>11</v>
      </c>
      <c r="C72" s="153" t="str">
        <f t="shared" si="10"/>
        <v>200611</v>
      </c>
      <c r="D72" s="153" t="str">
        <f t="shared" si="7"/>
        <v>Q4</v>
      </c>
      <c r="E72" s="153" t="e">
        <f t="shared" si="11"/>
        <v>#N/A</v>
      </c>
      <c r="F72" s="153" t="e">
        <f t="shared" si="11"/>
        <v>#N/A</v>
      </c>
      <c r="G72" s="153">
        <f t="shared" si="11"/>
        <v>39120.882163460956</v>
      </c>
      <c r="H72" s="153">
        <f t="shared" si="11"/>
        <v>1241.8699999999999</v>
      </c>
      <c r="I72" s="153">
        <f t="shared" si="11"/>
        <v>495.30873724023559</v>
      </c>
      <c r="J72" s="179" t="e">
        <f t="shared" si="6"/>
        <v>#N/A</v>
      </c>
      <c r="K72" s="290">
        <f t="shared" si="12"/>
        <v>2.5072644729012032</v>
      </c>
      <c r="M72" s="153">
        <f t="shared" si="13"/>
        <v>2018</v>
      </c>
      <c r="N72" s="177" t="str">
        <f t="shared" si="14"/>
        <v>Q3</v>
      </c>
      <c r="O72" s="177" t="str">
        <f t="shared" si="9"/>
        <v>2018Q3</v>
      </c>
      <c r="P72" s="184">
        <v>52322.036934089345</v>
      </c>
      <c r="Q72" s="184">
        <v>52421.78219235225</v>
      </c>
      <c r="R72" s="184">
        <v>552.76459498891222</v>
      </c>
      <c r="S72" s="189">
        <v>46269.534926018147</v>
      </c>
      <c r="T72" s="189"/>
      <c r="U72" s="189">
        <v>1369.4271187304621</v>
      </c>
    </row>
    <row r="73" spans="1:21" x14ac:dyDescent="0.2">
      <c r="A73" s="153">
        <v>2006</v>
      </c>
      <c r="B73" s="153">
        <v>12</v>
      </c>
      <c r="C73" s="153" t="str">
        <f t="shared" si="10"/>
        <v>200612</v>
      </c>
      <c r="D73" s="153" t="str">
        <f t="shared" si="7"/>
        <v>Q4</v>
      </c>
      <c r="E73" s="153" t="e">
        <f t="shared" si="11"/>
        <v>#N/A</v>
      </c>
      <c r="F73" s="153" t="e">
        <f t="shared" si="11"/>
        <v>#N/A</v>
      </c>
      <c r="G73" s="153">
        <f t="shared" si="11"/>
        <v>39120.882163460956</v>
      </c>
      <c r="H73" s="153">
        <f t="shared" si="11"/>
        <v>1241.8699999999999</v>
      </c>
      <c r="I73" s="153">
        <f t="shared" si="11"/>
        <v>495.30873724023559</v>
      </c>
      <c r="J73" s="179" t="e">
        <f t="shared" si="6"/>
        <v>#N/A</v>
      </c>
      <c r="K73" s="290">
        <f t="shared" si="12"/>
        <v>2.5072644729012032</v>
      </c>
      <c r="M73" s="153">
        <f t="shared" si="13"/>
        <v>2018</v>
      </c>
      <c r="N73" s="177" t="str">
        <f t="shared" si="14"/>
        <v>Q4</v>
      </c>
      <c r="O73" s="177" t="str">
        <f t="shared" si="9"/>
        <v>2018Q4</v>
      </c>
      <c r="P73" s="184">
        <v>52578.057709720844</v>
      </c>
      <c r="Q73" s="184">
        <v>52673.906409169787</v>
      </c>
      <c r="R73" s="184">
        <v>553.7323786940874</v>
      </c>
      <c r="S73" s="189">
        <v>46499.695892915195</v>
      </c>
      <c r="T73" s="189"/>
      <c r="U73" s="189">
        <v>1371.9503650990048</v>
      </c>
    </row>
    <row r="74" spans="1:21" x14ac:dyDescent="0.2">
      <c r="A74" s="153">
        <v>2007</v>
      </c>
      <c r="B74" s="153">
        <v>1</v>
      </c>
      <c r="C74" s="153" t="str">
        <f t="shared" si="10"/>
        <v>20071</v>
      </c>
      <c r="D74" s="153" t="str">
        <f t="shared" si="7"/>
        <v>Q1</v>
      </c>
      <c r="E74" s="153" t="e">
        <f t="shared" si="11"/>
        <v>#N/A</v>
      </c>
      <c r="F74" s="153" t="e">
        <f t="shared" si="11"/>
        <v>#N/A</v>
      </c>
      <c r="G74" s="153">
        <f t="shared" si="11"/>
        <v>39207.939116974187</v>
      </c>
      <c r="H74" s="153">
        <f t="shared" si="11"/>
        <v>1245.7904999999998</v>
      </c>
      <c r="I74" s="153">
        <f t="shared" si="11"/>
        <v>495.81946182717161</v>
      </c>
      <c r="J74" s="179" t="e">
        <f t="shared" si="6"/>
        <v>#N/A</v>
      </c>
      <c r="K74" s="290">
        <f t="shared" si="12"/>
        <v>2.5125889480196455</v>
      </c>
      <c r="M74" s="153">
        <f t="shared" si="13"/>
        <v>2019</v>
      </c>
      <c r="N74" s="177" t="str">
        <f t="shared" si="14"/>
        <v>Q1</v>
      </c>
      <c r="O74" s="177" t="str">
        <f t="shared" si="9"/>
        <v>2019Q1</v>
      </c>
      <c r="P74" s="184">
        <v>53122.152925132141</v>
      </c>
      <c r="Q74" s="184">
        <v>53210.611042634053</v>
      </c>
      <c r="R74" s="184">
        <v>555.21347465929534</v>
      </c>
      <c r="S74" s="189">
        <v>46951.95820849367</v>
      </c>
      <c r="T74" s="189"/>
      <c r="U74" s="189">
        <v>1375.6943144598522</v>
      </c>
    </row>
    <row r="75" spans="1:21" x14ac:dyDescent="0.2">
      <c r="A75" s="153">
        <v>2007</v>
      </c>
      <c r="B75" s="153">
        <v>2</v>
      </c>
      <c r="C75" s="153" t="str">
        <f t="shared" si="10"/>
        <v>20072</v>
      </c>
      <c r="D75" s="153" t="str">
        <f t="shared" si="7"/>
        <v>Q1</v>
      </c>
      <c r="E75" s="153" t="e">
        <f t="shared" si="11"/>
        <v>#N/A</v>
      </c>
      <c r="F75" s="153" t="e">
        <f t="shared" si="11"/>
        <v>#N/A</v>
      </c>
      <c r="G75" s="153">
        <f t="shared" si="11"/>
        <v>39207.939116974187</v>
      </c>
      <c r="H75" s="153">
        <f t="shared" si="11"/>
        <v>1245.7904999999998</v>
      </c>
      <c r="I75" s="153">
        <f t="shared" si="11"/>
        <v>495.81946182717161</v>
      </c>
      <c r="J75" s="179" t="e">
        <f t="shared" si="6"/>
        <v>#N/A</v>
      </c>
      <c r="K75" s="290">
        <f t="shared" si="12"/>
        <v>2.5125889480196455</v>
      </c>
      <c r="M75" s="153">
        <f t="shared" si="13"/>
        <v>2019</v>
      </c>
      <c r="N75" s="177" t="str">
        <f t="shared" si="14"/>
        <v>Q2</v>
      </c>
      <c r="O75" s="177" t="str">
        <f t="shared" si="9"/>
        <v>2019Q2</v>
      </c>
      <c r="P75" s="184">
        <v>53511.558707337055</v>
      </c>
      <c r="Q75" s="184">
        <v>53600.540560672787</v>
      </c>
      <c r="R75" s="184">
        <v>556.13041423889035</v>
      </c>
      <c r="S75" s="189">
        <v>47295.046546996404</v>
      </c>
      <c r="T75" s="189"/>
      <c r="U75" s="189">
        <v>1378.1975182127694</v>
      </c>
    </row>
    <row r="76" spans="1:21" x14ac:dyDescent="0.2">
      <c r="A76" s="153">
        <v>2007</v>
      </c>
      <c r="B76" s="153">
        <v>3</v>
      </c>
      <c r="C76" s="153" t="str">
        <f t="shared" si="10"/>
        <v>20073</v>
      </c>
      <c r="D76" s="153" t="str">
        <f t="shared" si="7"/>
        <v>Q1</v>
      </c>
      <c r="E76" s="153" t="e">
        <f t="shared" si="11"/>
        <v>#N/A</v>
      </c>
      <c r="F76" s="153" t="e">
        <f t="shared" si="11"/>
        <v>#N/A</v>
      </c>
      <c r="G76" s="153">
        <f t="shared" si="11"/>
        <v>39207.939116974187</v>
      </c>
      <c r="H76" s="153">
        <f t="shared" si="11"/>
        <v>1245.7904999999998</v>
      </c>
      <c r="I76" s="153">
        <f t="shared" si="11"/>
        <v>495.81946182717161</v>
      </c>
      <c r="J76" s="179" t="e">
        <f t="shared" si="6"/>
        <v>#N/A</v>
      </c>
      <c r="K76" s="290">
        <f t="shared" si="12"/>
        <v>2.5125889480196455</v>
      </c>
      <c r="M76" s="153">
        <f t="shared" si="13"/>
        <v>2019</v>
      </c>
      <c r="N76" s="177" t="str">
        <f t="shared" si="14"/>
        <v>Q3</v>
      </c>
      <c r="O76" s="177" t="str">
        <f t="shared" si="9"/>
        <v>2019Q3</v>
      </c>
      <c r="P76" s="184">
        <v>53716.289497580772</v>
      </c>
      <c r="Q76" s="184">
        <v>53815.323443545072</v>
      </c>
      <c r="R76" s="184">
        <v>557.42811221819136</v>
      </c>
      <c r="S76" s="189">
        <v>47474.511791947109</v>
      </c>
      <c r="T76" s="189"/>
      <c r="U76" s="189">
        <v>1381.5237765878248</v>
      </c>
    </row>
    <row r="77" spans="1:21" x14ac:dyDescent="0.2">
      <c r="A77" s="153">
        <v>2007</v>
      </c>
      <c r="B77" s="153">
        <v>4</v>
      </c>
      <c r="C77" s="153" t="str">
        <f t="shared" si="10"/>
        <v>20074</v>
      </c>
      <c r="D77" s="153" t="str">
        <f t="shared" si="7"/>
        <v>Q2</v>
      </c>
      <c r="E77" s="153" t="e">
        <f t="shared" si="11"/>
        <v>#N/A</v>
      </c>
      <c r="F77" s="153" t="e">
        <f t="shared" si="11"/>
        <v>#N/A</v>
      </c>
      <c r="G77" s="153">
        <f t="shared" si="11"/>
        <v>39146.160290129192</v>
      </c>
      <c r="H77" s="153">
        <f t="shared" si="11"/>
        <v>1249.7109999999998</v>
      </c>
      <c r="I77" s="153">
        <f t="shared" si="11"/>
        <v>496.33117579403972</v>
      </c>
      <c r="J77" s="179" t="e">
        <f t="shared" si="6"/>
        <v>#N/A</v>
      </c>
      <c r="K77" s="290">
        <f t="shared" si="12"/>
        <v>2.5178974461974692</v>
      </c>
      <c r="M77" s="153">
        <f t="shared" si="13"/>
        <v>2019</v>
      </c>
      <c r="N77" s="177" t="str">
        <f t="shared" si="14"/>
        <v>Q4</v>
      </c>
      <c r="O77" s="177" t="str">
        <f t="shared" si="9"/>
        <v>2019Q4</v>
      </c>
      <c r="P77" s="184">
        <v>54001.980383681868</v>
      </c>
      <c r="Q77" s="184">
        <v>54110.540318735955</v>
      </c>
      <c r="R77" s="184">
        <v>558.86848263437037</v>
      </c>
      <c r="S77" s="189">
        <v>47726.545621421916</v>
      </c>
      <c r="T77" s="189"/>
      <c r="U77" s="189">
        <v>1385.1826457277234</v>
      </c>
    </row>
    <row r="78" spans="1:21" x14ac:dyDescent="0.2">
      <c r="A78" s="153">
        <v>2007</v>
      </c>
      <c r="B78" s="153">
        <v>5</v>
      </c>
      <c r="C78" s="153" t="str">
        <f t="shared" si="10"/>
        <v>20075</v>
      </c>
      <c r="D78" s="153" t="str">
        <f t="shared" si="7"/>
        <v>Q2</v>
      </c>
      <c r="E78" s="153" t="e">
        <f t="shared" si="11"/>
        <v>#N/A</v>
      </c>
      <c r="F78" s="153" t="e">
        <f t="shared" si="11"/>
        <v>#N/A</v>
      </c>
      <c r="G78" s="153">
        <f t="shared" si="11"/>
        <v>39146.160290129192</v>
      </c>
      <c r="H78" s="153">
        <f t="shared" si="11"/>
        <v>1249.7109999999998</v>
      </c>
      <c r="I78" s="153">
        <f t="shared" si="11"/>
        <v>496.33117579403972</v>
      </c>
      <c r="J78" s="179" t="e">
        <f t="shared" ref="J78:J133" si="15">E78/E66-1</f>
        <v>#N/A</v>
      </c>
      <c r="K78" s="290">
        <f t="shared" si="12"/>
        <v>2.5178974461974692</v>
      </c>
      <c r="M78" s="153">
        <f t="shared" si="13"/>
        <v>2020</v>
      </c>
      <c r="N78" s="177" t="str">
        <f t="shared" si="14"/>
        <v>Q1</v>
      </c>
      <c r="O78" s="177" t="str">
        <f t="shared" si="9"/>
        <v>2020Q1</v>
      </c>
      <c r="P78" s="184">
        <v>54626.264714953155</v>
      </c>
      <c r="Q78" s="184">
        <v>54740.163395741954</v>
      </c>
      <c r="R78" s="184">
        <v>559.82963233879548</v>
      </c>
      <c r="S78" s="189">
        <v>48243.78300199988</v>
      </c>
      <c r="T78" s="189"/>
      <c r="U78" s="189">
        <v>1387.7050532664844</v>
      </c>
    </row>
    <row r="79" spans="1:21" x14ac:dyDescent="0.2">
      <c r="A79" s="153">
        <v>2007</v>
      </c>
      <c r="B79" s="153">
        <v>6</v>
      </c>
      <c r="C79" s="153" t="str">
        <f t="shared" si="10"/>
        <v>20076</v>
      </c>
      <c r="D79" s="153" t="str">
        <f t="shared" ref="D79:D142" si="16">D67</f>
        <v>Q2</v>
      </c>
      <c r="E79" s="153" t="e">
        <f t="shared" si="11"/>
        <v>#N/A</v>
      </c>
      <c r="F79" s="153" t="e">
        <f t="shared" si="11"/>
        <v>#N/A</v>
      </c>
      <c r="G79" s="153">
        <f t="shared" si="11"/>
        <v>39146.160290129192</v>
      </c>
      <c r="H79" s="153">
        <f t="shared" si="11"/>
        <v>1249.7109999999998</v>
      </c>
      <c r="I79" s="153">
        <f t="shared" si="11"/>
        <v>496.33117579403972</v>
      </c>
      <c r="J79" s="179" t="e">
        <f t="shared" si="15"/>
        <v>#N/A</v>
      </c>
      <c r="K79" s="290">
        <f t="shared" si="12"/>
        <v>2.5178974461974692</v>
      </c>
      <c r="M79" s="153">
        <f t="shared" si="13"/>
        <v>2020</v>
      </c>
      <c r="N79" s="177" t="str">
        <f t="shared" si="14"/>
        <v>Q2</v>
      </c>
      <c r="O79" s="177" t="str">
        <f t="shared" si="9"/>
        <v>2020Q2</v>
      </c>
      <c r="P79" s="184">
        <v>54901.944468176596</v>
      </c>
      <c r="Q79" s="184">
        <v>55052.302629024256</v>
      </c>
      <c r="R79" s="184">
        <v>561.05956900788772</v>
      </c>
      <c r="S79" s="189">
        <v>48481.970690693073</v>
      </c>
      <c r="T79" s="189"/>
      <c r="U79" s="189">
        <v>1391.0391818327507</v>
      </c>
    </row>
    <row r="80" spans="1:21" x14ac:dyDescent="0.2">
      <c r="A80" s="153">
        <v>2007</v>
      </c>
      <c r="B80" s="153">
        <v>7</v>
      </c>
      <c r="C80" s="153" t="str">
        <f t="shared" si="10"/>
        <v>20077</v>
      </c>
      <c r="D80" s="153" t="str">
        <f t="shared" si="16"/>
        <v>Q3</v>
      </c>
      <c r="E80" s="153" t="e">
        <f t="shared" si="11"/>
        <v>#N/A</v>
      </c>
      <c r="F80" s="153" t="e">
        <f t="shared" si="11"/>
        <v>#N/A</v>
      </c>
      <c r="G80" s="153">
        <f t="shared" si="11"/>
        <v>39001.852326761655</v>
      </c>
      <c r="H80" s="153">
        <f t="shared" si="11"/>
        <v>1253.3617500000003</v>
      </c>
      <c r="I80" s="153">
        <f t="shared" si="11"/>
        <v>498.32041076592549</v>
      </c>
      <c r="J80" s="179" t="e">
        <f t="shared" si="15"/>
        <v>#N/A</v>
      </c>
      <c r="K80" s="290">
        <f t="shared" si="12"/>
        <v>2.5151724130134778</v>
      </c>
      <c r="M80" s="153">
        <f t="shared" si="13"/>
        <v>2020</v>
      </c>
      <c r="N80" s="177" t="str">
        <f t="shared" si="14"/>
        <v>Q3</v>
      </c>
      <c r="O80" s="177" t="str">
        <f t="shared" si="9"/>
        <v>2020Q3</v>
      </c>
      <c r="P80" s="184">
        <v>55151.245520794037</v>
      </c>
      <c r="Q80" s="184">
        <v>55324.826936552337</v>
      </c>
      <c r="R80" s="184">
        <v>562.30661791393641</v>
      </c>
      <c r="S80" s="189">
        <v>48705.682421467725</v>
      </c>
      <c r="T80" s="189"/>
      <c r="U80" s="189">
        <v>1394.3568192945186</v>
      </c>
    </row>
    <row r="81" spans="1:21" x14ac:dyDescent="0.2">
      <c r="A81" s="153">
        <v>2007</v>
      </c>
      <c r="B81" s="153">
        <v>8</v>
      </c>
      <c r="C81" s="153" t="str">
        <f t="shared" si="10"/>
        <v>20078</v>
      </c>
      <c r="D81" s="153" t="str">
        <f t="shared" si="16"/>
        <v>Q3</v>
      </c>
      <c r="E81" s="153" t="e">
        <f t="shared" si="11"/>
        <v>#N/A</v>
      </c>
      <c r="F81" s="153" t="e">
        <f t="shared" si="11"/>
        <v>#N/A</v>
      </c>
      <c r="G81" s="153">
        <f t="shared" si="11"/>
        <v>39001.852326761655</v>
      </c>
      <c r="H81" s="153">
        <f t="shared" si="11"/>
        <v>1253.3617500000003</v>
      </c>
      <c r="I81" s="153">
        <f t="shared" si="11"/>
        <v>498.32041076592549</v>
      </c>
      <c r="J81" s="179" t="e">
        <f t="shared" si="15"/>
        <v>#N/A</v>
      </c>
      <c r="K81" s="290">
        <f t="shared" si="12"/>
        <v>2.5151724130134778</v>
      </c>
      <c r="M81" s="153">
        <f t="shared" si="13"/>
        <v>2020</v>
      </c>
      <c r="N81" s="177" t="str">
        <f t="shared" si="14"/>
        <v>Q4</v>
      </c>
      <c r="O81" s="177" t="str">
        <f t="shared" si="9"/>
        <v>2020Q4</v>
      </c>
      <c r="P81" s="184">
        <v>55287.553752981294</v>
      </c>
      <c r="Q81" s="184">
        <v>55471.898938709739</v>
      </c>
      <c r="R81" s="184">
        <v>563.52723044376762</v>
      </c>
      <c r="S81" s="189">
        <v>48829.591308895542</v>
      </c>
      <c r="T81" s="189"/>
      <c r="U81" s="189">
        <v>1397.6699795618463</v>
      </c>
    </row>
    <row r="82" spans="1:21" x14ac:dyDescent="0.2">
      <c r="A82" s="153">
        <v>2007</v>
      </c>
      <c r="B82" s="153">
        <v>9</v>
      </c>
      <c r="C82" s="153" t="str">
        <f t="shared" si="10"/>
        <v>20079</v>
      </c>
      <c r="D82" s="153" t="str">
        <f t="shared" si="16"/>
        <v>Q3</v>
      </c>
      <c r="E82" s="153" t="e">
        <f t="shared" si="11"/>
        <v>#N/A</v>
      </c>
      <c r="F82" s="153" t="e">
        <f t="shared" si="11"/>
        <v>#N/A</v>
      </c>
      <c r="G82" s="153">
        <f t="shared" si="11"/>
        <v>39001.852326761655</v>
      </c>
      <c r="H82" s="153">
        <f t="shared" si="11"/>
        <v>1253.3617500000003</v>
      </c>
      <c r="I82" s="153">
        <f t="shared" si="11"/>
        <v>498.32041076592549</v>
      </c>
      <c r="J82" s="179" t="e">
        <f t="shared" si="15"/>
        <v>#N/A</v>
      </c>
      <c r="K82" s="290">
        <f t="shared" si="12"/>
        <v>2.5151724130134778</v>
      </c>
      <c r="M82" s="153">
        <f t="shared" si="13"/>
        <v>2021</v>
      </c>
      <c r="N82" s="177" t="str">
        <f t="shared" si="14"/>
        <v>Q1</v>
      </c>
      <c r="O82" s="177" t="str">
        <f t="shared" si="9"/>
        <v>2021Q1</v>
      </c>
      <c r="P82" s="184">
        <v>55760.41731013696</v>
      </c>
      <c r="Q82" s="184">
        <v>55954.332962734334</v>
      </c>
      <c r="R82" s="184">
        <v>564.49955793077152</v>
      </c>
      <c r="S82" s="189">
        <v>49203.757964168057</v>
      </c>
      <c r="T82" s="189"/>
      <c r="U82" s="189">
        <v>1400.3042071178606</v>
      </c>
    </row>
    <row r="83" spans="1:21" x14ac:dyDescent="0.2">
      <c r="A83" s="153">
        <v>2007</v>
      </c>
      <c r="B83" s="153">
        <v>10</v>
      </c>
      <c r="C83" s="153" t="str">
        <f t="shared" si="10"/>
        <v>200710</v>
      </c>
      <c r="D83" s="153" t="str">
        <f t="shared" si="16"/>
        <v>Q4</v>
      </c>
      <c r="E83" s="153" t="e">
        <f t="shared" si="11"/>
        <v>#N/A</v>
      </c>
      <c r="F83" s="153" t="e">
        <f t="shared" si="11"/>
        <v>#N/A</v>
      </c>
      <c r="G83" s="153">
        <f t="shared" si="11"/>
        <v>39135.118262944496</v>
      </c>
      <c r="H83" s="153">
        <f t="shared" si="11"/>
        <v>1257.0125</v>
      </c>
      <c r="I83" s="153">
        <f t="shared" si="11"/>
        <v>500.31645665447218</v>
      </c>
      <c r="J83" s="179" t="e">
        <f t="shared" si="15"/>
        <v>#N/A</v>
      </c>
      <c r="K83" s="290">
        <f t="shared" si="12"/>
        <v>2.5124348465477646</v>
      </c>
      <c r="M83" s="153">
        <f t="shared" si="13"/>
        <v>2021</v>
      </c>
      <c r="N83" s="177" t="str">
        <f t="shared" si="14"/>
        <v>Q2</v>
      </c>
      <c r="O83" s="177" t="str">
        <f t="shared" si="9"/>
        <v>2021Q2</v>
      </c>
      <c r="P83" s="184">
        <v>55997.725734529384</v>
      </c>
      <c r="Q83" s="184">
        <v>56205.801600186503</v>
      </c>
      <c r="R83" s="184">
        <v>565.70148400639437</v>
      </c>
      <c r="S83" s="189">
        <v>49409.045195684346</v>
      </c>
      <c r="T83" s="189"/>
      <c r="U83" s="189">
        <v>1403.5946446527612</v>
      </c>
    </row>
    <row r="84" spans="1:21" x14ac:dyDescent="0.2">
      <c r="A84" s="153">
        <v>2007</v>
      </c>
      <c r="B84" s="153">
        <v>11</v>
      </c>
      <c r="C84" s="153" t="str">
        <f t="shared" si="10"/>
        <v>200711</v>
      </c>
      <c r="D84" s="153" t="str">
        <f t="shared" si="16"/>
        <v>Q4</v>
      </c>
      <c r="E84" s="153" t="e">
        <f t="shared" si="11"/>
        <v>#N/A</v>
      </c>
      <c r="F84" s="153" t="e">
        <f t="shared" si="11"/>
        <v>#N/A</v>
      </c>
      <c r="G84" s="153">
        <f t="shared" si="11"/>
        <v>39135.118262944496</v>
      </c>
      <c r="H84" s="153">
        <f t="shared" si="11"/>
        <v>1257.0125</v>
      </c>
      <c r="I84" s="153">
        <f t="shared" si="11"/>
        <v>500.31645665447218</v>
      </c>
      <c r="J84" s="179" t="e">
        <f t="shared" si="15"/>
        <v>#N/A</v>
      </c>
      <c r="K84" s="290">
        <f t="shared" si="12"/>
        <v>2.5124348465477646</v>
      </c>
      <c r="M84" s="153">
        <f t="shared" si="13"/>
        <v>2021</v>
      </c>
      <c r="N84" s="177" t="str">
        <f t="shared" si="14"/>
        <v>Q3</v>
      </c>
      <c r="O84" s="177" t="str">
        <f t="shared" si="9"/>
        <v>2021Q3</v>
      </c>
      <c r="P84" s="184">
        <v>56175.191028983718</v>
      </c>
      <c r="Q84" s="184">
        <v>56407.02466357463</v>
      </c>
      <c r="R84" s="184">
        <v>567.02473947974204</v>
      </c>
      <c r="S84" s="189">
        <v>49571.67892035051</v>
      </c>
      <c r="T84" s="189"/>
      <c r="U84" s="189">
        <v>1407.3368286541725</v>
      </c>
    </row>
    <row r="85" spans="1:21" x14ac:dyDescent="0.2">
      <c r="A85" s="153">
        <v>2007</v>
      </c>
      <c r="B85" s="153">
        <v>12</v>
      </c>
      <c r="C85" s="153" t="str">
        <f t="shared" si="10"/>
        <v>200712</v>
      </c>
      <c r="D85" s="153" t="str">
        <f t="shared" si="16"/>
        <v>Q4</v>
      </c>
      <c r="E85" s="153" t="e">
        <f t="shared" si="11"/>
        <v>#N/A</v>
      </c>
      <c r="F85" s="153" t="e">
        <f t="shared" si="11"/>
        <v>#N/A</v>
      </c>
      <c r="G85" s="153">
        <f t="shared" si="11"/>
        <v>39135.118262944496</v>
      </c>
      <c r="H85" s="153">
        <f t="shared" si="11"/>
        <v>1257.0125</v>
      </c>
      <c r="I85" s="153">
        <f t="shared" si="11"/>
        <v>500.31645665447218</v>
      </c>
      <c r="J85" s="179" t="e">
        <f t="shared" si="15"/>
        <v>#N/A</v>
      </c>
      <c r="K85" s="290">
        <f t="shared" si="12"/>
        <v>2.5124348465477646</v>
      </c>
      <c r="M85" s="153">
        <f t="shared" si="13"/>
        <v>2021</v>
      </c>
      <c r="N85" s="177" t="str">
        <f t="shared" si="14"/>
        <v>Q4</v>
      </c>
      <c r="O85" s="177" t="str">
        <f t="shared" si="9"/>
        <v>2021Q4</v>
      </c>
      <c r="P85" s="184">
        <v>56554.773746635416</v>
      </c>
      <c r="Q85" s="184">
        <v>56803.038358558464</v>
      </c>
      <c r="R85" s="184">
        <v>568.47731185423572</v>
      </c>
      <c r="S85" s="189">
        <v>49908.568796165404</v>
      </c>
      <c r="T85" s="189"/>
      <c r="U85" s="189">
        <v>1410.5414388105048</v>
      </c>
    </row>
    <row r="86" spans="1:21" x14ac:dyDescent="0.2">
      <c r="A86" s="153">
        <v>2008</v>
      </c>
      <c r="B86" s="153">
        <v>1</v>
      </c>
      <c r="C86" s="153" t="str">
        <f t="shared" si="10"/>
        <v>20081</v>
      </c>
      <c r="D86" s="153" t="str">
        <f t="shared" si="16"/>
        <v>Q1</v>
      </c>
      <c r="E86" s="153" t="e">
        <f t="shared" si="11"/>
        <v>#N/A</v>
      </c>
      <c r="F86" s="153" t="e">
        <f t="shared" si="11"/>
        <v>#N/A</v>
      </c>
      <c r="G86" s="153">
        <f t="shared" si="11"/>
        <v>39632.680925057175</v>
      </c>
      <c r="H86" s="153">
        <f t="shared" si="11"/>
        <v>1260.6632500000001</v>
      </c>
      <c r="I86" s="153">
        <f t="shared" si="11"/>
        <v>502.31934308818666</v>
      </c>
      <c r="J86" s="179" t="e">
        <f t="shared" si="15"/>
        <v>#N/A</v>
      </c>
      <c r="K86" s="290">
        <f t="shared" si="12"/>
        <v>2.5096848595350214</v>
      </c>
      <c r="M86" s="153">
        <f t="shared" si="13"/>
        <v>2022</v>
      </c>
      <c r="N86" s="177" t="str">
        <f t="shared" si="14"/>
        <v>Q1</v>
      </c>
      <c r="O86" s="177" t="str">
        <f t="shared" si="9"/>
        <v>2022Q1</v>
      </c>
      <c r="P86" s="184">
        <v>56950.059670394607</v>
      </c>
      <c r="Q86" s="184">
        <v>57230.224046466697</v>
      </c>
      <c r="R86" s="184">
        <v>569.39691159972006</v>
      </c>
      <c r="S86" s="189">
        <v>50229.384400300703</v>
      </c>
      <c r="T86" s="189"/>
      <c r="U86" s="189">
        <v>1413.6614308768339</v>
      </c>
    </row>
    <row r="87" spans="1:21" x14ac:dyDescent="0.2">
      <c r="A87" s="153">
        <v>2008</v>
      </c>
      <c r="B87" s="153">
        <v>2</v>
      </c>
      <c r="C87" s="153" t="str">
        <f t="shared" si="10"/>
        <v>20082</v>
      </c>
      <c r="D87" s="153" t="str">
        <f t="shared" si="16"/>
        <v>Q1</v>
      </c>
      <c r="E87" s="153" t="e">
        <f t="shared" si="11"/>
        <v>#N/A</v>
      </c>
      <c r="F87" s="153" t="e">
        <f t="shared" si="11"/>
        <v>#N/A</v>
      </c>
      <c r="G87" s="153">
        <f t="shared" si="11"/>
        <v>39632.680925057175</v>
      </c>
      <c r="H87" s="153">
        <f t="shared" si="11"/>
        <v>1260.6632500000001</v>
      </c>
      <c r="I87" s="153">
        <f t="shared" si="11"/>
        <v>502.31934308818666</v>
      </c>
      <c r="J87" s="179" t="e">
        <f t="shared" si="15"/>
        <v>#N/A</v>
      </c>
      <c r="K87" s="290">
        <f t="shared" si="12"/>
        <v>2.5096848595350214</v>
      </c>
      <c r="M87" s="153">
        <f t="shared" si="13"/>
        <v>2022</v>
      </c>
      <c r="N87" s="177" t="str">
        <f t="shared" si="14"/>
        <v>Q2</v>
      </c>
      <c r="O87" s="177" t="str">
        <f t="shared" si="9"/>
        <v>2022Q2</v>
      </c>
      <c r="P87" s="184">
        <v>57216.40069030234</v>
      </c>
      <c r="Q87" s="184">
        <v>57505.833442168288</v>
      </c>
      <c r="R87" s="184">
        <v>570.63249671426991</v>
      </c>
      <c r="S87" s="189">
        <v>50462.244962799821</v>
      </c>
      <c r="T87" s="189"/>
      <c r="U87" s="189">
        <v>1416.9364853411676</v>
      </c>
    </row>
    <row r="88" spans="1:21" x14ac:dyDescent="0.2">
      <c r="A88" s="153">
        <v>2008</v>
      </c>
      <c r="B88" s="153">
        <v>3</v>
      </c>
      <c r="C88" s="153" t="str">
        <f t="shared" si="10"/>
        <v>20083</v>
      </c>
      <c r="D88" s="153" t="str">
        <f t="shared" si="16"/>
        <v>Q1</v>
      </c>
      <c r="E88" s="153" t="e">
        <f t="shared" si="11"/>
        <v>#N/A</v>
      </c>
      <c r="F88" s="153" t="e">
        <f t="shared" si="11"/>
        <v>#N/A</v>
      </c>
      <c r="G88" s="153">
        <f t="shared" si="11"/>
        <v>39632.680925057175</v>
      </c>
      <c r="H88" s="153">
        <f t="shared" si="11"/>
        <v>1260.6632500000001</v>
      </c>
      <c r="I88" s="153">
        <f t="shared" si="11"/>
        <v>502.31934308818666</v>
      </c>
      <c r="J88" s="179" t="e">
        <f t="shared" si="15"/>
        <v>#N/A</v>
      </c>
      <c r="K88" s="290">
        <f t="shared" si="12"/>
        <v>2.5096848595350214</v>
      </c>
      <c r="M88" s="153">
        <f t="shared" si="13"/>
        <v>2022</v>
      </c>
      <c r="N88" s="177" t="str">
        <f t="shared" si="14"/>
        <v>Q3</v>
      </c>
      <c r="O88" s="177" t="str">
        <f t="shared" si="9"/>
        <v>2022Q3</v>
      </c>
      <c r="P88" s="184">
        <v>57662.849784557417</v>
      </c>
      <c r="Q88" s="184">
        <v>57966.643747376365</v>
      </c>
      <c r="R88" s="184">
        <v>571.48618687233204</v>
      </c>
      <c r="S88" s="189">
        <v>50848.241817321788</v>
      </c>
      <c r="T88" s="189"/>
      <c r="U88" s="189">
        <v>1419.3355879434562</v>
      </c>
    </row>
    <row r="89" spans="1:21" x14ac:dyDescent="0.2">
      <c r="A89" s="158">
        <v>2008</v>
      </c>
      <c r="B89" s="158">
        <v>4</v>
      </c>
      <c r="C89" s="153" t="str">
        <f t="shared" si="10"/>
        <v>20084</v>
      </c>
      <c r="D89" s="153" t="str">
        <f t="shared" si="16"/>
        <v>Q2</v>
      </c>
      <c r="E89" s="153" t="e">
        <f t="shared" si="11"/>
        <v>#N/A</v>
      </c>
      <c r="F89" s="153" t="e">
        <f t="shared" si="11"/>
        <v>#N/A</v>
      </c>
      <c r="G89" s="153">
        <f t="shared" si="11"/>
        <v>39855.727140851915</v>
      </c>
      <c r="H89" s="153">
        <f t="shared" si="11"/>
        <v>1264.3140000000001</v>
      </c>
      <c r="I89" s="153">
        <f t="shared" si="11"/>
        <v>504.3290998175558</v>
      </c>
      <c r="J89" s="179" t="e">
        <f t="shared" si="15"/>
        <v>#N/A</v>
      </c>
      <c r="K89" s="290">
        <f t="shared" si="12"/>
        <v>2.5069225639713704</v>
      </c>
      <c r="L89" s="158"/>
      <c r="M89" s="153">
        <f t="shared" si="13"/>
        <v>2022</v>
      </c>
      <c r="N89" s="177" t="str">
        <f t="shared" si="14"/>
        <v>Q4</v>
      </c>
      <c r="O89" s="177" t="str">
        <f t="shared" si="9"/>
        <v>2022Q4</v>
      </c>
      <c r="P89" s="184">
        <v>57947.834035717176</v>
      </c>
      <c r="Q89" s="184">
        <v>58264.168207793155</v>
      </c>
      <c r="R89" s="184">
        <v>572.91207387827751</v>
      </c>
      <c r="S89" s="189">
        <v>51088.93854491684</v>
      </c>
      <c r="T89" s="189"/>
      <c r="U89" s="189">
        <v>1423.0527256474459</v>
      </c>
    </row>
    <row r="90" spans="1:21" x14ac:dyDescent="0.2">
      <c r="A90" s="153">
        <v>2008</v>
      </c>
      <c r="B90" s="153">
        <v>5</v>
      </c>
      <c r="C90" s="153" t="str">
        <f t="shared" si="10"/>
        <v>20085</v>
      </c>
      <c r="D90" s="153" t="str">
        <f t="shared" si="16"/>
        <v>Q2</v>
      </c>
      <c r="E90" s="153" t="e">
        <f t="shared" si="11"/>
        <v>#N/A</v>
      </c>
      <c r="F90" s="153" t="e">
        <f t="shared" si="11"/>
        <v>#N/A</v>
      </c>
      <c r="G90" s="153">
        <f t="shared" si="11"/>
        <v>39855.727140851915</v>
      </c>
      <c r="H90" s="153">
        <f t="shared" si="11"/>
        <v>1264.3140000000001</v>
      </c>
      <c r="I90" s="153">
        <f t="shared" si="11"/>
        <v>504.3290998175558</v>
      </c>
      <c r="J90" s="179" t="e">
        <f t="shared" si="15"/>
        <v>#N/A</v>
      </c>
      <c r="K90" s="290">
        <f t="shared" si="12"/>
        <v>2.5069225639713704</v>
      </c>
      <c r="M90" s="153">
        <f t="shared" si="13"/>
        <v>2023</v>
      </c>
      <c r="N90" s="177" t="str">
        <f t="shared" si="14"/>
        <v>Q1</v>
      </c>
      <c r="O90" s="177" t="str">
        <f t="shared" si="9"/>
        <v>2023Q1</v>
      </c>
      <c r="P90" s="184">
        <v>58454.370125439615</v>
      </c>
      <c r="Q90" s="184">
        <v>58780.745323034927</v>
      </c>
      <c r="R90" s="184">
        <v>573.93057831627425</v>
      </c>
      <c r="S90" s="189">
        <v>51474.30535634797</v>
      </c>
      <c r="T90" s="189"/>
      <c r="U90" s="189">
        <v>1425.5416288180704</v>
      </c>
    </row>
    <row r="91" spans="1:21" x14ac:dyDescent="0.2">
      <c r="A91" s="153">
        <v>2008</v>
      </c>
      <c r="B91" s="153">
        <v>6</v>
      </c>
      <c r="C91" s="153" t="str">
        <f t="shared" si="10"/>
        <v>20086</v>
      </c>
      <c r="D91" s="153" t="str">
        <f t="shared" si="16"/>
        <v>Q2</v>
      </c>
      <c r="E91" s="153" t="e">
        <f t="shared" si="11"/>
        <v>#N/A</v>
      </c>
      <c r="F91" s="153" t="e">
        <f t="shared" si="11"/>
        <v>#N/A</v>
      </c>
      <c r="G91" s="153">
        <f t="shared" si="11"/>
        <v>39855.727140851915</v>
      </c>
      <c r="H91" s="153">
        <f t="shared" si="11"/>
        <v>1264.3140000000001</v>
      </c>
      <c r="I91" s="153">
        <f t="shared" si="11"/>
        <v>504.3290998175558</v>
      </c>
      <c r="J91" s="179" t="e">
        <f t="shared" si="15"/>
        <v>#N/A</v>
      </c>
      <c r="K91" s="290">
        <f t="shared" si="12"/>
        <v>2.5069225639713704</v>
      </c>
      <c r="M91" s="153">
        <f t="shared" si="13"/>
        <v>2023</v>
      </c>
      <c r="N91" s="177" t="str">
        <f t="shared" si="14"/>
        <v>Q2</v>
      </c>
      <c r="O91" s="177" t="str">
        <f t="shared" si="9"/>
        <v>2023Q2</v>
      </c>
      <c r="P91" s="184">
        <v>58867.328808954277</v>
      </c>
      <c r="Q91" s="184">
        <v>59194.837530225814</v>
      </c>
      <c r="R91" s="184">
        <v>575.16698820090585</v>
      </c>
      <c r="S91" s="189">
        <v>51828.21608039493</v>
      </c>
      <c r="T91" s="189"/>
      <c r="U91" s="189">
        <v>1428.6576286441741</v>
      </c>
    </row>
    <row r="92" spans="1:21" x14ac:dyDescent="0.2">
      <c r="A92" s="153">
        <v>2008</v>
      </c>
      <c r="B92" s="153">
        <v>7</v>
      </c>
      <c r="C92" s="153" t="str">
        <f t="shared" si="10"/>
        <v>20087</v>
      </c>
      <c r="D92" s="153" t="str">
        <f t="shared" si="16"/>
        <v>Q3</v>
      </c>
      <c r="E92" s="153" t="e">
        <f t="shared" si="11"/>
        <v>#N/A</v>
      </c>
      <c r="F92" s="153" t="e">
        <f t="shared" si="11"/>
        <v>#N/A</v>
      </c>
      <c r="G92" s="153">
        <f t="shared" si="11"/>
        <v>38971.970554889042</v>
      </c>
      <c r="H92" s="153">
        <f t="shared" si="11"/>
        <v>1267.0297499999999</v>
      </c>
      <c r="I92" s="153">
        <f t="shared" si="11"/>
        <v>505.25256082777889</v>
      </c>
      <c r="J92" s="179" t="e">
        <f t="shared" si="15"/>
        <v>#N/A</v>
      </c>
      <c r="K92" s="290">
        <f t="shared" si="12"/>
        <v>2.5077156421021711</v>
      </c>
      <c r="M92" s="153">
        <f t="shared" si="13"/>
        <v>2023</v>
      </c>
      <c r="N92" s="177" t="str">
        <f t="shared" si="14"/>
        <v>Q3</v>
      </c>
      <c r="O92" s="177" t="str">
        <f t="shared" si="9"/>
        <v>2023Q3</v>
      </c>
      <c r="P92" s="184">
        <v>59256.698157791659</v>
      </c>
      <c r="Q92" s="184">
        <v>59594.75186670816</v>
      </c>
      <c r="R92" s="184">
        <v>576.44593176762419</v>
      </c>
      <c r="S92" s="189">
        <v>52161.614922601206</v>
      </c>
      <c r="T92" s="189"/>
      <c r="U92" s="189">
        <v>1431.9179997949623</v>
      </c>
    </row>
    <row r="93" spans="1:21" x14ac:dyDescent="0.2">
      <c r="A93" s="153">
        <v>2008</v>
      </c>
      <c r="B93" s="153">
        <v>8</v>
      </c>
      <c r="C93" s="153" t="str">
        <f t="shared" si="10"/>
        <v>20088</v>
      </c>
      <c r="D93" s="153" t="str">
        <f t="shared" si="16"/>
        <v>Q3</v>
      </c>
      <c r="E93" s="153" t="e">
        <f t="shared" si="11"/>
        <v>#N/A</v>
      </c>
      <c r="F93" s="153" t="e">
        <f t="shared" si="11"/>
        <v>#N/A</v>
      </c>
      <c r="G93" s="153">
        <f t="shared" si="11"/>
        <v>38971.970554889042</v>
      </c>
      <c r="H93" s="153">
        <f t="shared" si="11"/>
        <v>1267.0297499999999</v>
      </c>
      <c r="I93" s="153">
        <f t="shared" si="11"/>
        <v>505.25256082777889</v>
      </c>
      <c r="J93" s="179" t="e">
        <f t="shared" si="15"/>
        <v>#N/A</v>
      </c>
      <c r="K93" s="290">
        <f t="shared" si="12"/>
        <v>2.5077156421021711</v>
      </c>
      <c r="M93" s="153">
        <f t="shared" si="13"/>
        <v>2023</v>
      </c>
      <c r="N93" s="177" t="str">
        <f t="shared" si="14"/>
        <v>Q4</v>
      </c>
      <c r="O93" s="177" t="str">
        <f t="shared" si="9"/>
        <v>2023Q4</v>
      </c>
      <c r="P93" s="184">
        <v>59586.150319153225</v>
      </c>
      <c r="Q93" s="184">
        <v>59922.187623177808</v>
      </c>
      <c r="R93" s="184">
        <v>578.40056670692786</v>
      </c>
      <c r="S93" s="189">
        <v>52372.236748881944</v>
      </c>
      <c r="T93" s="189"/>
      <c r="U93" s="189">
        <v>1435.6807229889657</v>
      </c>
    </row>
    <row r="94" spans="1:21" x14ac:dyDescent="0.2">
      <c r="A94" s="153">
        <v>2008</v>
      </c>
      <c r="B94" s="153">
        <v>9</v>
      </c>
      <c r="C94" s="153" t="str">
        <f t="shared" si="10"/>
        <v>20089</v>
      </c>
      <c r="D94" s="153" t="str">
        <f t="shared" si="16"/>
        <v>Q3</v>
      </c>
      <c r="E94" s="153" t="e">
        <f t="shared" si="11"/>
        <v>#N/A</v>
      </c>
      <c r="F94" s="153" t="e">
        <f t="shared" si="11"/>
        <v>#N/A</v>
      </c>
      <c r="G94" s="153">
        <f t="shared" si="11"/>
        <v>38971.970554889042</v>
      </c>
      <c r="H94" s="153">
        <f t="shared" si="11"/>
        <v>1267.0297499999999</v>
      </c>
      <c r="I94" s="153">
        <f t="shared" si="11"/>
        <v>505.25256082777889</v>
      </c>
      <c r="J94" s="179" t="e">
        <f t="shared" si="15"/>
        <v>#N/A</v>
      </c>
      <c r="K94" s="290">
        <f t="shared" si="12"/>
        <v>2.5077156421021711</v>
      </c>
      <c r="M94" s="153">
        <f t="shared" si="13"/>
        <v>2024</v>
      </c>
      <c r="N94" s="177" t="str">
        <f t="shared" si="14"/>
        <v>Q1</v>
      </c>
      <c r="O94" s="177" t="str">
        <f t="shared" si="9"/>
        <v>2024Q1</v>
      </c>
      <c r="P94" s="184">
        <v>60235.601873516185</v>
      </c>
      <c r="Q94" s="184">
        <v>60567.53882826792</v>
      </c>
      <c r="R94" s="184">
        <v>579.12899336216219</v>
      </c>
      <c r="S94" s="189">
        <v>52955.358119127079</v>
      </c>
      <c r="T94" s="189"/>
      <c r="U94" s="189">
        <v>1438.0164946277355</v>
      </c>
    </row>
    <row r="95" spans="1:21" x14ac:dyDescent="0.2">
      <c r="A95" s="153">
        <v>2008</v>
      </c>
      <c r="B95" s="153">
        <v>10</v>
      </c>
      <c r="C95" s="153" t="str">
        <f t="shared" si="10"/>
        <v>200810</v>
      </c>
      <c r="D95" s="153" t="str">
        <f t="shared" si="16"/>
        <v>Q4</v>
      </c>
      <c r="E95" s="153" t="e">
        <f t="shared" si="11"/>
        <v>#N/A</v>
      </c>
      <c r="F95" s="153" t="e">
        <f t="shared" si="11"/>
        <v>#N/A</v>
      </c>
      <c r="G95" s="153">
        <f t="shared" si="11"/>
        <v>39250.753059038092</v>
      </c>
      <c r="H95" s="153">
        <f t="shared" si="11"/>
        <v>1269.7455</v>
      </c>
      <c r="I95" s="153">
        <f t="shared" si="11"/>
        <v>506.17727071899566</v>
      </c>
      <c r="J95" s="179" t="e">
        <f t="shared" si="15"/>
        <v>#N/A</v>
      </c>
      <c r="K95" s="290">
        <f t="shared" si="12"/>
        <v>2.5084996372839887</v>
      </c>
      <c r="M95" s="153">
        <f t="shared" si="13"/>
        <v>2024</v>
      </c>
      <c r="N95" s="177" t="str">
        <f t="shared" si="14"/>
        <v>Q2</v>
      </c>
      <c r="O95" s="177" t="str">
        <f t="shared" si="9"/>
        <v>2024Q2</v>
      </c>
      <c r="P95" s="184">
        <v>60490.660968421878</v>
      </c>
      <c r="Q95" s="184">
        <v>60806.552393133148</v>
      </c>
      <c r="R95" s="184">
        <v>580.43655654475936</v>
      </c>
      <c r="S95" s="189">
        <v>53167.209134536846</v>
      </c>
      <c r="T95" s="189"/>
      <c r="U95" s="189">
        <v>1441.6924171035907</v>
      </c>
    </row>
    <row r="96" spans="1:21" x14ac:dyDescent="0.2">
      <c r="A96" s="153">
        <v>2008</v>
      </c>
      <c r="B96" s="153">
        <v>11</v>
      </c>
      <c r="C96" s="153" t="str">
        <f t="shared" si="10"/>
        <v>200811</v>
      </c>
      <c r="D96" s="153" t="str">
        <f t="shared" si="16"/>
        <v>Q4</v>
      </c>
      <c r="E96" s="153" t="e">
        <f t="shared" si="11"/>
        <v>#N/A</v>
      </c>
      <c r="F96" s="153" t="e">
        <f t="shared" si="11"/>
        <v>#N/A</v>
      </c>
      <c r="G96" s="153">
        <f t="shared" si="11"/>
        <v>39250.753059038092</v>
      </c>
      <c r="H96" s="153">
        <f t="shared" si="11"/>
        <v>1269.7455</v>
      </c>
      <c r="I96" s="153">
        <f t="shared" si="11"/>
        <v>506.17727071899566</v>
      </c>
      <c r="J96" s="179" t="e">
        <f t="shared" si="15"/>
        <v>#N/A</v>
      </c>
      <c r="K96" s="290">
        <f t="shared" si="12"/>
        <v>2.5084996372839887</v>
      </c>
      <c r="M96" s="153">
        <f t="shared" si="13"/>
        <v>2024</v>
      </c>
      <c r="N96" s="177" t="str">
        <f t="shared" si="14"/>
        <v>Q3</v>
      </c>
      <c r="O96" s="177" t="str">
        <f t="shared" si="9"/>
        <v>2024Q3</v>
      </c>
      <c r="P96" s="184">
        <v>60845.642043313623</v>
      </c>
      <c r="Q96" s="184">
        <v>61160.510466939697</v>
      </c>
      <c r="R96" s="184">
        <v>581.56845771979124</v>
      </c>
      <c r="S96" s="189">
        <v>53462.846369802268</v>
      </c>
      <c r="T96" s="189"/>
      <c r="U96" s="189">
        <v>1444.9534456805739</v>
      </c>
    </row>
    <row r="97" spans="1:21" x14ac:dyDescent="0.2">
      <c r="A97" s="153">
        <v>2008</v>
      </c>
      <c r="B97" s="153">
        <v>12</v>
      </c>
      <c r="C97" s="153" t="str">
        <f t="shared" si="10"/>
        <v>200812</v>
      </c>
      <c r="D97" s="153" t="str">
        <f t="shared" si="16"/>
        <v>Q4</v>
      </c>
      <c r="E97" s="153" t="e">
        <f t="shared" si="11"/>
        <v>#N/A</v>
      </c>
      <c r="F97" s="153" t="e">
        <f t="shared" si="11"/>
        <v>#N/A</v>
      </c>
      <c r="G97" s="153">
        <f t="shared" si="11"/>
        <v>39250.753059038092</v>
      </c>
      <c r="H97" s="153">
        <f t="shared" si="11"/>
        <v>1269.7455</v>
      </c>
      <c r="I97" s="153">
        <f t="shared" si="11"/>
        <v>506.17727071899566</v>
      </c>
      <c r="J97" s="179" t="e">
        <f t="shared" si="15"/>
        <v>#N/A</v>
      </c>
      <c r="K97" s="290">
        <f t="shared" si="12"/>
        <v>2.5084996372839887</v>
      </c>
      <c r="M97" s="153">
        <f t="shared" si="13"/>
        <v>2024</v>
      </c>
      <c r="N97" s="177" t="str">
        <f t="shared" si="14"/>
        <v>Q4</v>
      </c>
      <c r="O97" s="177" t="str">
        <f t="shared" si="9"/>
        <v>2024Q4</v>
      </c>
      <c r="P97" s="184">
        <v>61233.666574043193</v>
      </c>
      <c r="Q97" s="184">
        <v>61544.705407219772</v>
      </c>
      <c r="R97" s="184">
        <v>582.66620952961773</v>
      </c>
      <c r="S97" s="189">
        <v>53789.882915045469</v>
      </c>
      <c r="T97" s="189"/>
      <c r="U97" s="189">
        <v>1448.203316689802</v>
      </c>
    </row>
    <row r="98" spans="1:21" x14ac:dyDescent="0.2">
      <c r="A98" s="153">
        <v>2009</v>
      </c>
      <c r="B98" s="153">
        <v>1</v>
      </c>
      <c r="C98" s="153" t="str">
        <f t="shared" si="10"/>
        <v>20091</v>
      </c>
      <c r="D98" s="153" t="str">
        <f t="shared" si="16"/>
        <v>Q1</v>
      </c>
      <c r="E98" s="153" t="e">
        <f t="shared" si="11"/>
        <v>#N/A</v>
      </c>
      <c r="F98" s="153" t="e">
        <f t="shared" si="11"/>
        <v>#N/A</v>
      </c>
      <c r="G98" s="153">
        <f t="shared" si="11"/>
        <v>39351.75300796557</v>
      </c>
      <c r="H98" s="153">
        <f t="shared" si="11"/>
        <v>1272.4612500000003</v>
      </c>
      <c r="I98" s="153">
        <f t="shared" si="11"/>
        <v>507.10323204385077</v>
      </c>
      <c r="J98" s="179" t="e">
        <f t="shared" si="15"/>
        <v>#N/A</v>
      </c>
      <c r="K98" s="290">
        <f t="shared" si="12"/>
        <v>2.5092745807819394</v>
      </c>
      <c r="M98" s="153">
        <f t="shared" si="13"/>
        <v>2025</v>
      </c>
      <c r="N98" s="177" t="str">
        <f t="shared" si="14"/>
        <v>Q1</v>
      </c>
      <c r="O98" s="177" t="str">
        <f t="shared" si="9"/>
        <v>2025Q1</v>
      </c>
      <c r="P98" s="184">
        <v>61713.647735811843</v>
      </c>
      <c r="Q98" s="184">
        <v>62027.015358022501</v>
      </c>
      <c r="R98" s="184">
        <v>583.84434500018779</v>
      </c>
      <c r="S98" s="189">
        <v>54223.677742674183</v>
      </c>
      <c r="T98" s="189"/>
      <c r="U98" s="189">
        <v>1450.7011352829402</v>
      </c>
    </row>
    <row r="99" spans="1:21" x14ac:dyDescent="0.2">
      <c r="A99" s="153">
        <v>2009</v>
      </c>
      <c r="B99" s="153">
        <v>2</v>
      </c>
      <c r="C99" s="153" t="str">
        <f t="shared" si="10"/>
        <v>20092</v>
      </c>
      <c r="D99" s="153" t="str">
        <f t="shared" si="16"/>
        <v>Q1</v>
      </c>
      <c r="E99" s="153" t="e">
        <f t="shared" ref="E99:I149" si="17">VLOOKUP($A99&amp;$D99,$O$1:$U$169,MATCH(E$1,$O$1:$U$1,0),0)</f>
        <v>#N/A</v>
      </c>
      <c r="F99" s="153" t="e">
        <f t="shared" si="17"/>
        <v>#N/A</v>
      </c>
      <c r="G99" s="153">
        <f t="shared" si="17"/>
        <v>39351.75300796557</v>
      </c>
      <c r="H99" s="153">
        <f t="shared" si="17"/>
        <v>1272.4612500000003</v>
      </c>
      <c r="I99" s="153">
        <f t="shared" si="17"/>
        <v>507.10323204385077</v>
      </c>
      <c r="J99" s="179" t="e">
        <f t="shared" si="15"/>
        <v>#N/A</v>
      </c>
      <c r="K99" s="290">
        <f t="shared" si="12"/>
        <v>2.5092745807819394</v>
      </c>
      <c r="M99" s="153">
        <f t="shared" si="13"/>
        <v>2025</v>
      </c>
      <c r="N99" s="177" t="str">
        <f t="shared" si="14"/>
        <v>Q2</v>
      </c>
      <c r="O99" s="177" t="str">
        <f t="shared" si="9"/>
        <v>2025Q2</v>
      </c>
      <c r="P99" s="184">
        <v>62050.319664052222</v>
      </c>
      <c r="Q99" s="184">
        <v>62363.043599717392</v>
      </c>
      <c r="R99" s="184">
        <v>585.28412774609001</v>
      </c>
      <c r="S99" s="189">
        <v>54510.190519624688</v>
      </c>
      <c r="T99" s="189"/>
      <c r="U99" s="189">
        <v>1453.9471250160732</v>
      </c>
    </row>
    <row r="100" spans="1:21" x14ac:dyDescent="0.2">
      <c r="A100" s="158">
        <v>2009</v>
      </c>
      <c r="B100" s="158">
        <v>3</v>
      </c>
      <c r="C100" s="153" t="str">
        <f t="shared" si="10"/>
        <v>20093</v>
      </c>
      <c r="D100" s="153" t="str">
        <f t="shared" si="16"/>
        <v>Q1</v>
      </c>
      <c r="E100" s="153" t="e">
        <f t="shared" si="17"/>
        <v>#N/A</v>
      </c>
      <c r="F100" s="153" t="e">
        <f t="shared" si="17"/>
        <v>#N/A</v>
      </c>
      <c r="G100" s="153">
        <f t="shared" si="17"/>
        <v>39351.75300796557</v>
      </c>
      <c r="H100" s="153">
        <f t="shared" si="17"/>
        <v>1272.4612500000003</v>
      </c>
      <c r="I100" s="153">
        <f t="shared" si="17"/>
        <v>507.10323204385077</v>
      </c>
      <c r="J100" s="179" t="e">
        <f t="shared" si="15"/>
        <v>#N/A</v>
      </c>
      <c r="K100" s="290">
        <f t="shared" si="12"/>
        <v>2.5092745807819394</v>
      </c>
      <c r="L100" s="158"/>
      <c r="M100" s="153">
        <f t="shared" si="13"/>
        <v>2025</v>
      </c>
      <c r="N100" s="177" t="str">
        <f t="shared" si="14"/>
        <v>Q3</v>
      </c>
      <c r="O100" s="177" t="str">
        <f t="shared" si="9"/>
        <v>2025Q3</v>
      </c>
      <c r="P100" s="184">
        <v>62409.50600756405</v>
      </c>
      <c r="Q100" s="184">
        <v>62726.230105282419</v>
      </c>
      <c r="R100" s="184">
        <v>586.71769037746685</v>
      </c>
      <c r="S100" s="189">
        <v>54815.658019537463</v>
      </c>
      <c r="T100" s="189"/>
      <c r="U100" s="189">
        <v>1457.1942335058652</v>
      </c>
    </row>
    <row r="101" spans="1:21" x14ac:dyDescent="0.2">
      <c r="A101" s="153">
        <v>2009</v>
      </c>
      <c r="B101" s="153">
        <v>4</v>
      </c>
      <c r="C101" s="153" t="str">
        <f t="shared" si="10"/>
        <v>20094</v>
      </c>
      <c r="D101" s="153" t="str">
        <f t="shared" si="16"/>
        <v>Q2</v>
      </c>
      <c r="E101" s="153" t="e">
        <f t="shared" si="17"/>
        <v>#N/A</v>
      </c>
      <c r="F101" s="153" t="e">
        <f t="shared" si="17"/>
        <v>#N/A</v>
      </c>
      <c r="G101" s="153">
        <f t="shared" si="17"/>
        <v>39473.581717535344</v>
      </c>
      <c r="H101" s="153">
        <f t="shared" si="17"/>
        <v>1275.1770000000001</v>
      </c>
      <c r="I101" s="153">
        <f t="shared" si="17"/>
        <v>508.03044735539709</v>
      </c>
      <c r="J101" s="179" t="e">
        <f t="shared" si="15"/>
        <v>#N/A</v>
      </c>
      <c r="K101" s="290">
        <f t="shared" si="12"/>
        <v>2.5100405037494515</v>
      </c>
      <c r="M101" s="153">
        <f t="shared" si="13"/>
        <v>2025</v>
      </c>
      <c r="N101" s="177" t="str">
        <f t="shared" si="14"/>
        <v>Q4</v>
      </c>
      <c r="O101" s="177" t="str">
        <f t="shared" si="9"/>
        <v>2025Q4</v>
      </c>
      <c r="P101" s="184">
        <v>62742.181406358097</v>
      </c>
      <c r="Q101" s="184">
        <v>63062.47703619286</v>
      </c>
      <c r="R101" s="184">
        <v>588.28258891207736</v>
      </c>
      <c r="S101" s="189">
        <v>55097.083363484009</v>
      </c>
      <c r="T101" s="189"/>
      <c r="U101" s="189">
        <v>1460.8211194182309</v>
      </c>
    </row>
    <row r="102" spans="1:21" x14ac:dyDescent="0.2">
      <c r="A102" s="153">
        <v>2009</v>
      </c>
      <c r="B102" s="153">
        <v>5</v>
      </c>
      <c r="C102" s="153" t="str">
        <f t="shared" si="10"/>
        <v>20095</v>
      </c>
      <c r="D102" s="153" t="str">
        <f t="shared" si="16"/>
        <v>Q2</v>
      </c>
      <c r="E102" s="153" t="e">
        <f t="shared" si="17"/>
        <v>#N/A</v>
      </c>
      <c r="F102" s="153" t="e">
        <f t="shared" si="17"/>
        <v>#N/A</v>
      </c>
      <c r="G102" s="153">
        <f t="shared" si="17"/>
        <v>39473.581717535344</v>
      </c>
      <c r="H102" s="153">
        <f t="shared" si="17"/>
        <v>1275.1770000000001</v>
      </c>
      <c r="I102" s="153">
        <f t="shared" si="17"/>
        <v>508.03044735539709</v>
      </c>
      <c r="J102" s="179" t="e">
        <f t="shared" si="15"/>
        <v>#N/A</v>
      </c>
      <c r="K102" s="290">
        <f t="shared" si="12"/>
        <v>2.5100405037494515</v>
      </c>
      <c r="M102" s="153">
        <f t="shared" si="13"/>
        <v>2026</v>
      </c>
      <c r="N102" s="177" t="str">
        <f t="shared" si="14"/>
        <v>Q1</v>
      </c>
      <c r="O102" s="177" t="str">
        <f t="shared" si="9"/>
        <v>2026Q1</v>
      </c>
      <c r="P102" s="184">
        <v>63362.688751551832</v>
      </c>
      <c r="Q102" s="184">
        <v>63679.995156813718</v>
      </c>
      <c r="R102" s="184">
        <v>589.37830105097646</v>
      </c>
      <c r="S102" s="189">
        <v>55569.291010852481</v>
      </c>
      <c r="T102" s="189"/>
      <c r="U102" s="189">
        <v>1463.215955317683</v>
      </c>
    </row>
    <row r="103" spans="1:21" x14ac:dyDescent="0.2">
      <c r="A103" s="153">
        <v>2009</v>
      </c>
      <c r="B103" s="153">
        <v>6</v>
      </c>
      <c r="C103" s="153" t="str">
        <f t="shared" si="10"/>
        <v>20096</v>
      </c>
      <c r="D103" s="153" t="str">
        <f t="shared" si="16"/>
        <v>Q2</v>
      </c>
      <c r="E103" s="153" t="e">
        <f t="shared" si="17"/>
        <v>#N/A</v>
      </c>
      <c r="F103" s="153" t="e">
        <f t="shared" si="17"/>
        <v>#N/A</v>
      </c>
      <c r="G103" s="153">
        <f t="shared" si="17"/>
        <v>39473.581717535344</v>
      </c>
      <c r="H103" s="153">
        <f t="shared" si="17"/>
        <v>1275.1770000000001</v>
      </c>
      <c r="I103" s="153">
        <f t="shared" si="17"/>
        <v>508.03044735539709</v>
      </c>
      <c r="J103" s="179" t="e">
        <f t="shared" si="15"/>
        <v>#N/A</v>
      </c>
      <c r="K103" s="290">
        <f t="shared" si="12"/>
        <v>2.5100405037494515</v>
      </c>
      <c r="M103" s="153">
        <f t="shared" si="13"/>
        <v>2026</v>
      </c>
      <c r="N103" s="177" t="str">
        <f t="shared" si="14"/>
        <v>Q2</v>
      </c>
      <c r="O103" s="177" t="str">
        <f t="shared" si="9"/>
        <v>2026Q2</v>
      </c>
      <c r="P103" s="184">
        <v>63629.396308887401</v>
      </c>
      <c r="Q103" s="184">
        <v>63942.296386732778</v>
      </c>
      <c r="R103" s="184">
        <v>590.83563704066819</v>
      </c>
      <c r="S103" s="189">
        <v>55793.331632268848</v>
      </c>
      <c r="T103" s="189"/>
      <c r="U103" s="189">
        <v>1466.4564562701637</v>
      </c>
    </row>
    <row r="104" spans="1:21" x14ac:dyDescent="0.2">
      <c r="A104" s="153">
        <v>2009</v>
      </c>
      <c r="B104" s="153">
        <v>7</v>
      </c>
      <c r="C104" s="153" t="str">
        <f t="shared" si="10"/>
        <v>20097</v>
      </c>
      <c r="D104" s="153" t="str">
        <f t="shared" si="16"/>
        <v>Q3</v>
      </c>
      <c r="E104" s="153" t="e">
        <f t="shared" si="17"/>
        <v>#N/A</v>
      </c>
      <c r="F104" s="153" t="e">
        <f t="shared" si="17"/>
        <v>#N/A</v>
      </c>
      <c r="G104" s="153">
        <f t="shared" si="17"/>
        <v>39137.875476073954</v>
      </c>
      <c r="H104" s="153">
        <f t="shared" si="17"/>
        <v>1277.9733333333331</v>
      </c>
      <c r="I104" s="153">
        <f t="shared" si="17"/>
        <v>509.99647779192645</v>
      </c>
      <c r="J104" s="179" t="e">
        <f t="shared" si="15"/>
        <v>#N/A</v>
      </c>
      <c r="K104" s="290">
        <f t="shared" si="12"/>
        <v>2.5058473714689726</v>
      </c>
      <c r="M104" s="153">
        <f t="shared" si="13"/>
        <v>2026</v>
      </c>
      <c r="N104" s="177" t="str">
        <f t="shared" si="14"/>
        <v>Q3</v>
      </c>
      <c r="O104" s="177" t="str">
        <f t="shared" si="9"/>
        <v>2026Q3</v>
      </c>
      <c r="P104" s="184">
        <v>64004.846484140224</v>
      </c>
      <c r="Q104" s="184">
        <v>64316.825564788895</v>
      </c>
      <c r="R104" s="184">
        <v>592.037050251849</v>
      </c>
      <c r="S104" s="189">
        <v>56112.35191472694</v>
      </c>
      <c r="T104" s="189"/>
      <c r="U104" s="189">
        <v>1468.9613247427073</v>
      </c>
    </row>
    <row r="105" spans="1:21" x14ac:dyDescent="0.2">
      <c r="A105" s="153">
        <v>2009</v>
      </c>
      <c r="B105" s="153">
        <v>8</v>
      </c>
      <c r="C105" s="153" t="str">
        <f t="shared" si="10"/>
        <v>20098</v>
      </c>
      <c r="D105" s="153" t="str">
        <f t="shared" si="16"/>
        <v>Q3</v>
      </c>
      <c r="E105" s="153" t="e">
        <f t="shared" si="17"/>
        <v>#N/A</v>
      </c>
      <c r="F105" s="153" t="e">
        <f t="shared" si="17"/>
        <v>#N/A</v>
      </c>
      <c r="G105" s="153">
        <f t="shared" si="17"/>
        <v>39137.875476073954</v>
      </c>
      <c r="H105" s="153">
        <f t="shared" si="17"/>
        <v>1277.9733333333331</v>
      </c>
      <c r="I105" s="153">
        <f t="shared" si="17"/>
        <v>509.99647779192645</v>
      </c>
      <c r="J105" s="179" t="e">
        <f t="shared" si="15"/>
        <v>#N/A</v>
      </c>
      <c r="K105" s="290">
        <f t="shared" si="12"/>
        <v>2.5058473714689726</v>
      </c>
      <c r="M105" s="153">
        <f t="shared" si="13"/>
        <v>2026</v>
      </c>
      <c r="N105" s="177" t="str">
        <f t="shared" si="14"/>
        <v>Q4</v>
      </c>
      <c r="O105" s="177" t="str">
        <f t="shared" si="9"/>
        <v>2026Q4</v>
      </c>
      <c r="P105" s="184">
        <v>64412.030044891799</v>
      </c>
      <c r="Q105" s="184">
        <v>64722.049740127404</v>
      </c>
      <c r="R105" s="184">
        <v>593.44700159440708</v>
      </c>
      <c r="S105" s="189">
        <v>56458.331396926224</v>
      </c>
      <c r="T105" s="189"/>
      <c r="U105" s="189">
        <v>1472.189134430844</v>
      </c>
    </row>
    <row r="106" spans="1:21" x14ac:dyDescent="0.2">
      <c r="A106" s="153">
        <v>2009</v>
      </c>
      <c r="B106" s="153">
        <v>9</v>
      </c>
      <c r="C106" s="153" t="str">
        <f t="shared" si="10"/>
        <v>20099</v>
      </c>
      <c r="D106" s="153" t="str">
        <f t="shared" si="16"/>
        <v>Q3</v>
      </c>
      <c r="E106" s="153" t="e">
        <f t="shared" si="17"/>
        <v>#N/A</v>
      </c>
      <c r="F106" s="153" t="e">
        <f t="shared" si="17"/>
        <v>#N/A</v>
      </c>
      <c r="G106" s="153">
        <f t="shared" si="17"/>
        <v>39137.875476073954</v>
      </c>
      <c r="H106" s="153">
        <f t="shared" si="17"/>
        <v>1277.9733333333331</v>
      </c>
      <c r="I106" s="153">
        <f t="shared" si="17"/>
        <v>509.99647779192645</v>
      </c>
      <c r="J106" s="179" t="e">
        <f t="shared" si="15"/>
        <v>#N/A</v>
      </c>
      <c r="K106" s="290">
        <f t="shared" si="12"/>
        <v>2.5058473714689726</v>
      </c>
      <c r="M106" s="153">
        <f t="shared" si="13"/>
        <v>2027</v>
      </c>
      <c r="N106" s="177" t="str">
        <f t="shared" si="14"/>
        <v>Q1</v>
      </c>
      <c r="O106" s="177" t="str">
        <f t="shared" si="9"/>
        <v>2027Q1</v>
      </c>
      <c r="P106" s="184">
        <v>64974.999834221002</v>
      </c>
      <c r="Q106" s="184">
        <v>65284.701681984123</v>
      </c>
      <c r="R106" s="184">
        <v>594.82095610078215</v>
      </c>
      <c r="S106" s="189">
        <v>56964.713161103646</v>
      </c>
      <c r="T106" s="189"/>
      <c r="U106" s="189">
        <v>1475.2980818535743</v>
      </c>
    </row>
    <row r="107" spans="1:21" x14ac:dyDescent="0.2">
      <c r="A107" s="153">
        <v>2009</v>
      </c>
      <c r="B107" s="153">
        <v>10</v>
      </c>
      <c r="C107" s="153" t="str">
        <f t="shared" si="10"/>
        <v>200910</v>
      </c>
      <c r="D107" s="153" t="str">
        <f t="shared" si="16"/>
        <v>Q4</v>
      </c>
      <c r="E107" s="153" t="e">
        <f t="shared" si="17"/>
        <v>#N/A</v>
      </c>
      <c r="F107" s="153" t="e">
        <f t="shared" si="17"/>
        <v>#N/A</v>
      </c>
      <c r="G107" s="153">
        <f t="shared" si="17"/>
        <v>39094.688351422847</v>
      </c>
      <c r="H107" s="153">
        <f t="shared" si="17"/>
        <v>1280.7696666666668</v>
      </c>
      <c r="I107" s="153">
        <f t="shared" si="17"/>
        <v>512.09889540358517</v>
      </c>
      <c r="J107" s="179" t="e">
        <f t="shared" si="15"/>
        <v>#N/A</v>
      </c>
      <c r="K107" s="290">
        <f t="shared" si="12"/>
        <v>2.5010201704444062</v>
      </c>
      <c r="M107" s="153">
        <f t="shared" si="13"/>
        <v>2027</v>
      </c>
      <c r="N107" s="177" t="str">
        <f t="shared" si="14"/>
        <v>Q2</v>
      </c>
      <c r="O107" s="177" t="str">
        <f t="shared" si="9"/>
        <v>2027Q2</v>
      </c>
      <c r="P107" s="184">
        <v>65318.514519129116</v>
      </c>
      <c r="Q107" s="184">
        <v>65633.084744984415</v>
      </c>
      <c r="R107" s="184">
        <v>596.17989665720165</v>
      </c>
      <c r="S107" s="189">
        <v>57254.533685953822</v>
      </c>
      <c r="T107" s="189"/>
      <c r="U107" s="189">
        <v>1478.3078936440054</v>
      </c>
    </row>
    <row r="108" spans="1:21" x14ac:dyDescent="0.2">
      <c r="A108" s="153">
        <v>2009</v>
      </c>
      <c r="B108" s="153">
        <v>11</v>
      </c>
      <c r="C108" s="153" t="str">
        <f t="shared" si="10"/>
        <v>200911</v>
      </c>
      <c r="D108" s="153" t="str">
        <f t="shared" si="16"/>
        <v>Q4</v>
      </c>
      <c r="E108" s="153" t="e">
        <f t="shared" si="17"/>
        <v>#N/A</v>
      </c>
      <c r="F108" s="153" t="e">
        <f t="shared" si="17"/>
        <v>#N/A</v>
      </c>
      <c r="G108" s="153">
        <f t="shared" si="17"/>
        <v>39094.688351422847</v>
      </c>
      <c r="H108" s="153">
        <f t="shared" si="17"/>
        <v>1280.7696666666668</v>
      </c>
      <c r="I108" s="153">
        <f t="shared" si="17"/>
        <v>512.09889540358517</v>
      </c>
      <c r="J108" s="179" t="e">
        <f t="shared" si="15"/>
        <v>#N/A</v>
      </c>
      <c r="K108" s="290">
        <f t="shared" si="12"/>
        <v>2.5010201704444062</v>
      </c>
      <c r="M108" s="153">
        <f t="shared" si="13"/>
        <v>2027</v>
      </c>
      <c r="N108" s="177" t="str">
        <f t="shared" si="14"/>
        <v>Q3</v>
      </c>
      <c r="O108" s="177" t="str">
        <f t="shared" si="9"/>
        <v>2027Q3</v>
      </c>
      <c r="P108" s="184">
        <v>65709.04695624017</v>
      </c>
      <c r="Q108" s="184">
        <v>66031.296698498671</v>
      </c>
      <c r="R108" s="184">
        <v>598.22216419318227</v>
      </c>
      <c r="S108" s="189">
        <v>57588.191423894845</v>
      </c>
      <c r="T108" s="189"/>
      <c r="U108" s="189">
        <v>1481.4953488555889</v>
      </c>
    </row>
    <row r="109" spans="1:21" x14ac:dyDescent="0.2">
      <c r="A109" s="153">
        <v>2009</v>
      </c>
      <c r="B109" s="153">
        <v>12</v>
      </c>
      <c r="C109" s="153" t="str">
        <f t="shared" si="10"/>
        <v>200912</v>
      </c>
      <c r="D109" s="153" t="str">
        <f t="shared" si="16"/>
        <v>Q4</v>
      </c>
      <c r="E109" s="153" t="e">
        <f t="shared" si="17"/>
        <v>#N/A</v>
      </c>
      <c r="F109" s="153" t="e">
        <f t="shared" si="17"/>
        <v>#N/A</v>
      </c>
      <c r="G109" s="153">
        <f t="shared" si="17"/>
        <v>39094.688351422847</v>
      </c>
      <c r="H109" s="153">
        <f t="shared" si="17"/>
        <v>1280.7696666666668</v>
      </c>
      <c r="I109" s="153">
        <f t="shared" si="17"/>
        <v>512.09889540358517</v>
      </c>
      <c r="J109" s="179" t="e">
        <f t="shared" si="15"/>
        <v>#N/A</v>
      </c>
      <c r="K109" s="290">
        <f t="shared" si="12"/>
        <v>2.5010201704444062</v>
      </c>
      <c r="M109" s="153">
        <f t="shared" si="13"/>
        <v>2027</v>
      </c>
      <c r="N109" s="177" t="str">
        <f t="shared" si="14"/>
        <v>Q4</v>
      </c>
      <c r="O109" s="177" t="str">
        <f t="shared" si="9"/>
        <v>2027Q4</v>
      </c>
      <c r="P109" s="184">
        <v>66048.973536911202</v>
      </c>
      <c r="Q109" s="184">
        <v>66376.677470134062</v>
      </c>
      <c r="R109" s="184">
        <v>599.12721202533294</v>
      </c>
      <c r="S109" s="189">
        <v>57876.059941927051</v>
      </c>
      <c r="T109" s="189"/>
      <c r="U109" s="189">
        <v>1483.9849116873886</v>
      </c>
    </row>
    <row r="110" spans="1:21" x14ac:dyDescent="0.2">
      <c r="A110" s="153">
        <v>2010</v>
      </c>
      <c r="B110" s="153">
        <v>1</v>
      </c>
      <c r="C110" s="153" t="str">
        <f t="shared" si="10"/>
        <v>20101</v>
      </c>
      <c r="D110" s="153" t="str">
        <f t="shared" si="16"/>
        <v>Q1</v>
      </c>
      <c r="E110" s="153" t="e">
        <f t="shared" si="17"/>
        <v>#N/A</v>
      </c>
      <c r="F110" s="153" t="e">
        <f t="shared" si="17"/>
        <v>#N/A</v>
      </c>
      <c r="G110" s="153">
        <f t="shared" si="17"/>
        <v>38849.752908087466</v>
      </c>
      <c r="H110" s="153">
        <f t="shared" si="17"/>
        <v>1283.5660000000005</v>
      </c>
      <c r="I110" s="153">
        <f t="shared" si="17"/>
        <v>514.21400000000006</v>
      </c>
      <c r="J110" s="179" t="e">
        <f t="shared" si="15"/>
        <v>#N/A</v>
      </c>
      <c r="K110" s="290">
        <f t="shared" si="12"/>
        <v>2.4961708549358832</v>
      </c>
      <c r="M110" s="153">
        <f t="shared" si="13"/>
        <v>2028</v>
      </c>
      <c r="N110" s="177" t="str">
        <f t="shared" si="14"/>
        <v>Q1</v>
      </c>
      <c r="O110" s="177" t="str">
        <f t="shared" si="9"/>
        <v>2028Q1</v>
      </c>
      <c r="P110" s="184">
        <v>66653.670602091181</v>
      </c>
      <c r="Q110" s="184">
        <v>66976.495148486749</v>
      </c>
      <c r="R110" s="184">
        <v>600.21601911545486</v>
      </c>
      <c r="S110" s="189">
        <v>58418.654423987813</v>
      </c>
      <c r="T110" s="189"/>
      <c r="U110" s="189">
        <v>1487.1113560323031</v>
      </c>
    </row>
    <row r="111" spans="1:21" x14ac:dyDescent="0.2">
      <c r="A111" s="153">
        <v>2010</v>
      </c>
      <c r="B111" s="153">
        <v>2</v>
      </c>
      <c r="C111" s="153" t="str">
        <f t="shared" si="10"/>
        <v>20102</v>
      </c>
      <c r="D111" s="153" t="str">
        <f t="shared" si="16"/>
        <v>Q1</v>
      </c>
      <c r="E111" s="153" t="e">
        <f t="shared" si="17"/>
        <v>#N/A</v>
      </c>
      <c r="F111" s="153" t="e">
        <f t="shared" si="17"/>
        <v>#N/A</v>
      </c>
      <c r="G111" s="153">
        <f t="shared" si="17"/>
        <v>38849.752908087466</v>
      </c>
      <c r="H111" s="153">
        <f t="shared" si="17"/>
        <v>1283.5660000000005</v>
      </c>
      <c r="I111" s="153">
        <f t="shared" si="17"/>
        <v>514.21400000000006</v>
      </c>
      <c r="J111" s="179" t="e">
        <f t="shared" si="15"/>
        <v>#N/A</v>
      </c>
      <c r="K111" s="290">
        <f t="shared" si="12"/>
        <v>2.4961708549358832</v>
      </c>
      <c r="M111" s="153">
        <f t="shared" si="13"/>
        <v>2028</v>
      </c>
      <c r="N111" s="177" t="str">
        <f t="shared" si="14"/>
        <v>Q2</v>
      </c>
      <c r="O111" s="177" t="str">
        <f t="shared" si="9"/>
        <v>2028Q2</v>
      </c>
      <c r="P111" s="184">
        <v>67003.277918885957</v>
      </c>
      <c r="Q111" s="184">
        <v>67327.695952116686</v>
      </c>
      <c r="R111" s="184">
        <v>601.32505611233148</v>
      </c>
      <c r="S111" s="189">
        <v>58713.8376022312</v>
      </c>
      <c r="T111" s="189"/>
      <c r="U111" s="189">
        <v>1490.2081646802681</v>
      </c>
    </row>
    <row r="112" spans="1:21" x14ac:dyDescent="0.2">
      <c r="A112" s="153">
        <v>2010</v>
      </c>
      <c r="B112" s="153">
        <v>3</v>
      </c>
      <c r="C112" s="153" t="str">
        <f t="shared" si="10"/>
        <v>20103</v>
      </c>
      <c r="D112" s="153" t="str">
        <f t="shared" si="16"/>
        <v>Q1</v>
      </c>
      <c r="E112" s="153" t="e">
        <f t="shared" si="17"/>
        <v>#N/A</v>
      </c>
      <c r="F112" s="153" t="e">
        <f t="shared" si="17"/>
        <v>#N/A</v>
      </c>
      <c r="G112" s="153">
        <f t="shared" si="17"/>
        <v>38849.752908087466</v>
      </c>
      <c r="H112" s="153">
        <f t="shared" si="17"/>
        <v>1283.5660000000005</v>
      </c>
      <c r="I112" s="153">
        <f t="shared" si="17"/>
        <v>514.21400000000006</v>
      </c>
      <c r="J112" s="179" t="e">
        <f t="shared" si="15"/>
        <v>#N/A</v>
      </c>
      <c r="K112" s="290">
        <f t="shared" si="12"/>
        <v>2.4961708549358832</v>
      </c>
      <c r="M112" s="153">
        <f t="shared" si="13"/>
        <v>2028</v>
      </c>
      <c r="N112" s="177" t="str">
        <f t="shared" si="14"/>
        <v>Q3</v>
      </c>
      <c r="O112" s="177" t="str">
        <f t="shared" si="9"/>
        <v>2028Q3</v>
      </c>
      <c r="P112" s="184">
        <v>67377.306269378489</v>
      </c>
      <c r="Q112" s="184">
        <v>67705.067180194266</v>
      </c>
      <c r="R112" s="184">
        <v>602.42908481717632</v>
      </c>
      <c r="S112" s="189">
        <v>59006.505698010005</v>
      </c>
      <c r="T112" s="189"/>
      <c r="U112" s="189">
        <v>1493.2999206794384</v>
      </c>
    </row>
    <row r="113" spans="1:21" x14ac:dyDescent="0.2">
      <c r="A113" s="153">
        <v>2010</v>
      </c>
      <c r="B113" s="153">
        <v>4</v>
      </c>
      <c r="C113" s="153" t="str">
        <f t="shared" si="10"/>
        <v>20104</v>
      </c>
      <c r="D113" s="153" t="str">
        <f t="shared" si="16"/>
        <v>Q2</v>
      </c>
      <c r="E113" s="153" t="e">
        <f t="shared" si="17"/>
        <v>#N/A</v>
      </c>
      <c r="F113" s="153" t="e">
        <f t="shared" si="17"/>
        <v>#N/A</v>
      </c>
      <c r="G113" s="153">
        <f t="shared" si="17"/>
        <v>39352.623912366878</v>
      </c>
      <c r="H113" s="153">
        <f t="shared" si="17"/>
        <v>1286.3918115642771</v>
      </c>
      <c r="I113" s="153">
        <f t="shared" si="17"/>
        <v>515.32310720002329</v>
      </c>
      <c r="J113" s="179" t="e">
        <f t="shared" si="15"/>
        <v>#N/A</v>
      </c>
      <c r="K113" s="290">
        <f t="shared" si="12"/>
        <v>2.4962820288688561</v>
      </c>
      <c r="M113" s="153">
        <f t="shared" si="13"/>
        <v>2028</v>
      </c>
      <c r="N113" s="177" t="str">
        <f t="shared" si="14"/>
        <v>Q4</v>
      </c>
      <c r="O113" s="177" t="str">
        <f t="shared" si="9"/>
        <v>2028Q4</v>
      </c>
      <c r="P113" s="184">
        <v>67715.029238597548</v>
      </c>
      <c r="Q113" s="184">
        <v>68044.867191694342</v>
      </c>
      <c r="R113" s="184">
        <v>603.77402706422311</v>
      </c>
      <c r="S113" s="189">
        <v>59266.994694104913</v>
      </c>
      <c r="T113" s="189"/>
      <c r="U113" s="189">
        <v>1496.411470119825</v>
      </c>
    </row>
    <row r="114" spans="1:21" x14ac:dyDescent="0.2">
      <c r="A114" s="153">
        <v>2010</v>
      </c>
      <c r="B114" s="153">
        <v>5</v>
      </c>
      <c r="C114" s="153" t="str">
        <f t="shared" si="10"/>
        <v>20105</v>
      </c>
      <c r="D114" s="153" t="str">
        <f t="shared" si="16"/>
        <v>Q2</v>
      </c>
      <c r="E114" s="153" t="e">
        <f t="shared" si="17"/>
        <v>#N/A</v>
      </c>
      <c r="F114" s="153" t="e">
        <f t="shared" si="17"/>
        <v>#N/A</v>
      </c>
      <c r="G114" s="153">
        <f t="shared" si="17"/>
        <v>39352.623912366878</v>
      </c>
      <c r="H114" s="153">
        <f t="shared" si="17"/>
        <v>1286.3918115642771</v>
      </c>
      <c r="I114" s="153">
        <f t="shared" si="17"/>
        <v>515.32310720002329</v>
      </c>
      <c r="J114" s="179" t="e">
        <f t="shared" si="15"/>
        <v>#N/A</v>
      </c>
      <c r="K114" s="290">
        <f t="shared" si="12"/>
        <v>2.4962820288688561</v>
      </c>
      <c r="M114" s="153">
        <f t="shared" si="13"/>
        <v>2029</v>
      </c>
      <c r="N114" s="177" t="str">
        <f t="shared" si="14"/>
        <v>Q1</v>
      </c>
      <c r="O114" s="177" t="str">
        <f t="shared" si="9"/>
        <v>2029Q1</v>
      </c>
      <c r="P114" s="184">
        <v>68427.096185706236</v>
      </c>
      <c r="Q114" s="184">
        <v>68756.221720633665</v>
      </c>
      <c r="R114" s="184">
        <v>604.87579551826514</v>
      </c>
      <c r="S114" s="189">
        <v>59877.087698330462</v>
      </c>
      <c r="T114" s="189"/>
      <c r="U114" s="189">
        <v>1498.8940832056842</v>
      </c>
    </row>
    <row r="115" spans="1:21" x14ac:dyDescent="0.2">
      <c r="A115" s="153">
        <v>2010</v>
      </c>
      <c r="B115" s="153">
        <v>6</v>
      </c>
      <c r="C115" s="153" t="str">
        <f t="shared" si="10"/>
        <v>20106</v>
      </c>
      <c r="D115" s="153" t="str">
        <f t="shared" si="16"/>
        <v>Q2</v>
      </c>
      <c r="E115" s="153" t="e">
        <f t="shared" si="17"/>
        <v>#N/A</v>
      </c>
      <c r="F115" s="153" t="e">
        <f t="shared" si="17"/>
        <v>#N/A</v>
      </c>
      <c r="G115" s="153">
        <f t="shared" si="17"/>
        <v>39352.623912366878</v>
      </c>
      <c r="H115" s="153">
        <f t="shared" si="17"/>
        <v>1286.3918115642771</v>
      </c>
      <c r="I115" s="153">
        <f t="shared" si="17"/>
        <v>515.32310720002329</v>
      </c>
      <c r="J115" s="179" t="e">
        <f t="shared" si="15"/>
        <v>#N/A</v>
      </c>
      <c r="K115" s="290">
        <f t="shared" si="12"/>
        <v>2.4962820288688561</v>
      </c>
      <c r="M115" s="153">
        <f t="shared" si="13"/>
        <v>2029</v>
      </c>
      <c r="N115" s="177" t="str">
        <f t="shared" si="14"/>
        <v>Q2</v>
      </c>
      <c r="O115" s="177" t="str">
        <f t="shared" ref="O115:O169" si="18">M115&amp;N115</f>
        <v>2029Q2</v>
      </c>
      <c r="P115" s="184">
        <v>68896.049265940164</v>
      </c>
      <c r="Q115" s="184">
        <v>69227.503470655385</v>
      </c>
      <c r="R115" s="184">
        <v>606.2176949165962</v>
      </c>
      <c r="S115" s="189">
        <v>60277.737576157888</v>
      </c>
      <c r="T115" s="189"/>
      <c r="U115" s="189">
        <v>1501.9716137818423</v>
      </c>
    </row>
    <row r="116" spans="1:21" x14ac:dyDescent="0.2">
      <c r="A116" s="153">
        <v>2010</v>
      </c>
      <c r="B116" s="153">
        <v>7</v>
      </c>
      <c r="C116" s="153" t="str">
        <f t="shared" si="10"/>
        <v>20107</v>
      </c>
      <c r="D116" s="153" t="str">
        <f t="shared" si="16"/>
        <v>Q3</v>
      </c>
      <c r="E116" s="153" t="e">
        <f t="shared" si="17"/>
        <v>#N/A</v>
      </c>
      <c r="F116" s="153" t="e">
        <f t="shared" si="17"/>
        <v>#N/A</v>
      </c>
      <c r="G116" s="153">
        <f t="shared" si="17"/>
        <v>39753.15333007311</v>
      </c>
      <c r="H116" s="153">
        <f t="shared" si="17"/>
        <v>1288.6361092618649</v>
      </c>
      <c r="I116" s="153">
        <f t="shared" si="17"/>
        <v>515.96317830861892</v>
      </c>
      <c r="J116" s="179" t="e">
        <f t="shared" si="15"/>
        <v>#N/A</v>
      </c>
      <c r="K116" s="290">
        <f t="shared" si="12"/>
        <v>2.4975350246623189</v>
      </c>
      <c r="M116" s="153">
        <f t="shared" si="13"/>
        <v>2029</v>
      </c>
      <c r="N116" s="177" t="str">
        <f t="shared" si="14"/>
        <v>Q3</v>
      </c>
      <c r="O116" s="177" t="str">
        <f t="shared" si="18"/>
        <v>2029Q3</v>
      </c>
      <c r="P116" s="184">
        <v>69267.679663533185</v>
      </c>
      <c r="Q116" s="184">
        <v>69601.896570986006</v>
      </c>
      <c r="R116" s="184">
        <v>607.55440562869467</v>
      </c>
      <c r="S116" s="189">
        <v>60511.781745148182</v>
      </c>
      <c r="T116" s="189"/>
      <c r="U116" s="189">
        <v>1505.0383744277997</v>
      </c>
    </row>
    <row r="117" spans="1:21" x14ac:dyDescent="0.2">
      <c r="A117" s="153">
        <v>2010</v>
      </c>
      <c r="B117" s="153">
        <v>8</v>
      </c>
      <c r="C117" s="153" t="str">
        <f t="shared" si="10"/>
        <v>20108</v>
      </c>
      <c r="D117" s="153" t="str">
        <f t="shared" si="16"/>
        <v>Q3</v>
      </c>
      <c r="E117" s="153" t="e">
        <f t="shared" si="17"/>
        <v>#N/A</v>
      </c>
      <c r="F117" s="153" t="e">
        <f t="shared" si="17"/>
        <v>#N/A</v>
      </c>
      <c r="G117" s="153">
        <f t="shared" si="17"/>
        <v>39753.15333007311</v>
      </c>
      <c r="H117" s="153">
        <f t="shared" si="17"/>
        <v>1288.6361092618649</v>
      </c>
      <c r="I117" s="153">
        <f t="shared" si="17"/>
        <v>515.96317830861892</v>
      </c>
      <c r="J117" s="179" t="e">
        <f t="shared" si="15"/>
        <v>#N/A</v>
      </c>
      <c r="K117" s="290">
        <f t="shared" si="12"/>
        <v>2.4975350246623189</v>
      </c>
      <c r="M117" s="153">
        <f t="shared" si="13"/>
        <v>2029</v>
      </c>
      <c r="N117" s="177" t="str">
        <f t="shared" si="14"/>
        <v>Q4</v>
      </c>
      <c r="O117" s="177" t="str">
        <f t="shared" si="18"/>
        <v>2029Q4</v>
      </c>
      <c r="P117" s="184">
        <v>69616.872443598026</v>
      </c>
      <c r="Q117" s="184">
        <v>69952.673464513704</v>
      </c>
      <c r="R117" s="184">
        <v>608.86789054647124</v>
      </c>
      <c r="S117" s="189">
        <v>60805.872480766535</v>
      </c>
      <c r="T117" s="189"/>
      <c r="U117" s="189">
        <v>1508.0969329650397</v>
      </c>
    </row>
    <row r="118" spans="1:21" x14ac:dyDescent="0.2">
      <c r="A118" s="153">
        <v>2010</v>
      </c>
      <c r="B118" s="153">
        <v>9</v>
      </c>
      <c r="C118" s="153" t="str">
        <f t="shared" si="10"/>
        <v>20109</v>
      </c>
      <c r="D118" s="153" t="str">
        <f t="shared" si="16"/>
        <v>Q3</v>
      </c>
      <c r="E118" s="153" t="e">
        <f t="shared" si="17"/>
        <v>#N/A</v>
      </c>
      <c r="F118" s="153" t="e">
        <f t="shared" si="17"/>
        <v>#N/A</v>
      </c>
      <c r="G118" s="153">
        <f t="shared" si="17"/>
        <v>39753.15333007311</v>
      </c>
      <c r="H118" s="153">
        <f t="shared" si="17"/>
        <v>1288.6361092618649</v>
      </c>
      <c r="I118" s="153">
        <f t="shared" si="17"/>
        <v>515.96317830861892</v>
      </c>
      <c r="J118" s="179" t="e">
        <f t="shared" si="15"/>
        <v>#N/A</v>
      </c>
      <c r="K118" s="290">
        <f t="shared" si="12"/>
        <v>2.4975350246623189</v>
      </c>
      <c r="M118" s="153">
        <f t="shared" si="13"/>
        <v>2030</v>
      </c>
      <c r="N118" s="177" t="str">
        <f t="shared" si="14"/>
        <v>Q1</v>
      </c>
      <c r="O118" s="177" t="str">
        <f t="shared" si="18"/>
        <v>2030Q1</v>
      </c>
      <c r="P118" s="184">
        <v>70364.867792941979</v>
      </c>
      <c r="Q118" s="184">
        <v>70698.221810073999</v>
      </c>
      <c r="R118" s="184">
        <v>610.18524311972146</v>
      </c>
      <c r="S118" s="189">
        <v>61466.666126746961</v>
      </c>
      <c r="T118" s="189"/>
      <c r="U118" s="189">
        <v>1511.1514067649505</v>
      </c>
    </row>
    <row r="119" spans="1:21" x14ac:dyDescent="0.2">
      <c r="A119" s="153">
        <v>2010</v>
      </c>
      <c r="B119" s="153">
        <v>10</v>
      </c>
      <c r="C119" s="153" t="str">
        <f t="shared" si="10"/>
        <v>201010</v>
      </c>
      <c r="D119" s="153" t="str">
        <f t="shared" si="16"/>
        <v>Q4</v>
      </c>
      <c r="E119" s="153" t="e">
        <f t="shared" si="17"/>
        <v>#N/A</v>
      </c>
      <c r="F119" s="153" t="e">
        <f t="shared" si="17"/>
        <v>#N/A</v>
      </c>
      <c r="G119" s="153">
        <f t="shared" si="17"/>
        <v>39757.383833693879</v>
      </c>
      <c r="H119" s="153">
        <f t="shared" si="17"/>
        <v>1290.8602084795916</v>
      </c>
      <c r="I119" s="153">
        <f t="shared" si="17"/>
        <v>516.54545003244323</v>
      </c>
      <c r="J119" s="179" t="e">
        <f t="shared" si="15"/>
        <v>#N/A</v>
      </c>
      <c r="K119" s="290">
        <f t="shared" si="12"/>
        <v>2.4990254166376165</v>
      </c>
      <c r="M119" s="153">
        <f t="shared" si="13"/>
        <v>2030</v>
      </c>
      <c r="N119" s="177" t="str">
        <f t="shared" si="14"/>
        <v>Q2</v>
      </c>
      <c r="O119" s="177" t="str">
        <f t="shared" si="18"/>
        <v>2030Q2</v>
      </c>
      <c r="P119" s="184">
        <v>70777.855287694008</v>
      </c>
      <c r="Q119" s="184">
        <v>71141.199136964584</v>
      </c>
      <c r="R119" s="184">
        <v>611.3547516287606</v>
      </c>
      <c r="S119" s="189">
        <v>61814.830377760452</v>
      </c>
      <c r="T119" s="189"/>
      <c r="U119" s="189">
        <v>1513.6282170670941</v>
      </c>
    </row>
    <row r="120" spans="1:21" x14ac:dyDescent="0.2">
      <c r="A120" s="153">
        <v>2010</v>
      </c>
      <c r="B120" s="153">
        <v>11</v>
      </c>
      <c r="C120" s="153" t="str">
        <f t="shared" si="10"/>
        <v>201011</v>
      </c>
      <c r="D120" s="153" t="str">
        <f t="shared" si="16"/>
        <v>Q4</v>
      </c>
      <c r="E120" s="153" t="e">
        <f t="shared" si="17"/>
        <v>#N/A</v>
      </c>
      <c r="F120" s="153" t="e">
        <f t="shared" si="17"/>
        <v>#N/A</v>
      </c>
      <c r="G120" s="153">
        <f t="shared" si="17"/>
        <v>39757.383833693879</v>
      </c>
      <c r="H120" s="153">
        <f t="shared" si="17"/>
        <v>1290.8602084795916</v>
      </c>
      <c r="I120" s="153">
        <f t="shared" si="17"/>
        <v>516.54545003244323</v>
      </c>
      <c r="J120" s="179" t="e">
        <f t="shared" si="15"/>
        <v>#N/A</v>
      </c>
      <c r="K120" s="290">
        <f t="shared" si="12"/>
        <v>2.4990254166376165</v>
      </c>
      <c r="M120" s="153">
        <f t="shared" si="13"/>
        <v>2030</v>
      </c>
      <c r="N120" s="177" t="str">
        <f t="shared" si="14"/>
        <v>Q3</v>
      </c>
      <c r="O120" s="177" t="str">
        <f t="shared" si="18"/>
        <v>2030Q3</v>
      </c>
      <c r="P120" s="184">
        <v>71131.464015764475</v>
      </c>
      <c r="Q120" s="184">
        <v>71500.032486065014</v>
      </c>
      <c r="R120" s="184">
        <v>612.70205142698967</v>
      </c>
      <c r="S120" s="189">
        <v>62118.659604022723</v>
      </c>
      <c r="T120" s="189"/>
      <c r="U120" s="189">
        <v>1516.6646655985724</v>
      </c>
    </row>
    <row r="121" spans="1:21" x14ac:dyDescent="0.2">
      <c r="A121" s="153">
        <v>2010</v>
      </c>
      <c r="B121" s="153">
        <v>12</v>
      </c>
      <c r="C121" s="153" t="str">
        <f t="shared" si="10"/>
        <v>201012</v>
      </c>
      <c r="D121" s="153" t="str">
        <f t="shared" si="16"/>
        <v>Q4</v>
      </c>
      <c r="E121" s="153" t="e">
        <f t="shared" si="17"/>
        <v>#N/A</v>
      </c>
      <c r="F121" s="153" t="e">
        <f t="shared" si="17"/>
        <v>#N/A</v>
      </c>
      <c r="G121" s="153">
        <f t="shared" si="17"/>
        <v>39757.383833693879</v>
      </c>
      <c r="H121" s="153">
        <f t="shared" si="17"/>
        <v>1290.8602084795916</v>
      </c>
      <c r="I121" s="153">
        <f t="shared" si="17"/>
        <v>516.54545003244323</v>
      </c>
      <c r="J121" s="179" t="e">
        <f t="shared" si="15"/>
        <v>#N/A</v>
      </c>
      <c r="K121" s="290">
        <f t="shared" si="12"/>
        <v>2.4990254166376165</v>
      </c>
      <c r="M121" s="153">
        <f t="shared" si="13"/>
        <v>2030</v>
      </c>
      <c r="N121" s="177" t="str">
        <f t="shared" si="14"/>
        <v>Q4</v>
      </c>
      <c r="O121" s="177" t="str">
        <f t="shared" si="18"/>
        <v>2030Q4</v>
      </c>
      <c r="P121" s="184">
        <v>71490.912054701315</v>
      </c>
      <c r="Q121" s="184">
        <v>71848.080741235812</v>
      </c>
      <c r="R121" s="184">
        <v>614.03698657838606</v>
      </c>
      <c r="S121" s="189">
        <v>62422.456993532964</v>
      </c>
      <c r="T121" s="189"/>
      <c r="U121" s="189">
        <v>1519.6893055405494</v>
      </c>
    </row>
    <row r="122" spans="1:21" x14ac:dyDescent="0.2">
      <c r="A122" s="153">
        <v>2011</v>
      </c>
      <c r="B122" s="153">
        <v>1</v>
      </c>
      <c r="C122" s="153" t="str">
        <f t="shared" si="10"/>
        <v>20111</v>
      </c>
      <c r="D122" s="153" t="str">
        <f t="shared" si="16"/>
        <v>Q1</v>
      </c>
      <c r="E122" s="153" t="e">
        <f t="shared" si="17"/>
        <v>#N/A</v>
      </c>
      <c r="F122" s="153" t="e">
        <f t="shared" si="17"/>
        <v>#N/A</v>
      </c>
      <c r="G122" s="153">
        <f t="shared" si="17"/>
        <v>39737.516530036453</v>
      </c>
      <c r="H122" s="153">
        <f t="shared" si="17"/>
        <v>1293.0639465124377</v>
      </c>
      <c r="I122" s="153">
        <f t="shared" si="17"/>
        <v>517.67568896974944</v>
      </c>
      <c r="J122" s="179" t="e">
        <f t="shared" si="15"/>
        <v>#N/A</v>
      </c>
      <c r="K122" s="290">
        <f t="shared" si="12"/>
        <v>2.4978262917577307</v>
      </c>
      <c r="L122" s="177"/>
      <c r="M122" s="153">
        <f t="shared" si="13"/>
        <v>2031</v>
      </c>
      <c r="N122" s="177" t="str">
        <f t="shared" si="14"/>
        <v>Q1</v>
      </c>
      <c r="O122" s="177" t="str">
        <f t="shared" si="18"/>
        <v>2031Q1</v>
      </c>
      <c r="P122" s="184">
        <v>72154.452838788478</v>
      </c>
      <c r="Q122" s="184">
        <v>72493.791389787977</v>
      </c>
      <c r="R122" s="184">
        <v>615.33249350408596</v>
      </c>
      <c r="S122" s="189">
        <v>63011.686044511735</v>
      </c>
      <c r="T122" s="189"/>
      <c r="U122" s="189">
        <v>1522.7063615677707</v>
      </c>
    </row>
    <row r="123" spans="1:21" x14ac:dyDescent="0.2">
      <c r="A123" s="153">
        <v>2011</v>
      </c>
      <c r="B123" s="153">
        <v>2</v>
      </c>
      <c r="C123" s="153" t="str">
        <f t="shared" si="10"/>
        <v>20112</v>
      </c>
      <c r="D123" s="153" t="str">
        <f t="shared" si="16"/>
        <v>Q1</v>
      </c>
      <c r="E123" s="153" t="e">
        <f t="shared" si="17"/>
        <v>#N/A</v>
      </c>
      <c r="F123" s="153" t="e">
        <f t="shared" si="17"/>
        <v>#N/A</v>
      </c>
      <c r="G123" s="153">
        <f t="shared" si="17"/>
        <v>39737.516530036453</v>
      </c>
      <c r="H123" s="153">
        <f t="shared" si="17"/>
        <v>1293.0639465124377</v>
      </c>
      <c r="I123" s="153">
        <f t="shared" si="17"/>
        <v>517.67568896974944</v>
      </c>
      <c r="J123" s="179" t="e">
        <f t="shared" si="15"/>
        <v>#N/A</v>
      </c>
      <c r="K123" s="290">
        <f t="shared" si="12"/>
        <v>2.4978262917577307</v>
      </c>
      <c r="L123" s="177"/>
      <c r="M123" s="153">
        <f t="shared" si="13"/>
        <v>2031</v>
      </c>
      <c r="N123" s="177" t="str">
        <f t="shared" si="14"/>
        <v>Q2</v>
      </c>
      <c r="O123" s="177" t="str">
        <f t="shared" si="18"/>
        <v>2031Q2</v>
      </c>
      <c r="P123" s="184">
        <v>72559.902554295157</v>
      </c>
      <c r="Q123" s="184">
        <v>72894.066059992998</v>
      </c>
      <c r="R123" s="184">
        <v>616.63853988313849</v>
      </c>
      <c r="S123" s="189">
        <v>63354.072173494787</v>
      </c>
      <c r="T123" s="189"/>
      <c r="U123" s="189">
        <v>1525.7175629361911</v>
      </c>
    </row>
    <row r="124" spans="1:21" x14ac:dyDescent="0.2">
      <c r="A124" s="153">
        <v>2011</v>
      </c>
      <c r="B124" s="153">
        <v>3</v>
      </c>
      <c r="C124" s="153" t="str">
        <f t="shared" si="10"/>
        <v>20113</v>
      </c>
      <c r="D124" s="153" t="str">
        <f t="shared" si="16"/>
        <v>Q1</v>
      </c>
      <c r="E124" s="153" t="e">
        <f t="shared" si="17"/>
        <v>#N/A</v>
      </c>
      <c r="F124" s="153" t="e">
        <f t="shared" si="17"/>
        <v>#N/A</v>
      </c>
      <c r="G124" s="153">
        <f t="shared" si="17"/>
        <v>39737.516530036453</v>
      </c>
      <c r="H124" s="153">
        <f t="shared" si="17"/>
        <v>1293.0639465124377</v>
      </c>
      <c r="I124" s="153">
        <f t="shared" si="17"/>
        <v>517.67568896974944</v>
      </c>
      <c r="J124" s="179" t="e">
        <f t="shared" si="15"/>
        <v>#N/A</v>
      </c>
      <c r="K124" s="290">
        <f t="shared" si="12"/>
        <v>2.4978262917577307</v>
      </c>
      <c r="L124" s="177"/>
      <c r="M124" s="153">
        <f t="shared" si="13"/>
        <v>2031</v>
      </c>
      <c r="N124" s="177" t="str">
        <f t="shared" si="14"/>
        <v>Q3</v>
      </c>
      <c r="O124" s="177" t="str">
        <f t="shared" si="18"/>
        <v>2031Q3</v>
      </c>
      <c r="P124" s="184">
        <v>72947.17829110453</v>
      </c>
      <c r="Q124" s="184">
        <v>73279.92378896811</v>
      </c>
      <c r="R124" s="184">
        <v>617.73989758699781</v>
      </c>
      <c r="S124" s="189">
        <v>63686.068810866331</v>
      </c>
      <c r="T124" s="189"/>
      <c r="U124" s="189">
        <v>1528.1911768049849</v>
      </c>
    </row>
    <row r="125" spans="1:21" x14ac:dyDescent="0.2">
      <c r="A125" s="153">
        <v>2011</v>
      </c>
      <c r="B125" s="153">
        <v>4</v>
      </c>
      <c r="C125" s="153" t="str">
        <f t="shared" si="10"/>
        <v>20114</v>
      </c>
      <c r="D125" s="153" t="str">
        <f t="shared" si="16"/>
        <v>Q2</v>
      </c>
      <c r="E125" s="153" t="e">
        <f t="shared" si="17"/>
        <v>#N/A</v>
      </c>
      <c r="F125" s="153" t="e">
        <f t="shared" si="17"/>
        <v>#N/A</v>
      </c>
      <c r="G125" s="153">
        <f t="shared" si="17"/>
        <v>39626.695414935333</v>
      </c>
      <c r="H125" s="153">
        <f t="shared" si="17"/>
        <v>1295.2471582141143</v>
      </c>
      <c r="I125" s="153">
        <f t="shared" si="17"/>
        <v>518.48502098041047</v>
      </c>
      <c r="J125" s="179" t="e">
        <f t="shared" si="15"/>
        <v>#N/A</v>
      </c>
      <c r="K125" s="290">
        <f t="shared" si="12"/>
        <v>2.4981380479708237</v>
      </c>
      <c r="L125" s="177"/>
      <c r="M125" s="153">
        <f t="shared" si="13"/>
        <v>2031</v>
      </c>
      <c r="N125" s="177" t="str">
        <f t="shared" si="14"/>
        <v>Q4</v>
      </c>
      <c r="O125" s="177" t="str">
        <f t="shared" si="18"/>
        <v>2031Q4</v>
      </c>
      <c r="P125" s="184">
        <v>73302.889715014593</v>
      </c>
      <c r="Q125" s="184">
        <v>73637.619643594837</v>
      </c>
      <c r="R125" s="184">
        <v>619.04503095209066</v>
      </c>
      <c r="S125" s="189">
        <v>63983.702106726494</v>
      </c>
      <c r="T125" s="189"/>
      <c r="U125" s="189">
        <v>1531.1846149018745</v>
      </c>
    </row>
    <row r="126" spans="1:21" x14ac:dyDescent="0.2">
      <c r="A126" s="153">
        <v>2011</v>
      </c>
      <c r="B126" s="153">
        <v>5</v>
      </c>
      <c r="C126" s="153" t="str">
        <f t="shared" si="10"/>
        <v>20115</v>
      </c>
      <c r="D126" s="153" t="str">
        <f t="shared" si="16"/>
        <v>Q2</v>
      </c>
      <c r="E126" s="153" t="e">
        <f t="shared" si="17"/>
        <v>#N/A</v>
      </c>
      <c r="F126" s="153" t="e">
        <f t="shared" si="17"/>
        <v>#N/A</v>
      </c>
      <c r="G126" s="153">
        <f t="shared" si="17"/>
        <v>39626.695414935333</v>
      </c>
      <c r="H126" s="153">
        <f t="shared" si="17"/>
        <v>1295.2471582141143</v>
      </c>
      <c r="I126" s="153">
        <f t="shared" si="17"/>
        <v>518.48502098041047</v>
      </c>
      <c r="J126" s="179" t="e">
        <f t="shared" si="15"/>
        <v>#N/A</v>
      </c>
      <c r="K126" s="290">
        <f t="shared" si="12"/>
        <v>2.4981380479708237</v>
      </c>
      <c r="L126" s="177"/>
      <c r="M126" s="153">
        <f t="shared" si="13"/>
        <v>2032</v>
      </c>
      <c r="N126" s="177" t="str">
        <f t="shared" si="14"/>
        <v>Q1</v>
      </c>
      <c r="O126" s="177" t="str">
        <f t="shared" si="18"/>
        <v>2032Q1</v>
      </c>
      <c r="P126" s="184">
        <v>73892.882474920116</v>
      </c>
      <c r="Q126" s="184">
        <v>74222.548545003141</v>
      </c>
      <c r="R126" s="184">
        <v>620.33944280688956</v>
      </c>
      <c r="S126" s="189">
        <v>64517.895684862429</v>
      </c>
      <c r="T126" s="189"/>
      <c r="U126" s="189">
        <v>1534.1732396647717</v>
      </c>
    </row>
    <row r="127" spans="1:21" x14ac:dyDescent="0.2">
      <c r="A127" s="153">
        <v>2011</v>
      </c>
      <c r="B127" s="153">
        <v>6</v>
      </c>
      <c r="C127" s="153" t="str">
        <f t="shared" si="10"/>
        <v>20116</v>
      </c>
      <c r="D127" s="153" t="str">
        <f t="shared" si="16"/>
        <v>Q2</v>
      </c>
      <c r="E127" s="153" t="e">
        <f t="shared" si="17"/>
        <v>#N/A</v>
      </c>
      <c r="F127" s="153" t="e">
        <f t="shared" si="17"/>
        <v>#N/A</v>
      </c>
      <c r="G127" s="153">
        <f t="shared" si="17"/>
        <v>39626.695414935333</v>
      </c>
      <c r="H127" s="153">
        <f t="shared" si="17"/>
        <v>1295.2471582141143</v>
      </c>
      <c r="I127" s="153">
        <f t="shared" si="17"/>
        <v>518.48502098041047</v>
      </c>
      <c r="J127" s="179" t="e">
        <f t="shared" si="15"/>
        <v>#N/A</v>
      </c>
      <c r="K127" s="290">
        <f t="shared" si="12"/>
        <v>2.4981380479708237</v>
      </c>
      <c r="L127" s="177"/>
      <c r="M127" s="153">
        <f t="shared" si="13"/>
        <v>2032</v>
      </c>
      <c r="N127" s="177" t="str">
        <f t="shared" si="14"/>
        <v>Q2</v>
      </c>
      <c r="O127" s="177" t="str">
        <f t="shared" si="18"/>
        <v>2032Q2</v>
      </c>
      <c r="P127" s="184">
        <v>74286.54715287275</v>
      </c>
      <c r="Q127" s="184">
        <v>74615.843072669348</v>
      </c>
      <c r="R127" s="184">
        <v>621.62665257890262</v>
      </c>
      <c r="S127" s="189">
        <v>64852.902436758101</v>
      </c>
      <c r="T127" s="189"/>
      <c r="U127" s="189">
        <v>1537.1533655279743</v>
      </c>
    </row>
    <row r="128" spans="1:21" x14ac:dyDescent="0.2">
      <c r="A128" s="153">
        <v>2011</v>
      </c>
      <c r="B128" s="153">
        <v>7</v>
      </c>
      <c r="C128" s="153" t="str">
        <f t="shared" si="10"/>
        <v>20117</v>
      </c>
      <c r="D128" s="153" t="str">
        <f t="shared" si="16"/>
        <v>Q3</v>
      </c>
      <c r="E128" s="153" t="e">
        <f t="shared" si="17"/>
        <v>#N/A</v>
      </c>
      <c r="F128" s="153" t="e">
        <f t="shared" si="17"/>
        <v>#N/A</v>
      </c>
      <c r="G128" s="153">
        <f t="shared" si="17"/>
        <v>39675.467395051506</v>
      </c>
      <c r="H128" s="153">
        <f t="shared" si="17"/>
        <v>1297.5168166601879</v>
      </c>
      <c r="I128" s="153">
        <f t="shared" si="17"/>
        <v>519.43601630689602</v>
      </c>
      <c r="J128" s="179" t="e">
        <f t="shared" si="15"/>
        <v>#N/A</v>
      </c>
      <c r="K128" s="290">
        <f t="shared" si="12"/>
        <v>2.4979338665911492</v>
      </c>
      <c r="L128" s="177"/>
      <c r="M128" s="153">
        <f t="shared" si="13"/>
        <v>2032</v>
      </c>
      <c r="N128" s="177" t="str">
        <f t="shared" si="14"/>
        <v>Q3</v>
      </c>
      <c r="O128" s="177" t="str">
        <f t="shared" si="18"/>
        <v>2032Q3</v>
      </c>
      <c r="P128" s="184">
        <v>74677.701351413183</v>
      </c>
      <c r="Q128" s="184">
        <v>75004.889396495564</v>
      </c>
      <c r="R128" s="184">
        <v>623.37824065720486</v>
      </c>
      <c r="S128" s="189">
        <v>65092.663837385568</v>
      </c>
      <c r="T128" s="189"/>
      <c r="U128" s="189">
        <v>1540.1256757532456</v>
      </c>
    </row>
    <row r="129" spans="1:21" x14ac:dyDescent="0.2">
      <c r="A129" s="153">
        <v>2011</v>
      </c>
      <c r="B129" s="153">
        <v>8</v>
      </c>
      <c r="C129" s="153" t="str">
        <f t="shared" si="10"/>
        <v>20118</v>
      </c>
      <c r="D129" s="153" t="str">
        <f t="shared" si="16"/>
        <v>Q3</v>
      </c>
      <c r="E129" s="153" t="e">
        <f t="shared" si="17"/>
        <v>#N/A</v>
      </c>
      <c r="F129" s="153" t="e">
        <f t="shared" si="17"/>
        <v>#N/A</v>
      </c>
      <c r="G129" s="153">
        <f t="shared" si="17"/>
        <v>39675.467395051506</v>
      </c>
      <c r="H129" s="153">
        <f t="shared" si="17"/>
        <v>1297.5168166601879</v>
      </c>
      <c r="I129" s="153">
        <f t="shared" si="17"/>
        <v>519.43601630689602</v>
      </c>
      <c r="J129" s="179" t="e">
        <f t="shared" si="15"/>
        <v>#N/A</v>
      </c>
      <c r="K129" s="290">
        <f t="shared" si="12"/>
        <v>2.4979338665911492</v>
      </c>
      <c r="L129" s="177"/>
      <c r="M129" s="153">
        <f t="shared" si="13"/>
        <v>2032</v>
      </c>
      <c r="N129" s="177" t="str">
        <f t="shared" si="14"/>
        <v>Q4</v>
      </c>
      <c r="O129" s="177" t="str">
        <f t="shared" si="18"/>
        <v>2032Q4</v>
      </c>
      <c r="P129" s="184">
        <v>75018.839637433368</v>
      </c>
      <c r="Q129" s="184">
        <v>75347.198434560967</v>
      </c>
      <c r="R129" s="184">
        <v>624.45561954078835</v>
      </c>
      <c r="S129" s="189">
        <v>65379.712563198897</v>
      </c>
      <c r="T129" s="189"/>
      <c r="U129" s="189">
        <v>1543.0902552909947</v>
      </c>
    </row>
    <row r="130" spans="1:21" x14ac:dyDescent="0.2">
      <c r="A130" s="153">
        <v>2011</v>
      </c>
      <c r="B130" s="153">
        <v>9</v>
      </c>
      <c r="C130" s="153" t="str">
        <f t="shared" si="10"/>
        <v>20119</v>
      </c>
      <c r="D130" s="153" t="str">
        <f t="shared" si="16"/>
        <v>Q3</v>
      </c>
      <c r="E130" s="153" t="e">
        <f t="shared" si="17"/>
        <v>#N/A</v>
      </c>
      <c r="F130" s="153" t="e">
        <f t="shared" si="17"/>
        <v>#N/A</v>
      </c>
      <c r="G130" s="153">
        <f t="shared" si="17"/>
        <v>39675.467395051506</v>
      </c>
      <c r="H130" s="153">
        <f t="shared" si="17"/>
        <v>1297.5168166601879</v>
      </c>
      <c r="I130" s="153">
        <f t="shared" si="17"/>
        <v>519.43601630689602</v>
      </c>
      <c r="J130" s="179" t="e">
        <f t="shared" si="15"/>
        <v>#N/A</v>
      </c>
      <c r="K130" s="290">
        <f t="shared" si="12"/>
        <v>2.4979338665911492</v>
      </c>
      <c r="L130" s="177"/>
      <c r="M130" s="153">
        <f t="shared" si="13"/>
        <v>2033</v>
      </c>
      <c r="N130" s="177" t="str">
        <f t="shared" si="14"/>
        <v>Q1</v>
      </c>
      <c r="O130" s="177" t="str">
        <f t="shared" si="18"/>
        <v>2033Q1</v>
      </c>
      <c r="P130" s="184">
        <v>75622.511547575166</v>
      </c>
      <c r="Q130" s="184">
        <v>75938.992063069731</v>
      </c>
      <c r="R130" s="184">
        <v>625.62452554154856</v>
      </c>
      <c r="S130" s="189">
        <v>65915.343848067831</v>
      </c>
      <c r="T130" s="189"/>
      <c r="U130" s="189">
        <v>1545.5577487173284</v>
      </c>
    </row>
    <row r="131" spans="1:21" x14ac:dyDescent="0.2">
      <c r="A131" s="153">
        <v>2011</v>
      </c>
      <c r="B131" s="153">
        <v>10</v>
      </c>
      <c r="C131" s="153" t="str">
        <f t="shared" ref="C131:C194" si="19">A131&amp;B131</f>
        <v>201110</v>
      </c>
      <c r="D131" s="153" t="str">
        <f t="shared" si="16"/>
        <v>Q4</v>
      </c>
      <c r="E131" s="153" t="e">
        <f t="shared" si="17"/>
        <v>#N/A</v>
      </c>
      <c r="F131" s="153" t="e">
        <f t="shared" si="17"/>
        <v>#N/A</v>
      </c>
      <c r="G131" s="153">
        <f t="shared" si="17"/>
        <v>39786.860383818384</v>
      </c>
      <c r="H131" s="153">
        <f t="shared" si="17"/>
        <v>1298.9792497819678</v>
      </c>
      <c r="I131" s="153">
        <f t="shared" si="17"/>
        <v>520.05141137481951</v>
      </c>
      <c r="J131" s="179" t="e">
        <f t="shared" si="15"/>
        <v>#N/A</v>
      </c>
      <c r="K131" s="290">
        <f t="shared" ref="K131:K169" si="20">H131/I131</f>
        <v>2.4977900672319246</v>
      </c>
      <c r="L131" s="177"/>
      <c r="M131" s="153">
        <f t="shared" si="13"/>
        <v>2033</v>
      </c>
      <c r="N131" s="177" t="str">
        <f t="shared" si="14"/>
        <v>Q2</v>
      </c>
      <c r="O131" s="177" t="str">
        <f t="shared" si="18"/>
        <v>2033Q2</v>
      </c>
      <c r="P131" s="184">
        <v>76044.102609842666</v>
      </c>
      <c r="Q131" s="184">
        <v>76355.027748633205</v>
      </c>
      <c r="R131" s="184">
        <v>626.92111190625531</v>
      </c>
      <c r="S131" s="189">
        <v>66272.860998632343</v>
      </c>
      <c r="T131" s="189"/>
      <c r="U131" s="189">
        <v>1548.506319874994</v>
      </c>
    </row>
    <row r="132" spans="1:21" x14ac:dyDescent="0.2">
      <c r="A132" s="153">
        <v>2011</v>
      </c>
      <c r="B132" s="153">
        <v>11</v>
      </c>
      <c r="C132" s="153" t="str">
        <f t="shared" si="19"/>
        <v>201111</v>
      </c>
      <c r="D132" s="153" t="str">
        <f t="shared" si="16"/>
        <v>Q4</v>
      </c>
      <c r="E132" s="153" t="e">
        <f t="shared" si="17"/>
        <v>#N/A</v>
      </c>
      <c r="F132" s="153" t="e">
        <f t="shared" si="17"/>
        <v>#N/A</v>
      </c>
      <c r="G132" s="153">
        <f t="shared" si="17"/>
        <v>39786.860383818384</v>
      </c>
      <c r="H132" s="153">
        <f t="shared" si="17"/>
        <v>1298.9792497819678</v>
      </c>
      <c r="I132" s="153">
        <f t="shared" si="17"/>
        <v>520.05141137481951</v>
      </c>
      <c r="J132" s="179" t="e">
        <f t="shared" si="15"/>
        <v>#N/A</v>
      </c>
      <c r="K132" s="290">
        <f t="shared" si="20"/>
        <v>2.4977900672319246</v>
      </c>
      <c r="L132" s="177"/>
      <c r="M132" s="153">
        <f t="shared" si="13"/>
        <v>2033</v>
      </c>
      <c r="N132" s="177" t="str">
        <f t="shared" si="14"/>
        <v>Q3</v>
      </c>
      <c r="O132" s="177" t="str">
        <f t="shared" si="18"/>
        <v>2033Q3</v>
      </c>
      <c r="P132" s="184">
        <v>76401.237009678138</v>
      </c>
      <c r="Q132" s="184">
        <v>76705.908046822544</v>
      </c>
      <c r="R132" s="184">
        <v>628.22467281158686</v>
      </c>
      <c r="S132" s="189">
        <v>66575.69117880259</v>
      </c>
      <c r="T132" s="189"/>
      <c r="U132" s="189">
        <v>1551.4503927163839</v>
      </c>
    </row>
    <row r="133" spans="1:21" x14ac:dyDescent="0.2">
      <c r="A133" s="153">
        <v>2011</v>
      </c>
      <c r="B133" s="153">
        <v>12</v>
      </c>
      <c r="C133" s="153" t="str">
        <f t="shared" si="19"/>
        <v>201112</v>
      </c>
      <c r="D133" s="153" t="str">
        <f t="shared" si="16"/>
        <v>Q4</v>
      </c>
      <c r="E133" s="153" t="e">
        <f t="shared" si="17"/>
        <v>#N/A</v>
      </c>
      <c r="F133" s="153" t="e">
        <f t="shared" si="17"/>
        <v>#N/A</v>
      </c>
      <c r="G133" s="153">
        <f t="shared" si="17"/>
        <v>39786.860383818384</v>
      </c>
      <c r="H133" s="153">
        <f t="shared" si="17"/>
        <v>1298.9792497819678</v>
      </c>
      <c r="I133" s="153">
        <f t="shared" si="17"/>
        <v>520.05141137481951</v>
      </c>
      <c r="J133" s="179" t="e">
        <f t="shared" si="15"/>
        <v>#N/A</v>
      </c>
      <c r="K133" s="290">
        <f t="shared" si="20"/>
        <v>2.4977900672319246</v>
      </c>
      <c r="L133" s="177"/>
      <c r="M133" s="153">
        <f t="shared" si="13"/>
        <v>2033</v>
      </c>
      <c r="N133" s="177" t="str">
        <f t="shared" si="14"/>
        <v>Q4</v>
      </c>
      <c r="O133" s="177" t="str">
        <f t="shared" si="18"/>
        <v>2033Q4</v>
      </c>
      <c r="P133" s="184">
        <v>76724.367272314863</v>
      </c>
      <c r="Q133" s="184">
        <v>77025.956742555834</v>
      </c>
      <c r="R133" s="184">
        <v>629.55095525810873</v>
      </c>
      <c r="S133" s="189">
        <v>66846.031778371878</v>
      </c>
      <c r="T133" s="189"/>
      <c r="U133" s="189">
        <v>1554.3843935328114</v>
      </c>
    </row>
    <row r="134" spans="1:21" x14ac:dyDescent="0.2">
      <c r="A134" s="153">
        <v>2012</v>
      </c>
      <c r="B134" s="153">
        <v>1</v>
      </c>
      <c r="C134" s="153" t="str">
        <f t="shared" si="19"/>
        <v>20121</v>
      </c>
      <c r="D134" s="153" t="str">
        <f t="shared" si="16"/>
        <v>Q1</v>
      </c>
      <c r="E134" s="153" t="e">
        <f t="shared" si="17"/>
        <v>#N/A</v>
      </c>
      <c r="F134" s="153" t="e">
        <f t="shared" si="17"/>
        <v>#N/A</v>
      </c>
      <c r="G134" s="153">
        <f t="shared" si="17"/>
        <v>39800.138297807738</v>
      </c>
      <c r="H134" s="153">
        <f t="shared" si="17"/>
        <v>1301.2622358208077</v>
      </c>
      <c r="I134" s="153">
        <f t="shared" si="17"/>
        <v>521.38354769033094</v>
      </c>
      <c r="J134" s="179" t="e">
        <f>E134/E122-1</f>
        <v>#N/A</v>
      </c>
      <c r="K134" s="290">
        <f t="shared" si="20"/>
        <v>2.4957869146144898</v>
      </c>
      <c r="M134" s="153">
        <f t="shared" si="13"/>
        <v>2034</v>
      </c>
      <c r="N134" s="177" t="str">
        <f t="shared" si="14"/>
        <v>Q1</v>
      </c>
      <c r="O134" s="177" t="str">
        <f t="shared" si="18"/>
        <v>2034Q1</v>
      </c>
      <c r="P134" s="184">
        <v>77361.600414525266</v>
      </c>
      <c r="Q134" s="184">
        <v>77655.22701699438</v>
      </c>
      <c r="R134" s="184">
        <v>630.6911643598304</v>
      </c>
      <c r="S134" s="189">
        <v>67408.698459790423</v>
      </c>
      <c r="T134" s="189"/>
      <c r="U134" s="189">
        <v>1556.8511776228941</v>
      </c>
    </row>
    <row r="135" spans="1:21" x14ac:dyDescent="0.2">
      <c r="A135" s="153">
        <v>2012</v>
      </c>
      <c r="B135" s="153">
        <v>2</v>
      </c>
      <c r="C135" s="153" t="str">
        <f t="shared" si="19"/>
        <v>20122</v>
      </c>
      <c r="D135" s="153" t="str">
        <f t="shared" si="16"/>
        <v>Q1</v>
      </c>
      <c r="E135" s="153" t="e">
        <f t="shared" si="17"/>
        <v>#N/A</v>
      </c>
      <c r="F135" s="153" t="e">
        <f t="shared" si="17"/>
        <v>#N/A</v>
      </c>
      <c r="G135" s="153">
        <f t="shared" si="17"/>
        <v>39800.138297807738</v>
      </c>
      <c r="H135" s="153">
        <f t="shared" si="17"/>
        <v>1301.2622358208077</v>
      </c>
      <c r="I135" s="153">
        <f t="shared" si="17"/>
        <v>521.38354769033094</v>
      </c>
      <c r="J135" s="179" t="e">
        <f t="shared" ref="J135:J198" si="21">E135/E123-1</f>
        <v>#N/A</v>
      </c>
      <c r="K135" s="290">
        <f t="shared" si="20"/>
        <v>2.4957869146144898</v>
      </c>
      <c r="M135" s="153">
        <f t="shared" ref="M135:M169" si="22">M131+1</f>
        <v>2034</v>
      </c>
      <c r="N135" s="177" t="str">
        <f t="shared" ref="N135:N169" si="23">N131</f>
        <v>Q2</v>
      </c>
      <c r="O135" s="177" t="str">
        <f t="shared" si="18"/>
        <v>2034Q2</v>
      </c>
      <c r="P135" s="184">
        <v>77804.088767413923</v>
      </c>
      <c r="Q135" s="184">
        <v>78092.661062107727</v>
      </c>
      <c r="R135" s="184">
        <v>632.01744040657491</v>
      </c>
      <c r="S135" s="189">
        <v>67784.731090709829</v>
      </c>
      <c r="T135" s="189"/>
      <c r="U135" s="189">
        <v>1559.7722494363395</v>
      </c>
    </row>
    <row r="136" spans="1:21" x14ac:dyDescent="0.2">
      <c r="A136" s="153">
        <v>2012</v>
      </c>
      <c r="B136" s="153">
        <v>3</v>
      </c>
      <c r="C136" s="153" t="str">
        <f t="shared" si="19"/>
        <v>20123</v>
      </c>
      <c r="D136" s="153" t="str">
        <f t="shared" si="16"/>
        <v>Q1</v>
      </c>
      <c r="E136" s="153" t="e">
        <f t="shared" si="17"/>
        <v>#N/A</v>
      </c>
      <c r="F136" s="153" t="e">
        <f t="shared" si="17"/>
        <v>#N/A</v>
      </c>
      <c r="G136" s="153">
        <f t="shared" si="17"/>
        <v>39800.138297807738</v>
      </c>
      <c r="H136" s="153">
        <f t="shared" si="17"/>
        <v>1301.2622358208077</v>
      </c>
      <c r="I136" s="153">
        <f t="shared" si="17"/>
        <v>521.38354769033094</v>
      </c>
      <c r="J136" s="179" t="e">
        <f t="shared" si="21"/>
        <v>#N/A</v>
      </c>
      <c r="K136" s="290">
        <f t="shared" si="20"/>
        <v>2.4957869146144898</v>
      </c>
      <c r="M136" s="153">
        <f t="shared" si="22"/>
        <v>2034</v>
      </c>
      <c r="N136" s="177" t="str">
        <f t="shared" si="23"/>
        <v>Q3</v>
      </c>
      <c r="O136" s="177" t="str">
        <f t="shared" si="18"/>
        <v>2034Q3</v>
      </c>
      <c r="P136" s="184">
        <v>78194.983351449133</v>
      </c>
      <c r="Q136" s="184">
        <v>78476.656783023223</v>
      </c>
      <c r="R136" s="184">
        <v>633.78713931451284</v>
      </c>
      <c r="S136" s="189">
        <v>68112.672404732177</v>
      </c>
      <c r="T136" s="189"/>
      <c r="U136" s="189">
        <v>1562.6933220055346</v>
      </c>
    </row>
    <row r="137" spans="1:21" x14ac:dyDescent="0.2">
      <c r="A137" s="153">
        <v>2012</v>
      </c>
      <c r="B137" s="153">
        <v>4</v>
      </c>
      <c r="C137" s="153" t="str">
        <f t="shared" si="19"/>
        <v>20124</v>
      </c>
      <c r="D137" s="153" t="str">
        <f t="shared" si="16"/>
        <v>Q2</v>
      </c>
      <c r="E137" s="153" t="e">
        <f t="shared" si="17"/>
        <v>#N/A</v>
      </c>
      <c r="F137" s="153" t="e">
        <f t="shared" si="17"/>
        <v>#N/A</v>
      </c>
      <c r="G137" s="153">
        <f t="shared" si="17"/>
        <v>39988.352967991457</v>
      </c>
      <c r="H137" s="153">
        <f t="shared" si="17"/>
        <v>1303.5421567571614</v>
      </c>
      <c r="I137" s="153">
        <f t="shared" si="17"/>
        <v>522.68128010355463</v>
      </c>
      <c r="J137" s="179" t="e">
        <f t="shared" si="21"/>
        <v>#N/A</v>
      </c>
      <c r="K137" s="290">
        <f t="shared" si="20"/>
        <v>2.4939522542282386</v>
      </c>
      <c r="M137" s="153">
        <f t="shared" si="22"/>
        <v>2034</v>
      </c>
      <c r="N137" s="177" t="str">
        <f t="shared" si="23"/>
        <v>Q4</v>
      </c>
      <c r="O137" s="177" t="str">
        <f t="shared" si="18"/>
        <v>2034Q4</v>
      </c>
      <c r="P137" s="184">
        <v>78569.842100381633</v>
      </c>
      <c r="Q137" s="184">
        <v>78849.878853244038</v>
      </c>
      <c r="R137" s="184">
        <v>634.82440651003947</v>
      </c>
      <c r="S137" s="189">
        <v>68426.110254572006</v>
      </c>
      <c r="T137" s="189"/>
      <c r="U137" s="189">
        <v>1565.6045764336034</v>
      </c>
    </row>
    <row r="138" spans="1:21" x14ac:dyDescent="0.2">
      <c r="A138" s="153">
        <v>2012</v>
      </c>
      <c r="B138" s="153">
        <v>5</v>
      </c>
      <c r="C138" s="153" t="str">
        <f t="shared" si="19"/>
        <v>20125</v>
      </c>
      <c r="D138" s="153" t="str">
        <f t="shared" si="16"/>
        <v>Q2</v>
      </c>
      <c r="E138" s="153" t="e">
        <f t="shared" si="17"/>
        <v>#N/A</v>
      </c>
      <c r="F138" s="153" t="e">
        <f t="shared" si="17"/>
        <v>#N/A</v>
      </c>
      <c r="G138" s="153">
        <f t="shared" si="17"/>
        <v>39988.352967991457</v>
      </c>
      <c r="H138" s="153">
        <f t="shared" si="17"/>
        <v>1303.5421567571614</v>
      </c>
      <c r="I138" s="153">
        <f t="shared" si="17"/>
        <v>522.68128010355463</v>
      </c>
      <c r="J138" s="179" t="e">
        <f t="shared" si="21"/>
        <v>#N/A</v>
      </c>
      <c r="K138" s="290">
        <f t="shared" si="20"/>
        <v>2.4939522542282386</v>
      </c>
      <c r="M138" s="153">
        <f t="shared" si="22"/>
        <v>2035</v>
      </c>
      <c r="N138" s="177" t="str">
        <f t="shared" si="23"/>
        <v>Q1</v>
      </c>
      <c r="O138" s="177" t="str">
        <f t="shared" si="18"/>
        <v>2035Q1</v>
      </c>
      <c r="P138" s="184">
        <v>79327.065111957607</v>
      </c>
      <c r="Q138" s="184">
        <v>79592.814992707834</v>
      </c>
      <c r="R138" s="184">
        <v>636.10270657365675</v>
      </c>
      <c r="S138" s="189">
        <v>69089.969321900251</v>
      </c>
      <c r="T138" s="189"/>
      <c r="U138" s="189">
        <v>1568.508372448882</v>
      </c>
    </row>
    <row r="139" spans="1:21" x14ac:dyDescent="0.2">
      <c r="A139" s="153">
        <v>2012</v>
      </c>
      <c r="B139" s="153">
        <v>6</v>
      </c>
      <c r="C139" s="153" t="str">
        <f t="shared" si="19"/>
        <v>20126</v>
      </c>
      <c r="D139" s="153" t="str">
        <f t="shared" si="16"/>
        <v>Q2</v>
      </c>
      <c r="E139" s="153" t="e">
        <f t="shared" si="17"/>
        <v>#N/A</v>
      </c>
      <c r="F139" s="153" t="e">
        <f t="shared" si="17"/>
        <v>#N/A</v>
      </c>
      <c r="G139" s="153">
        <f t="shared" si="17"/>
        <v>39988.352967991457</v>
      </c>
      <c r="H139" s="153">
        <f t="shared" si="17"/>
        <v>1303.5421567571614</v>
      </c>
      <c r="I139" s="153">
        <f t="shared" si="17"/>
        <v>522.68128010355463</v>
      </c>
      <c r="J139" s="179" t="e">
        <f t="shared" si="21"/>
        <v>#N/A</v>
      </c>
      <c r="K139" s="290">
        <f t="shared" si="20"/>
        <v>2.4939522542282386</v>
      </c>
      <c r="M139" s="153">
        <f t="shared" si="22"/>
        <v>2035</v>
      </c>
      <c r="N139" s="177" t="str">
        <f t="shared" si="23"/>
        <v>Q2</v>
      </c>
      <c r="O139" s="177" t="str">
        <f t="shared" si="18"/>
        <v>2035Q2</v>
      </c>
      <c r="P139" s="184">
        <v>79775.866750003304</v>
      </c>
      <c r="Q139" s="184">
        <v>80038.564728440193</v>
      </c>
      <c r="R139" s="184">
        <v>637.2332381420423</v>
      </c>
      <c r="S139" s="189">
        <v>69470.238709459431</v>
      </c>
      <c r="T139" s="189"/>
      <c r="U139" s="189">
        <v>1570.9755130853168</v>
      </c>
    </row>
    <row r="140" spans="1:21" x14ac:dyDescent="0.2">
      <c r="A140" s="153">
        <v>2012</v>
      </c>
      <c r="B140" s="153">
        <v>7</v>
      </c>
      <c r="C140" s="153" t="str">
        <f t="shared" si="19"/>
        <v>20127</v>
      </c>
      <c r="D140" s="153" t="str">
        <f t="shared" si="16"/>
        <v>Q3</v>
      </c>
      <c r="E140" s="153" t="e">
        <f t="shared" si="17"/>
        <v>#N/A</v>
      </c>
      <c r="F140" s="153" t="e">
        <f t="shared" si="17"/>
        <v>#N/A</v>
      </c>
      <c r="G140" s="153">
        <f t="shared" si="17"/>
        <v>40189.459532165798</v>
      </c>
      <c r="H140" s="153">
        <f t="shared" si="17"/>
        <v>1305.7954720858047</v>
      </c>
      <c r="I140" s="153">
        <f t="shared" si="17"/>
        <v>523.88455449326602</v>
      </c>
      <c r="J140" s="179" t="e">
        <f t="shared" si="21"/>
        <v>#N/A</v>
      </c>
      <c r="K140" s="290">
        <f t="shared" si="20"/>
        <v>2.4925252345888533</v>
      </c>
      <c r="M140" s="153">
        <f t="shared" si="22"/>
        <v>2035</v>
      </c>
      <c r="N140" s="177" t="str">
        <f t="shared" si="23"/>
        <v>Q3</v>
      </c>
      <c r="O140" s="177" t="str">
        <f t="shared" si="18"/>
        <v>2035Q3</v>
      </c>
      <c r="P140" s="184">
        <v>80188.833797223924</v>
      </c>
      <c r="Q140" s="184">
        <v>80448.560257494624</v>
      </c>
      <c r="R140" s="184">
        <v>638.46766289449954</v>
      </c>
      <c r="S140" s="189">
        <v>69817.684773173722</v>
      </c>
      <c r="T140" s="189"/>
      <c r="U140" s="189">
        <v>1573.8678014536194</v>
      </c>
    </row>
    <row r="141" spans="1:21" x14ac:dyDescent="0.2">
      <c r="A141" s="153">
        <v>2012</v>
      </c>
      <c r="B141" s="153">
        <v>8</v>
      </c>
      <c r="C141" s="153" t="str">
        <f t="shared" si="19"/>
        <v>20128</v>
      </c>
      <c r="D141" s="153" t="str">
        <f t="shared" si="16"/>
        <v>Q3</v>
      </c>
      <c r="E141" s="153" t="e">
        <f t="shared" si="17"/>
        <v>#N/A</v>
      </c>
      <c r="F141" s="153" t="e">
        <f t="shared" si="17"/>
        <v>#N/A</v>
      </c>
      <c r="G141" s="153">
        <f t="shared" si="17"/>
        <v>40189.459532165798</v>
      </c>
      <c r="H141" s="153">
        <f t="shared" si="17"/>
        <v>1305.7954720858047</v>
      </c>
      <c r="I141" s="153">
        <f t="shared" si="17"/>
        <v>523.88455449326602</v>
      </c>
      <c r="J141" s="179" t="e">
        <f t="shared" si="21"/>
        <v>#N/A</v>
      </c>
      <c r="K141" s="290">
        <f t="shared" si="20"/>
        <v>2.4925252345888533</v>
      </c>
      <c r="M141" s="153">
        <f t="shared" si="22"/>
        <v>2035</v>
      </c>
      <c r="N141" s="177" t="str">
        <f t="shared" si="23"/>
        <v>Q4</v>
      </c>
      <c r="O141" s="177" t="str">
        <f t="shared" si="18"/>
        <v>2035Q4</v>
      </c>
      <c r="P141" s="184">
        <v>80608.182294844941</v>
      </c>
      <c r="Q141" s="184">
        <v>80868.700466583585</v>
      </c>
      <c r="R141" s="184">
        <v>639.73205991686507</v>
      </c>
      <c r="S141" s="189">
        <v>70167.400418664678</v>
      </c>
      <c r="T141" s="189"/>
      <c r="U141" s="189">
        <v>1576.7503003609072</v>
      </c>
    </row>
    <row r="142" spans="1:21" x14ac:dyDescent="0.2">
      <c r="A142" s="153">
        <v>2012</v>
      </c>
      <c r="B142" s="153">
        <v>9</v>
      </c>
      <c r="C142" s="153" t="str">
        <f t="shared" si="19"/>
        <v>20129</v>
      </c>
      <c r="D142" s="153" t="str">
        <f t="shared" si="16"/>
        <v>Q3</v>
      </c>
      <c r="E142" s="153" t="e">
        <f t="shared" si="17"/>
        <v>#N/A</v>
      </c>
      <c r="F142" s="153" t="e">
        <f t="shared" si="17"/>
        <v>#N/A</v>
      </c>
      <c r="G142" s="153">
        <f t="shared" si="17"/>
        <v>40189.459532165798</v>
      </c>
      <c r="H142" s="153">
        <f t="shared" si="17"/>
        <v>1305.7954720858047</v>
      </c>
      <c r="I142" s="153">
        <f t="shared" si="17"/>
        <v>523.88455449326602</v>
      </c>
      <c r="J142" s="179" t="e">
        <f t="shared" si="21"/>
        <v>#N/A</v>
      </c>
      <c r="K142" s="290">
        <f t="shared" si="20"/>
        <v>2.4925252345888533</v>
      </c>
      <c r="M142" s="153">
        <f t="shared" si="22"/>
        <v>2036</v>
      </c>
      <c r="N142" s="177" t="str">
        <f t="shared" si="23"/>
        <v>Q1</v>
      </c>
      <c r="O142" s="177" t="str">
        <f t="shared" si="18"/>
        <v>2036Q1</v>
      </c>
      <c r="P142" s="184">
        <v>81396.531904044168</v>
      </c>
      <c r="Q142" s="184">
        <v>81644.025422810548</v>
      </c>
      <c r="R142" s="184">
        <v>640.87129782675129</v>
      </c>
      <c r="S142" s="189">
        <v>70857.293052576584</v>
      </c>
      <c r="T142" s="189"/>
      <c r="U142" s="189">
        <v>1579.2169398459446</v>
      </c>
    </row>
    <row r="143" spans="1:21" x14ac:dyDescent="0.2">
      <c r="A143" s="153">
        <v>2012</v>
      </c>
      <c r="B143" s="153">
        <v>10</v>
      </c>
      <c r="C143" s="153" t="str">
        <f t="shared" si="19"/>
        <v>201210</v>
      </c>
      <c r="D143" s="153" t="str">
        <f t="shared" ref="D143:D206" si="24">D131</f>
        <v>Q4</v>
      </c>
      <c r="E143" s="153" t="e">
        <f t="shared" si="17"/>
        <v>#N/A</v>
      </c>
      <c r="F143" s="153" t="e">
        <f t="shared" si="17"/>
        <v>#N/A</v>
      </c>
      <c r="G143" s="153">
        <f t="shared" si="17"/>
        <v>40421.283791564252</v>
      </c>
      <c r="H143" s="153">
        <f t="shared" si="17"/>
        <v>1308.0223962775731</v>
      </c>
      <c r="I143" s="153">
        <f t="shared" si="17"/>
        <v>525.08573646106072</v>
      </c>
      <c r="J143" s="179" t="e">
        <f t="shared" si="21"/>
        <v>#N/A</v>
      </c>
      <c r="K143" s="290">
        <f t="shared" si="20"/>
        <v>2.4910644213901119</v>
      </c>
      <c r="M143" s="153">
        <f t="shared" si="22"/>
        <v>2036</v>
      </c>
      <c r="N143" s="177" t="str">
        <f t="shared" si="23"/>
        <v>Q2</v>
      </c>
      <c r="O143" s="177" t="str">
        <f t="shared" si="18"/>
        <v>2036Q2</v>
      </c>
      <c r="P143" s="184">
        <v>81730.269000960645</v>
      </c>
      <c r="Q143" s="184">
        <v>81967.271758874558</v>
      </c>
      <c r="R143" s="184">
        <v>642.14218493052499</v>
      </c>
      <c r="S143" s="189">
        <v>71135.634899548866</v>
      </c>
      <c r="T143" s="189"/>
      <c r="U143" s="189">
        <v>1582.1005232058155</v>
      </c>
    </row>
    <row r="144" spans="1:21" x14ac:dyDescent="0.2">
      <c r="A144" s="153">
        <v>2012</v>
      </c>
      <c r="B144" s="153">
        <v>11</v>
      </c>
      <c r="C144" s="153" t="str">
        <f t="shared" si="19"/>
        <v>201211</v>
      </c>
      <c r="D144" s="153" t="str">
        <f t="shared" si="24"/>
        <v>Q4</v>
      </c>
      <c r="E144" s="153" t="e">
        <f t="shared" si="17"/>
        <v>#N/A</v>
      </c>
      <c r="F144" s="153" t="e">
        <f t="shared" si="17"/>
        <v>#N/A</v>
      </c>
      <c r="G144" s="153">
        <f t="shared" si="17"/>
        <v>40421.283791564252</v>
      </c>
      <c r="H144" s="153">
        <f t="shared" si="17"/>
        <v>1308.0223962775731</v>
      </c>
      <c r="I144" s="153">
        <f t="shared" si="17"/>
        <v>525.08573646106072</v>
      </c>
      <c r="J144" s="179" t="e">
        <f t="shared" si="21"/>
        <v>#N/A</v>
      </c>
      <c r="K144" s="290">
        <f t="shared" si="20"/>
        <v>2.4910644213901119</v>
      </c>
      <c r="M144" s="153">
        <f t="shared" si="22"/>
        <v>2036</v>
      </c>
      <c r="N144" s="177" t="str">
        <f t="shared" si="23"/>
        <v>Q3</v>
      </c>
      <c r="O144" s="177" t="str">
        <f t="shared" si="18"/>
        <v>2036Q3</v>
      </c>
      <c r="P144" s="184">
        <v>82112.846174416991</v>
      </c>
      <c r="Q144" s="184">
        <v>82344.189384575497</v>
      </c>
      <c r="R144" s="184">
        <v>643.41766149123566</v>
      </c>
      <c r="S144" s="189">
        <v>71458.151592626236</v>
      </c>
      <c r="T144" s="189"/>
      <c r="U144" s="189">
        <v>1584.9823031928072</v>
      </c>
    </row>
    <row r="145" spans="1:21" x14ac:dyDescent="0.2">
      <c r="A145" s="153">
        <v>2012</v>
      </c>
      <c r="B145" s="153">
        <v>12</v>
      </c>
      <c r="C145" s="153" t="str">
        <f t="shared" si="19"/>
        <v>201212</v>
      </c>
      <c r="D145" s="153" t="str">
        <f t="shared" si="24"/>
        <v>Q4</v>
      </c>
      <c r="E145" s="153" t="e">
        <f t="shared" si="17"/>
        <v>#N/A</v>
      </c>
      <c r="F145" s="153" t="e">
        <f t="shared" si="17"/>
        <v>#N/A</v>
      </c>
      <c r="G145" s="153">
        <f t="shared" si="17"/>
        <v>40421.283791564252</v>
      </c>
      <c r="H145" s="153">
        <f t="shared" si="17"/>
        <v>1308.0223962775731</v>
      </c>
      <c r="I145" s="153">
        <f t="shared" si="17"/>
        <v>525.08573646106072</v>
      </c>
      <c r="J145" s="179" t="e">
        <f t="shared" si="21"/>
        <v>#N/A</v>
      </c>
      <c r="K145" s="290">
        <f t="shared" si="20"/>
        <v>2.4910644213901119</v>
      </c>
      <c r="M145" s="153">
        <f t="shared" si="22"/>
        <v>2036</v>
      </c>
      <c r="N145" s="177" t="str">
        <f t="shared" si="23"/>
        <v>Q4</v>
      </c>
      <c r="O145" s="177" t="str">
        <f t="shared" si="18"/>
        <v>2036Q4</v>
      </c>
      <c r="P145" s="184">
        <v>82547.572967280867</v>
      </c>
      <c r="Q145" s="184">
        <v>82778.257657585404</v>
      </c>
      <c r="R145" s="184">
        <v>644.64642834154051</v>
      </c>
      <c r="S145" s="189">
        <v>71824.680357699355</v>
      </c>
      <c r="T145" s="189"/>
      <c r="U145" s="189">
        <v>1587.8631187716624</v>
      </c>
    </row>
    <row r="146" spans="1:21" x14ac:dyDescent="0.2">
      <c r="A146" s="153">
        <v>2013</v>
      </c>
      <c r="B146" s="153">
        <v>1</v>
      </c>
      <c r="C146" s="153" t="str">
        <f t="shared" si="19"/>
        <v>20131</v>
      </c>
      <c r="D146" s="153" t="str">
        <f t="shared" si="24"/>
        <v>Q1</v>
      </c>
      <c r="E146" s="153" t="e">
        <f t="shared" si="17"/>
        <v>#N/A</v>
      </c>
      <c r="F146" s="153" t="e">
        <f t="shared" si="17"/>
        <v>#N/A</v>
      </c>
      <c r="G146" s="153">
        <f t="shared" si="17"/>
        <v>40466.045989246653</v>
      </c>
      <c r="H146" s="153">
        <f t="shared" si="17"/>
        <v>1310.232370241386</v>
      </c>
      <c r="I146" s="153">
        <f t="shared" si="17"/>
        <v>526.252817024004</v>
      </c>
      <c r="J146" s="179" t="e">
        <f t="shared" si="21"/>
        <v>#N/A</v>
      </c>
      <c r="K146" s="290">
        <f t="shared" si="20"/>
        <v>2.4897393949372861</v>
      </c>
      <c r="M146" s="153">
        <f t="shared" si="22"/>
        <v>2037</v>
      </c>
      <c r="N146" s="177" t="str">
        <f t="shared" si="23"/>
        <v>Q1</v>
      </c>
      <c r="O146" s="177" t="str">
        <f t="shared" si="18"/>
        <v>2037Q1</v>
      </c>
      <c r="P146" s="184">
        <v>83259.389468784066</v>
      </c>
      <c r="Q146" s="184">
        <v>83488.181137537118</v>
      </c>
      <c r="R146" s="184">
        <v>646.17868991644832</v>
      </c>
      <c r="S146" s="189">
        <v>72447.763150773302</v>
      </c>
      <c r="T146" s="189"/>
      <c r="U146" s="189">
        <v>1590.3371175079371</v>
      </c>
    </row>
    <row r="147" spans="1:21" x14ac:dyDescent="0.2">
      <c r="A147" s="153">
        <v>2013</v>
      </c>
      <c r="B147" s="153">
        <v>2</v>
      </c>
      <c r="C147" s="153" t="str">
        <f t="shared" si="19"/>
        <v>20132</v>
      </c>
      <c r="D147" s="153" t="str">
        <f t="shared" si="24"/>
        <v>Q1</v>
      </c>
      <c r="E147" s="153" t="e">
        <f t="shared" si="17"/>
        <v>#N/A</v>
      </c>
      <c r="F147" s="153" t="e">
        <f t="shared" si="17"/>
        <v>#N/A</v>
      </c>
      <c r="G147" s="153">
        <f t="shared" si="17"/>
        <v>40466.045989246653</v>
      </c>
      <c r="H147" s="153">
        <f t="shared" si="17"/>
        <v>1310.232370241386</v>
      </c>
      <c r="I147" s="153">
        <f t="shared" si="17"/>
        <v>526.252817024004</v>
      </c>
      <c r="J147" s="179" t="e">
        <f t="shared" si="21"/>
        <v>#N/A</v>
      </c>
      <c r="K147" s="290">
        <f t="shared" si="20"/>
        <v>2.4897393949372861</v>
      </c>
      <c r="M147" s="153">
        <f t="shared" si="22"/>
        <v>2037</v>
      </c>
      <c r="N147" s="177" t="str">
        <f t="shared" si="23"/>
        <v>Q2</v>
      </c>
      <c r="O147" s="177" t="str">
        <f t="shared" si="18"/>
        <v>2037Q2</v>
      </c>
      <c r="P147" s="184">
        <v>83608.441309339018</v>
      </c>
      <c r="Q147" s="184">
        <v>83838.908461589104</v>
      </c>
      <c r="R147" s="184">
        <v>647.24235365531092</v>
      </c>
      <c r="S147" s="189">
        <v>72741.245498345263</v>
      </c>
      <c r="T147" s="189"/>
      <c r="U147" s="189">
        <v>1593.2153142308298</v>
      </c>
    </row>
    <row r="148" spans="1:21" x14ac:dyDescent="0.2">
      <c r="A148" s="153">
        <v>2013</v>
      </c>
      <c r="B148" s="153">
        <v>3</v>
      </c>
      <c r="C148" s="153" t="str">
        <f t="shared" si="19"/>
        <v>20133</v>
      </c>
      <c r="D148" s="153" t="str">
        <f t="shared" si="24"/>
        <v>Q1</v>
      </c>
      <c r="E148" s="153" t="e">
        <f t="shared" si="17"/>
        <v>#N/A</v>
      </c>
      <c r="F148" s="153" t="e">
        <f t="shared" si="17"/>
        <v>#N/A</v>
      </c>
      <c r="G148" s="153">
        <f t="shared" si="17"/>
        <v>40466.045989246653</v>
      </c>
      <c r="H148" s="153">
        <f t="shared" si="17"/>
        <v>1310.232370241386</v>
      </c>
      <c r="I148" s="153">
        <f t="shared" si="17"/>
        <v>526.252817024004</v>
      </c>
      <c r="J148" s="179" t="e">
        <f t="shared" si="21"/>
        <v>#N/A</v>
      </c>
      <c r="K148" s="290">
        <f t="shared" si="20"/>
        <v>2.4897393949372861</v>
      </c>
      <c r="M148" s="153">
        <f t="shared" si="22"/>
        <v>2037</v>
      </c>
      <c r="N148" s="177" t="str">
        <f t="shared" si="23"/>
        <v>Q3</v>
      </c>
      <c r="O148" s="177" t="str">
        <f t="shared" si="18"/>
        <v>2037Q3</v>
      </c>
      <c r="P148" s="184">
        <v>84037.020618810551</v>
      </c>
      <c r="Q148" s="184">
        <v>84280.305932891046</v>
      </c>
      <c r="R148" s="184">
        <v>648.42676799107232</v>
      </c>
      <c r="S148" s="189">
        <v>73102.722593319864</v>
      </c>
      <c r="T148" s="189"/>
      <c r="U148" s="189">
        <v>1596.0959356728197</v>
      </c>
    </row>
    <row r="149" spans="1:21" x14ac:dyDescent="0.2">
      <c r="A149" s="153">
        <v>2013</v>
      </c>
      <c r="B149" s="153">
        <v>4</v>
      </c>
      <c r="C149" s="153" t="str">
        <f t="shared" si="19"/>
        <v>20134</v>
      </c>
      <c r="D149" s="153" t="str">
        <f t="shared" si="24"/>
        <v>Q2</v>
      </c>
      <c r="E149" s="153" t="e">
        <f t="shared" si="17"/>
        <v>#N/A</v>
      </c>
      <c r="F149" s="153" t="e">
        <f t="shared" si="17"/>
        <v>#N/A</v>
      </c>
      <c r="G149" s="153">
        <f t="shared" si="17"/>
        <v>40674.221991986815</v>
      </c>
      <c r="H149" s="153">
        <f t="shared" si="17"/>
        <v>1312.4721746129399</v>
      </c>
      <c r="I149" s="153">
        <f t="shared" si="17"/>
        <v>527.46911783491646</v>
      </c>
      <c r="J149" s="179" t="e">
        <f t="shared" si="21"/>
        <v>#N/A</v>
      </c>
      <c r="K149" s="290">
        <f t="shared" si="20"/>
        <v>2.4882445819770402</v>
      </c>
      <c r="M149" s="153">
        <f t="shared" si="22"/>
        <v>2037</v>
      </c>
      <c r="N149" s="177" t="str">
        <f t="shared" si="23"/>
        <v>Q4</v>
      </c>
      <c r="O149" s="177" t="str">
        <f t="shared" si="18"/>
        <v>2037Q4</v>
      </c>
      <c r="P149" s="184">
        <v>84396.478154365919</v>
      </c>
      <c r="Q149" s="184">
        <v>84661.139092833662</v>
      </c>
      <c r="R149" s="184">
        <v>649.58191279176742</v>
      </c>
      <c r="S149" s="189">
        <v>73402.360419798119</v>
      </c>
      <c r="T149" s="189"/>
      <c r="U149" s="189">
        <v>1598.9764503681336</v>
      </c>
    </row>
    <row r="150" spans="1:21" x14ac:dyDescent="0.2">
      <c r="A150" s="153">
        <v>2013</v>
      </c>
      <c r="B150" s="153">
        <v>5</v>
      </c>
      <c r="C150" s="153" t="str">
        <f t="shared" si="19"/>
        <v>20135</v>
      </c>
      <c r="D150" s="153" t="str">
        <f t="shared" si="24"/>
        <v>Q2</v>
      </c>
      <c r="E150" s="153" t="e">
        <f t="shared" ref="E150:I200" si="25">VLOOKUP($A150&amp;$D150,$O$1:$U$169,MATCH(E$1,$O$1:$U$1,0),0)</f>
        <v>#N/A</v>
      </c>
      <c r="F150" s="153" t="e">
        <f t="shared" si="25"/>
        <v>#N/A</v>
      </c>
      <c r="G150" s="153">
        <f t="shared" si="25"/>
        <v>40674.221991986815</v>
      </c>
      <c r="H150" s="153">
        <f t="shared" si="25"/>
        <v>1312.4721746129399</v>
      </c>
      <c r="I150" s="153">
        <f t="shared" si="25"/>
        <v>527.46911783491646</v>
      </c>
      <c r="J150" s="179" t="e">
        <f t="shared" si="21"/>
        <v>#N/A</v>
      </c>
      <c r="K150" s="290">
        <f t="shared" si="20"/>
        <v>2.4882445819770402</v>
      </c>
      <c r="M150" s="153">
        <f t="shared" si="22"/>
        <v>2038</v>
      </c>
      <c r="N150" s="177" t="str">
        <f t="shared" si="23"/>
        <v>Q1</v>
      </c>
      <c r="O150" s="177" t="str">
        <f t="shared" si="18"/>
        <v>2038Q1</v>
      </c>
      <c r="P150" s="184">
        <v>85274.037022342149</v>
      </c>
      <c r="Q150" s="184">
        <v>85574.597103541644</v>
      </c>
      <c r="R150" s="184">
        <v>650.64643651730421</v>
      </c>
      <c r="S150" s="189">
        <v>74168.296997856392</v>
      </c>
      <c r="T150" s="189"/>
      <c r="U150" s="189">
        <v>1601.4611143230209</v>
      </c>
    </row>
    <row r="151" spans="1:21" x14ac:dyDescent="0.2">
      <c r="A151" s="153">
        <v>2013</v>
      </c>
      <c r="B151" s="153">
        <v>6</v>
      </c>
      <c r="C151" s="153" t="str">
        <f t="shared" si="19"/>
        <v>20136</v>
      </c>
      <c r="D151" s="153" t="str">
        <f t="shared" si="24"/>
        <v>Q2</v>
      </c>
      <c r="E151" s="153" t="e">
        <f t="shared" si="25"/>
        <v>#N/A</v>
      </c>
      <c r="F151" s="153" t="e">
        <f t="shared" si="25"/>
        <v>#N/A</v>
      </c>
      <c r="G151" s="153">
        <f t="shared" si="25"/>
        <v>40674.221991986815</v>
      </c>
      <c r="H151" s="153">
        <f t="shared" si="25"/>
        <v>1312.4721746129399</v>
      </c>
      <c r="I151" s="153">
        <f t="shared" si="25"/>
        <v>527.46911783491646</v>
      </c>
      <c r="J151" s="179" t="e">
        <f t="shared" si="21"/>
        <v>#N/A</v>
      </c>
      <c r="K151" s="290">
        <f t="shared" si="20"/>
        <v>2.4882445819770402</v>
      </c>
      <c r="M151" s="153">
        <f t="shared" si="22"/>
        <v>2038</v>
      </c>
      <c r="N151" s="177" t="str">
        <f t="shared" si="23"/>
        <v>Q2</v>
      </c>
      <c r="O151" s="177" t="str">
        <f t="shared" si="18"/>
        <v>2038Q2</v>
      </c>
      <c r="P151" s="184">
        <v>85614.016958018779</v>
      </c>
      <c r="Q151" s="184">
        <v>85931.40104198792</v>
      </c>
      <c r="R151" s="184">
        <v>651.85894634814315</v>
      </c>
      <c r="S151" s="189">
        <v>74450.486243109015</v>
      </c>
      <c r="T151" s="189"/>
      <c r="U151" s="189">
        <v>1604.3431943766236</v>
      </c>
    </row>
    <row r="152" spans="1:21" x14ac:dyDescent="0.2">
      <c r="A152" s="153">
        <v>2013</v>
      </c>
      <c r="B152" s="153">
        <v>7</v>
      </c>
      <c r="C152" s="153" t="str">
        <f t="shared" si="19"/>
        <v>20137</v>
      </c>
      <c r="D152" s="153" t="str">
        <f t="shared" si="24"/>
        <v>Q3</v>
      </c>
      <c r="E152" s="153" t="e">
        <f t="shared" si="25"/>
        <v>#N/A</v>
      </c>
      <c r="F152" s="153" t="e">
        <f t="shared" si="25"/>
        <v>#N/A</v>
      </c>
      <c r="G152" s="153">
        <f t="shared" si="25"/>
        <v>40887.017192114734</v>
      </c>
      <c r="H152" s="153">
        <f t="shared" si="25"/>
        <v>1314.6929069541804</v>
      </c>
      <c r="I152" s="153">
        <f t="shared" si="25"/>
        <v>528.58111988898156</v>
      </c>
      <c r="J152" s="179" t="e">
        <f t="shared" si="21"/>
        <v>#N/A</v>
      </c>
      <c r="K152" s="290">
        <f t="shared" si="20"/>
        <v>2.4872112481624518</v>
      </c>
      <c r="M152" s="153">
        <f t="shared" si="22"/>
        <v>2038</v>
      </c>
      <c r="N152" s="177" t="str">
        <f t="shared" si="23"/>
        <v>Q3</v>
      </c>
      <c r="O152" s="177" t="str">
        <f t="shared" si="18"/>
        <v>2038Q3</v>
      </c>
      <c r="P152" s="184">
        <v>86051.450056753849</v>
      </c>
      <c r="Q152" s="184">
        <v>86389.039716775442</v>
      </c>
      <c r="R152" s="184">
        <v>652.90882450601555</v>
      </c>
      <c r="S152" s="189">
        <v>74816.632055130074</v>
      </c>
      <c r="T152" s="189"/>
      <c r="U152" s="189">
        <v>1606.83089746121</v>
      </c>
    </row>
    <row r="153" spans="1:21" x14ac:dyDescent="0.2">
      <c r="A153" s="153">
        <v>2013</v>
      </c>
      <c r="B153" s="153">
        <v>8</v>
      </c>
      <c r="C153" s="153" t="str">
        <f t="shared" si="19"/>
        <v>20138</v>
      </c>
      <c r="D153" s="153" t="str">
        <f t="shared" si="24"/>
        <v>Q3</v>
      </c>
      <c r="E153" s="153" t="e">
        <f t="shared" si="25"/>
        <v>#N/A</v>
      </c>
      <c r="F153" s="153" t="e">
        <f t="shared" si="25"/>
        <v>#N/A</v>
      </c>
      <c r="G153" s="153">
        <f t="shared" si="25"/>
        <v>40887.017192114734</v>
      </c>
      <c r="H153" s="153">
        <f t="shared" si="25"/>
        <v>1314.6929069541804</v>
      </c>
      <c r="I153" s="153">
        <f t="shared" si="25"/>
        <v>528.58111988898156</v>
      </c>
      <c r="J153" s="179" t="e">
        <f t="shared" si="21"/>
        <v>#N/A</v>
      </c>
      <c r="K153" s="290">
        <f t="shared" si="20"/>
        <v>2.4872112481624518</v>
      </c>
      <c r="M153" s="153">
        <f t="shared" si="22"/>
        <v>2038</v>
      </c>
      <c r="N153" s="177" t="str">
        <f t="shared" si="23"/>
        <v>Q4</v>
      </c>
      <c r="O153" s="177" t="str">
        <f t="shared" si="18"/>
        <v>2038Q4</v>
      </c>
      <c r="P153" s="184">
        <v>86351.651557606034</v>
      </c>
      <c r="Q153" s="184">
        <v>86718.371741580529</v>
      </c>
      <c r="R153" s="184">
        <v>654.04624818355182</v>
      </c>
      <c r="S153" s="189">
        <v>75064.067244100908</v>
      </c>
      <c r="T153" s="189"/>
      <c r="U153" s="189">
        <v>1609.7258733013837</v>
      </c>
    </row>
    <row r="154" spans="1:21" x14ac:dyDescent="0.2">
      <c r="A154" s="153">
        <v>2013</v>
      </c>
      <c r="B154" s="153">
        <v>9</v>
      </c>
      <c r="C154" s="153" t="str">
        <f t="shared" si="19"/>
        <v>20139</v>
      </c>
      <c r="D154" s="153" t="str">
        <f t="shared" si="24"/>
        <v>Q3</v>
      </c>
      <c r="E154" s="153" t="e">
        <f t="shared" si="25"/>
        <v>#N/A</v>
      </c>
      <c r="F154" s="153" t="e">
        <f t="shared" si="25"/>
        <v>#N/A</v>
      </c>
      <c r="G154" s="153">
        <f t="shared" si="25"/>
        <v>40887.017192114734</v>
      </c>
      <c r="H154" s="153">
        <f t="shared" si="25"/>
        <v>1314.6929069541804</v>
      </c>
      <c r="I154" s="153">
        <f t="shared" si="25"/>
        <v>528.58111988898156</v>
      </c>
      <c r="J154" s="179" t="e">
        <f t="shared" si="21"/>
        <v>#N/A</v>
      </c>
      <c r="K154" s="290">
        <f t="shared" si="20"/>
        <v>2.4872112481624518</v>
      </c>
      <c r="M154" s="153">
        <f t="shared" si="22"/>
        <v>2039</v>
      </c>
      <c r="N154" s="177" t="str">
        <f t="shared" si="23"/>
        <v>Q1</v>
      </c>
      <c r="O154" s="177" t="str">
        <f t="shared" si="18"/>
        <v>2039Q1</v>
      </c>
      <c r="P154" s="184">
        <v>87243.584430366842</v>
      </c>
      <c r="Q154" s="184">
        <v>87643.200215003424</v>
      </c>
      <c r="R154" s="184">
        <v>655.30018451505816</v>
      </c>
      <c r="S154" s="189">
        <v>75840.568404815305</v>
      </c>
      <c r="T154" s="189"/>
      <c r="U154" s="189">
        <v>1612.6175504805458</v>
      </c>
    </row>
    <row r="155" spans="1:21" x14ac:dyDescent="0.2">
      <c r="A155" s="153">
        <v>2013</v>
      </c>
      <c r="B155" s="153">
        <v>10</v>
      </c>
      <c r="C155" s="153" t="str">
        <f t="shared" si="19"/>
        <v>201310</v>
      </c>
      <c r="D155" s="153" t="str">
        <f t="shared" si="24"/>
        <v>Q4</v>
      </c>
      <c r="E155" s="153" t="e">
        <f t="shared" si="25"/>
        <v>#N/A</v>
      </c>
      <c r="F155" s="153" t="e">
        <f t="shared" si="25"/>
        <v>#N/A</v>
      </c>
      <c r="G155" s="153">
        <f t="shared" si="25"/>
        <v>41128.895775846191</v>
      </c>
      <c r="H155" s="153">
        <f t="shared" si="25"/>
        <v>1316.7863350402588</v>
      </c>
      <c r="I155" s="153">
        <f t="shared" si="25"/>
        <v>529.78591162438261</v>
      </c>
      <c r="J155" s="179" t="e">
        <f t="shared" si="21"/>
        <v>#N/A</v>
      </c>
      <c r="K155" s="290">
        <f t="shared" si="20"/>
        <v>2.4855065152692437</v>
      </c>
      <c r="M155" s="153">
        <f t="shared" si="22"/>
        <v>2039</v>
      </c>
      <c r="N155" s="177" t="str">
        <f t="shared" si="23"/>
        <v>Q2</v>
      </c>
      <c r="O155" s="177" t="str">
        <f t="shared" si="18"/>
        <v>2039Q2</v>
      </c>
      <c r="P155" s="184">
        <v>87603.701543726274</v>
      </c>
      <c r="Q155" s="184">
        <v>88021.702728193108</v>
      </c>
      <c r="R155" s="184">
        <v>656.52817840494413</v>
      </c>
      <c r="S155" s="189">
        <v>76141.322355622717</v>
      </c>
      <c r="T155" s="189"/>
      <c r="U155" s="189">
        <v>1615.5089503416345</v>
      </c>
    </row>
    <row r="156" spans="1:21" x14ac:dyDescent="0.2">
      <c r="A156" s="153">
        <v>2013</v>
      </c>
      <c r="B156" s="153">
        <v>11</v>
      </c>
      <c r="C156" s="153" t="str">
        <f t="shared" si="19"/>
        <v>201311</v>
      </c>
      <c r="D156" s="153" t="str">
        <f t="shared" si="24"/>
        <v>Q4</v>
      </c>
      <c r="E156" s="153" t="e">
        <f t="shared" si="25"/>
        <v>#N/A</v>
      </c>
      <c r="F156" s="153" t="e">
        <f t="shared" si="25"/>
        <v>#N/A</v>
      </c>
      <c r="G156" s="153">
        <f t="shared" si="25"/>
        <v>41128.895775846191</v>
      </c>
      <c r="H156" s="153">
        <f t="shared" si="25"/>
        <v>1316.7863350402588</v>
      </c>
      <c r="I156" s="153">
        <f t="shared" si="25"/>
        <v>529.78591162438261</v>
      </c>
      <c r="J156" s="179" t="e">
        <f t="shared" si="21"/>
        <v>#N/A</v>
      </c>
      <c r="K156" s="290">
        <f t="shared" si="20"/>
        <v>2.4855065152692437</v>
      </c>
      <c r="M156" s="153">
        <f t="shared" si="22"/>
        <v>2039</v>
      </c>
      <c r="N156" s="177" t="str">
        <f t="shared" si="23"/>
        <v>Q3</v>
      </c>
      <c r="O156" s="177" t="str">
        <f t="shared" si="18"/>
        <v>2039Q3</v>
      </c>
      <c r="P156" s="184">
        <v>88028.085690623164</v>
      </c>
      <c r="Q156" s="184">
        <v>88475.491524798621</v>
      </c>
      <c r="R156" s="184">
        <v>657.46191608893332</v>
      </c>
      <c r="S156" s="189">
        <v>76492.965770602008</v>
      </c>
      <c r="T156" s="189"/>
      <c r="U156" s="189">
        <v>1617.6029197345481</v>
      </c>
    </row>
    <row r="157" spans="1:21" x14ac:dyDescent="0.2">
      <c r="A157" s="153">
        <v>2013</v>
      </c>
      <c r="B157" s="153">
        <v>12</v>
      </c>
      <c r="C157" s="153" t="str">
        <f t="shared" si="19"/>
        <v>201312</v>
      </c>
      <c r="D157" s="153" t="str">
        <f t="shared" si="24"/>
        <v>Q4</v>
      </c>
      <c r="E157" s="153" t="e">
        <f t="shared" si="25"/>
        <v>#N/A</v>
      </c>
      <c r="F157" s="153" t="e">
        <f t="shared" si="25"/>
        <v>#N/A</v>
      </c>
      <c r="G157" s="153">
        <f t="shared" si="25"/>
        <v>41128.895775846191</v>
      </c>
      <c r="H157" s="153">
        <f t="shared" si="25"/>
        <v>1316.7863350402588</v>
      </c>
      <c r="I157" s="153">
        <f t="shared" si="25"/>
        <v>529.78591162438261</v>
      </c>
      <c r="J157" s="179" t="e">
        <f t="shared" si="21"/>
        <v>#N/A</v>
      </c>
      <c r="K157" s="290">
        <f t="shared" si="20"/>
        <v>2.4855065152692437</v>
      </c>
      <c r="M157" s="153">
        <f t="shared" si="22"/>
        <v>2039</v>
      </c>
      <c r="N157" s="177" t="str">
        <f t="shared" si="23"/>
        <v>Q4</v>
      </c>
      <c r="O157" s="177" t="str">
        <f t="shared" si="18"/>
        <v>2039Q4</v>
      </c>
      <c r="P157" s="184">
        <v>88279.848276366916</v>
      </c>
      <c r="Q157" s="184">
        <v>88756.710931374342</v>
      </c>
      <c r="R157" s="184">
        <v>658.56291460396233</v>
      </c>
      <c r="S157" s="189">
        <v>76695.004703515413</v>
      </c>
      <c r="T157" s="189"/>
      <c r="U157" s="189">
        <v>1620.4951949773053</v>
      </c>
    </row>
    <row r="158" spans="1:21" x14ac:dyDescent="0.2">
      <c r="A158" s="153">
        <v>2014</v>
      </c>
      <c r="B158" s="153">
        <v>1</v>
      </c>
      <c r="C158" s="153" t="str">
        <f t="shared" si="19"/>
        <v>20141</v>
      </c>
      <c r="D158" s="153" t="str">
        <f t="shared" si="24"/>
        <v>Q1</v>
      </c>
      <c r="E158" s="153" t="e">
        <f t="shared" si="25"/>
        <v>#N/A</v>
      </c>
      <c r="F158" s="153" t="e">
        <f t="shared" si="25"/>
        <v>#N/A</v>
      </c>
      <c r="G158" s="153">
        <f t="shared" si="25"/>
        <v>41502.915812465311</v>
      </c>
      <c r="H158" s="153">
        <f t="shared" si="25"/>
        <v>1319.1344237950432</v>
      </c>
      <c r="I158" s="153">
        <f t="shared" si="25"/>
        <v>531.03270027044414</v>
      </c>
      <c r="J158" s="179" t="e">
        <f t="shared" si="21"/>
        <v>#N/A</v>
      </c>
      <c r="K158" s="290">
        <f t="shared" si="20"/>
        <v>2.484092642737886</v>
      </c>
      <c r="M158" s="153">
        <f t="shared" si="22"/>
        <v>2040</v>
      </c>
      <c r="N158" s="177" t="str">
        <f t="shared" si="23"/>
        <v>Q1</v>
      </c>
      <c r="O158" s="177" t="str">
        <f t="shared" si="18"/>
        <v>2040Q1</v>
      </c>
      <c r="P158" s="184">
        <v>89222.179179600847</v>
      </c>
      <c r="Q158" s="184">
        <v>89725.327819570841</v>
      </c>
      <c r="R158" s="184">
        <v>660.01880586217703</v>
      </c>
      <c r="S158" s="189">
        <v>77513.638711835636</v>
      </c>
      <c r="T158" s="189"/>
      <c r="U158" s="189">
        <v>1623.7853490545465</v>
      </c>
    </row>
    <row r="159" spans="1:21" x14ac:dyDescent="0.2">
      <c r="A159" s="153">
        <v>2014</v>
      </c>
      <c r="B159" s="153">
        <v>2</v>
      </c>
      <c r="C159" s="153" t="str">
        <f t="shared" si="19"/>
        <v>20142</v>
      </c>
      <c r="D159" s="153" t="str">
        <f t="shared" si="24"/>
        <v>Q1</v>
      </c>
      <c r="E159" s="153" t="e">
        <f t="shared" si="25"/>
        <v>#N/A</v>
      </c>
      <c r="F159" s="153" t="e">
        <f t="shared" si="25"/>
        <v>#N/A</v>
      </c>
      <c r="G159" s="153">
        <f t="shared" si="25"/>
        <v>41502.915812465311</v>
      </c>
      <c r="H159" s="153">
        <f t="shared" si="25"/>
        <v>1319.1344237950432</v>
      </c>
      <c r="I159" s="153">
        <f t="shared" si="25"/>
        <v>531.03270027044414</v>
      </c>
      <c r="J159" s="179" t="e">
        <f t="shared" si="21"/>
        <v>#N/A</v>
      </c>
      <c r="K159" s="290">
        <f t="shared" si="20"/>
        <v>2.484092642737886</v>
      </c>
      <c r="M159" s="153">
        <f t="shared" si="22"/>
        <v>2040</v>
      </c>
      <c r="N159" s="177" t="str">
        <f t="shared" si="23"/>
        <v>Q2</v>
      </c>
      <c r="O159" s="177" t="str">
        <f t="shared" si="18"/>
        <v>2040Q2</v>
      </c>
      <c r="P159" s="184">
        <v>89619.451080955274</v>
      </c>
      <c r="Q159" s="184">
        <v>90147.636336802199</v>
      </c>
      <c r="R159" s="184">
        <v>661.22040958897628</v>
      </c>
      <c r="S159" s="189">
        <v>77841.976074505961</v>
      </c>
      <c r="T159" s="189"/>
      <c r="U159" s="189">
        <v>1626.6764251669936</v>
      </c>
    </row>
    <row r="160" spans="1:21" x14ac:dyDescent="0.2">
      <c r="A160" s="153">
        <v>2014</v>
      </c>
      <c r="B160" s="153">
        <v>3</v>
      </c>
      <c r="C160" s="153" t="str">
        <f t="shared" si="19"/>
        <v>20143</v>
      </c>
      <c r="D160" s="153" t="str">
        <f t="shared" si="24"/>
        <v>Q1</v>
      </c>
      <c r="E160" s="153" t="e">
        <f t="shared" si="25"/>
        <v>#N/A</v>
      </c>
      <c r="F160" s="153" t="e">
        <f t="shared" si="25"/>
        <v>#N/A</v>
      </c>
      <c r="G160" s="153">
        <f t="shared" si="25"/>
        <v>41502.915812465311</v>
      </c>
      <c r="H160" s="153">
        <f t="shared" si="25"/>
        <v>1319.1344237950432</v>
      </c>
      <c r="I160" s="153">
        <f t="shared" si="25"/>
        <v>531.03270027044414</v>
      </c>
      <c r="J160" s="179" t="e">
        <f t="shared" si="21"/>
        <v>#N/A</v>
      </c>
      <c r="K160" s="290">
        <f t="shared" si="20"/>
        <v>2.484092642737886</v>
      </c>
      <c r="M160" s="153">
        <f t="shared" si="22"/>
        <v>2040</v>
      </c>
      <c r="N160" s="177" t="str">
        <f t="shared" si="23"/>
        <v>Q3</v>
      </c>
      <c r="O160" s="177" t="str">
        <f t="shared" si="18"/>
        <v>2040Q3</v>
      </c>
      <c r="P160" s="184">
        <v>90050.816772518796</v>
      </c>
      <c r="Q160" s="184">
        <v>90619.264761251266</v>
      </c>
      <c r="R160" s="184">
        <v>662.00450475364175</v>
      </c>
      <c r="S160" s="189">
        <v>78204.146715535113</v>
      </c>
      <c r="T160" s="189"/>
      <c r="U160" s="189">
        <v>1628.3660504644736</v>
      </c>
    </row>
    <row r="161" spans="1:21" x14ac:dyDescent="0.2">
      <c r="A161" s="153">
        <v>2014</v>
      </c>
      <c r="B161" s="153">
        <v>4</v>
      </c>
      <c r="C161" s="153" t="str">
        <f t="shared" si="19"/>
        <v>20144</v>
      </c>
      <c r="D161" s="153" t="str">
        <f t="shared" si="24"/>
        <v>Q2</v>
      </c>
      <c r="E161" s="153" t="e">
        <f t="shared" si="25"/>
        <v>#N/A</v>
      </c>
      <c r="F161" s="153" t="e">
        <f t="shared" si="25"/>
        <v>#N/A</v>
      </c>
      <c r="G161" s="153">
        <f t="shared" si="25"/>
        <v>41808.34126836736</v>
      </c>
      <c r="H161" s="153">
        <f t="shared" si="25"/>
        <v>1322.1544157462699</v>
      </c>
      <c r="I161" s="153">
        <f t="shared" si="25"/>
        <v>532.54376996015947</v>
      </c>
      <c r="J161" s="179" t="e">
        <f t="shared" si="21"/>
        <v>#N/A</v>
      </c>
      <c r="K161" s="290">
        <f t="shared" si="20"/>
        <v>2.4827150186081091</v>
      </c>
      <c r="M161" s="153">
        <f t="shared" si="22"/>
        <v>2040</v>
      </c>
      <c r="N161" s="177" t="str">
        <f t="shared" si="23"/>
        <v>Q4</v>
      </c>
      <c r="O161" s="177" t="str">
        <f t="shared" si="18"/>
        <v>2040Q4</v>
      </c>
      <c r="P161" s="184">
        <v>90234.561150025693</v>
      </c>
      <c r="Q161" s="184">
        <v>90850.555082038583</v>
      </c>
      <c r="R161" s="184">
        <v>663.00775377696857</v>
      </c>
      <c r="S161" s="189">
        <v>78353.210632927832</v>
      </c>
      <c r="T161" s="189"/>
      <c r="U161" s="189">
        <v>1631.2593703972593</v>
      </c>
    </row>
    <row r="162" spans="1:21" x14ac:dyDescent="0.2">
      <c r="A162" s="153">
        <v>2014</v>
      </c>
      <c r="B162" s="153">
        <v>5</v>
      </c>
      <c r="C162" s="153" t="str">
        <f t="shared" si="19"/>
        <v>20145</v>
      </c>
      <c r="D162" s="153" t="str">
        <f t="shared" si="24"/>
        <v>Q2</v>
      </c>
      <c r="E162" s="153" t="e">
        <f t="shared" si="25"/>
        <v>#N/A</v>
      </c>
      <c r="F162" s="153" t="e">
        <f t="shared" si="25"/>
        <v>#N/A</v>
      </c>
      <c r="G162" s="153">
        <f t="shared" si="25"/>
        <v>41808.34126836736</v>
      </c>
      <c r="H162" s="153">
        <f t="shared" si="25"/>
        <v>1322.1544157462699</v>
      </c>
      <c r="I162" s="153">
        <f t="shared" si="25"/>
        <v>532.54376996015947</v>
      </c>
      <c r="J162" s="179" t="e">
        <f t="shared" si="21"/>
        <v>#N/A</v>
      </c>
      <c r="K162" s="290">
        <f t="shared" si="20"/>
        <v>2.4827150186081091</v>
      </c>
      <c r="M162" s="153">
        <f t="shared" si="22"/>
        <v>2041</v>
      </c>
      <c r="N162" s="177" t="str">
        <f t="shared" si="23"/>
        <v>Q1</v>
      </c>
      <c r="O162" s="177" t="str">
        <f t="shared" si="18"/>
        <v>2041Q1</v>
      </c>
      <c r="P162" s="188">
        <v>91245.805271292542</v>
      </c>
      <c r="Q162" s="188">
        <v>91785.151302740895</v>
      </c>
      <c r="R162" s="188">
        <v>664.90680433900059</v>
      </c>
      <c r="S162" s="189">
        <v>79359.287038077135</v>
      </c>
      <c r="T162" s="189"/>
      <c r="U162" s="189">
        <v>1634.9550126437005</v>
      </c>
    </row>
    <row r="163" spans="1:21" x14ac:dyDescent="0.2">
      <c r="A163" s="153">
        <v>2014</v>
      </c>
      <c r="B163" s="153">
        <v>6</v>
      </c>
      <c r="C163" s="153" t="str">
        <f t="shared" si="19"/>
        <v>20146</v>
      </c>
      <c r="D163" s="153" t="str">
        <f t="shared" si="24"/>
        <v>Q2</v>
      </c>
      <c r="E163" s="153" t="e">
        <f t="shared" si="25"/>
        <v>#N/A</v>
      </c>
      <c r="F163" s="153" t="e">
        <f t="shared" si="25"/>
        <v>#N/A</v>
      </c>
      <c r="G163" s="153">
        <f t="shared" si="25"/>
        <v>41808.34126836736</v>
      </c>
      <c r="H163" s="153">
        <f t="shared" si="25"/>
        <v>1322.1544157462699</v>
      </c>
      <c r="I163" s="153">
        <f t="shared" si="25"/>
        <v>532.54376996015947</v>
      </c>
      <c r="J163" s="179" t="e">
        <f t="shared" si="21"/>
        <v>#N/A</v>
      </c>
      <c r="K163" s="290">
        <f t="shared" si="20"/>
        <v>2.4827150186081091</v>
      </c>
      <c r="M163" s="153">
        <f t="shared" si="22"/>
        <v>2041</v>
      </c>
      <c r="N163" s="177" t="str">
        <f t="shared" si="23"/>
        <v>Q2</v>
      </c>
      <c r="O163" s="177" t="str">
        <f t="shared" si="18"/>
        <v>2041Q2</v>
      </c>
      <c r="P163" s="188">
        <v>91611.850716431407</v>
      </c>
      <c r="Q163" s="188">
        <v>92203.737408592438</v>
      </c>
      <c r="R163" s="188">
        <v>666.1970095576562</v>
      </c>
      <c r="S163" s="189">
        <v>79663.055240366433</v>
      </c>
      <c r="T163" s="189"/>
      <c r="U163" s="189">
        <v>1637.8500459704619</v>
      </c>
    </row>
    <row r="164" spans="1:21" x14ac:dyDescent="0.2">
      <c r="A164" s="153">
        <v>2014</v>
      </c>
      <c r="B164" s="153">
        <v>7</v>
      </c>
      <c r="C164" s="153" t="str">
        <f t="shared" si="19"/>
        <v>20147</v>
      </c>
      <c r="D164" s="153" t="str">
        <f t="shared" si="24"/>
        <v>Q3</v>
      </c>
      <c r="E164" s="153" t="e">
        <f t="shared" si="25"/>
        <v>#N/A</v>
      </c>
      <c r="F164" s="153" t="e">
        <f t="shared" si="25"/>
        <v>#N/A</v>
      </c>
      <c r="G164" s="153">
        <f t="shared" si="25"/>
        <v>42112.64484379522</v>
      </c>
      <c r="H164" s="153">
        <f t="shared" si="25"/>
        <v>1325.1874417068095</v>
      </c>
      <c r="I164" s="153">
        <f t="shared" si="25"/>
        <v>534.10465824892049</v>
      </c>
      <c r="J164" s="179" t="e">
        <f t="shared" si="21"/>
        <v>#N/A</v>
      </c>
      <c r="K164" s="290">
        <f t="shared" si="20"/>
        <v>2.4811381463166406</v>
      </c>
      <c r="M164" s="153">
        <f t="shared" si="22"/>
        <v>2041</v>
      </c>
      <c r="N164" s="177" t="str">
        <f t="shared" si="23"/>
        <v>Q3</v>
      </c>
      <c r="O164" s="177" t="str">
        <f t="shared" si="18"/>
        <v>2041Q3</v>
      </c>
      <c r="P164" s="188">
        <v>92113.478341051625</v>
      </c>
      <c r="Q164" s="188">
        <v>92722.983794207583</v>
      </c>
      <c r="R164" s="188">
        <v>666.95155045085892</v>
      </c>
      <c r="S164" s="189">
        <v>80091.173605845252</v>
      </c>
      <c r="T164" s="189"/>
      <c r="U164" s="189">
        <v>1639.1353340251969</v>
      </c>
    </row>
    <row r="165" spans="1:21" x14ac:dyDescent="0.2">
      <c r="A165" s="153">
        <v>2014</v>
      </c>
      <c r="B165" s="153">
        <v>8</v>
      </c>
      <c r="C165" s="153" t="str">
        <f t="shared" si="19"/>
        <v>20148</v>
      </c>
      <c r="D165" s="153" t="str">
        <f t="shared" si="24"/>
        <v>Q3</v>
      </c>
      <c r="E165" s="153" t="e">
        <f t="shared" si="25"/>
        <v>#N/A</v>
      </c>
      <c r="F165" s="153" t="e">
        <f t="shared" si="25"/>
        <v>#N/A</v>
      </c>
      <c r="G165" s="153">
        <f t="shared" si="25"/>
        <v>42112.64484379522</v>
      </c>
      <c r="H165" s="153">
        <f t="shared" si="25"/>
        <v>1325.1874417068095</v>
      </c>
      <c r="I165" s="153">
        <f t="shared" si="25"/>
        <v>534.10465824892049</v>
      </c>
      <c r="J165" s="179" t="e">
        <f t="shared" si="21"/>
        <v>#N/A</v>
      </c>
      <c r="K165" s="290">
        <f t="shared" si="20"/>
        <v>2.4811381463166406</v>
      </c>
      <c r="M165" s="153">
        <f t="shared" si="22"/>
        <v>2041</v>
      </c>
      <c r="N165" s="177" t="str">
        <f t="shared" si="23"/>
        <v>Q4</v>
      </c>
      <c r="O165" s="177" t="str">
        <f t="shared" si="18"/>
        <v>2041Q4</v>
      </c>
      <c r="P165" s="188">
        <v>92295.52681991538</v>
      </c>
      <c r="Q165" s="188">
        <v>92910.217068599974</v>
      </c>
      <c r="R165" s="188">
        <v>667.96599328001332</v>
      </c>
      <c r="S165" s="189">
        <v>80240.833138693764</v>
      </c>
      <c r="T165" s="189"/>
      <c r="U165" s="189">
        <v>1642.0358310005879</v>
      </c>
    </row>
    <row r="166" spans="1:21" x14ac:dyDescent="0.2">
      <c r="A166" s="153">
        <v>2014</v>
      </c>
      <c r="B166" s="153">
        <v>9</v>
      </c>
      <c r="C166" s="153" t="str">
        <f t="shared" si="19"/>
        <v>20149</v>
      </c>
      <c r="D166" s="153" t="str">
        <f t="shared" si="24"/>
        <v>Q3</v>
      </c>
      <c r="E166" s="153" t="e">
        <f t="shared" si="25"/>
        <v>#N/A</v>
      </c>
      <c r="F166" s="153" t="e">
        <f t="shared" si="25"/>
        <v>#N/A</v>
      </c>
      <c r="G166" s="153">
        <f t="shared" si="25"/>
        <v>42112.64484379522</v>
      </c>
      <c r="H166" s="153">
        <f t="shared" si="25"/>
        <v>1325.1874417068095</v>
      </c>
      <c r="I166" s="153">
        <f t="shared" si="25"/>
        <v>534.10465824892049</v>
      </c>
      <c r="J166" s="179" t="e">
        <f t="shared" si="21"/>
        <v>#N/A</v>
      </c>
      <c r="K166" s="290">
        <f t="shared" si="20"/>
        <v>2.4811381463166406</v>
      </c>
      <c r="M166" s="153">
        <f t="shared" si="22"/>
        <v>2042</v>
      </c>
      <c r="N166" s="177" t="str">
        <f t="shared" si="23"/>
        <v>Q1</v>
      </c>
      <c r="O166" s="177" t="str">
        <f t="shared" si="18"/>
        <v>2042Q1</v>
      </c>
      <c r="P166" s="188">
        <f>P165+P174</f>
        <v>93007.225051412359</v>
      </c>
      <c r="Q166" s="188">
        <v>93963.5709158713</v>
      </c>
      <c r="R166" s="187">
        <f>R161*(1.0075)</f>
        <v>667.9803119302959</v>
      </c>
      <c r="S166" s="187">
        <f>S162*(1.024)</f>
        <v>81263.909926990993</v>
      </c>
      <c r="T166" s="189"/>
      <c r="U166" s="187">
        <f>U161*(1.0066)</f>
        <v>1642.0256822418812</v>
      </c>
    </row>
    <row r="167" spans="1:21" x14ac:dyDescent="0.2">
      <c r="A167" s="153">
        <v>2014</v>
      </c>
      <c r="B167" s="153">
        <v>10</v>
      </c>
      <c r="C167" s="153" t="str">
        <f t="shared" si="19"/>
        <v>201410</v>
      </c>
      <c r="D167" s="153" t="str">
        <f t="shared" si="24"/>
        <v>Q4</v>
      </c>
      <c r="E167" s="153" t="e">
        <f t="shared" si="25"/>
        <v>#N/A</v>
      </c>
      <c r="F167" s="153" t="e">
        <f t="shared" si="25"/>
        <v>#N/A</v>
      </c>
      <c r="G167" s="153">
        <f t="shared" si="25"/>
        <v>42435.52573788313</v>
      </c>
      <c r="H167" s="153">
        <f t="shared" si="25"/>
        <v>1328.117775673174</v>
      </c>
      <c r="I167" s="153">
        <f t="shared" si="25"/>
        <v>535.59836197161826</v>
      </c>
      <c r="J167" s="179" t="e">
        <f t="shared" si="21"/>
        <v>#N/A</v>
      </c>
      <c r="K167" s="290">
        <f t="shared" si="20"/>
        <v>2.479689763770323</v>
      </c>
      <c r="M167" s="153">
        <f t="shared" si="22"/>
        <v>2042</v>
      </c>
      <c r="N167" s="177" t="str">
        <f t="shared" si="23"/>
        <v>Q2</v>
      </c>
      <c r="O167" s="177" t="str">
        <f t="shared" si="18"/>
        <v>2042Q2</v>
      </c>
      <c r="P167" s="187">
        <f t="shared" ref="P167:P169" si="26">P163*(1.023)</f>
        <v>93718.923282909323</v>
      </c>
      <c r="Q167" s="188">
        <v>94372.106635877775</v>
      </c>
      <c r="R167" s="187">
        <f>R162*(1.0075)</f>
        <v>669.89360537154312</v>
      </c>
      <c r="S167" s="187">
        <f t="shared" ref="S167:S169" si="27">S163*(1.024)</f>
        <v>81574.968566135227</v>
      </c>
      <c r="T167" s="189"/>
      <c r="U167" s="187">
        <f t="shared" ref="U167:U169" si="28">U162*(1.0066)</f>
        <v>1645.7457157271488</v>
      </c>
    </row>
    <row r="168" spans="1:21" x14ac:dyDescent="0.2">
      <c r="A168" s="153">
        <v>2014</v>
      </c>
      <c r="B168" s="153">
        <v>11</v>
      </c>
      <c r="C168" s="153" t="str">
        <f t="shared" si="19"/>
        <v>201411</v>
      </c>
      <c r="D168" s="153" t="str">
        <f t="shared" si="24"/>
        <v>Q4</v>
      </c>
      <c r="E168" s="153" t="e">
        <f t="shared" si="25"/>
        <v>#N/A</v>
      </c>
      <c r="F168" s="153" t="e">
        <f t="shared" si="25"/>
        <v>#N/A</v>
      </c>
      <c r="G168" s="153">
        <f t="shared" si="25"/>
        <v>42435.52573788313</v>
      </c>
      <c r="H168" s="153">
        <f t="shared" si="25"/>
        <v>1328.117775673174</v>
      </c>
      <c r="I168" s="153">
        <f t="shared" si="25"/>
        <v>535.59836197161826</v>
      </c>
      <c r="J168" s="179" t="e">
        <f t="shared" si="21"/>
        <v>#N/A</v>
      </c>
      <c r="K168" s="290">
        <f t="shared" si="20"/>
        <v>2.479689763770323</v>
      </c>
      <c r="M168" s="153">
        <f t="shared" si="22"/>
        <v>2042</v>
      </c>
      <c r="N168" s="177" t="str">
        <f t="shared" si="23"/>
        <v>Q3</v>
      </c>
      <c r="O168" s="177" t="str">
        <f t="shared" si="18"/>
        <v>2042Q3</v>
      </c>
      <c r="P168" s="187">
        <f t="shared" si="26"/>
        <v>94232.088342895804</v>
      </c>
      <c r="Q168" s="188">
        <v>94936.231664028979</v>
      </c>
      <c r="R168" s="187">
        <f t="shared" ref="R168:R169" si="29">R163*(1.0075)</f>
        <v>671.19348712933868</v>
      </c>
      <c r="S168" s="187">
        <f t="shared" si="27"/>
        <v>82013.361772385542</v>
      </c>
      <c r="T168" s="189"/>
      <c r="U168" s="187">
        <f t="shared" si="28"/>
        <v>1648.6598562738668</v>
      </c>
    </row>
    <row r="169" spans="1:21" x14ac:dyDescent="0.2">
      <c r="A169" s="153">
        <v>2014</v>
      </c>
      <c r="B169" s="153">
        <v>12</v>
      </c>
      <c r="C169" s="153" t="str">
        <f t="shared" si="19"/>
        <v>201412</v>
      </c>
      <c r="D169" s="153" t="str">
        <f t="shared" si="24"/>
        <v>Q4</v>
      </c>
      <c r="E169" s="153" t="e">
        <f t="shared" si="25"/>
        <v>#N/A</v>
      </c>
      <c r="F169" s="153" t="e">
        <f t="shared" si="25"/>
        <v>#N/A</v>
      </c>
      <c r="G169" s="153">
        <f t="shared" si="25"/>
        <v>42435.52573788313</v>
      </c>
      <c r="H169" s="153">
        <f t="shared" si="25"/>
        <v>1328.117775673174</v>
      </c>
      <c r="I169" s="153">
        <f t="shared" si="25"/>
        <v>535.59836197161826</v>
      </c>
      <c r="J169" s="179" t="e">
        <f t="shared" si="21"/>
        <v>#N/A</v>
      </c>
      <c r="K169" s="290">
        <f t="shared" si="20"/>
        <v>2.479689763770323</v>
      </c>
      <c r="M169" s="153">
        <f t="shared" si="22"/>
        <v>2042</v>
      </c>
      <c r="N169" s="177" t="str">
        <f t="shared" si="23"/>
        <v>Q4</v>
      </c>
      <c r="O169" s="177" t="str">
        <f t="shared" si="18"/>
        <v>2042Q4</v>
      </c>
      <c r="P169" s="187">
        <f t="shared" si="26"/>
        <v>94418.32393677342</v>
      </c>
      <c r="Q169" s="188">
        <v>95007.843469870655</v>
      </c>
      <c r="R169" s="187">
        <f t="shared" si="29"/>
        <v>671.95368707924035</v>
      </c>
      <c r="S169" s="187">
        <f t="shared" si="27"/>
        <v>82166.613134022409</v>
      </c>
      <c r="T169" s="189"/>
      <c r="U169" s="187">
        <f t="shared" si="28"/>
        <v>1649.953627229763</v>
      </c>
    </row>
    <row r="170" spans="1:21" x14ac:dyDescent="0.2">
      <c r="A170" s="153">
        <v>2015</v>
      </c>
      <c r="B170" s="153">
        <v>1</v>
      </c>
      <c r="C170" s="153" t="str">
        <f t="shared" si="19"/>
        <v>20151</v>
      </c>
      <c r="D170" s="153" t="str">
        <f t="shared" si="24"/>
        <v>Q1</v>
      </c>
      <c r="E170" s="153" t="e">
        <f t="shared" si="25"/>
        <v>#N/A</v>
      </c>
      <c r="F170" s="153" t="e">
        <f t="shared" si="25"/>
        <v>#N/A</v>
      </c>
      <c r="G170" s="153">
        <f t="shared" si="25"/>
        <v>42650.097953529214</v>
      </c>
      <c r="H170" s="153">
        <f t="shared" si="25"/>
        <v>1330.506967929585</v>
      </c>
      <c r="I170" s="153">
        <f t="shared" si="25"/>
        <v>536.81513705564737</v>
      </c>
      <c r="J170" s="179" t="e">
        <f t="shared" si="21"/>
        <v>#N/A</v>
      </c>
      <c r="P170" s="155"/>
      <c r="Q170" s="155"/>
      <c r="R170" s="186"/>
      <c r="S170" s="181"/>
      <c r="T170" s="189"/>
    </row>
    <row r="171" spans="1:21" x14ac:dyDescent="0.2">
      <c r="A171" s="153">
        <v>2015</v>
      </c>
      <c r="B171" s="153">
        <v>2</v>
      </c>
      <c r="C171" s="153" t="str">
        <f t="shared" si="19"/>
        <v>20152</v>
      </c>
      <c r="D171" s="153" t="str">
        <f t="shared" si="24"/>
        <v>Q1</v>
      </c>
      <c r="E171" s="153" t="e">
        <f t="shared" si="25"/>
        <v>#N/A</v>
      </c>
      <c r="F171" s="153" t="e">
        <f t="shared" si="25"/>
        <v>#N/A</v>
      </c>
      <c r="G171" s="153">
        <f t="shared" si="25"/>
        <v>42650.097953529214</v>
      </c>
      <c r="H171" s="153">
        <f t="shared" si="25"/>
        <v>1330.506967929585</v>
      </c>
      <c r="I171" s="153">
        <f t="shared" si="25"/>
        <v>536.81513705564737</v>
      </c>
      <c r="J171" s="179" t="e">
        <f t="shared" si="21"/>
        <v>#N/A</v>
      </c>
      <c r="P171" s="155"/>
      <c r="Q171" s="155"/>
      <c r="R171" s="185"/>
      <c r="S171" s="191"/>
      <c r="T171" s="191"/>
      <c r="U171" s="191"/>
    </row>
    <row r="172" spans="1:21" x14ac:dyDescent="0.2">
      <c r="A172" s="153">
        <v>2015</v>
      </c>
      <c r="B172" s="153">
        <v>3</v>
      </c>
      <c r="C172" s="153" t="str">
        <f t="shared" si="19"/>
        <v>20153</v>
      </c>
      <c r="D172" s="153" t="str">
        <f t="shared" si="24"/>
        <v>Q1</v>
      </c>
      <c r="E172" s="153" t="e">
        <f t="shared" si="25"/>
        <v>#N/A</v>
      </c>
      <c r="F172" s="153" t="e">
        <f t="shared" si="25"/>
        <v>#N/A</v>
      </c>
      <c r="G172" s="153">
        <f t="shared" si="25"/>
        <v>42650.097953529214</v>
      </c>
      <c r="H172" s="153">
        <f t="shared" si="25"/>
        <v>1330.506967929585</v>
      </c>
      <c r="I172" s="153">
        <f t="shared" si="25"/>
        <v>536.81513705564737</v>
      </c>
      <c r="J172" s="179" t="e">
        <f t="shared" si="21"/>
        <v>#N/A</v>
      </c>
      <c r="P172" s="186"/>
      <c r="Q172" s="186"/>
      <c r="R172" s="185"/>
      <c r="S172" s="181"/>
      <c r="T172" s="189"/>
    </row>
    <row r="173" spans="1:21" x14ac:dyDescent="0.2">
      <c r="A173" s="153">
        <v>2015</v>
      </c>
      <c r="B173" s="153">
        <v>4</v>
      </c>
      <c r="C173" s="153" t="str">
        <f t="shared" si="19"/>
        <v>20154</v>
      </c>
      <c r="D173" s="153" t="str">
        <f t="shared" si="24"/>
        <v>Q2</v>
      </c>
      <c r="E173" s="153" t="e">
        <f t="shared" si="25"/>
        <v>#N/A</v>
      </c>
      <c r="F173" s="153" t="e">
        <f t="shared" si="25"/>
        <v>#N/A</v>
      </c>
      <c r="G173" s="153">
        <f t="shared" si="25"/>
        <v>42880.981284829548</v>
      </c>
      <c r="H173" s="153">
        <f t="shared" si="25"/>
        <v>1333.5727376408956</v>
      </c>
      <c r="I173" s="153">
        <f t="shared" si="25"/>
        <v>538.34763078032279</v>
      </c>
      <c r="J173" s="179" t="e">
        <f t="shared" si="21"/>
        <v>#N/A</v>
      </c>
      <c r="P173" s="155">
        <f>P167-P165</f>
        <v>1423.3964629939437</v>
      </c>
      <c r="Q173" s="155"/>
      <c r="R173" s="185"/>
      <c r="S173" s="181"/>
      <c r="T173" s="189"/>
    </row>
    <row r="174" spans="1:21" x14ac:dyDescent="0.2">
      <c r="A174" s="153">
        <v>2015</v>
      </c>
      <c r="B174" s="153">
        <v>5</v>
      </c>
      <c r="C174" s="153" t="str">
        <f t="shared" si="19"/>
        <v>20155</v>
      </c>
      <c r="D174" s="153" t="str">
        <f t="shared" si="24"/>
        <v>Q2</v>
      </c>
      <c r="E174" s="153" t="e">
        <f t="shared" si="25"/>
        <v>#N/A</v>
      </c>
      <c r="F174" s="153" t="e">
        <f t="shared" si="25"/>
        <v>#N/A</v>
      </c>
      <c r="G174" s="153">
        <f t="shared" si="25"/>
        <v>42880.981284829548</v>
      </c>
      <c r="H174" s="153">
        <f t="shared" si="25"/>
        <v>1333.5727376408956</v>
      </c>
      <c r="I174" s="153">
        <f t="shared" si="25"/>
        <v>538.34763078032279</v>
      </c>
      <c r="J174" s="179" t="e">
        <f t="shared" si="21"/>
        <v>#N/A</v>
      </c>
      <c r="P174" s="155">
        <f>P173/2</f>
        <v>711.69823149697186</v>
      </c>
      <c r="Q174" s="155"/>
      <c r="R174" s="185"/>
      <c r="S174" s="181"/>
      <c r="T174" s="189"/>
    </row>
    <row r="175" spans="1:21" x14ac:dyDescent="0.2">
      <c r="A175" s="153">
        <v>2015</v>
      </c>
      <c r="B175" s="153">
        <v>6</v>
      </c>
      <c r="C175" s="153" t="str">
        <f t="shared" si="19"/>
        <v>20156</v>
      </c>
      <c r="D175" s="153" t="str">
        <f t="shared" si="24"/>
        <v>Q2</v>
      </c>
      <c r="E175" s="153" t="e">
        <f t="shared" si="25"/>
        <v>#N/A</v>
      </c>
      <c r="F175" s="153" t="e">
        <f t="shared" si="25"/>
        <v>#N/A</v>
      </c>
      <c r="G175" s="153">
        <f t="shared" si="25"/>
        <v>42880.981284829548</v>
      </c>
      <c r="H175" s="153">
        <f t="shared" si="25"/>
        <v>1333.5727376408956</v>
      </c>
      <c r="I175" s="153">
        <f t="shared" si="25"/>
        <v>538.34763078032279</v>
      </c>
      <c r="J175" s="179" t="e">
        <f t="shared" si="21"/>
        <v>#N/A</v>
      </c>
      <c r="P175" s="186"/>
      <c r="Q175" s="186"/>
      <c r="R175" s="186"/>
      <c r="S175" s="181"/>
      <c r="T175" s="189"/>
    </row>
    <row r="176" spans="1:21" x14ac:dyDescent="0.2">
      <c r="A176" s="153">
        <v>2015</v>
      </c>
      <c r="B176" s="153">
        <v>7</v>
      </c>
      <c r="C176" s="153" t="str">
        <f t="shared" si="19"/>
        <v>20157</v>
      </c>
      <c r="D176" s="153" t="str">
        <f t="shared" si="24"/>
        <v>Q3</v>
      </c>
      <c r="E176" s="153" t="e">
        <f t="shared" si="25"/>
        <v>#N/A</v>
      </c>
      <c r="F176" s="153" t="e">
        <f t="shared" si="25"/>
        <v>#N/A</v>
      </c>
      <c r="G176" s="153">
        <f t="shared" si="25"/>
        <v>43176.797187660617</v>
      </c>
      <c r="H176" s="153">
        <f t="shared" si="25"/>
        <v>1336.6816431664213</v>
      </c>
      <c r="I176" s="153">
        <f t="shared" si="25"/>
        <v>539.84449205444912</v>
      </c>
      <c r="J176" s="179" t="e">
        <f t="shared" si="21"/>
        <v>#N/A</v>
      </c>
      <c r="P176" s="186"/>
      <c r="Q176" s="186"/>
      <c r="R176" s="186"/>
      <c r="S176" s="181"/>
      <c r="T176" s="189"/>
    </row>
    <row r="177" spans="1:20" x14ac:dyDescent="0.2">
      <c r="A177" s="153">
        <v>2015</v>
      </c>
      <c r="B177" s="153">
        <v>8</v>
      </c>
      <c r="C177" s="153" t="str">
        <f t="shared" si="19"/>
        <v>20158</v>
      </c>
      <c r="D177" s="153" t="str">
        <f t="shared" si="24"/>
        <v>Q3</v>
      </c>
      <c r="E177" s="153" t="e">
        <f t="shared" si="25"/>
        <v>#N/A</v>
      </c>
      <c r="F177" s="153" t="e">
        <f t="shared" si="25"/>
        <v>#N/A</v>
      </c>
      <c r="G177" s="153">
        <f t="shared" si="25"/>
        <v>43176.797187660617</v>
      </c>
      <c r="H177" s="153">
        <f t="shared" si="25"/>
        <v>1336.6816431664213</v>
      </c>
      <c r="I177" s="153">
        <f t="shared" si="25"/>
        <v>539.84449205444912</v>
      </c>
      <c r="J177" s="179" t="e">
        <f t="shared" si="21"/>
        <v>#N/A</v>
      </c>
      <c r="P177" s="186"/>
      <c r="Q177" s="186"/>
      <c r="R177" s="186"/>
      <c r="S177" s="181"/>
      <c r="T177" s="189"/>
    </row>
    <row r="178" spans="1:20" x14ac:dyDescent="0.2">
      <c r="A178" s="153">
        <v>2015</v>
      </c>
      <c r="B178" s="153">
        <v>9</v>
      </c>
      <c r="C178" s="153" t="str">
        <f t="shared" si="19"/>
        <v>20159</v>
      </c>
      <c r="D178" s="153" t="str">
        <f t="shared" si="24"/>
        <v>Q3</v>
      </c>
      <c r="E178" s="153" t="e">
        <f t="shared" si="25"/>
        <v>#N/A</v>
      </c>
      <c r="F178" s="153" t="e">
        <f t="shared" si="25"/>
        <v>#N/A</v>
      </c>
      <c r="G178" s="153">
        <f t="shared" si="25"/>
        <v>43176.797187660617</v>
      </c>
      <c r="H178" s="153">
        <f t="shared" si="25"/>
        <v>1336.6816431664213</v>
      </c>
      <c r="I178" s="153">
        <f t="shared" si="25"/>
        <v>539.84449205444912</v>
      </c>
      <c r="J178" s="179" t="e">
        <f t="shared" si="21"/>
        <v>#N/A</v>
      </c>
      <c r="P178" s="155"/>
      <c r="Q178" s="155"/>
      <c r="R178" s="155"/>
      <c r="S178" s="181"/>
      <c r="T178" s="189"/>
    </row>
    <row r="179" spans="1:20" x14ac:dyDescent="0.2">
      <c r="A179" s="153">
        <v>2015</v>
      </c>
      <c r="B179" s="153">
        <v>10</v>
      </c>
      <c r="C179" s="153" t="str">
        <f t="shared" si="19"/>
        <v>201510</v>
      </c>
      <c r="D179" s="153" t="str">
        <f t="shared" si="24"/>
        <v>Q4</v>
      </c>
      <c r="E179" s="153" t="e">
        <f t="shared" si="25"/>
        <v>#N/A</v>
      </c>
      <c r="F179" s="153" t="e">
        <f t="shared" si="25"/>
        <v>#N/A</v>
      </c>
      <c r="G179" s="153">
        <f t="shared" si="25"/>
        <v>43428.863134860279</v>
      </c>
      <c r="H179" s="153">
        <f t="shared" si="25"/>
        <v>1339.1444262070083</v>
      </c>
      <c r="I179" s="153">
        <f t="shared" si="25"/>
        <v>541.07507287670956</v>
      </c>
      <c r="J179" s="179" t="e">
        <f t="shared" si="21"/>
        <v>#N/A</v>
      </c>
      <c r="P179" s="155"/>
      <c r="Q179" s="155"/>
      <c r="R179" s="155"/>
      <c r="S179" s="181"/>
      <c r="T179" s="189"/>
    </row>
    <row r="180" spans="1:20" x14ac:dyDescent="0.2">
      <c r="A180" s="153">
        <v>2015</v>
      </c>
      <c r="B180" s="153">
        <v>11</v>
      </c>
      <c r="C180" s="153" t="str">
        <f t="shared" si="19"/>
        <v>201511</v>
      </c>
      <c r="D180" s="153" t="str">
        <f t="shared" si="24"/>
        <v>Q4</v>
      </c>
      <c r="E180" s="153" t="e">
        <f t="shared" si="25"/>
        <v>#N/A</v>
      </c>
      <c r="F180" s="153" t="e">
        <f t="shared" si="25"/>
        <v>#N/A</v>
      </c>
      <c r="G180" s="153">
        <f t="shared" si="25"/>
        <v>43428.863134860279</v>
      </c>
      <c r="H180" s="153">
        <f t="shared" si="25"/>
        <v>1339.1444262070083</v>
      </c>
      <c r="I180" s="153">
        <f t="shared" si="25"/>
        <v>541.07507287670956</v>
      </c>
      <c r="J180" s="179" t="e">
        <f t="shared" si="21"/>
        <v>#N/A</v>
      </c>
      <c r="P180" s="155"/>
      <c r="Q180" s="155"/>
      <c r="R180" s="155"/>
      <c r="S180" s="181"/>
      <c r="T180" s="189"/>
    </row>
    <row r="181" spans="1:20" x14ac:dyDescent="0.2">
      <c r="A181" s="153">
        <v>2015</v>
      </c>
      <c r="B181" s="153">
        <v>12</v>
      </c>
      <c r="C181" s="153" t="str">
        <f t="shared" si="19"/>
        <v>201512</v>
      </c>
      <c r="D181" s="153" t="str">
        <f t="shared" si="24"/>
        <v>Q4</v>
      </c>
      <c r="E181" s="153" t="e">
        <f t="shared" si="25"/>
        <v>#N/A</v>
      </c>
      <c r="F181" s="153" t="e">
        <f t="shared" si="25"/>
        <v>#N/A</v>
      </c>
      <c r="G181" s="153">
        <f t="shared" si="25"/>
        <v>43428.863134860279</v>
      </c>
      <c r="H181" s="153">
        <f t="shared" si="25"/>
        <v>1339.1444262070083</v>
      </c>
      <c r="I181" s="153">
        <f t="shared" si="25"/>
        <v>541.07507287670956</v>
      </c>
      <c r="J181" s="179" t="e">
        <f t="shared" si="21"/>
        <v>#N/A</v>
      </c>
      <c r="P181" s="155"/>
      <c r="Q181" s="155"/>
      <c r="R181" s="155"/>
      <c r="S181" s="181"/>
      <c r="T181" s="189"/>
    </row>
    <row r="182" spans="1:20" x14ac:dyDescent="0.2">
      <c r="A182" s="153">
        <v>2016</v>
      </c>
      <c r="B182" s="153">
        <v>1</v>
      </c>
      <c r="C182" s="153" t="str">
        <f t="shared" si="19"/>
        <v>20161</v>
      </c>
      <c r="D182" s="153" t="str">
        <f t="shared" si="24"/>
        <v>Q1</v>
      </c>
      <c r="E182" s="153" t="e">
        <f t="shared" si="25"/>
        <v>#N/A</v>
      </c>
      <c r="F182" s="153" t="e">
        <f t="shared" si="25"/>
        <v>#N/A</v>
      </c>
      <c r="G182" s="153">
        <f t="shared" si="25"/>
        <v>43755.370741727726</v>
      </c>
      <c r="H182" s="153">
        <f t="shared" si="25"/>
        <v>1341.4443414804639</v>
      </c>
      <c r="I182" s="153">
        <f t="shared" si="25"/>
        <v>542.22201950661622</v>
      </c>
      <c r="J182" s="179" t="e">
        <f t="shared" si="21"/>
        <v>#N/A</v>
      </c>
      <c r="P182" s="155"/>
      <c r="Q182" s="155"/>
      <c r="R182" s="155"/>
      <c r="S182" s="181"/>
      <c r="T182" s="189"/>
    </row>
    <row r="183" spans="1:20" x14ac:dyDescent="0.2">
      <c r="A183" s="153">
        <v>2016</v>
      </c>
      <c r="B183" s="153">
        <v>2</v>
      </c>
      <c r="C183" s="153" t="str">
        <f t="shared" si="19"/>
        <v>20162</v>
      </c>
      <c r="D183" s="153" t="str">
        <f t="shared" si="24"/>
        <v>Q1</v>
      </c>
      <c r="E183" s="153" t="e">
        <f t="shared" si="25"/>
        <v>#N/A</v>
      </c>
      <c r="F183" s="153" t="e">
        <f t="shared" si="25"/>
        <v>#N/A</v>
      </c>
      <c r="G183" s="153">
        <f t="shared" si="25"/>
        <v>43755.370741727726</v>
      </c>
      <c r="H183" s="153">
        <f t="shared" si="25"/>
        <v>1341.4443414804639</v>
      </c>
      <c r="I183" s="153">
        <f t="shared" si="25"/>
        <v>542.22201950661622</v>
      </c>
      <c r="J183" s="179" t="e">
        <f t="shared" si="21"/>
        <v>#N/A</v>
      </c>
      <c r="P183" s="155"/>
      <c r="Q183" s="155"/>
      <c r="R183" s="155"/>
      <c r="S183" s="181"/>
      <c r="T183" s="189"/>
    </row>
    <row r="184" spans="1:20" x14ac:dyDescent="0.2">
      <c r="A184" s="153">
        <v>2016</v>
      </c>
      <c r="B184" s="153">
        <v>3</v>
      </c>
      <c r="C184" s="153" t="str">
        <f t="shared" si="19"/>
        <v>20163</v>
      </c>
      <c r="D184" s="153" t="str">
        <f t="shared" si="24"/>
        <v>Q1</v>
      </c>
      <c r="E184" s="153" t="e">
        <f t="shared" si="25"/>
        <v>#N/A</v>
      </c>
      <c r="F184" s="153" t="e">
        <f t="shared" si="25"/>
        <v>#N/A</v>
      </c>
      <c r="G184" s="153">
        <f t="shared" si="25"/>
        <v>43755.370741727726</v>
      </c>
      <c r="H184" s="153">
        <f t="shared" si="25"/>
        <v>1341.4443414804639</v>
      </c>
      <c r="I184" s="153">
        <f t="shared" si="25"/>
        <v>542.22201950661622</v>
      </c>
      <c r="J184" s="179" t="e">
        <f t="shared" si="21"/>
        <v>#N/A</v>
      </c>
      <c r="P184" s="155"/>
      <c r="Q184" s="155"/>
      <c r="R184" s="155"/>
      <c r="S184" s="181"/>
      <c r="T184" s="189"/>
    </row>
    <row r="185" spans="1:20" x14ac:dyDescent="0.2">
      <c r="A185" s="153">
        <v>2016</v>
      </c>
      <c r="B185" s="153">
        <v>4</v>
      </c>
      <c r="C185" s="153" t="str">
        <f t="shared" si="19"/>
        <v>20164</v>
      </c>
      <c r="D185" s="153" t="str">
        <f t="shared" si="24"/>
        <v>Q2</v>
      </c>
      <c r="E185" s="153" t="e">
        <f t="shared" si="25"/>
        <v>#N/A</v>
      </c>
      <c r="F185" s="153" t="e">
        <f t="shared" si="25"/>
        <v>#N/A</v>
      </c>
      <c r="G185" s="153">
        <f t="shared" si="25"/>
        <v>43979.682119470162</v>
      </c>
      <c r="H185" s="153">
        <f t="shared" si="25"/>
        <v>1343.8741846014057</v>
      </c>
      <c r="I185" s="153">
        <f t="shared" si="25"/>
        <v>543.34997317783518</v>
      </c>
      <c r="J185" s="179" t="e">
        <f t="shared" si="21"/>
        <v>#N/A</v>
      </c>
      <c r="P185" s="155"/>
      <c r="Q185" s="155"/>
      <c r="R185" s="155"/>
      <c r="S185" s="181"/>
      <c r="T185" s="189"/>
    </row>
    <row r="186" spans="1:20" x14ac:dyDescent="0.2">
      <c r="A186" s="153">
        <v>2016</v>
      </c>
      <c r="B186" s="153">
        <v>5</v>
      </c>
      <c r="C186" s="153" t="str">
        <f t="shared" si="19"/>
        <v>20165</v>
      </c>
      <c r="D186" s="153" t="str">
        <f t="shared" si="24"/>
        <v>Q2</v>
      </c>
      <c r="E186" s="153" t="e">
        <f t="shared" si="25"/>
        <v>#N/A</v>
      </c>
      <c r="F186" s="153" t="e">
        <f t="shared" si="25"/>
        <v>#N/A</v>
      </c>
      <c r="G186" s="153">
        <f t="shared" si="25"/>
        <v>43979.682119470162</v>
      </c>
      <c r="H186" s="153">
        <f t="shared" si="25"/>
        <v>1343.8741846014057</v>
      </c>
      <c r="I186" s="153">
        <f t="shared" si="25"/>
        <v>543.34997317783518</v>
      </c>
      <c r="J186" s="179" t="e">
        <f t="shared" si="21"/>
        <v>#N/A</v>
      </c>
      <c r="P186" s="155"/>
      <c r="Q186" s="155"/>
      <c r="R186" s="155"/>
      <c r="S186" s="181"/>
      <c r="T186" s="189"/>
    </row>
    <row r="187" spans="1:20" x14ac:dyDescent="0.2">
      <c r="A187" s="153">
        <v>2016</v>
      </c>
      <c r="B187" s="153">
        <v>6</v>
      </c>
      <c r="C187" s="153" t="str">
        <f t="shared" si="19"/>
        <v>20166</v>
      </c>
      <c r="D187" s="153" t="str">
        <f t="shared" si="24"/>
        <v>Q2</v>
      </c>
      <c r="E187" s="153" t="e">
        <f t="shared" si="25"/>
        <v>#N/A</v>
      </c>
      <c r="F187" s="153" t="e">
        <f t="shared" si="25"/>
        <v>#N/A</v>
      </c>
      <c r="G187" s="153">
        <f t="shared" si="25"/>
        <v>43979.682119470162</v>
      </c>
      <c r="H187" s="153">
        <f t="shared" si="25"/>
        <v>1343.8741846014057</v>
      </c>
      <c r="I187" s="153">
        <f t="shared" si="25"/>
        <v>543.34997317783518</v>
      </c>
      <c r="J187" s="179" t="e">
        <f t="shared" si="21"/>
        <v>#N/A</v>
      </c>
      <c r="P187" s="155"/>
      <c r="Q187" s="155"/>
      <c r="R187" s="155"/>
      <c r="S187" s="181"/>
      <c r="T187" s="189"/>
    </row>
    <row r="188" spans="1:20" x14ac:dyDescent="0.2">
      <c r="A188" s="153">
        <v>2016</v>
      </c>
      <c r="B188" s="153">
        <v>7</v>
      </c>
      <c r="C188" s="153" t="str">
        <f t="shared" si="19"/>
        <v>20167</v>
      </c>
      <c r="D188" s="153" t="str">
        <f t="shared" si="24"/>
        <v>Q3</v>
      </c>
      <c r="E188" s="153" t="e">
        <f t="shared" si="25"/>
        <v>#N/A</v>
      </c>
      <c r="F188" s="153" t="e">
        <f t="shared" si="25"/>
        <v>#N/A</v>
      </c>
      <c r="G188" s="153">
        <f t="shared" si="25"/>
        <v>44190.115651236883</v>
      </c>
      <c r="H188" s="153">
        <f t="shared" si="25"/>
        <v>1346.2968769740344</v>
      </c>
      <c r="I188" s="153">
        <f t="shared" si="25"/>
        <v>544.4596023485401</v>
      </c>
      <c r="J188" s="179" t="e">
        <f t="shared" si="21"/>
        <v>#N/A</v>
      </c>
      <c r="P188" s="155"/>
      <c r="Q188" s="155"/>
      <c r="R188" s="155"/>
      <c r="S188" s="181"/>
      <c r="T188" s="189"/>
    </row>
    <row r="189" spans="1:20" x14ac:dyDescent="0.2">
      <c r="A189" s="153">
        <v>2016</v>
      </c>
      <c r="B189" s="153">
        <v>8</v>
      </c>
      <c r="C189" s="153" t="str">
        <f t="shared" si="19"/>
        <v>20168</v>
      </c>
      <c r="D189" s="153" t="str">
        <f t="shared" si="24"/>
        <v>Q3</v>
      </c>
      <c r="E189" s="153" t="e">
        <f t="shared" si="25"/>
        <v>#N/A</v>
      </c>
      <c r="F189" s="153" t="e">
        <f t="shared" si="25"/>
        <v>#N/A</v>
      </c>
      <c r="G189" s="153">
        <f t="shared" si="25"/>
        <v>44190.115651236883</v>
      </c>
      <c r="H189" s="153">
        <f t="shared" si="25"/>
        <v>1346.2968769740344</v>
      </c>
      <c r="I189" s="153">
        <f t="shared" si="25"/>
        <v>544.4596023485401</v>
      </c>
      <c r="J189" s="179" t="e">
        <f t="shared" si="21"/>
        <v>#N/A</v>
      </c>
      <c r="P189" s="155"/>
      <c r="Q189" s="155"/>
      <c r="R189" s="155"/>
      <c r="S189" s="181"/>
      <c r="T189" s="189"/>
    </row>
    <row r="190" spans="1:20" x14ac:dyDescent="0.2">
      <c r="A190" s="153">
        <v>2016</v>
      </c>
      <c r="B190" s="153">
        <v>9</v>
      </c>
      <c r="C190" s="153" t="str">
        <f t="shared" si="19"/>
        <v>20169</v>
      </c>
      <c r="D190" s="153" t="str">
        <f t="shared" si="24"/>
        <v>Q3</v>
      </c>
      <c r="E190" s="153" t="e">
        <f t="shared" si="25"/>
        <v>#N/A</v>
      </c>
      <c r="F190" s="153" t="e">
        <f t="shared" si="25"/>
        <v>#N/A</v>
      </c>
      <c r="G190" s="153">
        <f t="shared" si="25"/>
        <v>44190.115651236883</v>
      </c>
      <c r="H190" s="153">
        <f t="shared" si="25"/>
        <v>1346.2968769740344</v>
      </c>
      <c r="I190" s="153">
        <f t="shared" si="25"/>
        <v>544.4596023485401</v>
      </c>
      <c r="J190" s="179" t="e">
        <f t="shared" si="21"/>
        <v>#N/A</v>
      </c>
      <c r="P190" s="155"/>
      <c r="Q190" s="155"/>
      <c r="R190" s="155"/>
      <c r="S190" s="181"/>
      <c r="T190" s="189"/>
    </row>
    <row r="191" spans="1:20" x14ac:dyDescent="0.2">
      <c r="A191" s="153">
        <v>2016</v>
      </c>
      <c r="B191" s="153">
        <v>10</v>
      </c>
      <c r="C191" s="153" t="str">
        <f t="shared" si="19"/>
        <v>201610</v>
      </c>
      <c r="D191" s="153" t="str">
        <f t="shared" si="24"/>
        <v>Q4</v>
      </c>
      <c r="E191" s="153" t="e">
        <f t="shared" si="25"/>
        <v>#N/A</v>
      </c>
      <c r="F191" s="153" t="e">
        <f t="shared" si="25"/>
        <v>#N/A</v>
      </c>
      <c r="G191" s="153">
        <f t="shared" si="25"/>
        <v>44479.131361056192</v>
      </c>
      <c r="H191" s="153">
        <f t="shared" si="25"/>
        <v>1349.8101770103867</v>
      </c>
      <c r="I191" s="153">
        <f t="shared" si="25"/>
        <v>545.99926713612615</v>
      </c>
      <c r="J191" s="179" t="e">
        <f t="shared" si="21"/>
        <v>#N/A</v>
      </c>
      <c r="P191" s="155"/>
      <c r="Q191" s="155"/>
      <c r="R191" s="155"/>
      <c r="S191" s="181"/>
      <c r="T191" s="189"/>
    </row>
    <row r="192" spans="1:20" x14ac:dyDescent="0.2">
      <c r="A192" s="153">
        <v>2016</v>
      </c>
      <c r="B192" s="153">
        <v>11</v>
      </c>
      <c r="C192" s="153" t="str">
        <f t="shared" si="19"/>
        <v>201611</v>
      </c>
      <c r="D192" s="153" t="str">
        <f t="shared" si="24"/>
        <v>Q4</v>
      </c>
      <c r="E192" s="153" t="e">
        <f t="shared" si="25"/>
        <v>#N/A</v>
      </c>
      <c r="F192" s="153" t="e">
        <f t="shared" si="25"/>
        <v>#N/A</v>
      </c>
      <c r="G192" s="153">
        <f t="shared" si="25"/>
        <v>44479.131361056192</v>
      </c>
      <c r="H192" s="153">
        <f t="shared" si="25"/>
        <v>1349.8101770103867</v>
      </c>
      <c r="I192" s="153">
        <f t="shared" si="25"/>
        <v>545.99926713612615</v>
      </c>
      <c r="J192" s="179" t="e">
        <f t="shared" si="21"/>
        <v>#N/A</v>
      </c>
      <c r="P192" s="155"/>
      <c r="Q192" s="155"/>
      <c r="R192" s="155"/>
      <c r="S192" s="181"/>
      <c r="T192" s="189"/>
    </row>
    <row r="193" spans="1:20" x14ac:dyDescent="0.2">
      <c r="A193" s="153">
        <v>2016</v>
      </c>
      <c r="B193" s="153">
        <v>12</v>
      </c>
      <c r="C193" s="153" t="str">
        <f t="shared" si="19"/>
        <v>201612</v>
      </c>
      <c r="D193" s="153" t="str">
        <f t="shared" si="24"/>
        <v>Q4</v>
      </c>
      <c r="E193" s="153" t="e">
        <f t="shared" si="25"/>
        <v>#N/A</v>
      </c>
      <c r="F193" s="153" t="e">
        <f t="shared" si="25"/>
        <v>#N/A</v>
      </c>
      <c r="G193" s="153">
        <f t="shared" si="25"/>
        <v>44479.131361056192</v>
      </c>
      <c r="H193" s="153">
        <f t="shared" si="25"/>
        <v>1349.8101770103867</v>
      </c>
      <c r="I193" s="153">
        <f t="shared" si="25"/>
        <v>545.99926713612615</v>
      </c>
      <c r="J193" s="179" t="e">
        <f t="shared" si="21"/>
        <v>#N/A</v>
      </c>
      <c r="P193" s="155"/>
      <c r="Q193" s="155"/>
      <c r="R193" s="155"/>
      <c r="S193" s="181"/>
      <c r="T193" s="189"/>
    </row>
    <row r="194" spans="1:20" x14ac:dyDescent="0.2">
      <c r="A194" s="153">
        <v>2017</v>
      </c>
      <c r="B194" s="153">
        <v>1</v>
      </c>
      <c r="C194" s="153" t="str">
        <f t="shared" si="19"/>
        <v>20171</v>
      </c>
      <c r="D194" s="153" t="str">
        <f t="shared" si="24"/>
        <v>Q1</v>
      </c>
      <c r="E194" s="153" t="e">
        <f t="shared" si="25"/>
        <v>#N/A</v>
      </c>
      <c r="F194" s="153" t="e">
        <f t="shared" si="25"/>
        <v>#N/A</v>
      </c>
      <c r="G194" s="153">
        <f t="shared" si="25"/>
        <v>44591.826055215206</v>
      </c>
      <c r="H194" s="153">
        <f t="shared" si="25"/>
        <v>1352.2535727541979</v>
      </c>
      <c r="I194" s="153">
        <f t="shared" si="25"/>
        <v>546.70379626038107</v>
      </c>
      <c r="J194" s="179" t="e">
        <f t="shared" si="21"/>
        <v>#N/A</v>
      </c>
      <c r="P194" s="155"/>
      <c r="Q194" s="155"/>
      <c r="R194" s="155"/>
      <c r="S194" s="181"/>
      <c r="T194" s="189"/>
    </row>
    <row r="195" spans="1:20" x14ac:dyDescent="0.2">
      <c r="A195" s="153">
        <v>2017</v>
      </c>
      <c r="B195" s="153">
        <v>2</v>
      </c>
      <c r="C195" s="153" t="str">
        <f t="shared" ref="C195:C258" si="30">A195&amp;B195</f>
        <v>20172</v>
      </c>
      <c r="D195" s="153" t="str">
        <f t="shared" si="24"/>
        <v>Q1</v>
      </c>
      <c r="E195" s="153" t="e">
        <f t="shared" si="25"/>
        <v>#N/A</v>
      </c>
      <c r="F195" s="153" t="e">
        <f t="shared" si="25"/>
        <v>#N/A</v>
      </c>
      <c r="G195" s="153">
        <f t="shared" si="25"/>
        <v>44591.826055215206</v>
      </c>
      <c r="H195" s="153">
        <f t="shared" si="25"/>
        <v>1352.2535727541979</v>
      </c>
      <c r="I195" s="153">
        <f t="shared" si="25"/>
        <v>546.70379626038107</v>
      </c>
      <c r="J195" s="179" t="e">
        <f t="shared" si="21"/>
        <v>#N/A</v>
      </c>
      <c r="P195" s="155"/>
      <c r="Q195" s="155"/>
      <c r="R195" s="155"/>
      <c r="S195" s="181"/>
      <c r="T195" s="189"/>
    </row>
    <row r="196" spans="1:20" x14ac:dyDescent="0.2">
      <c r="A196" s="153">
        <v>2017</v>
      </c>
      <c r="B196" s="153">
        <v>3</v>
      </c>
      <c r="C196" s="153" t="str">
        <f t="shared" si="30"/>
        <v>20173</v>
      </c>
      <c r="D196" s="153" t="str">
        <f t="shared" si="24"/>
        <v>Q1</v>
      </c>
      <c r="E196" s="153" t="e">
        <f t="shared" si="25"/>
        <v>#N/A</v>
      </c>
      <c r="F196" s="153" t="e">
        <f t="shared" si="25"/>
        <v>#N/A</v>
      </c>
      <c r="G196" s="153">
        <f t="shared" si="25"/>
        <v>44591.826055215206</v>
      </c>
      <c r="H196" s="153">
        <f t="shared" si="25"/>
        <v>1352.2535727541979</v>
      </c>
      <c r="I196" s="153">
        <f t="shared" si="25"/>
        <v>546.70379626038107</v>
      </c>
      <c r="J196" s="179" t="e">
        <f t="shared" si="21"/>
        <v>#N/A</v>
      </c>
      <c r="P196" s="155"/>
      <c r="Q196" s="155"/>
      <c r="R196" s="155"/>
      <c r="S196" s="181"/>
      <c r="T196" s="189"/>
    </row>
    <row r="197" spans="1:20" x14ac:dyDescent="0.2">
      <c r="A197" s="153">
        <v>2017</v>
      </c>
      <c r="B197" s="153">
        <v>4</v>
      </c>
      <c r="C197" s="153" t="str">
        <f t="shared" si="30"/>
        <v>20174</v>
      </c>
      <c r="D197" s="153" t="str">
        <f t="shared" si="24"/>
        <v>Q2</v>
      </c>
      <c r="E197" s="153" t="e">
        <f t="shared" si="25"/>
        <v>#N/A</v>
      </c>
      <c r="F197" s="153" t="e">
        <f t="shared" si="25"/>
        <v>#N/A</v>
      </c>
      <c r="G197" s="153">
        <f t="shared" si="25"/>
        <v>44904.574224823955</v>
      </c>
      <c r="H197" s="153">
        <f t="shared" si="25"/>
        <v>1355.6247603896084</v>
      </c>
      <c r="I197" s="153">
        <f t="shared" si="25"/>
        <v>547.82118724552993</v>
      </c>
      <c r="J197" s="179" t="e">
        <f t="shared" si="21"/>
        <v>#N/A</v>
      </c>
      <c r="P197" s="155"/>
      <c r="Q197" s="155"/>
      <c r="R197" s="155"/>
      <c r="S197" s="181"/>
      <c r="T197" s="189"/>
    </row>
    <row r="198" spans="1:20" x14ac:dyDescent="0.2">
      <c r="A198" s="153">
        <v>2017</v>
      </c>
      <c r="B198" s="153">
        <v>5</v>
      </c>
      <c r="C198" s="153" t="str">
        <f t="shared" si="30"/>
        <v>20175</v>
      </c>
      <c r="D198" s="153" t="str">
        <f t="shared" si="24"/>
        <v>Q2</v>
      </c>
      <c r="E198" s="153" t="e">
        <f t="shared" si="25"/>
        <v>#N/A</v>
      </c>
      <c r="F198" s="153" t="e">
        <f t="shared" si="25"/>
        <v>#N/A</v>
      </c>
      <c r="G198" s="153">
        <f t="shared" si="25"/>
        <v>44904.574224823955</v>
      </c>
      <c r="H198" s="153">
        <f t="shared" si="25"/>
        <v>1355.6247603896084</v>
      </c>
      <c r="I198" s="153">
        <f t="shared" si="25"/>
        <v>547.82118724552993</v>
      </c>
      <c r="J198" s="179" t="e">
        <f t="shared" si="21"/>
        <v>#N/A</v>
      </c>
      <c r="P198" s="155"/>
      <c r="Q198" s="155"/>
      <c r="R198" s="155"/>
      <c r="S198" s="181"/>
      <c r="T198" s="189"/>
    </row>
    <row r="199" spans="1:20" x14ac:dyDescent="0.2">
      <c r="A199" s="153">
        <v>2017</v>
      </c>
      <c r="B199" s="153">
        <v>6</v>
      </c>
      <c r="C199" s="153" t="str">
        <f t="shared" si="30"/>
        <v>20176</v>
      </c>
      <c r="D199" s="153" t="str">
        <f t="shared" si="24"/>
        <v>Q2</v>
      </c>
      <c r="E199" s="153" t="e">
        <f t="shared" si="25"/>
        <v>#N/A</v>
      </c>
      <c r="F199" s="153" t="e">
        <f t="shared" si="25"/>
        <v>#N/A</v>
      </c>
      <c r="G199" s="153">
        <f t="shared" si="25"/>
        <v>44904.574224823955</v>
      </c>
      <c r="H199" s="153">
        <f t="shared" si="25"/>
        <v>1355.6247603896084</v>
      </c>
      <c r="I199" s="153">
        <f t="shared" si="25"/>
        <v>547.82118724552993</v>
      </c>
      <c r="J199" s="179" t="e">
        <f t="shared" ref="J199:J262" si="31">E199/E187-1</f>
        <v>#N/A</v>
      </c>
      <c r="P199" s="155"/>
      <c r="Q199" s="155"/>
      <c r="R199" s="155"/>
      <c r="S199" s="181"/>
      <c r="T199" s="189"/>
    </row>
    <row r="200" spans="1:20" x14ac:dyDescent="0.2">
      <c r="A200" s="153">
        <v>2017</v>
      </c>
      <c r="B200" s="153">
        <v>7</v>
      </c>
      <c r="C200" s="153" t="str">
        <f t="shared" si="30"/>
        <v>20177</v>
      </c>
      <c r="D200" s="153" t="str">
        <f t="shared" si="24"/>
        <v>Q3</v>
      </c>
      <c r="E200" s="153" t="e">
        <f t="shared" si="25"/>
        <v>#N/A</v>
      </c>
      <c r="F200" s="153" t="e">
        <f t="shared" si="25"/>
        <v>#N/A</v>
      </c>
      <c r="G200" s="153">
        <f t="shared" si="25"/>
        <v>45194.496478629822</v>
      </c>
      <c r="H200" s="153">
        <f t="shared" si="25"/>
        <v>1358.0185639300744</v>
      </c>
      <c r="I200" s="153">
        <f t="shared" si="25"/>
        <v>548.51264204130632</v>
      </c>
      <c r="J200" s="179" t="e">
        <f t="shared" si="31"/>
        <v>#N/A</v>
      </c>
      <c r="P200" s="155"/>
      <c r="Q200" s="155"/>
      <c r="R200" s="155"/>
      <c r="S200" s="181"/>
      <c r="T200" s="189"/>
    </row>
    <row r="201" spans="1:20" x14ac:dyDescent="0.2">
      <c r="A201" s="153">
        <v>2017</v>
      </c>
      <c r="B201" s="153">
        <v>8</v>
      </c>
      <c r="C201" s="153" t="str">
        <f t="shared" si="30"/>
        <v>20178</v>
      </c>
      <c r="D201" s="153" t="str">
        <f t="shared" si="24"/>
        <v>Q3</v>
      </c>
      <c r="E201" s="153" t="e">
        <f t="shared" ref="E201:I251" si="32">VLOOKUP($A201&amp;$D201,$O$1:$U$169,MATCH(E$1,$O$1:$U$1,0),0)</f>
        <v>#N/A</v>
      </c>
      <c r="F201" s="153" t="e">
        <f t="shared" si="32"/>
        <v>#N/A</v>
      </c>
      <c r="G201" s="153">
        <f t="shared" si="32"/>
        <v>45194.496478629822</v>
      </c>
      <c r="H201" s="153">
        <f t="shared" si="32"/>
        <v>1358.0185639300744</v>
      </c>
      <c r="I201" s="153">
        <f t="shared" si="32"/>
        <v>548.51264204130632</v>
      </c>
      <c r="J201" s="179" t="e">
        <f t="shared" si="31"/>
        <v>#N/A</v>
      </c>
      <c r="P201" s="155"/>
      <c r="Q201" s="155"/>
      <c r="R201" s="155"/>
      <c r="S201" s="181"/>
      <c r="T201" s="189"/>
    </row>
    <row r="202" spans="1:20" x14ac:dyDescent="0.2">
      <c r="A202" s="153">
        <v>2017</v>
      </c>
      <c r="B202" s="153">
        <v>9</v>
      </c>
      <c r="C202" s="153" t="str">
        <f t="shared" si="30"/>
        <v>20179</v>
      </c>
      <c r="D202" s="153" t="str">
        <f t="shared" si="24"/>
        <v>Q3</v>
      </c>
      <c r="E202" s="153" t="e">
        <f t="shared" si="32"/>
        <v>#N/A</v>
      </c>
      <c r="F202" s="153" t="e">
        <f t="shared" si="32"/>
        <v>#N/A</v>
      </c>
      <c r="G202" s="153">
        <f t="shared" si="32"/>
        <v>45194.496478629822</v>
      </c>
      <c r="H202" s="153">
        <f t="shared" si="32"/>
        <v>1358.0185639300744</v>
      </c>
      <c r="I202" s="153">
        <f t="shared" si="32"/>
        <v>548.51264204130632</v>
      </c>
      <c r="J202" s="179" t="e">
        <f t="shared" si="31"/>
        <v>#N/A</v>
      </c>
      <c r="P202" s="155"/>
      <c r="Q202" s="155"/>
      <c r="R202" s="155"/>
      <c r="S202" s="181"/>
      <c r="T202" s="189"/>
    </row>
    <row r="203" spans="1:20" x14ac:dyDescent="0.2">
      <c r="A203" s="153">
        <v>2017</v>
      </c>
      <c r="B203" s="153">
        <v>10</v>
      </c>
      <c r="C203" s="153" t="str">
        <f t="shared" si="30"/>
        <v>201710</v>
      </c>
      <c r="D203" s="153" t="str">
        <f t="shared" si="24"/>
        <v>Q4</v>
      </c>
      <c r="E203" s="153" t="e">
        <f t="shared" si="32"/>
        <v>#N/A</v>
      </c>
      <c r="F203" s="153" t="e">
        <f t="shared" si="32"/>
        <v>#N/A</v>
      </c>
      <c r="G203" s="153">
        <f t="shared" si="32"/>
        <v>45448.674552537363</v>
      </c>
      <c r="H203" s="153">
        <f t="shared" si="32"/>
        <v>1361.1067204817111</v>
      </c>
      <c r="I203" s="153">
        <f t="shared" si="32"/>
        <v>549.48578309977268</v>
      </c>
      <c r="J203" s="179" t="e">
        <f t="shared" si="31"/>
        <v>#N/A</v>
      </c>
      <c r="P203" s="155"/>
      <c r="Q203" s="155"/>
      <c r="R203" s="155"/>
      <c r="S203" s="181"/>
      <c r="T203" s="189"/>
    </row>
    <row r="204" spans="1:20" x14ac:dyDescent="0.2">
      <c r="A204" s="153">
        <v>2017</v>
      </c>
      <c r="B204" s="153">
        <v>11</v>
      </c>
      <c r="C204" s="153" t="str">
        <f t="shared" si="30"/>
        <v>201711</v>
      </c>
      <c r="D204" s="153" t="str">
        <f t="shared" si="24"/>
        <v>Q4</v>
      </c>
      <c r="E204" s="153" t="e">
        <f t="shared" si="32"/>
        <v>#N/A</v>
      </c>
      <c r="F204" s="153" t="e">
        <f t="shared" si="32"/>
        <v>#N/A</v>
      </c>
      <c r="G204" s="153">
        <f t="shared" si="32"/>
        <v>45448.674552537363</v>
      </c>
      <c r="H204" s="153">
        <f t="shared" si="32"/>
        <v>1361.1067204817111</v>
      </c>
      <c r="I204" s="153">
        <f t="shared" si="32"/>
        <v>549.48578309977268</v>
      </c>
      <c r="J204" s="179" t="e">
        <f t="shared" si="31"/>
        <v>#N/A</v>
      </c>
      <c r="P204" s="155"/>
      <c r="Q204" s="155"/>
      <c r="R204" s="155"/>
      <c r="S204" s="181"/>
      <c r="T204" s="189"/>
    </row>
    <row r="205" spans="1:20" x14ac:dyDescent="0.2">
      <c r="A205" s="153">
        <v>2017</v>
      </c>
      <c r="B205" s="153">
        <v>12</v>
      </c>
      <c r="C205" s="153" t="str">
        <f t="shared" si="30"/>
        <v>201712</v>
      </c>
      <c r="D205" s="153" t="str">
        <f t="shared" si="24"/>
        <v>Q4</v>
      </c>
      <c r="E205" s="153" t="e">
        <f t="shared" si="32"/>
        <v>#N/A</v>
      </c>
      <c r="F205" s="153" t="e">
        <f t="shared" si="32"/>
        <v>#N/A</v>
      </c>
      <c r="G205" s="153">
        <f t="shared" si="32"/>
        <v>45448.674552537363</v>
      </c>
      <c r="H205" s="153">
        <f t="shared" si="32"/>
        <v>1361.1067204817111</v>
      </c>
      <c r="I205" s="153">
        <f t="shared" si="32"/>
        <v>549.48578309977268</v>
      </c>
      <c r="J205" s="179" t="e">
        <f t="shared" si="31"/>
        <v>#N/A</v>
      </c>
      <c r="P205" s="155"/>
      <c r="Q205" s="155"/>
      <c r="R205" s="155"/>
      <c r="S205" s="181"/>
      <c r="T205" s="189"/>
    </row>
    <row r="206" spans="1:20" x14ac:dyDescent="0.2">
      <c r="A206" s="153">
        <v>2018</v>
      </c>
      <c r="B206" s="153">
        <v>1</v>
      </c>
      <c r="C206" s="153" t="str">
        <f t="shared" si="30"/>
        <v>20181</v>
      </c>
      <c r="D206" s="153" t="str">
        <f t="shared" si="24"/>
        <v>Q1</v>
      </c>
      <c r="E206" s="153" t="e">
        <f t="shared" si="32"/>
        <v>#N/A</v>
      </c>
      <c r="F206" s="153" t="e">
        <f t="shared" si="32"/>
        <v>#N/A</v>
      </c>
      <c r="G206" s="153">
        <f t="shared" si="32"/>
        <v>45721.18203228699</v>
      </c>
      <c r="H206" s="153">
        <f t="shared" si="32"/>
        <v>1364.3717319823133</v>
      </c>
      <c r="I206" s="153">
        <f t="shared" si="32"/>
        <v>550.78242885989221</v>
      </c>
      <c r="J206" s="179" t="e">
        <f t="shared" si="31"/>
        <v>#N/A</v>
      </c>
      <c r="P206" s="155"/>
      <c r="Q206" s="155"/>
      <c r="R206" s="155"/>
      <c r="S206" s="181"/>
      <c r="T206" s="189"/>
    </row>
    <row r="207" spans="1:20" x14ac:dyDescent="0.2">
      <c r="A207" s="153">
        <v>2018</v>
      </c>
      <c r="B207" s="153">
        <v>2</v>
      </c>
      <c r="C207" s="153" t="str">
        <f t="shared" si="30"/>
        <v>20182</v>
      </c>
      <c r="D207" s="153" t="str">
        <f t="shared" ref="D207:D270" si="33">D195</f>
        <v>Q1</v>
      </c>
      <c r="E207" s="153" t="e">
        <f t="shared" si="32"/>
        <v>#N/A</v>
      </c>
      <c r="F207" s="153" t="e">
        <f t="shared" si="32"/>
        <v>#N/A</v>
      </c>
      <c r="G207" s="153">
        <f t="shared" si="32"/>
        <v>45721.18203228699</v>
      </c>
      <c r="H207" s="153">
        <f t="shared" si="32"/>
        <v>1364.3717319823133</v>
      </c>
      <c r="I207" s="153">
        <f t="shared" si="32"/>
        <v>550.78242885989221</v>
      </c>
      <c r="J207" s="179" t="e">
        <f t="shared" si="31"/>
        <v>#N/A</v>
      </c>
      <c r="P207" s="155"/>
      <c r="Q207" s="155"/>
      <c r="R207" s="155"/>
      <c r="S207" s="181"/>
      <c r="T207" s="189"/>
    </row>
    <row r="208" spans="1:20" x14ac:dyDescent="0.2">
      <c r="A208" s="153">
        <v>2018</v>
      </c>
      <c r="B208" s="153">
        <v>3</v>
      </c>
      <c r="C208" s="153" t="str">
        <f t="shared" si="30"/>
        <v>20183</v>
      </c>
      <c r="D208" s="153" t="str">
        <f t="shared" si="33"/>
        <v>Q1</v>
      </c>
      <c r="E208" s="153" t="e">
        <f t="shared" si="32"/>
        <v>#N/A</v>
      </c>
      <c r="F208" s="153" t="e">
        <f t="shared" si="32"/>
        <v>#N/A</v>
      </c>
      <c r="G208" s="153">
        <f t="shared" si="32"/>
        <v>45721.18203228699</v>
      </c>
      <c r="H208" s="153">
        <f t="shared" si="32"/>
        <v>1364.3717319823133</v>
      </c>
      <c r="I208" s="153">
        <f t="shared" si="32"/>
        <v>550.78242885989221</v>
      </c>
      <c r="J208" s="179" t="e">
        <f t="shared" si="31"/>
        <v>#N/A</v>
      </c>
      <c r="P208" s="155"/>
      <c r="Q208" s="155"/>
      <c r="R208" s="155"/>
      <c r="S208" s="181"/>
      <c r="T208" s="189"/>
    </row>
    <row r="209" spans="1:18" x14ac:dyDescent="0.2">
      <c r="A209" s="153">
        <v>2018</v>
      </c>
      <c r="B209" s="153">
        <v>4</v>
      </c>
      <c r="C209" s="153" t="str">
        <f t="shared" si="30"/>
        <v>20184</v>
      </c>
      <c r="D209" s="153" t="str">
        <f t="shared" si="33"/>
        <v>Q2</v>
      </c>
      <c r="E209" s="153" t="e">
        <f t="shared" si="32"/>
        <v>#N/A</v>
      </c>
      <c r="F209" s="153" t="e">
        <f t="shared" si="32"/>
        <v>#N/A</v>
      </c>
      <c r="G209" s="153">
        <f t="shared" si="32"/>
        <v>45952.240193290287</v>
      </c>
      <c r="H209" s="153">
        <f t="shared" si="32"/>
        <v>1366.8450445227297</v>
      </c>
      <c r="I209" s="153">
        <f t="shared" si="32"/>
        <v>551.69070371431644</v>
      </c>
      <c r="J209" s="179" t="e">
        <f t="shared" si="31"/>
        <v>#N/A</v>
      </c>
      <c r="P209" s="159"/>
      <c r="Q209" s="159"/>
      <c r="R209" s="159"/>
    </row>
    <row r="210" spans="1:18" x14ac:dyDescent="0.2">
      <c r="A210" s="153">
        <v>2018</v>
      </c>
      <c r="B210" s="153">
        <v>5</v>
      </c>
      <c r="C210" s="153" t="str">
        <f t="shared" si="30"/>
        <v>20185</v>
      </c>
      <c r="D210" s="153" t="str">
        <f t="shared" si="33"/>
        <v>Q2</v>
      </c>
      <c r="E210" s="153" t="e">
        <f t="shared" si="32"/>
        <v>#N/A</v>
      </c>
      <c r="F210" s="153" t="e">
        <f t="shared" si="32"/>
        <v>#N/A</v>
      </c>
      <c r="G210" s="153">
        <f t="shared" si="32"/>
        <v>45952.240193290287</v>
      </c>
      <c r="H210" s="153">
        <f t="shared" si="32"/>
        <v>1366.8450445227297</v>
      </c>
      <c r="I210" s="153">
        <f t="shared" si="32"/>
        <v>551.69070371431644</v>
      </c>
      <c r="J210" s="179" t="e">
        <f t="shared" si="31"/>
        <v>#N/A</v>
      </c>
      <c r="P210" s="159"/>
      <c r="Q210" s="159"/>
      <c r="R210" s="159"/>
    </row>
    <row r="211" spans="1:18" x14ac:dyDescent="0.2">
      <c r="A211" s="153">
        <v>2018</v>
      </c>
      <c r="B211" s="153">
        <v>6</v>
      </c>
      <c r="C211" s="153" t="str">
        <f t="shared" si="30"/>
        <v>20186</v>
      </c>
      <c r="D211" s="153" t="str">
        <f t="shared" si="33"/>
        <v>Q2</v>
      </c>
      <c r="E211" s="153" t="e">
        <f t="shared" si="32"/>
        <v>#N/A</v>
      </c>
      <c r="F211" s="153" t="e">
        <f t="shared" si="32"/>
        <v>#N/A</v>
      </c>
      <c r="G211" s="153">
        <f t="shared" si="32"/>
        <v>45952.240193290287</v>
      </c>
      <c r="H211" s="153">
        <f t="shared" si="32"/>
        <v>1366.8450445227297</v>
      </c>
      <c r="I211" s="153">
        <f t="shared" si="32"/>
        <v>551.69070371431644</v>
      </c>
      <c r="J211" s="179" t="e">
        <f t="shared" si="31"/>
        <v>#N/A</v>
      </c>
      <c r="P211" s="159"/>
      <c r="Q211" s="159"/>
      <c r="R211" s="159"/>
    </row>
    <row r="212" spans="1:18" x14ac:dyDescent="0.2">
      <c r="A212" s="153">
        <v>2018</v>
      </c>
      <c r="B212" s="153">
        <v>7</v>
      </c>
      <c r="C212" s="153" t="str">
        <f t="shared" si="30"/>
        <v>20187</v>
      </c>
      <c r="D212" s="153" t="str">
        <f t="shared" si="33"/>
        <v>Q3</v>
      </c>
      <c r="E212" s="153" t="e">
        <f t="shared" si="32"/>
        <v>#N/A</v>
      </c>
      <c r="F212" s="153" t="e">
        <f t="shared" si="32"/>
        <v>#N/A</v>
      </c>
      <c r="G212" s="153">
        <f t="shared" si="32"/>
        <v>46269.534926018147</v>
      </c>
      <c r="H212" s="153">
        <f t="shared" si="32"/>
        <v>1369.4271187304621</v>
      </c>
      <c r="I212" s="153">
        <f t="shared" si="32"/>
        <v>552.76459498891222</v>
      </c>
      <c r="J212" s="179" t="e">
        <f t="shared" si="31"/>
        <v>#N/A</v>
      </c>
      <c r="P212" s="159"/>
      <c r="Q212" s="159"/>
      <c r="R212" s="159"/>
    </row>
    <row r="213" spans="1:18" x14ac:dyDescent="0.2">
      <c r="A213" s="153">
        <v>2018</v>
      </c>
      <c r="B213" s="153">
        <v>8</v>
      </c>
      <c r="C213" s="153" t="str">
        <f t="shared" si="30"/>
        <v>20188</v>
      </c>
      <c r="D213" s="153" t="str">
        <f t="shared" si="33"/>
        <v>Q3</v>
      </c>
      <c r="E213" s="153" t="e">
        <f t="shared" si="32"/>
        <v>#N/A</v>
      </c>
      <c r="F213" s="153" t="e">
        <f t="shared" si="32"/>
        <v>#N/A</v>
      </c>
      <c r="G213" s="153">
        <f t="shared" si="32"/>
        <v>46269.534926018147</v>
      </c>
      <c r="H213" s="153">
        <f t="shared" si="32"/>
        <v>1369.4271187304621</v>
      </c>
      <c r="I213" s="153">
        <f t="shared" si="32"/>
        <v>552.76459498891222</v>
      </c>
      <c r="J213" s="179" t="e">
        <f t="shared" si="31"/>
        <v>#N/A</v>
      </c>
      <c r="P213" s="159"/>
      <c r="Q213" s="159"/>
      <c r="R213" s="159"/>
    </row>
    <row r="214" spans="1:18" x14ac:dyDescent="0.2">
      <c r="A214" s="153">
        <v>2018</v>
      </c>
      <c r="B214" s="153">
        <v>9</v>
      </c>
      <c r="C214" s="153" t="str">
        <f t="shared" si="30"/>
        <v>20189</v>
      </c>
      <c r="D214" s="153" t="str">
        <f t="shared" si="33"/>
        <v>Q3</v>
      </c>
      <c r="E214" s="153" t="e">
        <f t="shared" si="32"/>
        <v>#N/A</v>
      </c>
      <c r="F214" s="153" t="e">
        <f t="shared" si="32"/>
        <v>#N/A</v>
      </c>
      <c r="G214" s="153">
        <f t="shared" si="32"/>
        <v>46269.534926018147</v>
      </c>
      <c r="H214" s="153">
        <f t="shared" si="32"/>
        <v>1369.4271187304621</v>
      </c>
      <c r="I214" s="153">
        <f t="shared" si="32"/>
        <v>552.76459498891222</v>
      </c>
      <c r="J214" s="179" t="e">
        <f t="shared" si="31"/>
        <v>#N/A</v>
      </c>
      <c r="P214" s="159"/>
      <c r="Q214" s="159"/>
      <c r="R214" s="159"/>
    </row>
    <row r="215" spans="1:18" x14ac:dyDescent="0.2">
      <c r="A215" s="153">
        <v>2018</v>
      </c>
      <c r="B215" s="153">
        <v>10</v>
      </c>
      <c r="C215" s="153" t="str">
        <f t="shared" si="30"/>
        <v>201810</v>
      </c>
      <c r="D215" s="153" t="str">
        <f t="shared" si="33"/>
        <v>Q4</v>
      </c>
      <c r="E215" s="153" t="e">
        <f t="shared" si="32"/>
        <v>#N/A</v>
      </c>
      <c r="F215" s="153" t="e">
        <f t="shared" si="32"/>
        <v>#N/A</v>
      </c>
      <c r="G215" s="153">
        <f t="shared" si="32"/>
        <v>46499.695892915195</v>
      </c>
      <c r="H215" s="153">
        <f t="shared" si="32"/>
        <v>1371.9503650990048</v>
      </c>
      <c r="I215" s="153">
        <f t="shared" si="32"/>
        <v>553.7323786940874</v>
      </c>
      <c r="J215" s="179" t="e">
        <f t="shared" si="31"/>
        <v>#N/A</v>
      </c>
      <c r="P215" s="159"/>
      <c r="Q215" s="159"/>
      <c r="R215" s="159"/>
    </row>
    <row r="216" spans="1:18" x14ac:dyDescent="0.2">
      <c r="A216" s="153">
        <v>2018</v>
      </c>
      <c r="B216" s="153">
        <v>11</v>
      </c>
      <c r="C216" s="153" t="str">
        <f t="shared" si="30"/>
        <v>201811</v>
      </c>
      <c r="D216" s="153" t="str">
        <f t="shared" si="33"/>
        <v>Q4</v>
      </c>
      <c r="E216" s="153" t="e">
        <f t="shared" si="32"/>
        <v>#N/A</v>
      </c>
      <c r="F216" s="153" t="e">
        <f t="shared" si="32"/>
        <v>#N/A</v>
      </c>
      <c r="G216" s="153">
        <f t="shared" si="32"/>
        <v>46499.695892915195</v>
      </c>
      <c r="H216" s="153">
        <f t="shared" si="32"/>
        <v>1371.9503650990048</v>
      </c>
      <c r="I216" s="153">
        <f t="shared" si="32"/>
        <v>553.7323786940874</v>
      </c>
      <c r="J216" s="179" t="e">
        <f t="shared" si="31"/>
        <v>#N/A</v>
      </c>
      <c r="P216" s="159"/>
      <c r="Q216" s="159"/>
      <c r="R216" s="159"/>
    </row>
    <row r="217" spans="1:18" x14ac:dyDescent="0.2">
      <c r="A217" s="153">
        <v>2018</v>
      </c>
      <c r="B217" s="153">
        <v>12</v>
      </c>
      <c r="C217" s="153" t="str">
        <f t="shared" si="30"/>
        <v>201812</v>
      </c>
      <c r="D217" s="153" t="str">
        <f t="shared" si="33"/>
        <v>Q4</v>
      </c>
      <c r="E217" s="153" t="e">
        <f t="shared" si="32"/>
        <v>#N/A</v>
      </c>
      <c r="F217" s="153" t="e">
        <f t="shared" si="32"/>
        <v>#N/A</v>
      </c>
      <c r="G217" s="153">
        <f t="shared" si="32"/>
        <v>46499.695892915195</v>
      </c>
      <c r="H217" s="153">
        <f t="shared" si="32"/>
        <v>1371.9503650990048</v>
      </c>
      <c r="I217" s="153">
        <f t="shared" si="32"/>
        <v>553.7323786940874</v>
      </c>
      <c r="J217" s="179" t="e">
        <f t="shared" si="31"/>
        <v>#N/A</v>
      </c>
      <c r="P217" s="159"/>
      <c r="Q217" s="159"/>
      <c r="R217" s="159"/>
    </row>
    <row r="218" spans="1:18" x14ac:dyDescent="0.2">
      <c r="A218" s="153">
        <v>2019</v>
      </c>
      <c r="B218" s="153">
        <v>1</v>
      </c>
      <c r="C218" s="153" t="str">
        <f t="shared" si="30"/>
        <v>20191</v>
      </c>
      <c r="D218" s="153" t="str">
        <f t="shared" si="33"/>
        <v>Q1</v>
      </c>
      <c r="E218" s="153" t="e">
        <f t="shared" si="32"/>
        <v>#N/A</v>
      </c>
      <c r="F218" s="153" t="e">
        <f t="shared" si="32"/>
        <v>#N/A</v>
      </c>
      <c r="G218" s="153">
        <f t="shared" si="32"/>
        <v>46951.95820849367</v>
      </c>
      <c r="H218" s="153">
        <f t="shared" si="32"/>
        <v>1375.6943144598522</v>
      </c>
      <c r="I218" s="153">
        <f t="shared" si="32"/>
        <v>555.21347465929534</v>
      </c>
      <c r="J218" s="179" t="e">
        <f t="shared" si="31"/>
        <v>#N/A</v>
      </c>
    </row>
    <row r="219" spans="1:18" x14ac:dyDescent="0.2">
      <c r="A219" s="153">
        <v>2019</v>
      </c>
      <c r="B219" s="153">
        <v>2</v>
      </c>
      <c r="C219" s="153" t="str">
        <f t="shared" si="30"/>
        <v>20192</v>
      </c>
      <c r="D219" s="153" t="str">
        <f t="shared" si="33"/>
        <v>Q1</v>
      </c>
      <c r="E219" s="153" t="e">
        <f t="shared" si="32"/>
        <v>#N/A</v>
      </c>
      <c r="F219" s="153" t="e">
        <f t="shared" si="32"/>
        <v>#N/A</v>
      </c>
      <c r="G219" s="153">
        <f t="shared" si="32"/>
        <v>46951.95820849367</v>
      </c>
      <c r="H219" s="153">
        <f t="shared" si="32"/>
        <v>1375.6943144598522</v>
      </c>
      <c r="I219" s="153">
        <f t="shared" si="32"/>
        <v>555.21347465929534</v>
      </c>
      <c r="J219" s="179" t="e">
        <f t="shared" si="31"/>
        <v>#N/A</v>
      </c>
      <c r="P219" s="155"/>
      <c r="Q219" s="155"/>
      <c r="R219" s="155"/>
    </row>
    <row r="220" spans="1:18" x14ac:dyDescent="0.2">
      <c r="A220" s="153">
        <v>2019</v>
      </c>
      <c r="B220" s="153">
        <v>3</v>
      </c>
      <c r="C220" s="153" t="str">
        <f t="shared" si="30"/>
        <v>20193</v>
      </c>
      <c r="D220" s="153" t="str">
        <f t="shared" si="33"/>
        <v>Q1</v>
      </c>
      <c r="E220" s="153" t="e">
        <f t="shared" si="32"/>
        <v>#N/A</v>
      </c>
      <c r="F220" s="153" t="e">
        <f t="shared" si="32"/>
        <v>#N/A</v>
      </c>
      <c r="G220" s="153">
        <f t="shared" si="32"/>
        <v>46951.95820849367</v>
      </c>
      <c r="H220" s="153">
        <f t="shared" si="32"/>
        <v>1375.6943144598522</v>
      </c>
      <c r="I220" s="153">
        <f t="shared" si="32"/>
        <v>555.21347465929534</v>
      </c>
      <c r="J220" s="179" t="e">
        <f t="shared" si="31"/>
        <v>#N/A</v>
      </c>
      <c r="P220" s="155"/>
      <c r="Q220" s="155"/>
      <c r="R220" s="155"/>
    </row>
    <row r="221" spans="1:18" x14ac:dyDescent="0.2">
      <c r="A221" s="153">
        <v>2019</v>
      </c>
      <c r="B221" s="153">
        <v>4</v>
      </c>
      <c r="C221" s="153" t="str">
        <f t="shared" si="30"/>
        <v>20194</v>
      </c>
      <c r="D221" s="153" t="str">
        <f t="shared" si="33"/>
        <v>Q2</v>
      </c>
      <c r="E221" s="153" t="e">
        <f t="shared" si="32"/>
        <v>#N/A</v>
      </c>
      <c r="F221" s="153" t="e">
        <f t="shared" si="32"/>
        <v>#N/A</v>
      </c>
      <c r="G221" s="153">
        <f t="shared" si="32"/>
        <v>47295.046546996404</v>
      </c>
      <c r="H221" s="153">
        <f t="shared" si="32"/>
        <v>1378.1975182127694</v>
      </c>
      <c r="I221" s="153">
        <f t="shared" si="32"/>
        <v>556.13041423889035</v>
      </c>
      <c r="J221" s="179" t="e">
        <f t="shared" si="31"/>
        <v>#N/A</v>
      </c>
      <c r="P221" s="155"/>
      <c r="Q221" s="155"/>
      <c r="R221" s="155"/>
    </row>
    <row r="222" spans="1:18" x14ac:dyDescent="0.2">
      <c r="A222" s="153">
        <v>2019</v>
      </c>
      <c r="B222" s="153">
        <v>5</v>
      </c>
      <c r="C222" s="153" t="str">
        <f t="shared" si="30"/>
        <v>20195</v>
      </c>
      <c r="D222" s="153" t="str">
        <f t="shared" si="33"/>
        <v>Q2</v>
      </c>
      <c r="E222" s="153" t="e">
        <f t="shared" si="32"/>
        <v>#N/A</v>
      </c>
      <c r="F222" s="153" t="e">
        <f t="shared" si="32"/>
        <v>#N/A</v>
      </c>
      <c r="G222" s="153">
        <f t="shared" si="32"/>
        <v>47295.046546996404</v>
      </c>
      <c r="H222" s="153">
        <f t="shared" si="32"/>
        <v>1378.1975182127694</v>
      </c>
      <c r="I222" s="153">
        <f t="shared" si="32"/>
        <v>556.13041423889035</v>
      </c>
      <c r="J222" s="179" t="e">
        <f t="shared" si="31"/>
        <v>#N/A</v>
      </c>
      <c r="P222" s="155"/>
      <c r="Q222" s="155"/>
      <c r="R222" s="155"/>
    </row>
    <row r="223" spans="1:18" x14ac:dyDescent="0.2">
      <c r="A223" s="153">
        <v>2019</v>
      </c>
      <c r="B223" s="153">
        <v>6</v>
      </c>
      <c r="C223" s="153" t="str">
        <f t="shared" si="30"/>
        <v>20196</v>
      </c>
      <c r="D223" s="153" t="str">
        <f t="shared" si="33"/>
        <v>Q2</v>
      </c>
      <c r="E223" s="153" t="e">
        <f t="shared" si="32"/>
        <v>#N/A</v>
      </c>
      <c r="F223" s="153" t="e">
        <f t="shared" si="32"/>
        <v>#N/A</v>
      </c>
      <c r="G223" s="153">
        <f t="shared" si="32"/>
        <v>47295.046546996404</v>
      </c>
      <c r="H223" s="153">
        <f t="shared" si="32"/>
        <v>1378.1975182127694</v>
      </c>
      <c r="I223" s="153">
        <f t="shared" si="32"/>
        <v>556.13041423889035</v>
      </c>
      <c r="J223" s="179" t="e">
        <f t="shared" si="31"/>
        <v>#N/A</v>
      </c>
      <c r="P223" s="155"/>
      <c r="Q223" s="155"/>
      <c r="R223" s="155"/>
    </row>
    <row r="224" spans="1:18" x14ac:dyDescent="0.2">
      <c r="A224" s="153">
        <v>2019</v>
      </c>
      <c r="B224" s="153">
        <v>7</v>
      </c>
      <c r="C224" s="153" t="str">
        <f t="shared" si="30"/>
        <v>20197</v>
      </c>
      <c r="D224" s="153" t="str">
        <f t="shared" si="33"/>
        <v>Q3</v>
      </c>
      <c r="E224" s="153" t="e">
        <f t="shared" si="32"/>
        <v>#N/A</v>
      </c>
      <c r="F224" s="153" t="e">
        <f t="shared" si="32"/>
        <v>#N/A</v>
      </c>
      <c r="G224" s="153">
        <f t="shared" si="32"/>
        <v>47474.511791947109</v>
      </c>
      <c r="H224" s="153">
        <f t="shared" si="32"/>
        <v>1381.5237765878248</v>
      </c>
      <c r="I224" s="153">
        <f t="shared" si="32"/>
        <v>557.42811221819136</v>
      </c>
      <c r="J224" s="179" t="e">
        <f t="shared" si="31"/>
        <v>#N/A</v>
      </c>
      <c r="P224" s="155"/>
      <c r="Q224" s="155"/>
      <c r="R224" s="155"/>
    </row>
    <row r="225" spans="1:20" x14ac:dyDescent="0.2">
      <c r="A225" s="153">
        <v>2019</v>
      </c>
      <c r="B225" s="153">
        <v>8</v>
      </c>
      <c r="C225" s="153" t="str">
        <f t="shared" si="30"/>
        <v>20198</v>
      </c>
      <c r="D225" s="153" t="str">
        <f t="shared" si="33"/>
        <v>Q3</v>
      </c>
      <c r="E225" s="153" t="e">
        <f t="shared" si="32"/>
        <v>#N/A</v>
      </c>
      <c r="F225" s="153" t="e">
        <f t="shared" si="32"/>
        <v>#N/A</v>
      </c>
      <c r="G225" s="153">
        <f t="shared" si="32"/>
        <v>47474.511791947109</v>
      </c>
      <c r="H225" s="153">
        <f t="shared" si="32"/>
        <v>1381.5237765878248</v>
      </c>
      <c r="I225" s="153">
        <f t="shared" si="32"/>
        <v>557.42811221819136</v>
      </c>
      <c r="J225" s="179" t="e">
        <f t="shared" si="31"/>
        <v>#N/A</v>
      </c>
      <c r="P225" s="155"/>
      <c r="Q225" s="155"/>
      <c r="R225" s="155"/>
    </row>
    <row r="226" spans="1:20" x14ac:dyDescent="0.2">
      <c r="A226" s="153">
        <v>2019</v>
      </c>
      <c r="B226" s="153">
        <v>9</v>
      </c>
      <c r="C226" s="153" t="str">
        <f t="shared" si="30"/>
        <v>20199</v>
      </c>
      <c r="D226" s="153" t="str">
        <f t="shared" si="33"/>
        <v>Q3</v>
      </c>
      <c r="E226" s="153" t="e">
        <f t="shared" si="32"/>
        <v>#N/A</v>
      </c>
      <c r="F226" s="153" t="e">
        <f t="shared" si="32"/>
        <v>#N/A</v>
      </c>
      <c r="G226" s="153">
        <f t="shared" si="32"/>
        <v>47474.511791947109</v>
      </c>
      <c r="H226" s="153">
        <f t="shared" si="32"/>
        <v>1381.5237765878248</v>
      </c>
      <c r="I226" s="153">
        <f t="shared" si="32"/>
        <v>557.42811221819136</v>
      </c>
      <c r="J226" s="179" t="e">
        <f t="shared" si="31"/>
        <v>#N/A</v>
      </c>
      <c r="P226" s="155"/>
      <c r="Q226" s="155"/>
      <c r="R226" s="155"/>
    </row>
    <row r="227" spans="1:20" x14ac:dyDescent="0.2">
      <c r="A227" s="153">
        <v>2019</v>
      </c>
      <c r="B227" s="153">
        <v>10</v>
      </c>
      <c r="C227" s="153" t="str">
        <f t="shared" si="30"/>
        <v>201910</v>
      </c>
      <c r="D227" s="153" t="str">
        <f t="shared" si="33"/>
        <v>Q4</v>
      </c>
      <c r="E227" s="153" t="e">
        <f t="shared" si="32"/>
        <v>#N/A</v>
      </c>
      <c r="F227" s="153" t="e">
        <f t="shared" si="32"/>
        <v>#N/A</v>
      </c>
      <c r="G227" s="153">
        <f t="shared" si="32"/>
        <v>47726.545621421916</v>
      </c>
      <c r="H227" s="153">
        <f t="shared" si="32"/>
        <v>1385.1826457277234</v>
      </c>
      <c r="I227" s="153">
        <f t="shared" si="32"/>
        <v>558.86848263437037</v>
      </c>
      <c r="J227" s="179" t="e">
        <f t="shared" si="31"/>
        <v>#N/A</v>
      </c>
      <c r="P227" s="155"/>
      <c r="Q227" s="155"/>
      <c r="R227" s="155"/>
    </row>
    <row r="228" spans="1:20" x14ac:dyDescent="0.2">
      <c r="A228" s="153">
        <v>2019</v>
      </c>
      <c r="B228" s="153">
        <v>11</v>
      </c>
      <c r="C228" s="153" t="str">
        <f t="shared" si="30"/>
        <v>201911</v>
      </c>
      <c r="D228" s="153" t="str">
        <f t="shared" si="33"/>
        <v>Q4</v>
      </c>
      <c r="E228" s="153" t="e">
        <f t="shared" si="32"/>
        <v>#N/A</v>
      </c>
      <c r="F228" s="153" t="e">
        <f t="shared" si="32"/>
        <v>#N/A</v>
      </c>
      <c r="G228" s="153">
        <f t="shared" si="32"/>
        <v>47726.545621421916</v>
      </c>
      <c r="H228" s="153">
        <f t="shared" si="32"/>
        <v>1385.1826457277234</v>
      </c>
      <c r="I228" s="153">
        <f t="shared" si="32"/>
        <v>558.86848263437037</v>
      </c>
      <c r="J228" s="179" t="e">
        <f t="shared" si="31"/>
        <v>#N/A</v>
      </c>
      <c r="P228" s="155"/>
      <c r="Q228" s="155"/>
      <c r="R228" s="155"/>
    </row>
    <row r="229" spans="1:20" x14ac:dyDescent="0.2">
      <c r="A229" s="153">
        <v>2019</v>
      </c>
      <c r="B229" s="153">
        <v>12</v>
      </c>
      <c r="C229" s="153" t="str">
        <f t="shared" si="30"/>
        <v>201912</v>
      </c>
      <c r="D229" s="153" t="str">
        <f t="shared" si="33"/>
        <v>Q4</v>
      </c>
      <c r="E229" s="153" t="e">
        <f t="shared" si="32"/>
        <v>#N/A</v>
      </c>
      <c r="F229" s="153" t="e">
        <f t="shared" si="32"/>
        <v>#N/A</v>
      </c>
      <c r="G229" s="153">
        <f t="shared" si="32"/>
        <v>47726.545621421916</v>
      </c>
      <c r="H229" s="153">
        <f t="shared" si="32"/>
        <v>1385.1826457277234</v>
      </c>
      <c r="I229" s="153">
        <f t="shared" si="32"/>
        <v>558.86848263437037</v>
      </c>
      <c r="J229" s="179" t="e">
        <f t="shared" si="31"/>
        <v>#N/A</v>
      </c>
      <c r="P229" s="155"/>
      <c r="Q229" s="155"/>
      <c r="R229" s="155"/>
    </row>
    <row r="230" spans="1:20" x14ac:dyDescent="0.2">
      <c r="A230" s="153">
        <v>2020</v>
      </c>
      <c r="B230" s="153">
        <v>1</v>
      </c>
      <c r="C230" s="153" t="str">
        <f t="shared" si="30"/>
        <v>20201</v>
      </c>
      <c r="D230" s="153" t="str">
        <f t="shared" si="33"/>
        <v>Q1</v>
      </c>
      <c r="E230" s="153" t="e">
        <f t="shared" si="32"/>
        <v>#N/A</v>
      </c>
      <c r="F230" s="153" t="e">
        <f t="shared" si="32"/>
        <v>#N/A</v>
      </c>
      <c r="G230" s="153">
        <f t="shared" si="32"/>
        <v>48243.78300199988</v>
      </c>
      <c r="H230" s="153">
        <f t="shared" si="32"/>
        <v>1387.7050532664844</v>
      </c>
      <c r="I230" s="153">
        <f t="shared" si="32"/>
        <v>559.82963233879548</v>
      </c>
      <c r="J230" s="179" t="e">
        <f t="shared" si="31"/>
        <v>#N/A</v>
      </c>
      <c r="P230" s="155"/>
      <c r="Q230" s="155"/>
      <c r="R230" s="155"/>
    </row>
    <row r="231" spans="1:20" x14ac:dyDescent="0.2">
      <c r="A231" s="153">
        <v>2020</v>
      </c>
      <c r="B231" s="153">
        <v>2</v>
      </c>
      <c r="C231" s="153" t="str">
        <f t="shared" si="30"/>
        <v>20202</v>
      </c>
      <c r="D231" s="153" t="str">
        <f t="shared" si="33"/>
        <v>Q1</v>
      </c>
      <c r="E231" s="153" t="e">
        <f t="shared" si="32"/>
        <v>#N/A</v>
      </c>
      <c r="F231" s="153" t="e">
        <f t="shared" si="32"/>
        <v>#N/A</v>
      </c>
      <c r="G231" s="153">
        <f t="shared" si="32"/>
        <v>48243.78300199988</v>
      </c>
      <c r="H231" s="153">
        <f t="shared" si="32"/>
        <v>1387.7050532664844</v>
      </c>
      <c r="I231" s="153">
        <f t="shared" si="32"/>
        <v>559.82963233879548</v>
      </c>
      <c r="J231" s="179" t="e">
        <f t="shared" si="31"/>
        <v>#N/A</v>
      </c>
      <c r="P231" s="155"/>
      <c r="Q231" s="155"/>
      <c r="R231" s="155"/>
    </row>
    <row r="232" spans="1:20" x14ac:dyDescent="0.2">
      <c r="A232" s="153">
        <v>2020</v>
      </c>
      <c r="B232" s="153">
        <v>3</v>
      </c>
      <c r="C232" s="153" t="str">
        <f t="shared" si="30"/>
        <v>20203</v>
      </c>
      <c r="D232" s="153" t="str">
        <f t="shared" si="33"/>
        <v>Q1</v>
      </c>
      <c r="E232" s="153" t="e">
        <f t="shared" si="32"/>
        <v>#N/A</v>
      </c>
      <c r="F232" s="153" t="e">
        <f t="shared" si="32"/>
        <v>#N/A</v>
      </c>
      <c r="G232" s="153">
        <f t="shared" si="32"/>
        <v>48243.78300199988</v>
      </c>
      <c r="H232" s="153">
        <f t="shared" si="32"/>
        <v>1387.7050532664844</v>
      </c>
      <c r="I232" s="153">
        <f t="shared" si="32"/>
        <v>559.82963233879548</v>
      </c>
      <c r="J232" s="179" t="e">
        <f t="shared" si="31"/>
        <v>#N/A</v>
      </c>
      <c r="P232" s="155"/>
      <c r="Q232" s="155"/>
      <c r="R232" s="155"/>
    </row>
    <row r="233" spans="1:20" x14ac:dyDescent="0.2">
      <c r="A233" s="153">
        <v>2020</v>
      </c>
      <c r="B233" s="153">
        <v>4</v>
      </c>
      <c r="C233" s="153" t="str">
        <f t="shared" si="30"/>
        <v>20204</v>
      </c>
      <c r="D233" s="153" t="str">
        <f t="shared" si="33"/>
        <v>Q2</v>
      </c>
      <c r="E233" s="153" t="e">
        <f t="shared" si="32"/>
        <v>#N/A</v>
      </c>
      <c r="F233" s="153" t="e">
        <f t="shared" si="32"/>
        <v>#N/A</v>
      </c>
      <c r="G233" s="153">
        <f t="shared" si="32"/>
        <v>48481.970690693073</v>
      </c>
      <c r="H233" s="153">
        <f t="shared" si="32"/>
        <v>1391.0391818327507</v>
      </c>
      <c r="I233" s="153">
        <f t="shared" si="32"/>
        <v>561.05956900788772</v>
      </c>
      <c r="J233" s="179" t="e">
        <f t="shared" si="31"/>
        <v>#N/A</v>
      </c>
      <c r="P233" s="155"/>
      <c r="Q233" s="155"/>
      <c r="R233" s="155"/>
      <c r="S233" s="180"/>
      <c r="T233" s="180"/>
    </row>
    <row r="234" spans="1:20" x14ac:dyDescent="0.2">
      <c r="A234" s="153">
        <v>2020</v>
      </c>
      <c r="B234" s="153">
        <v>5</v>
      </c>
      <c r="C234" s="153" t="str">
        <f t="shared" si="30"/>
        <v>20205</v>
      </c>
      <c r="D234" s="153" t="str">
        <f t="shared" si="33"/>
        <v>Q2</v>
      </c>
      <c r="E234" s="153" t="e">
        <f t="shared" si="32"/>
        <v>#N/A</v>
      </c>
      <c r="F234" s="153" t="e">
        <f t="shared" si="32"/>
        <v>#N/A</v>
      </c>
      <c r="G234" s="153">
        <f t="shared" si="32"/>
        <v>48481.970690693073</v>
      </c>
      <c r="H234" s="153">
        <f t="shared" si="32"/>
        <v>1391.0391818327507</v>
      </c>
      <c r="I234" s="153">
        <f t="shared" si="32"/>
        <v>561.05956900788772</v>
      </c>
      <c r="J234" s="179" t="e">
        <f t="shared" si="31"/>
        <v>#N/A</v>
      </c>
      <c r="P234" s="155"/>
      <c r="Q234" s="155"/>
      <c r="R234" s="155"/>
      <c r="S234" s="180"/>
      <c r="T234" s="180"/>
    </row>
    <row r="235" spans="1:20" x14ac:dyDescent="0.2">
      <c r="A235" s="153">
        <v>2020</v>
      </c>
      <c r="B235" s="153">
        <v>6</v>
      </c>
      <c r="C235" s="153" t="str">
        <f t="shared" si="30"/>
        <v>20206</v>
      </c>
      <c r="D235" s="153" t="str">
        <f t="shared" si="33"/>
        <v>Q2</v>
      </c>
      <c r="E235" s="153" t="e">
        <f t="shared" si="32"/>
        <v>#N/A</v>
      </c>
      <c r="F235" s="153" t="e">
        <f t="shared" si="32"/>
        <v>#N/A</v>
      </c>
      <c r="G235" s="153">
        <f t="shared" si="32"/>
        <v>48481.970690693073</v>
      </c>
      <c r="H235" s="153">
        <f t="shared" si="32"/>
        <v>1391.0391818327507</v>
      </c>
      <c r="I235" s="153">
        <f t="shared" si="32"/>
        <v>561.05956900788772</v>
      </c>
      <c r="J235" s="179" t="e">
        <f t="shared" si="31"/>
        <v>#N/A</v>
      </c>
      <c r="P235" s="155"/>
      <c r="Q235" s="155"/>
      <c r="R235" s="155"/>
      <c r="S235" s="180"/>
      <c r="T235" s="180"/>
    </row>
    <row r="236" spans="1:20" x14ac:dyDescent="0.2">
      <c r="A236" s="153">
        <v>2020</v>
      </c>
      <c r="B236" s="153">
        <v>7</v>
      </c>
      <c r="C236" s="153" t="str">
        <f t="shared" si="30"/>
        <v>20207</v>
      </c>
      <c r="D236" s="153" t="str">
        <f t="shared" si="33"/>
        <v>Q3</v>
      </c>
      <c r="E236" s="153" t="e">
        <f t="shared" si="32"/>
        <v>#N/A</v>
      </c>
      <c r="F236" s="153" t="e">
        <f t="shared" si="32"/>
        <v>#N/A</v>
      </c>
      <c r="G236" s="153">
        <f t="shared" si="32"/>
        <v>48705.682421467725</v>
      </c>
      <c r="H236" s="153">
        <f t="shared" si="32"/>
        <v>1394.3568192945186</v>
      </c>
      <c r="I236" s="153">
        <f t="shared" si="32"/>
        <v>562.30661791393641</v>
      </c>
      <c r="J236" s="179" t="e">
        <f t="shared" si="31"/>
        <v>#N/A</v>
      </c>
      <c r="P236" s="155"/>
      <c r="Q236" s="155"/>
      <c r="R236" s="155"/>
      <c r="S236" s="180"/>
      <c r="T236" s="180"/>
    </row>
    <row r="237" spans="1:20" x14ac:dyDescent="0.2">
      <c r="A237" s="153">
        <v>2020</v>
      </c>
      <c r="B237" s="153">
        <v>8</v>
      </c>
      <c r="C237" s="153" t="str">
        <f t="shared" si="30"/>
        <v>20208</v>
      </c>
      <c r="D237" s="153" t="str">
        <f t="shared" si="33"/>
        <v>Q3</v>
      </c>
      <c r="E237" s="153" t="e">
        <f t="shared" si="32"/>
        <v>#N/A</v>
      </c>
      <c r="F237" s="153" t="e">
        <f t="shared" si="32"/>
        <v>#N/A</v>
      </c>
      <c r="G237" s="153">
        <f t="shared" si="32"/>
        <v>48705.682421467725</v>
      </c>
      <c r="H237" s="153">
        <f t="shared" si="32"/>
        <v>1394.3568192945186</v>
      </c>
      <c r="I237" s="153">
        <f t="shared" si="32"/>
        <v>562.30661791393641</v>
      </c>
      <c r="J237" s="179" t="e">
        <f t="shared" si="31"/>
        <v>#N/A</v>
      </c>
      <c r="P237" s="155"/>
      <c r="Q237" s="155"/>
      <c r="R237" s="155"/>
      <c r="S237" s="180"/>
      <c r="T237" s="180"/>
    </row>
    <row r="238" spans="1:20" x14ac:dyDescent="0.2">
      <c r="A238" s="153">
        <v>2020</v>
      </c>
      <c r="B238" s="153">
        <v>9</v>
      </c>
      <c r="C238" s="153" t="str">
        <f t="shared" si="30"/>
        <v>20209</v>
      </c>
      <c r="D238" s="153" t="str">
        <f t="shared" si="33"/>
        <v>Q3</v>
      </c>
      <c r="E238" s="153" t="e">
        <f t="shared" si="32"/>
        <v>#N/A</v>
      </c>
      <c r="F238" s="153" t="e">
        <f t="shared" si="32"/>
        <v>#N/A</v>
      </c>
      <c r="G238" s="153">
        <f t="shared" si="32"/>
        <v>48705.682421467725</v>
      </c>
      <c r="H238" s="153">
        <f t="shared" si="32"/>
        <v>1394.3568192945186</v>
      </c>
      <c r="I238" s="153">
        <f t="shared" si="32"/>
        <v>562.30661791393641</v>
      </c>
      <c r="J238" s="179" t="e">
        <f t="shared" si="31"/>
        <v>#N/A</v>
      </c>
      <c r="P238" s="155"/>
      <c r="Q238" s="155"/>
      <c r="R238" s="155"/>
      <c r="S238" s="180"/>
      <c r="T238" s="180"/>
    </row>
    <row r="239" spans="1:20" x14ac:dyDescent="0.2">
      <c r="A239" s="153">
        <v>2020</v>
      </c>
      <c r="B239" s="153">
        <v>10</v>
      </c>
      <c r="C239" s="153" t="str">
        <f t="shared" si="30"/>
        <v>202010</v>
      </c>
      <c r="D239" s="153" t="str">
        <f t="shared" si="33"/>
        <v>Q4</v>
      </c>
      <c r="E239" s="153" t="e">
        <f t="shared" si="32"/>
        <v>#N/A</v>
      </c>
      <c r="F239" s="153" t="e">
        <f t="shared" si="32"/>
        <v>#N/A</v>
      </c>
      <c r="G239" s="153">
        <f t="shared" si="32"/>
        <v>48829.591308895542</v>
      </c>
      <c r="H239" s="153">
        <f t="shared" si="32"/>
        <v>1397.6699795618463</v>
      </c>
      <c r="I239" s="153">
        <f t="shared" si="32"/>
        <v>563.52723044376762</v>
      </c>
      <c r="J239" s="179" t="e">
        <f t="shared" si="31"/>
        <v>#N/A</v>
      </c>
      <c r="P239" s="155"/>
      <c r="Q239" s="155"/>
      <c r="R239" s="155"/>
      <c r="S239" s="180"/>
      <c r="T239" s="180"/>
    </row>
    <row r="240" spans="1:20" x14ac:dyDescent="0.2">
      <c r="A240" s="153">
        <v>2020</v>
      </c>
      <c r="B240" s="153">
        <v>11</v>
      </c>
      <c r="C240" s="153" t="str">
        <f t="shared" si="30"/>
        <v>202011</v>
      </c>
      <c r="D240" s="153" t="str">
        <f t="shared" si="33"/>
        <v>Q4</v>
      </c>
      <c r="E240" s="153" t="e">
        <f t="shared" si="32"/>
        <v>#N/A</v>
      </c>
      <c r="F240" s="153" t="e">
        <f t="shared" si="32"/>
        <v>#N/A</v>
      </c>
      <c r="G240" s="153">
        <f t="shared" si="32"/>
        <v>48829.591308895542</v>
      </c>
      <c r="H240" s="153">
        <f t="shared" si="32"/>
        <v>1397.6699795618463</v>
      </c>
      <c r="I240" s="153">
        <f t="shared" si="32"/>
        <v>563.52723044376762</v>
      </c>
      <c r="J240" s="179" t="e">
        <f t="shared" si="31"/>
        <v>#N/A</v>
      </c>
      <c r="P240" s="155"/>
      <c r="Q240" s="155"/>
      <c r="R240" s="155"/>
      <c r="S240" s="180"/>
      <c r="T240" s="180"/>
    </row>
    <row r="241" spans="1:18" x14ac:dyDescent="0.2">
      <c r="A241" s="153">
        <v>2020</v>
      </c>
      <c r="B241" s="153">
        <v>12</v>
      </c>
      <c r="C241" s="153" t="str">
        <f t="shared" si="30"/>
        <v>202012</v>
      </c>
      <c r="D241" s="153" t="str">
        <f t="shared" si="33"/>
        <v>Q4</v>
      </c>
      <c r="E241" s="153" t="e">
        <f t="shared" si="32"/>
        <v>#N/A</v>
      </c>
      <c r="F241" s="153" t="e">
        <f t="shared" si="32"/>
        <v>#N/A</v>
      </c>
      <c r="G241" s="153">
        <f t="shared" si="32"/>
        <v>48829.591308895542</v>
      </c>
      <c r="H241" s="153">
        <f t="shared" si="32"/>
        <v>1397.6699795618463</v>
      </c>
      <c r="I241" s="153">
        <f t="shared" si="32"/>
        <v>563.52723044376762</v>
      </c>
      <c r="J241" s="179" t="e">
        <f t="shared" si="31"/>
        <v>#N/A</v>
      </c>
      <c r="P241" s="159"/>
      <c r="Q241" s="159"/>
      <c r="R241" s="159"/>
    </row>
    <row r="242" spans="1:18" x14ac:dyDescent="0.2">
      <c r="A242" s="153">
        <v>2021</v>
      </c>
      <c r="B242" s="153">
        <v>1</v>
      </c>
      <c r="C242" s="153" t="str">
        <f t="shared" si="30"/>
        <v>20211</v>
      </c>
      <c r="D242" s="153" t="str">
        <f t="shared" si="33"/>
        <v>Q1</v>
      </c>
      <c r="E242" s="153" t="e">
        <f t="shared" si="32"/>
        <v>#N/A</v>
      </c>
      <c r="F242" s="153" t="e">
        <f t="shared" si="32"/>
        <v>#N/A</v>
      </c>
      <c r="G242" s="153">
        <f t="shared" si="32"/>
        <v>49203.757964168057</v>
      </c>
      <c r="H242" s="153">
        <f t="shared" si="32"/>
        <v>1400.3042071178606</v>
      </c>
      <c r="I242" s="153">
        <f t="shared" si="32"/>
        <v>564.49955793077152</v>
      </c>
      <c r="J242" s="179" t="e">
        <f t="shared" si="31"/>
        <v>#N/A</v>
      </c>
      <c r="P242" s="159"/>
      <c r="Q242" s="159"/>
      <c r="R242" s="159"/>
    </row>
    <row r="243" spans="1:18" x14ac:dyDescent="0.2">
      <c r="A243" s="153">
        <v>2021</v>
      </c>
      <c r="B243" s="153">
        <v>2</v>
      </c>
      <c r="C243" s="153" t="str">
        <f t="shared" si="30"/>
        <v>20212</v>
      </c>
      <c r="D243" s="153" t="str">
        <f t="shared" si="33"/>
        <v>Q1</v>
      </c>
      <c r="E243" s="153" t="e">
        <f t="shared" si="32"/>
        <v>#N/A</v>
      </c>
      <c r="F243" s="153" t="e">
        <f t="shared" si="32"/>
        <v>#N/A</v>
      </c>
      <c r="G243" s="153">
        <f t="shared" si="32"/>
        <v>49203.757964168057</v>
      </c>
      <c r="H243" s="153">
        <f t="shared" si="32"/>
        <v>1400.3042071178606</v>
      </c>
      <c r="I243" s="153">
        <f t="shared" si="32"/>
        <v>564.49955793077152</v>
      </c>
      <c r="J243" s="179" t="e">
        <f t="shared" si="31"/>
        <v>#N/A</v>
      </c>
      <c r="P243" s="159"/>
      <c r="Q243" s="159"/>
      <c r="R243" s="159"/>
    </row>
    <row r="244" spans="1:18" x14ac:dyDescent="0.2">
      <c r="A244" s="153">
        <v>2021</v>
      </c>
      <c r="B244" s="153">
        <v>3</v>
      </c>
      <c r="C244" s="153" t="str">
        <f t="shared" si="30"/>
        <v>20213</v>
      </c>
      <c r="D244" s="153" t="str">
        <f t="shared" si="33"/>
        <v>Q1</v>
      </c>
      <c r="E244" s="153" t="e">
        <f t="shared" si="32"/>
        <v>#N/A</v>
      </c>
      <c r="F244" s="153" t="e">
        <f t="shared" si="32"/>
        <v>#N/A</v>
      </c>
      <c r="G244" s="153">
        <f t="shared" si="32"/>
        <v>49203.757964168057</v>
      </c>
      <c r="H244" s="153">
        <f t="shared" si="32"/>
        <v>1400.3042071178606</v>
      </c>
      <c r="I244" s="153">
        <f t="shared" si="32"/>
        <v>564.49955793077152</v>
      </c>
      <c r="J244" s="179" t="e">
        <f t="shared" si="31"/>
        <v>#N/A</v>
      </c>
      <c r="P244" s="159"/>
      <c r="Q244" s="159"/>
      <c r="R244" s="159"/>
    </row>
    <row r="245" spans="1:18" x14ac:dyDescent="0.2">
      <c r="A245" s="153">
        <v>2021</v>
      </c>
      <c r="B245" s="153">
        <v>4</v>
      </c>
      <c r="C245" s="153" t="str">
        <f t="shared" si="30"/>
        <v>20214</v>
      </c>
      <c r="D245" s="153" t="str">
        <f t="shared" si="33"/>
        <v>Q2</v>
      </c>
      <c r="E245" s="153" t="e">
        <f t="shared" si="32"/>
        <v>#N/A</v>
      </c>
      <c r="F245" s="153" t="e">
        <f t="shared" si="32"/>
        <v>#N/A</v>
      </c>
      <c r="G245" s="153">
        <f t="shared" si="32"/>
        <v>49409.045195684346</v>
      </c>
      <c r="H245" s="153">
        <f t="shared" si="32"/>
        <v>1403.5946446527612</v>
      </c>
      <c r="I245" s="153">
        <f t="shared" si="32"/>
        <v>565.70148400639437</v>
      </c>
      <c r="J245" s="179" t="e">
        <f t="shared" si="31"/>
        <v>#N/A</v>
      </c>
      <c r="P245" s="159"/>
      <c r="Q245" s="159"/>
      <c r="R245" s="159"/>
    </row>
    <row r="246" spans="1:18" x14ac:dyDescent="0.2">
      <c r="A246" s="153">
        <v>2021</v>
      </c>
      <c r="B246" s="153">
        <v>5</v>
      </c>
      <c r="C246" s="153" t="str">
        <f t="shared" si="30"/>
        <v>20215</v>
      </c>
      <c r="D246" s="153" t="str">
        <f t="shared" si="33"/>
        <v>Q2</v>
      </c>
      <c r="E246" s="153" t="e">
        <f t="shared" si="32"/>
        <v>#N/A</v>
      </c>
      <c r="F246" s="153" t="e">
        <f t="shared" si="32"/>
        <v>#N/A</v>
      </c>
      <c r="G246" s="153">
        <f t="shared" si="32"/>
        <v>49409.045195684346</v>
      </c>
      <c r="H246" s="153">
        <f t="shared" si="32"/>
        <v>1403.5946446527612</v>
      </c>
      <c r="I246" s="153">
        <f t="shared" si="32"/>
        <v>565.70148400639437</v>
      </c>
      <c r="J246" s="179" t="e">
        <f t="shared" si="31"/>
        <v>#N/A</v>
      </c>
      <c r="P246" s="159"/>
      <c r="Q246" s="159"/>
      <c r="R246" s="159"/>
    </row>
    <row r="247" spans="1:18" x14ac:dyDescent="0.2">
      <c r="A247" s="153">
        <v>2021</v>
      </c>
      <c r="B247" s="153">
        <v>6</v>
      </c>
      <c r="C247" s="153" t="str">
        <f t="shared" si="30"/>
        <v>20216</v>
      </c>
      <c r="D247" s="153" t="str">
        <f t="shared" si="33"/>
        <v>Q2</v>
      </c>
      <c r="E247" s="153" t="e">
        <f t="shared" si="32"/>
        <v>#N/A</v>
      </c>
      <c r="F247" s="153" t="e">
        <f t="shared" si="32"/>
        <v>#N/A</v>
      </c>
      <c r="G247" s="153">
        <f t="shared" si="32"/>
        <v>49409.045195684346</v>
      </c>
      <c r="H247" s="153">
        <f t="shared" si="32"/>
        <v>1403.5946446527612</v>
      </c>
      <c r="I247" s="153">
        <f t="shared" si="32"/>
        <v>565.70148400639437</v>
      </c>
      <c r="J247" s="179" t="e">
        <f t="shared" si="31"/>
        <v>#N/A</v>
      </c>
      <c r="P247" s="159"/>
      <c r="Q247" s="159"/>
      <c r="R247" s="159"/>
    </row>
    <row r="248" spans="1:18" x14ac:dyDescent="0.2">
      <c r="A248" s="153">
        <v>2021</v>
      </c>
      <c r="B248" s="153">
        <v>7</v>
      </c>
      <c r="C248" s="153" t="str">
        <f t="shared" si="30"/>
        <v>20217</v>
      </c>
      <c r="D248" s="153" t="str">
        <f t="shared" si="33"/>
        <v>Q3</v>
      </c>
      <c r="E248" s="153" t="e">
        <f t="shared" si="32"/>
        <v>#N/A</v>
      </c>
      <c r="F248" s="153" t="e">
        <f t="shared" si="32"/>
        <v>#N/A</v>
      </c>
      <c r="G248" s="153">
        <f t="shared" si="32"/>
        <v>49571.67892035051</v>
      </c>
      <c r="H248" s="153">
        <f t="shared" si="32"/>
        <v>1407.3368286541725</v>
      </c>
      <c r="I248" s="153">
        <f t="shared" si="32"/>
        <v>567.02473947974204</v>
      </c>
      <c r="J248" s="179" t="e">
        <f t="shared" si="31"/>
        <v>#N/A</v>
      </c>
      <c r="P248" s="159"/>
      <c r="Q248" s="159"/>
      <c r="R248" s="159"/>
    </row>
    <row r="249" spans="1:18" x14ac:dyDescent="0.2">
      <c r="A249" s="153">
        <v>2021</v>
      </c>
      <c r="B249" s="153">
        <v>8</v>
      </c>
      <c r="C249" s="153" t="str">
        <f t="shared" si="30"/>
        <v>20218</v>
      </c>
      <c r="D249" s="153" t="str">
        <f t="shared" si="33"/>
        <v>Q3</v>
      </c>
      <c r="E249" s="153" t="e">
        <f t="shared" si="32"/>
        <v>#N/A</v>
      </c>
      <c r="F249" s="153" t="e">
        <f t="shared" si="32"/>
        <v>#N/A</v>
      </c>
      <c r="G249" s="153">
        <f t="shared" si="32"/>
        <v>49571.67892035051</v>
      </c>
      <c r="H249" s="153">
        <f t="shared" si="32"/>
        <v>1407.3368286541725</v>
      </c>
      <c r="I249" s="153">
        <f t="shared" si="32"/>
        <v>567.02473947974204</v>
      </c>
      <c r="J249" s="179" t="e">
        <f t="shared" si="31"/>
        <v>#N/A</v>
      </c>
      <c r="P249" s="159"/>
      <c r="Q249" s="159"/>
      <c r="R249" s="159"/>
    </row>
    <row r="250" spans="1:18" x14ac:dyDescent="0.2">
      <c r="A250" s="153">
        <v>2021</v>
      </c>
      <c r="B250" s="153">
        <v>9</v>
      </c>
      <c r="C250" s="153" t="str">
        <f t="shared" si="30"/>
        <v>20219</v>
      </c>
      <c r="D250" s="153" t="str">
        <f t="shared" si="33"/>
        <v>Q3</v>
      </c>
      <c r="E250" s="153" t="e">
        <f t="shared" si="32"/>
        <v>#N/A</v>
      </c>
      <c r="F250" s="153" t="e">
        <f t="shared" si="32"/>
        <v>#N/A</v>
      </c>
      <c r="G250" s="153">
        <f t="shared" si="32"/>
        <v>49571.67892035051</v>
      </c>
      <c r="H250" s="153">
        <f t="shared" si="32"/>
        <v>1407.3368286541725</v>
      </c>
      <c r="I250" s="153">
        <f t="shared" si="32"/>
        <v>567.02473947974204</v>
      </c>
      <c r="J250" s="179" t="e">
        <f t="shared" si="31"/>
        <v>#N/A</v>
      </c>
      <c r="M250" s="177"/>
    </row>
    <row r="251" spans="1:18" x14ac:dyDescent="0.2">
      <c r="A251" s="153">
        <v>2021</v>
      </c>
      <c r="B251" s="153">
        <v>10</v>
      </c>
      <c r="C251" s="153" t="str">
        <f t="shared" si="30"/>
        <v>202110</v>
      </c>
      <c r="D251" s="153" t="str">
        <f t="shared" si="33"/>
        <v>Q4</v>
      </c>
      <c r="E251" s="153" t="e">
        <f t="shared" si="32"/>
        <v>#N/A</v>
      </c>
      <c r="F251" s="153" t="e">
        <f t="shared" si="32"/>
        <v>#N/A</v>
      </c>
      <c r="G251" s="153">
        <f t="shared" si="32"/>
        <v>49908.568796165404</v>
      </c>
      <c r="H251" s="153">
        <f t="shared" si="32"/>
        <v>1410.5414388105048</v>
      </c>
      <c r="I251" s="153">
        <f t="shared" si="32"/>
        <v>568.47731185423572</v>
      </c>
      <c r="J251" s="179" t="e">
        <f t="shared" si="31"/>
        <v>#N/A</v>
      </c>
      <c r="M251" s="177"/>
    </row>
    <row r="252" spans="1:18" x14ac:dyDescent="0.2">
      <c r="A252" s="153">
        <v>2021</v>
      </c>
      <c r="B252" s="153">
        <v>11</v>
      </c>
      <c r="C252" s="153" t="str">
        <f t="shared" si="30"/>
        <v>202111</v>
      </c>
      <c r="D252" s="153" t="str">
        <f t="shared" si="33"/>
        <v>Q4</v>
      </c>
      <c r="E252" s="153" t="e">
        <f t="shared" ref="E252:I302" si="34">VLOOKUP($A252&amp;$D252,$O$1:$U$169,MATCH(E$1,$O$1:$U$1,0),0)</f>
        <v>#N/A</v>
      </c>
      <c r="F252" s="153" t="e">
        <f t="shared" si="34"/>
        <v>#N/A</v>
      </c>
      <c r="G252" s="153">
        <f t="shared" si="34"/>
        <v>49908.568796165404</v>
      </c>
      <c r="H252" s="153">
        <f t="shared" si="34"/>
        <v>1410.5414388105048</v>
      </c>
      <c r="I252" s="153">
        <f t="shared" si="34"/>
        <v>568.47731185423572</v>
      </c>
      <c r="J252" s="179" t="e">
        <f t="shared" si="31"/>
        <v>#N/A</v>
      </c>
      <c r="M252" s="177"/>
    </row>
    <row r="253" spans="1:18" x14ac:dyDescent="0.2">
      <c r="A253" s="153">
        <v>2021</v>
      </c>
      <c r="B253" s="153">
        <v>12</v>
      </c>
      <c r="C253" s="153" t="str">
        <f t="shared" si="30"/>
        <v>202112</v>
      </c>
      <c r="D253" s="153" t="str">
        <f t="shared" si="33"/>
        <v>Q4</v>
      </c>
      <c r="E253" s="153" t="e">
        <f t="shared" si="34"/>
        <v>#N/A</v>
      </c>
      <c r="F253" s="153" t="e">
        <f t="shared" si="34"/>
        <v>#N/A</v>
      </c>
      <c r="G253" s="153">
        <f t="shared" si="34"/>
        <v>49908.568796165404</v>
      </c>
      <c r="H253" s="153">
        <f t="shared" si="34"/>
        <v>1410.5414388105048</v>
      </c>
      <c r="I253" s="153">
        <f t="shared" si="34"/>
        <v>568.47731185423572</v>
      </c>
      <c r="J253" s="179" t="e">
        <f t="shared" si="31"/>
        <v>#N/A</v>
      </c>
      <c r="M253" s="177"/>
    </row>
    <row r="254" spans="1:18" x14ac:dyDescent="0.2">
      <c r="A254" s="153">
        <v>2022</v>
      </c>
      <c r="B254" s="153">
        <v>1</v>
      </c>
      <c r="C254" s="153" t="str">
        <f t="shared" si="30"/>
        <v>20221</v>
      </c>
      <c r="D254" s="153" t="str">
        <f t="shared" si="33"/>
        <v>Q1</v>
      </c>
      <c r="E254" s="153" t="e">
        <f t="shared" si="34"/>
        <v>#N/A</v>
      </c>
      <c r="F254" s="153" t="e">
        <f t="shared" si="34"/>
        <v>#N/A</v>
      </c>
      <c r="G254" s="153">
        <f t="shared" si="34"/>
        <v>50229.384400300703</v>
      </c>
      <c r="H254" s="153">
        <f t="shared" si="34"/>
        <v>1413.6614308768339</v>
      </c>
      <c r="I254" s="153">
        <f t="shared" si="34"/>
        <v>569.39691159972006</v>
      </c>
      <c r="J254" s="179" t="e">
        <f t="shared" si="31"/>
        <v>#N/A</v>
      </c>
      <c r="M254" s="177"/>
    </row>
    <row r="255" spans="1:18" x14ac:dyDescent="0.2">
      <c r="A255" s="153">
        <v>2022</v>
      </c>
      <c r="B255" s="153">
        <v>2</v>
      </c>
      <c r="C255" s="153" t="str">
        <f t="shared" si="30"/>
        <v>20222</v>
      </c>
      <c r="D255" s="153" t="str">
        <f t="shared" si="33"/>
        <v>Q1</v>
      </c>
      <c r="E255" s="153" t="e">
        <f t="shared" si="34"/>
        <v>#N/A</v>
      </c>
      <c r="F255" s="153" t="e">
        <f t="shared" si="34"/>
        <v>#N/A</v>
      </c>
      <c r="G255" s="153">
        <f t="shared" si="34"/>
        <v>50229.384400300703</v>
      </c>
      <c r="H255" s="153">
        <f t="shared" si="34"/>
        <v>1413.6614308768339</v>
      </c>
      <c r="I255" s="153">
        <f t="shared" si="34"/>
        <v>569.39691159972006</v>
      </c>
      <c r="J255" s="179" t="e">
        <f t="shared" si="31"/>
        <v>#N/A</v>
      </c>
      <c r="M255" s="177"/>
    </row>
    <row r="256" spans="1:18" x14ac:dyDescent="0.2">
      <c r="A256" s="153">
        <v>2022</v>
      </c>
      <c r="B256" s="153">
        <v>3</v>
      </c>
      <c r="C256" s="153" t="str">
        <f t="shared" si="30"/>
        <v>20223</v>
      </c>
      <c r="D256" s="153" t="str">
        <f t="shared" si="33"/>
        <v>Q1</v>
      </c>
      <c r="E256" s="153" t="e">
        <f t="shared" si="34"/>
        <v>#N/A</v>
      </c>
      <c r="F256" s="153" t="e">
        <f t="shared" si="34"/>
        <v>#N/A</v>
      </c>
      <c r="G256" s="153">
        <f t="shared" si="34"/>
        <v>50229.384400300703</v>
      </c>
      <c r="H256" s="153">
        <f t="shared" si="34"/>
        <v>1413.6614308768339</v>
      </c>
      <c r="I256" s="153">
        <f t="shared" si="34"/>
        <v>569.39691159972006</v>
      </c>
      <c r="J256" s="179" t="e">
        <f t="shared" si="31"/>
        <v>#N/A</v>
      </c>
      <c r="M256" s="177"/>
    </row>
    <row r="257" spans="1:13" x14ac:dyDescent="0.2">
      <c r="A257" s="153">
        <v>2022</v>
      </c>
      <c r="B257" s="153">
        <v>4</v>
      </c>
      <c r="C257" s="153" t="str">
        <f t="shared" si="30"/>
        <v>20224</v>
      </c>
      <c r="D257" s="153" t="str">
        <f t="shared" si="33"/>
        <v>Q2</v>
      </c>
      <c r="E257" s="153" t="e">
        <f t="shared" si="34"/>
        <v>#N/A</v>
      </c>
      <c r="F257" s="153" t="e">
        <f t="shared" si="34"/>
        <v>#N/A</v>
      </c>
      <c r="G257" s="153">
        <f t="shared" si="34"/>
        <v>50462.244962799821</v>
      </c>
      <c r="H257" s="153">
        <f t="shared" si="34"/>
        <v>1416.9364853411676</v>
      </c>
      <c r="I257" s="153">
        <f t="shared" si="34"/>
        <v>570.63249671426991</v>
      </c>
      <c r="J257" s="179" t="e">
        <f t="shared" si="31"/>
        <v>#N/A</v>
      </c>
      <c r="M257" s="177"/>
    </row>
    <row r="258" spans="1:13" x14ac:dyDescent="0.2">
      <c r="A258" s="153">
        <v>2022</v>
      </c>
      <c r="B258" s="153">
        <v>5</v>
      </c>
      <c r="C258" s="153" t="str">
        <f t="shared" si="30"/>
        <v>20225</v>
      </c>
      <c r="D258" s="153" t="str">
        <f t="shared" si="33"/>
        <v>Q2</v>
      </c>
      <c r="E258" s="153" t="e">
        <f t="shared" si="34"/>
        <v>#N/A</v>
      </c>
      <c r="F258" s="153" t="e">
        <f t="shared" si="34"/>
        <v>#N/A</v>
      </c>
      <c r="G258" s="153">
        <f t="shared" si="34"/>
        <v>50462.244962799821</v>
      </c>
      <c r="H258" s="153">
        <f t="shared" si="34"/>
        <v>1416.9364853411676</v>
      </c>
      <c r="I258" s="153">
        <f t="shared" si="34"/>
        <v>570.63249671426991</v>
      </c>
      <c r="J258" s="179" t="e">
        <f t="shared" si="31"/>
        <v>#N/A</v>
      </c>
      <c r="M258" s="177"/>
    </row>
    <row r="259" spans="1:13" x14ac:dyDescent="0.2">
      <c r="A259" s="153">
        <v>2022</v>
      </c>
      <c r="B259" s="153">
        <v>6</v>
      </c>
      <c r="C259" s="153" t="str">
        <f t="shared" ref="C259:C322" si="35">A259&amp;B259</f>
        <v>20226</v>
      </c>
      <c r="D259" s="153" t="str">
        <f t="shared" si="33"/>
        <v>Q2</v>
      </c>
      <c r="E259" s="153" t="e">
        <f t="shared" si="34"/>
        <v>#N/A</v>
      </c>
      <c r="F259" s="153" t="e">
        <f t="shared" si="34"/>
        <v>#N/A</v>
      </c>
      <c r="G259" s="153">
        <f t="shared" si="34"/>
        <v>50462.244962799821</v>
      </c>
      <c r="H259" s="153">
        <f t="shared" si="34"/>
        <v>1416.9364853411676</v>
      </c>
      <c r="I259" s="153">
        <f t="shared" si="34"/>
        <v>570.63249671426991</v>
      </c>
      <c r="J259" s="179" t="e">
        <f t="shared" si="31"/>
        <v>#N/A</v>
      </c>
      <c r="M259" s="177"/>
    </row>
    <row r="260" spans="1:13" x14ac:dyDescent="0.2">
      <c r="A260" s="153">
        <v>2022</v>
      </c>
      <c r="B260" s="153">
        <v>7</v>
      </c>
      <c r="C260" s="153" t="str">
        <f t="shared" si="35"/>
        <v>20227</v>
      </c>
      <c r="D260" s="153" t="str">
        <f t="shared" si="33"/>
        <v>Q3</v>
      </c>
      <c r="E260" s="153" t="e">
        <f t="shared" si="34"/>
        <v>#N/A</v>
      </c>
      <c r="F260" s="153" t="e">
        <f t="shared" si="34"/>
        <v>#N/A</v>
      </c>
      <c r="G260" s="153">
        <f t="shared" si="34"/>
        <v>50848.241817321788</v>
      </c>
      <c r="H260" s="153">
        <f t="shared" si="34"/>
        <v>1419.3355879434562</v>
      </c>
      <c r="I260" s="153">
        <f t="shared" si="34"/>
        <v>571.48618687233204</v>
      </c>
      <c r="J260" s="179" t="e">
        <f t="shared" si="31"/>
        <v>#N/A</v>
      </c>
      <c r="M260" s="177"/>
    </row>
    <row r="261" spans="1:13" x14ac:dyDescent="0.2">
      <c r="A261" s="153">
        <v>2022</v>
      </c>
      <c r="B261" s="153">
        <v>8</v>
      </c>
      <c r="C261" s="153" t="str">
        <f t="shared" si="35"/>
        <v>20228</v>
      </c>
      <c r="D261" s="153" t="str">
        <f t="shared" si="33"/>
        <v>Q3</v>
      </c>
      <c r="E261" s="153" t="e">
        <f t="shared" si="34"/>
        <v>#N/A</v>
      </c>
      <c r="F261" s="153" t="e">
        <f t="shared" si="34"/>
        <v>#N/A</v>
      </c>
      <c r="G261" s="153">
        <f t="shared" si="34"/>
        <v>50848.241817321788</v>
      </c>
      <c r="H261" s="153">
        <f t="shared" si="34"/>
        <v>1419.3355879434562</v>
      </c>
      <c r="I261" s="153">
        <f t="shared" si="34"/>
        <v>571.48618687233204</v>
      </c>
      <c r="J261" s="179" t="e">
        <f t="shared" si="31"/>
        <v>#N/A</v>
      </c>
      <c r="M261" s="177"/>
    </row>
    <row r="262" spans="1:13" x14ac:dyDescent="0.2">
      <c r="A262" s="153">
        <v>2022</v>
      </c>
      <c r="B262" s="153">
        <v>9</v>
      </c>
      <c r="C262" s="153" t="str">
        <f t="shared" si="35"/>
        <v>20229</v>
      </c>
      <c r="D262" s="153" t="str">
        <f t="shared" si="33"/>
        <v>Q3</v>
      </c>
      <c r="E262" s="153" t="e">
        <f t="shared" si="34"/>
        <v>#N/A</v>
      </c>
      <c r="F262" s="153" t="e">
        <f t="shared" si="34"/>
        <v>#N/A</v>
      </c>
      <c r="G262" s="153">
        <f t="shared" si="34"/>
        <v>50848.241817321788</v>
      </c>
      <c r="H262" s="153">
        <f t="shared" si="34"/>
        <v>1419.3355879434562</v>
      </c>
      <c r="I262" s="153">
        <f t="shared" si="34"/>
        <v>571.48618687233204</v>
      </c>
      <c r="J262" s="179" t="e">
        <f t="shared" si="31"/>
        <v>#N/A</v>
      </c>
      <c r="M262" s="177"/>
    </row>
    <row r="263" spans="1:13" x14ac:dyDescent="0.2">
      <c r="A263" s="153">
        <v>2022</v>
      </c>
      <c r="B263" s="153">
        <v>10</v>
      </c>
      <c r="C263" s="153" t="str">
        <f t="shared" si="35"/>
        <v>202210</v>
      </c>
      <c r="D263" s="153" t="str">
        <f t="shared" si="33"/>
        <v>Q4</v>
      </c>
      <c r="E263" s="153" t="e">
        <f t="shared" si="34"/>
        <v>#N/A</v>
      </c>
      <c r="F263" s="153" t="e">
        <f t="shared" si="34"/>
        <v>#N/A</v>
      </c>
      <c r="G263" s="153">
        <f t="shared" si="34"/>
        <v>51088.93854491684</v>
      </c>
      <c r="H263" s="153">
        <f t="shared" si="34"/>
        <v>1423.0527256474459</v>
      </c>
      <c r="I263" s="153">
        <f t="shared" si="34"/>
        <v>572.91207387827751</v>
      </c>
      <c r="J263" s="179" t="e">
        <f t="shared" ref="J263:J326" si="36">E263/E251-1</f>
        <v>#N/A</v>
      </c>
      <c r="M263" s="177"/>
    </row>
    <row r="264" spans="1:13" x14ac:dyDescent="0.2">
      <c r="A264" s="153">
        <v>2022</v>
      </c>
      <c r="B264" s="153">
        <v>11</v>
      </c>
      <c r="C264" s="153" t="str">
        <f t="shared" si="35"/>
        <v>202211</v>
      </c>
      <c r="D264" s="153" t="str">
        <f t="shared" si="33"/>
        <v>Q4</v>
      </c>
      <c r="E264" s="153" t="e">
        <f t="shared" si="34"/>
        <v>#N/A</v>
      </c>
      <c r="F264" s="153" t="e">
        <f t="shared" si="34"/>
        <v>#N/A</v>
      </c>
      <c r="G264" s="153">
        <f t="shared" si="34"/>
        <v>51088.93854491684</v>
      </c>
      <c r="H264" s="153">
        <f t="shared" si="34"/>
        <v>1423.0527256474459</v>
      </c>
      <c r="I264" s="153">
        <f t="shared" si="34"/>
        <v>572.91207387827751</v>
      </c>
      <c r="J264" s="179" t="e">
        <f t="shared" si="36"/>
        <v>#N/A</v>
      </c>
      <c r="M264" s="177"/>
    </row>
    <row r="265" spans="1:13" x14ac:dyDescent="0.2">
      <c r="A265" s="153">
        <v>2022</v>
      </c>
      <c r="B265" s="153">
        <v>12</v>
      </c>
      <c r="C265" s="153" t="str">
        <f t="shared" si="35"/>
        <v>202212</v>
      </c>
      <c r="D265" s="153" t="str">
        <f t="shared" si="33"/>
        <v>Q4</v>
      </c>
      <c r="E265" s="153" t="e">
        <f t="shared" si="34"/>
        <v>#N/A</v>
      </c>
      <c r="F265" s="153" t="e">
        <f t="shared" si="34"/>
        <v>#N/A</v>
      </c>
      <c r="G265" s="153">
        <f t="shared" si="34"/>
        <v>51088.93854491684</v>
      </c>
      <c r="H265" s="153">
        <f t="shared" si="34"/>
        <v>1423.0527256474459</v>
      </c>
      <c r="I265" s="153">
        <f t="shared" si="34"/>
        <v>572.91207387827751</v>
      </c>
      <c r="J265" s="179" t="e">
        <f t="shared" si="36"/>
        <v>#N/A</v>
      </c>
      <c r="M265" s="177"/>
    </row>
    <row r="266" spans="1:13" x14ac:dyDescent="0.2">
      <c r="A266" s="153">
        <v>2023</v>
      </c>
      <c r="B266" s="153">
        <v>1</v>
      </c>
      <c r="C266" s="153" t="str">
        <f t="shared" si="35"/>
        <v>20231</v>
      </c>
      <c r="D266" s="153" t="str">
        <f t="shared" si="33"/>
        <v>Q1</v>
      </c>
      <c r="E266" s="153" t="e">
        <f t="shared" si="34"/>
        <v>#N/A</v>
      </c>
      <c r="F266" s="153" t="e">
        <f t="shared" si="34"/>
        <v>#N/A</v>
      </c>
      <c r="G266" s="153">
        <f t="shared" si="34"/>
        <v>51474.30535634797</v>
      </c>
      <c r="H266" s="153">
        <f t="shared" si="34"/>
        <v>1425.5416288180704</v>
      </c>
      <c r="I266" s="153">
        <f t="shared" si="34"/>
        <v>573.93057831627425</v>
      </c>
      <c r="J266" s="179" t="e">
        <f t="shared" si="36"/>
        <v>#N/A</v>
      </c>
      <c r="M266" s="177"/>
    </row>
    <row r="267" spans="1:13" x14ac:dyDescent="0.2">
      <c r="A267" s="153">
        <v>2023</v>
      </c>
      <c r="B267" s="153">
        <v>2</v>
      </c>
      <c r="C267" s="153" t="str">
        <f t="shared" si="35"/>
        <v>20232</v>
      </c>
      <c r="D267" s="153" t="str">
        <f t="shared" si="33"/>
        <v>Q1</v>
      </c>
      <c r="E267" s="153" t="e">
        <f t="shared" si="34"/>
        <v>#N/A</v>
      </c>
      <c r="F267" s="153" t="e">
        <f t="shared" si="34"/>
        <v>#N/A</v>
      </c>
      <c r="G267" s="153">
        <f t="shared" si="34"/>
        <v>51474.30535634797</v>
      </c>
      <c r="H267" s="153">
        <f t="shared" si="34"/>
        <v>1425.5416288180704</v>
      </c>
      <c r="I267" s="153">
        <f t="shared" si="34"/>
        <v>573.93057831627425</v>
      </c>
      <c r="J267" s="179" t="e">
        <f t="shared" si="36"/>
        <v>#N/A</v>
      </c>
      <c r="M267" s="177"/>
    </row>
    <row r="268" spans="1:13" x14ac:dyDescent="0.2">
      <c r="A268" s="153">
        <v>2023</v>
      </c>
      <c r="B268" s="153">
        <v>3</v>
      </c>
      <c r="C268" s="153" t="str">
        <f t="shared" si="35"/>
        <v>20233</v>
      </c>
      <c r="D268" s="153" t="str">
        <f t="shared" si="33"/>
        <v>Q1</v>
      </c>
      <c r="E268" s="153" t="e">
        <f t="shared" si="34"/>
        <v>#N/A</v>
      </c>
      <c r="F268" s="153" t="e">
        <f t="shared" si="34"/>
        <v>#N/A</v>
      </c>
      <c r="G268" s="153">
        <f t="shared" si="34"/>
        <v>51474.30535634797</v>
      </c>
      <c r="H268" s="153">
        <f t="shared" si="34"/>
        <v>1425.5416288180704</v>
      </c>
      <c r="I268" s="153">
        <f t="shared" si="34"/>
        <v>573.93057831627425</v>
      </c>
      <c r="J268" s="179" t="e">
        <f t="shared" si="36"/>
        <v>#N/A</v>
      </c>
      <c r="M268" s="177"/>
    </row>
    <row r="269" spans="1:13" x14ac:dyDescent="0.2">
      <c r="A269" s="153">
        <v>2023</v>
      </c>
      <c r="B269" s="153">
        <v>4</v>
      </c>
      <c r="C269" s="153" t="str">
        <f t="shared" si="35"/>
        <v>20234</v>
      </c>
      <c r="D269" s="153" t="str">
        <f t="shared" si="33"/>
        <v>Q2</v>
      </c>
      <c r="E269" s="153" t="e">
        <f t="shared" si="34"/>
        <v>#N/A</v>
      </c>
      <c r="F269" s="153" t="e">
        <f t="shared" si="34"/>
        <v>#N/A</v>
      </c>
      <c r="G269" s="153">
        <f t="shared" si="34"/>
        <v>51828.21608039493</v>
      </c>
      <c r="H269" s="153">
        <f t="shared" si="34"/>
        <v>1428.6576286441741</v>
      </c>
      <c r="I269" s="153">
        <f t="shared" si="34"/>
        <v>575.16698820090585</v>
      </c>
      <c r="J269" s="179" t="e">
        <f t="shared" si="36"/>
        <v>#N/A</v>
      </c>
      <c r="M269" s="177"/>
    </row>
    <row r="270" spans="1:13" x14ac:dyDescent="0.2">
      <c r="A270" s="153">
        <v>2023</v>
      </c>
      <c r="B270" s="153">
        <v>5</v>
      </c>
      <c r="C270" s="153" t="str">
        <f t="shared" si="35"/>
        <v>20235</v>
      </c>
      <c r="D270" s="153" t="str">
        <f t="shared" si="33"/>
        <v>Q2</v>
      </c>
      <c r="E270" s="153" t="e">
        <f t="shared" si="34"/>
        <v>#N/A</v>
      </c>
      <c r="F270" s="153" t="e">
        <f t="shared" si="34"/>
        <v>#N/A</v>
      </c>
      <c r="G270" s="153">
        <f t="shared" si="34"/>
        <v>51828.21608039493</v>
      </c>
      <c r="H270" s="153">
        <f t="shared" si="34"/>
        <v>1428.6576286441741</v>
      </c>
      <c r="I270" s="153">
        <f t="shared" si="34"/>
        <v>575.16698820090585</v>
      </c>
      <c r="J270" s="179" t="e">
        <f t="shared" si="36"/>
        <v>#N/A</v>
      </c>
      <c r="M270" s="177"/>
    </row>
    <row r="271" spans="1:13" x14ac:dyDescent="0.2">
      <c r="A271" s="153">
        <v>2023</v>
      </c>
      <c r="B271" s="153">
        <v>6</v>
      </c>
      <c r="C271" s="153" t="str">
        <f t="shared" si="35"/>
        <v>20236</v>
      </c>
      <c r="D271" s="153" t="str">
        <f t="shared" ref="D271:D334" si="37">D259</f>
        <v>Q2</v>
      </c>
      <c r="E271" s="153" t="e">
        <f t="shared" si="34"/>
        <v>#N/A</v>
      </c>
      <c r="F271" s="153" t="e">
        <f t="shared" si="34"/>
        <v>#N/A</v>
      </c>
      <c r="G271" s="153">
        <f t="shared" si="34"/>
        <v>51828.21608039493</v>
      </c>
      <c r="H271" s="153">
        <f t="shared" si="34"/>
        <v>1428.6576286441741</v>
      </c>
      <c r="I271" s="153">
        <f t="shared" si="34"/>
        <v>575.16698820090585</v>
      </c>
      <c r="J271" s="179" t="e">
        <f t="shared" si="36"/>
        <v>#N/A</v>
      </c>
      <c r="M271" s="177"/>
    </row>
    <row r="272" spans="1:13" x14ac:dyDescent="0.2">
      <c r="A272" s="153">
        <v>2023</v>
      </c>
      <c r="B272" s="153">
        <v>7</v>
      </c>
      <c r="C272" s="153" t="str">
        <f t="shared" si="35"/>
        <v>20237</v>
      </c>
      <c r="D272" s="153" t="str">
        <f t="shared" si="37"/>
        <v>Q3</v>
      </c>
      <c r="E272" s="153" t="e">
        <f t="shared" si="34"/>
        <v>#N/A</v>
      </c>
      <c r="F272" s="153" t="e">
        <f t="shared" si="34"/>
        <v>#N/A</v>
      </c>
      <c r="G272" s="153">
        <f t="shared" si="34"/>
        <v>52161.614922601206</v>
      </c>
      <c r="H272" s="153">
        <f t="shared" si="34"/>
        <v>1431.9179997949623</v>
      </c>
      <c r="I272" s="153">
        <f t="shared" si="34"/>
        <v>576.44593176762419</v>
      </c>
      <c r="J272" s="179" t="e">
        <f t="shared" si="36"/>
        <v>#N/A</v>
      </c>
      <c r="M272" s="177"/>
    </row>
    <row r="273" spans="1:13" x14ac:dyDescent="0.2">
      <c r="A273" s="153">
        <v>2023</v>
      </c>
      <c r="B273" s="153">
        <v>8</v>
      </c>
      <c r="C273" s="153" t="str">
        <f t="shared" si="35"/>
        <v>20238</v>
      </c>
      <c r="D273" s="153" t="str">
        <f t="shared" si="37"/>
        <v>Q3</v>
      </c>
      <c r="E273" s="153" t="e">
        <f t="shared" si="34"/>
        <v>#N/A</v>
      </c>
      <c r="F273" s="153" t="e">
        <f t="shared" si="34"/>
        <v>#N/A</v>
      </c>
      <c r="G273" s="153">
        <f t="shared" si="34"/>
        <v>52161.614922601206</v>
      </c>
      <c r="H273" s="153">
        <f t="shared" si="34"/>
        <v>1431.9179997949623</v>
      </c>
      <c r="I273" s="153">
        <f t="shared" si="34"/>
        <v>576.44593176762419</v>
      </c>
      <c r="J273" s="179" t="e">
        <f t="shared" si="36"/>
        <v>#N/A</v>
      </c>
      <c r="M273" s="177"/>
    </row>
    <row r="274" spans="1:13" x14ac:dyDescent="0.2">
      <c r="A274" s="153">
        <v>2023</v>
      </c>
      <c r="B274" s="153">
        <v>9</v>
      </c>
      <c r="C274" s="153" t="str">
        <f t="shared" si="35"/>
        <v>20239</v>
      </c>
      <c r="D274" s="153" t="str">
        <f t="shared" si="37"/>
        <v>Q3</v>
      </c>
      <c r="E274" s="153" t="e">
        <f t="shared" si="34"/>
        <v>#N/A</v>
      </c>
      <c r="F274" s="153" t="e">
        <f t="shared" si="34"/>
        <v>#N/A</v>
      </c>
      <c r="G274" s="153">
        <f t="shared" si="34"/>
        <v>52161.614922601206</v>
      </c>
      <c r="H274" s="153">
        <f t="shared" si="34"/>
        <v>1431.9179997949623</v>
      </c>
      <c r="I274" s="153">
        <f t="shared" si="34"/>
        <v>576.44593176762419</v>
      </c>
      <c r="J274" s="179" t="e">
        <f t="shared" si="36"/>
        <v>#N/A</v>
      </c>
      <c r="M274" s="177"/>
    </row>
    <row r="275" spans="1:13" x14ac:dyDescent="0.2">
      <c r="A275" s="153">
        <v>2023</v>
      </c>
      <c r="B275" s="153">
        <v>10</v>
      </c>
      <c r="C275" s="153" t="str">
        <f t="shared" si="35"/>
        <v>202310</v>
      </c>
      <c r="D275" s="153" t="str">
        <f t="shared" si="37"/>
        <v>Q4</v>
      </c>
      <c r="E275" s="153" t="e">
        <f t="shared" si="34"/>
        <v>#N/A</v>
      </c>
      <c r="F275" s="153" t="e">
        <f t="shared" si="34"/>
        <v>#N/A</v>
      </c>
      <c r="G275" s="153">
        <f t="shared" si="34"/>
        <v>52372.236748881944</v>
      </c>
      <c r="H275" s="153">
        <f t="shared" si="34"/>
        <v>1435.6807229889657</v>
      </c>
      <c r="I275" s="153">
        <f t="shared" si="34"/>
        <v>578.40056670692786</v>
      </c>
      <c r="J275" s="179" t="e">
        <f t="shared" si="36"/>
        <v>#N/A</v>
      </c>
      <c r="M275" s="177"/>
    </row>
    <row r="276" spans="1:13" x14ac:dyDescent="0.2">
      <c r="A276" s="153">
        <v>2023</v>
      </c>
      <c r="B276" s="153">
        <v>11</v>
      </c>
      <c r="C276" s="153" t="str">
        <f t="shared" si="35"/>
        <v>202311</v>
      </c>
      <c r="D276" s="153" t="str">
        <f t="shared" si="37"/>
        <v>Q4</v>
      </c>
      <c r="E276" s="153" t="e">
        <f t="shared" si="34"/>
        <v>#N/A</v>
      </c>
      <c r="F276" s="153" t="e">
        <f t="shared" si="34"/>
        <v>#N/A</v>
      </c>
      <c r="G276" s="153">
        <f t="shared" si="34"/>
        <v>52372.236748881944</v>
      </c>
      <c r="H276" s="153">
        <f t="shared" si="34"/>
        <v>1435.6807229889657</v>
      </c>
      <c r="I276" s="153">
        <f t="shared" si="34"/>
        <v>578.40056670692786</v>
      </c>
      <c r="J276" s="179" t="e">
        <f t="shared" si="36"/>
        <v>#N/A</v>
      </c>
      <c r="M276" s="177"/>
    </row>
    <row r="277" spans="1:13" x14ac:dyDescent="0.2">
      <c r="A277" s="153">
        <v>2023</v>
      </c>
      <c r="B277" s="153">
        <v>12</v>
      </c>
      <c r="C277" s="153" t="str">
        <f t="shared" si="35"/>
        <v>202312</v>
      </c>
      <c r="D277" s="153" t="str">
        <f t="shared" si="37"/>
        <v>Q4</v>
      </c>
      <c r="E277" s="153" t="e">
        <f t="shared" si="34"/>
        <v>#N/A</v>
      </c>
      <c r="F277" s="153" t="e">
        <f t="shared" si="34"/>
        <v>#N/A</v>
      </c>
      <c r="G277" s="153">
        <f t="shared" si="34"/>
        <v>52372.236748881944</v>
      </c>
      <c r="H277" s="153">
        <f t="shared" si="34"/>
        <v>1435.6807229889657</v>
      </c>
      <c r="I277" s="153">
        <f t="shared" si="34"/>
        <v>578.40056670692786</v>
      </c>
      <c r="J277" s="179" t="e">
        <f t="shared" si="36"/>
        <v>#N/A</v>
      </c>
      <c r="M277" s="177"/>
    </row>
    <row r="278" spans="1:13" x14ac:dyDescent="0.2">
      <c r="A278" s="153">
        <v>2024</v>
      </c>
      <c r="B278" s="153">
        <v>1</v>
      </c>
      <c r="C278" s="153" t="str">
        <f t="shared" si="35"/>
        <v>20241</v>
      </c>
      <c r="D278" s="153" t="str">
        <f t="shared" si="37"/>
        <v>Q1</v>
      </c>
      <c r="E278" s="153" t="e">
        <f t="shared" si="34"/>
        <v>#N/A</v>
      </c>
      <c r="F278" s="153" t="e">
        <f t="shared" si="34"/>
        <v>#N/A</v>
      </c>
      <c r="G278" s="153">
        <f t="shared" si="34"/>
        <v>52955.358119127079</v>
      </c>
      <c r="H278" s="153">
        <f t="shared" si="34"/>
        <v>1438.0164946277355</v>
      </c>
      <c r="I278" s="153">
        <f t="shared" si="34"/>
        <v>579.12899336216219</v>
      </c>
      <c r="J278" s="179" t="e">
        <f t="shared" si="36"/>
        <v>#N/A</v>
      </c>
      <c r="M278" s="177"/>
    </row>
    <row r="279" spans="1:13" x14ac:dyDescent="0.2">
      <c r="A279" s="153">
        <v>2024</v>
      </c>
      <c r="B279" s="153">
        <v>2</v>
      </c>
      <c r="C279" s="153" t="str">
        <f t="shared" si="35"/>
        <v>20242</v>
      </c>
      <c r="D279" s="153" t="str">
        <f t="shared" si="37"/>
        <v>Q1</v>
      </c>
      <c r="E279" s="153" t="e">
        <f t="shared" si="34"/>
        <v>#N/A</v>
      </c>
      <c r="F279" s="153" t="e">
        <f t="shared" si="34"/>
        <v>#N/A</v>
      </c>
      <c r="G279" s="153">
        <f t="shared" si="34"/>
        <v>52955.358119127079</v>
      </c>
      <c r="H279" s="153">
        <f t="shared" si="34"/>
        <v>1438.0164946277355</v>
      </c>
      <c r="I279" s="153">
        <f t="shared" si="34"/>
        <v>579.12899336216219</v>
      </c>
      <c r="J279" s="179" t="e">
        <f t="shared" si="36"/>
        <v>#N/A</v>
      </c>
      <c r="M279" s="177"/>
    </row>
    <row r="280" spans="1:13" x14ac:dyDescent="0.2">
      <c r="A280" s="153">
        <v>2024</v>
      </c>
      <c r="B280" s="153">
        <v>3</v>
      </c>
      <c r="C280" s="153" t="str">
        <f t="shared" si="35"/>
        <v>20243</v>
      </c>
      <c r="D280" s="153" t="str">
        <f t="shared" si="37"/>
        <v>Q1</v>
      </c>
      <c r="E280" s="153" t="e">
        <f t="shared" si="34"/>
        <v>#N/A</v>
      </c>
      <c r="F280" s="153" t="e">
        <f t="shared" si="34"/>
        <v>#N/A</v>
      </c>
      <c r="G280" s="153">
        <f t="shared" si="34"/>
        <v>52955.358119127079</v>
      </c>
      <c r="H280" s="153">
        <f t="shared" si="34"/>
        <v>1438.0164946277355</v>
      </c>
      <c r="I280" s="153">
        <f t="shared" si="34"/>
        <v>579.12899336216219</v>
      </c>
      <c r="J280" s="179" t="e">
        <f t="shared" si="36"/>
        <v>#N/A</v>
      </c>
      <c r="M280" s="177"/>
    </row>
    <row r="281" spans="1:13" x14ac:dyDescent="0.2">
      <c r="A281" s="153">
        <v>2024</v>
      </c>
      <c r="B281" s="153">
        <v>4</v>
      </c>
      <c r="C281" s="153" t="str">
        <f t="shared" si="35"/>
        <v>20244</v>
      </c>
      <c r="D281" s="153" t="str">
        <f t="shared" si="37"/>
        <v>Q2</v>
      </c>
      <c r="E281" s="153" t="e">
        <f t="shared" si="34"/>
        <v>#N/A</v>
      </c>
      <c r="F281" s="153" t="e">
        <f t="shared" si="34"/>
        <v>#N/A</v>
      </c>
      <c r="G281" s="153">
        <f t="shared" si="34"/>
        <v>53167.209134536846</v>
      </c>
      <c r="H281" s="153">
        <f t="shared" si="34"/>
        <v>1441.6924171035907</v>
      </c>
      <c r="I281" s="153">
        <f t="shared" si="34"/>
        <v>580.43655654475936</v>
      </c>
      <c r="J281" s="179" t="e">
        <f t="shared" si="36"/>
        <v>#N/A</v>
      </c>
      <c r="M281" s="177"/>
    </row>
    <row r="282" spans="1:13" x14ac:dyDescent="0.2">
      <c r="A282" s="153">
        <v>2024</v>
      </c>
      <c r="B282" s="153">
        <v>5</v>
      </c>
      <c r="C282" s="153" t="str">
        <f t="shared" si="35"/>
        <v>20245</v>
      </c>
      <c r="D282" s="153" t="str">
        <f t="shared" si="37"/>
        <v>Q2</v>
      </c>
      <c r="E282" s="153" t="e">
        <f t="shared" si="34"/>
        <v>#N/A</v>
      </c>
      <c r="F282" s="153" t="e">
        <f t="shared" si="34"/>
        <v>#N/A</v>
      </c>
      <c r="G282" s="153">
        <f t="shared" si="34"/>
        <v>53167.209134536846</v>
      </c>
      <c r="H282" s="153">
        <f t="shared" si="34"/>
        <v>1441.6924171035907</v>
      </c>
      <c r="I282" s="153">
        <f t="shared" si="34"/>
        <v>580.43655654475936</v>
      </c>
      <c r="J282" s="179" t="e">
        <f t="shared" si="36"/>
        <v>#N/A</v>
      </c>
      <c r="M282" s="177"/>
    </row>
    <row r="283" spans="1:13" x14ac:dyDescent="0.2">
      <c r="A283" s="153">
        <v>2024</v>
      </c>
      <c r="B283" s="153">
        <v>6</v>
      </c>
      <c r="C283" s="153" t="str">
        <f t="shared" si="35"/>
        <v>20246</v>
      </c>
      <c r="D283" s="153" t="str">
        <f t="shared" si="37"/>
        <v>Q2</v>
      </c>
      <c r="E283" s="153" t="e">
        <f t="shared" si="34"/>
        <v>#N/A</v>
      </c>
      <c r="F283" s="153" t="e">
        <f t="shared" si="34"/>
        <v>#N/A</v>
      </c>
      <c r="G283" s="153">
        <f t="shared" si="34"/>
        <v>53167.209134536846</v>
      </c>
      <c r="H283" s="153">
        <f t="shared" si="34"/>
        <v>1441.6924171035907</v>
      </c>
      <c r="I283" s="153">
        <f t="shared" si="34"/>
        <v>580.43655654475936</v>
      </c>
      <c r="J283" s="179" t="e">
        <f t="shared" si="36"/>
        <v>#N/A</v>
      </c>
      <c r="M283" s="177"/>
    </row>
    <row r="284" spans="1:13" x14ac:dyDescent="0.2">
      <c r="A284" s="153">
        <v>2024</v>
      </c>
      <c r="B284" s="153">
        <v>7</v>
      </c>
      <c r="C284" s="153" t="str">
        <f t="shared" si="35"/>
        <v>20247</v>
      </c>
      <c r="D284" s="153" t="str">
        <f t="shared" si="37"/>
        <v>Q3</v>
      </c>
      <c r="E284" s="153" t="e">
        <f t="shared" si="34"/>
        <v>#N/A</v>
      </c>
      <c r="F284" s="153" t="e">
        <f t="shared" si="34"/>
        <v>#N/A</v>
      </c>
      <c r="G284" s="153">
        <f t="shared" si="34"/>
        <v>53462.846369802268</v>
      </c>
      <c r="H284" s="153">
        <f t="shared" si="34"/>
        <v>1444.9534456805739</v>
      </c>
      <c r="I284" s="153">
        <f t="shared" si="34"/>
        <v>581.56845771979124</v>
      </c>
      <c r="J284" s="179" t="e">
        <f t="shared" si="36"/>
        <v>#N/A</v>
      </c>
      <c r="M284" s="177"/>
    </row>
    <row r="285" spans="1:13" x14ac:dyDescent="0.2">
      <c r="A285" s="153">
        <v>2024</v>
      </c>
      <c r="B285" s="153">
        <v>8</v>
      </c>
      <c r="C285" s="153" t="str">
        <f t="shared" si="35"/>
        <v>20248</v>
      </c>
      <c r="D285" s="153" t="str">
        <f t="shared" si="37"/>
        <v>Q3</v>
      </c>
      <c r="E285" s="153" t="e">
        <f t="shared" si="34"/>
        <v>#N/A</v>
      </c>
      <c r="F285" s="153" t="e">
        <f t="shared" si="34"/>
        <v>#N/A</v>
      </c>
      <c r="G285" s="153">
        <f t="shared" si="34"/>
        <v>53462.846369802268</v>
      </c>
      <c r="H285" s="153">
        <f t="shared" si="34"/>
        <v>1444.9534456805739</v>
      </c>
      <c r="I285" s="153">
        <f t="shared" si="34"/>
        <v>581.56845771979124</v>
      </c>
      <c r="J285" s="179" t="e">
        <f t="shared" si="36"/>
        <v>#N/A</v>
      </c>
      <c r="M285" s="177"/>
    </row>
    <row r="286" spans="1:13" x14ac:dyDescent="0.2">
      <c r="A286" s="153">
        <v>2024</v>
      </c>
      <c r="B286" s="153">
        <v>9</v>
      </c>
      <c r="C286" s="153" t="str">
        <f t="shared" si="35"/>
        <v>20249</v>
      </c>
      <c r="D286" s="153" t="str">
        <f t="shared" si="37"/>
        <v>Q3</v>
      </c>
      <c r="E286" s="153" t="e">
        <f t="shared" si="34"/>
        <v>#N/A</v>
      </c>
      <c r="F286" s="153" t="e">
        <f t="shared" si="34"/>
        <v>#N/A</v>
      </c>
      <c r="G286" s="153">
        <f t="shared" si="34"/>
        <v>53462.846369802268</v>
      </c>
      <c r="H286" s="153">
        <f t="shared" si="34"/>
        <v>1444.9534456805739</v>
      </c>
      <c r="I286" s="153">
        <f t="shared" si="34"/>
        <v>581.56845771979124</v>
      </c>
      <c r="J286" s="179" t="e">
        <f t="shared" si="36"/>
        <v>#N/A</v>
      </c>
      <c r="M286" s="177"/>
    </row>
    <row r="287" spans="1:13" x14ac:dyDescent="0.2">
      <c r="A287" s="153">
        <v>2024</v>
      </c>
      <c r="B287" s="153">
        <v>10</v>
      </c>
      <c r="C287" s="153" t="str">
        <f t="shared" si="35"/>
        <v>202410</v>
      </c>
      <c r="D287" s="153" t="str">
        <f t="shared" si="37"/>
        <v>Q4</v>
      </c>
      <c r="E287" s="153" t="e">
        <f t="shared" si="34"/>
        <v>#N/A</v>
      </c>
      <c r="F287" s="153" t="e">
        <f t="shared" si="34"/>
        <v>#N/A</v>
      </c>
      <c r="G287" s="153">
        <f t="shared" si="34"/>
        <v>53789.882915045469</v>
      </c>
      <c r="H287" s="153">
        <f t="shared" si="34"/>
        <v>1448.203316689802</v>
      </c>
      <c r="I287" s="153">
        <f t="shared" si="34"/>
        <v>582.66620952961773</v>
      </c>
      <c r="J287" s="179" t="e">
        <f t="shared" si="36"/>
        <v>#N/A</v>
      </c>
      <c r="M287" s="177"/>
    </row>
    <row r="288" spans="1:13" x14ac:dyDescent="0.2">
      <c r="A288" s="153">
        <v>2024</v>
      </c>
      <c r="B288" s="153">
        <v>11</v>
      </c>
      <c r="C288" s="153" t="str">
        <f t="shared" si="35"/>
        <v>202411</v>
      </c>
      <c r="D288" s="153" t="str">
        <f t="shared" si="37"/>
        <v>Q4</v>
      </c>
      <c r="E288" s="153" t="e">
        <f t="shared" si="34"/>
        <v>#N/A</v>
      </c>
      <c r="F288" s="153" t="e">
        <f t="shared" si="34"/>
        <v>#N/A</v>
      </c>
      <c r="G288" s="153">
        <f t="shared" si="34"/>
        <v>53789.882915045469</v>
      </c>
      <c r="H288" s="153">
        <f t="shared" si="34"/>
        <v>1448.203316689802</v>
      </c>
      <c r="I288" s="153">
        <f t="shared" si="34"/>
        <v>582.66620952961773</v>
      </c>
      <c r="J288" s="179" t="e">
        <f t="shared" si="36"/>
        <v>#N/A</v>
      </c>
      <c r="M288" s="177"/>
    </row>
    <row r="289" spans="1:13" x14ac:dyDescent="0.2">
      <c r="A289" s="153">
        <v>2024</v>
      </c>
      <c r="B289" s="153">
        <v>12</v>
      </c>
      <c r="C289" s="153" t="str">
        <f t="shared" si="35"/>
        <v>202412</v>
      </c>
      <c r="D289" s="153" t="str">
        <f t="shared" si="37"/>
        <v>Q4</v>
      </c>
      <c r="E289" s="153" t="e">
        <f t="shared" si="34"/>
        <v>#N/A</v>
      </c>
      <c r="F289" s="153" t="e">
        <f t="shared" si="34"/>
        <v>#N/A</v>
      </c>
      <c r="G289" s="153">
        <f t="shared" si="34"/>
        <v>53789.882915045469</v>
      </c>
      <c r="H289" s="153">
        <f t="shared" si="34"/>
        <v>1448.203316689802</v>
      </c>
      <c r="I289" s="153">
        <f t="shared" si="34"/>
        <v>582.66620952961773</v>
      </c>
      <c r="J289" s="179" t="e">
        <f t="shared" si="36"/>
        <v>#N/A</v>
      </c>
      <c r="M289" s="177"/>
    </row>
    <row r="290" spans="1:13" x14ac:dyDescent="0.2">
      <c r="A290" s="153">
        <v>2025</v>
      </c>
      <c r="B290" s="153">
        <v>1</v>
      </c>
      <c r="C290" s="153" t="str">
        <f t="shared" si="35"/>
        <v>20251</v>
      </c>
      <c r="D290" s="153" t="str">
        <f t="shared" si="37"/>
        <v>Q1</v>
      </c>
      <c r="E290" s="153" t="e">
        <f t="shared" si="34"/>
        <v>#N/A</v>
      </c>
      <c r="F290" s="153" t="e">
        <f t="shared" si="34"/>
        <v>#N/A</v>
      </c>
      <c r="G290" s="153">
        <f t="shared" si="34"/>
        <v>54223.677742674183</v>
      </c>
      <c r="H290" s="153">
        <f t="shared" si="34"/>
        <v>1450.7011352829402</v>
      </c>
      <c r="I290" s="153">
        <f t="shared" si="34"/>
        <v>583.84434500018779</v>
      </c>
      <c r="J290" s="179" t="e">
        <f t="shared" si="36"/>
        <v>#N/A</v>
      </c>
      <c r="M290" s="177"/>
    </row>
    <row r="291" spans="1:13" x14ac:dyDescent="0.2">
      <c r="A291" s="153">
        <v>2025</v>
      </c>
      <c r="B291" s="153">
        <v>2</v>
      </c>
      <c r="C291" s="153" t="str">
        <f t="shared" si="35"/>
        <v>20252</v>
      </c>
      <c r="D291" s="153" t="str">
        <f t="shared" si="37"/>
        <v>Q1</v>
      </c>
      <c r="E291" s="153" t="e">
        <f t="shared" si="34"/>
        <v>#N/A</v>
      </c>
      <c r="F291" s="153" t="e">
        <f t="shared" si="34"/>
        <v>#N/A</v>
      </c>
      <c r="G291" s="153">
        <f t="shared" si="34"/>
        <v>54223.677742674183</v>
      </c>
      <c r="H291" s="153">
        <f t="shared" si="34"/>
        <v>1450.7011352829402</v>
      </c>
      <c r="I291" s="153">
        <f t="shared" si="34"/>
        <v>583.84434500018779</v>
      </c>
      <c r="J291" s="179" t="e">
        <f t="shared" si="36"/>
        <v>#N/A</v>
      </c>
      <c r="M291" s="177"/>
    </row>
    <row r="292" spans="1:13" x14ac:dyDescent="0.2">
      <c r="A292" s="153">
        <v>2025</v>
      </c>
      <c r="B292" s="153">
        <v>3</v>
      </c>
      <c r="C292" s="153" t="str">
        <f t="shared" si="35"/>
        <v>20253</v>
      </c>
      <c r="D292" s="153" t="str">
        <f t="shared" si="37"/>
        <v>Q1</v>
      </c>
      <c r="E292" s="153" t="e">
        <f t="shared" si="34"/>
        <v>#N/A</v>
      </c>
      <c r="F292" s="153" t="e">
        <f t="shared" si="34"/>
        <v>#N/A</v>
      </c>
      <c r="G292" s="153">
        <f t="shared" si="34"/>
        <v>54223.677742674183</v>
      </c>
      <c r="H292" s="153">
        <f t="shared" si="34"/>
        <v>1450.7011352829402</v>
      </c>
      <c r="I292" s="153">
        <f t="shared" si="34"/>
        <v>583.84434500018779</v>
      </c>
      <c r="J292" s="179" t="e">
        <f t="shared" si="36"/>
        <v>#N/A</v>
      </c>
      <c r="M292" s="177"/>
    </row>
    <row r="293" spans="1:13" x14ac:dyDescent="0.2">
      <c r="A293" s="153">
        <v>2025</v>
      </c>
      <c r="B293" s="153">
        <v>4</v>
      </c>
      <c r="C293" s="153" t="str">
        <f t="shared" si="35"/>
        <v>20254</v>
      </c>
      <c r="D293" s="153" t="str">
        <f t="shared" si="37"/>
        <v>Q2</v>
      </c>
      <c r="E293" s="153" t="e">
        <f t="shared" si="34"/>
        <v>#N/A</v>
      </c>
      <c r="F293" s="153" t="e">
        <f t="shared" si="34"/>
        <v>#N/A</v>
      </c>
      <c r="G293" s="153">
        <f t="shared" si="34"/>
        <v>54510.190519624688</v>
      </c>
      <c r="H293" s="153">
        <f t="shared" si="34"/>
        <v>1453.9471250160732</v>
      </c>
      <c r="I293" s="153">
        <f t="shared" si="34"/>
        <v>585.28412774609001</v>
      </c>
      <c r="J293" s="179" t="e">
        <f t="shared" si="36"/>
        <v>#N/A</v>
      </c>
      <c r="M293" s="177"/>
    </row>
    <row r="294" spans="1:13" x14ac:dyDescent="0.2">
      <c r="A294" s="153">
        <v>2025</v>
      </c>
      <c r="B294" s="153">
        <v>5</v>
      </c>
      <c r="C294" s="153" t="str">
        <f t="shared" si="35"/>
        <v>20255</v>
      </c>
      <c r="D294" s="153" t="str">
        <f t="shared" si="37"/>
        <v>Q2</v>
      </c>
      <c r="E294" s="153" t="e">
        <f t="shared" si="34"/>
        <v>#N/A</v>
      </c>
      <c r="F294" s="153" t="e">
        <f t="shared" si="34"/>
        <v>#N/A</v>
      </c>
      <c r="G294" s="153">
        <f t="shared" si="34"/>
        <v>54510.190519624688</v>
      </c>
      <c r="H294" s="153">
        <f t="shared" si="34"/>
        <v>1453.9471250160732</v>
      </c>
      <c r="I294" s="153">
        <f t="shared" si="34"/>
        <v>585.28412774609001</v>
      </c>
      <c r="J294" s="179" t="e">
        <f t="shared" si="36"/>
        <v>#N/A</v>
      </c>
      <c r="M294" s="177"/>
    </row>
    <row r="295" spans="1:13" x14ac:dyDescent="0.2">
      <c r="A295" s="153">
        <v>2025</v>
      </c>
      <c r="B295" s="153">
        <v>6</v>
      </c>
      <c r="C295" s="153" t="str">
        <f t="shared" si="35"/>
        <v>20256</v>
      </c>
      <c r="D295" s="153" t="str">
        <f t="shared" si="37"/>
        <v>Q2</v>
      </c>
      <c r="E295" s="153" t="e">
        <f t="shared" si="34"/>
        <v>#N/A</v>
      </c>
      <c r="F295" s="153" t="e">
        <f t="shared" si="34"/>
        <v>#N/A</v>
      </c>
      <c r="G295" s="153">
        <f t="shared" si="34"/>
        <v>54510.190519624688</v>
      </c>
      <c r="H295" s="153">
        <f t="shared" si="34"/>
        <v>1453.9471250160732</v>
      </c>
      <c r="I295" s="153">
        <f t="shared" si="34"/>
        <v>585.28412774609001</v>
      </c>
      <c r="J295" s="179" t="e">
        <f t="shared" si="36"/>
        <v>#N/A</v>
      </c>
      <c r="M295" s="177"/>
    </row>
    <row r="296" spans="1:13" x14ac:dyDescent="0.2">
      <c r="A296" s="153">
        <v>2025</v>
      </c>
      <c r="B296" s="153">
        <v>7</v>
      </c>
      <c r="C296" s="153" t="str">
        <f t="shared" si="35"/>
        <v>20257</v>
      </c>
      <c r="D296" s="153" t="str">
        <f t="shared" si="37"/>
        <v>Q3</v>
      </c>
      <c r="E296" s="153" t="e">
        <f t="shared" si="34"/>
        <v>#N/A</v>
      </c>
      <c r="F296" s="153" t="e">
        <f t="shared" si="34"/>
        <v>#N/A</v>
      </c>
      <c r="G296" s="153">
        <f t="shared" si="34"/>
        <v>54815.658019537463</v>
      </c>
      <c r="H296" s="153">
        <f t="shared" si="34"/>
        <v>1457.1942335058652</v>
      </c>
      <c r="I296" s="153">
        <f t="shared" si="34"/>
        <v>586.71769037746685</v>
      </c>
      <c r="J296" s="179" t="e">
        <f t="shared" si="36"/>
        <v>#N/A</v>
      </c>
      <c r="M296" s="177"/>
    </row>
    <row r="297" spans="1:13" x14ac:dyDescent="0.2">
      <c r="A297" s="153">
        <v>2025</v>
      </c>
      <c r="B297" s="153">
        <v>8</v>
      </c>
      <c r="C297" s="153" t="str">
        <f t="shared" si="35"/>
        <v>20258</v>
      </c>
      <c r="D297" s="153" t="str">
        <f t="shared" si="37"/>
        <v>Q3</v>
      </c>
      <c r="E297" s="153" t="e">
        <f t="shared" si="34"/>
        <v>#N/A</v>
      </c>
      <c r="F297" s="153" t="e">
        <f t="shared" si="34"/>
        <v>#N/A</v>
      </c>
      <c r="G297" s="153">
        <f t="shared" si="34"/>
        <v>54815.658019537463</v>
      </c>
      <c r="H297" s="153">
        <f t="shared" si="34"/>
        <v>1457.1942335058652</v>
      </c>
      <c r="I297" s="153">
        <f t="shared" si="34"/>
        <v>586.71769037746685</v>
      </c>
      <c r="J297" s="179" t="e">
        <f t="shared" si="36"/>
        <v>#N/A</v>
      </c>
      <c r="M297" s="177"/>
    </row>
    <row r="298" spans="1:13" x14ac:dyDescent="0.2">
      <c r="A298" s="153">
        <v>2025</v>
      </c>
      <c r="B298" s="153">
        <v>9</v>
      </c>
      <c r="C298" s="153" t="str">
        <f t="shared" si="35"/>
        <v>20259</v>
      </c>
      <c r="D298" s="153" t="str">
        <f t="shared" si="37"/>
        <v>Q3</v>
      </c>
      <c r="E298" s="153" t="e">
        <f t="shared" si="34"/>
        <v>#N/A</v>
      </c>
      <c r="F298" s="153" t="e">
        <f t="shared" si="34"/>
        <v>#N/A</v>
      </c>
      <c r="G298" s="153">
        <f t="shared" si="34"/>
        <v>54815.658019537463</v>
      </c>
      <c r="H298" s="153">
        <f t="shared" si="34"/>
        <v>1457.1942335058652</v>
      </c>
      <c r="I298" s="153">
        <f t="shared" si="34"/>
        <v>586.71769037746685</v>
      </c>
      <c r="J298" s="179" t="e">
        <f t="shared" si="36"/>
        <v>#N/A</v>
      </c>
      <c r="M298" s="177"/>
    </row>
    <row r="299" spans="1:13" x14ac:dyDescent="0.2">
      <c r="A299" s="153">
        <v>2025</v>
      </c>
      <c r="B299" s="153">
        <v>10</v>
      </c>
      <c r="C299" s="153" t="str">
        <f t="shared" si="35"/>
        <v>202510</v>
      </c>
      <c r="D299" s="153" t="str">
        <f t="shared" si="37"/>
        <v>Q4</v>
      </c>
      <c r="E299" s="153" t="e">
        <f t="shared" si="34"/>
        <v>#N/A</v>
      </c>
      <c r="F299" s="153" t="e">
        <f t="shared" si="34"/>
        <v>#N/A</v>
      </c>
      <c r="G299" s="153">
        <f t="shared" si="34"/>
        <v>55097.083363484009</v>
      </c>
      <c r="H299" s="153">
        <f t="shared" si="34"/>
        <v>1460.8211194182309</v>
      </c>
      <c r="I299" s="153">
        <f t="shared" si="34"/>
        <v>588.28258891207736</v>
      </c>
      <c r="J299" s="179" t="e">
        <f t="shared" si="36"/>
        <v>#N/A</v>
      </c>
      <c r="M299" s="177"/>
    </row>
    <row r="300" spans="1:13" x14ac:dyDescent="0.2">
      <c r="A300" s="153">
        <v>2025</v>
      </c>
      <c r="B300" s="153">
        <v>11</v>
      </c>
      <c r="C300" s="153" t="str">
        <f t="shared" si="35"/>
        <v>202511</v>
      </c>
      <c r="D300" s="153" t="str">
        <f t="shared" si="37"/>
        <v>Q4</v>
      </c>
      <c r="E300" s="153" t="e">
        <f t="shared" si="34"/>
        <v>#N/A</v>
      </c>
      <c r="F300" s="153" t="e">
        <f t="shared" si="34"/>
        <v>#N/A</v>
      </c>
      <c r="G300" s="153">
        <f t="shared" si="34"/>
        <v>55097.083363484009</v>
      </c>
      <c r="H300" s="153">
        <f t="shared" si="34"/>
        <v>1460.8211194182309</v>
      </c>
      <c r="I300" s="153">
        <f t="shared" si="34"/>
        <v>588.28258891207736</v>
      </c>
      <c r="J300" s="179" t="e">
        <f t="shared" si="36"/>
        <v>#N/A</v>
      </c>
      <c r="M300" s="177"/>
    </row>
    <row r="301" spans="1:13" x14ac:dyDescent="0.2">
      <c r="A301" s="153">
        <v>2025</v>
      </c>
      <c r="B301" s="153">
        <v>12</v>
      </c>
      <c r="C301" s="153" t="str">
        <f t="shared" si="35"/>
        <v>202512</v>
      </c>
      <c r="D301" s="153" t="str">
        <f t="shared" si="37"/>
        <v>Q4</v>
      </c>
      <c r="E301" s="153" t="e">
        <f t="shared" si="34"/>
        <v>#N/A</v>
      </c>
      <c r="F301" s="153" t="e">
        <f t="shared" si="34"/>
        <v>#N/A</v>
      </c>
      <c r="G301" s="153">
        <f t="shared" si="34"/>
        <v>55097.083363484009</v>
      </c>
      <c r="H301" s="153">
        <f t="shared" si="34"/>
        <v>1460.8211194182309</v>
      </c>
      <c r="I301" s="153">
        <f t="shared" si="34"/>
        <v>588.28258891207736</v>
      </c>
      <c r="J301" s="179" t="e">
        <f t="shared" si="36"/>
        <v>#N/A</v>
      </c>
      <c r="M301" s="177"/>
    </row>
    <row r="302" spans="1:13" x14ac:dyDescent="0.2">
      <c r="A302" s="153">
        <v>2026</v>
      </c>
      <c r="B302" s="153">
        <v>1</v>
      </c>
      <c r="C302" s="153" t="str">
        <f t="shared" si="35"/>
        <v>20261</v>
      </c>
      <c r="D302" s="153" t="str">
        <f t="shared" si="37"/>
        <v>Q1</v>
      </c>
      <c r="E302" s="153" t="e">
        <f t="shared" si="34"/>
        <v>#N/A</v>
      </c>
      <c r="F302" s="153" t="e">
        <f t="shared" si="34"/>
        <v>#N/A</v>
      </c>
      <c r="G302" s="153">
        <f t="shared" si="34"/>
        <v>55569.291010852481</v>
      </c>
      <c r="H302" s="153">
        <f t="shared" si="34"/>
        <v>1463.215955317683</v>
      </c>
      <c r="I302" s="153">
        <f t="shared" si="34"/>
        <v>589.37830105097646</v>
      </c>
      <c r="J302" s="179" t="e">
        <f t="shared" si="36"/>
        <v>#N/A</v>
      </c>
      <c r="M302" s="177"/>
    </row>
    <row r="303" spans="1:13" x14ac:dyDescent="0.2">
      <c r="A303" s="153">
        <v>2026</v>
      </c>
      <c r="B303" s="153">
        <v>2</v>
      </c>
      <c r="C303" s="153" t="str">
        <f t="shared" si="35"/>
        <v>20262</v>
      </c>
      <c r="D303" s="153" t="str">
        <f t="shared" si="37"/>
        <v>Q1</v>
      </c>
      <c r="E303" s="153" t="e">
        <f t="shared" ref="E303:I353" si="38">VLOOKUP($A303&amp;$D303,$O$1:$U$169,MATCH(E$1,$O$1:$U$1,0),0)</f>
        <v>#N/A</v>
      </c>
      <c r="F303" s="153" t="e">
        <f t="shared" si="38"/>
        <v>#N/A</v>
      </c>
      <c r="G303" s="153">
        <f t="shared" si="38"/>
        <v>55569.291010852481</v>
      </c>
      <c r="H303" s="153">
        <f t="shared" si="38"/>
        <v>1463.215955317683</v>
      </c>
      <c r="I303" s="153">
        <f t="shared" si="38"/>
        <v>589.37830105097646</v>
      </c>
      <c r="J303" s="179" t="e">
        <f t="shared" si="36"/>
        <v>#N/A</v>
      </c>
      <c r="M303" s="177"/>
    </row>
    <row r="304" spans="1:13" x14ac:dyDescent="0.2">
      <c r="A304" s="153">
        <v>2026</v>
      </c>
      <c r="B304" s="153">
        <v>3</v>
      </c>
      <c r="C304" s="153" t="str">
        <f t="shared" si="35"/>
        <v>20263</v>
      </c>
      <c r="D304" s="153" t="str">
        <f t="shared" si="37"/>
        <v>Q1</v>
      </c>
      <c r="E304" s="153" t="e">
        <f t="shared" si="38"/>
        <v>#N/A</v>
      </c>
      <c r="F304" s="153" t="e">
        <f t="shared" si="38"/>
        <v>#N/A</v>
      </c>
      <c r="G304" s="153">
        <f t="shared" si="38"/>
        <v>55569.291010852481</v>
      </c>
      <c r="H304" s="153">
        <f t="shared" si="38"/>
        <v>1463.215955317683</v>
      </c>
      <c r="I304" s="153">
        <f t="shared" si="38"/>
        <v>589.37830105097646</v>
      </c>
      <c r="J304" s="179" t="e">
        <f t="shared" si="36"/>
        <v>#N/A</v>
      </c>
      <c r="M304" s="177"/>
    </row>
    <row r="305" spans="1:13" x14ac:dyDescent="0.2">
      <c r="A305" s="153">
        <v>2026</v>
      </c>
      <c r="B305" s="153">
        <v>4</v>
      </c>
      <c r="C305" s="153" t="str">
        <f t="shared" si="35"/>
        <v>20264</v>
      </c>
      <c r="D305" s="153" t="str">
        <f t="shared" si="37"/>
        <v>Q2</v>
      </c>
      <c r="E305" s="153" t="e">
        <f t="shared" si="38"/>
        <v>#N/A</v>
      </c>
      <c r="F305" s="153" t="e">
        <f t="shared" si="38"/>
        <v>#N/A</v>
      </c>
      <c r="G305" s="153">
        <f t="shared" si="38"/>
        <v>55793.331632268848</v>
      </c>
      <c r="H305" s="153">
        <f t="shared" si="38"/>
        <v>1466.4564562701637</v>
      </c>
      <c r="I305" s="153">
        <f t="shared" si="38"/>
        <v>590.83563704066819</v>
      </c>
      <c r="J305" s="179" t="e">
        <f t="shared" si="36"/>
        <v>#N/A</v>
      </c>
      <c r="M305" s="177"/>
    </row>
    <row r="306" spans="1:13" x14ac:dyDescent="0.2">
      <c r="A306" s="153">
        <v>2026</v>
      </c>
      <c r="B306" s="153">
        <v>5</v>
      </c>
      <c r="C306" s="153" t="str">
        <f t="shared" si="35"/>
        <v>20265</v>
      </c>
      <c r="D306" s="153" t="str">
        <f t="shared" si="37"/>
        <v>Q2</v>
      </c>
      <c r="E306" s="153" t="e">
        <f t="shared" si="38"/>
        <v>#N/A</v>
      </c>
      <c r="F306" s="153" t="e">
        <f t="shared" si="38"/>
        <v>#N/A</v>
      </c>
      <c r="G306" s="153">
        <f t="shared" si="38"/>
        <v>55793.331632268848</v>
      </c>
      <c r="H306" s="153">
        <f t="shared" si="38"/>
        <v>1466.4564562701637</v>
      </c>
      <c r="I306" s="153">
        <f t="shared" si="38"/>
        <v>590.83563704066819</v>
      </c>
      <c r="J306" s="179" t="e">
        <f t="shared" si="36"/>
        <v>#N/A</v>
      </c>
      <c r="M306" s="177"/>
    </row>
    <row r="307" spans="1:13" x14ac:dyDescent="0.2">
      <c r="A307" s="153">
        <v>2026</v>
      </c>
      <c r="B307" s="153">
        <v>6</v>
      </c>
      <c r="C307" s="153" t="str">
        <f t="shared" si="35"/>
        <v>20266</v>
      </c>
      <c r="D307" s="153" t="str">
        <f t="shared" si="37"/>
        <v>Q2</v>
      </c>
      <c r="E307" s="153" t="e">
        <f t="shared" si="38"/>
        <v>#N/A</v>
      </c>
      <c r="F307" s="153" t="e">
        <f t="shared" si="38"/>
        <v>#N/A</v>
      </c>
      <c r="G307" s="153">
        <f t="shared" si="38"/>
        <v>55793.331632268848</v>
      </c>
      <c r="H307" s="153">
        <f t="shared" si="38"/>
        <v>1466.4564562701637</v>
      </c>
      <c r="I307" s="153">
        <f t="shared" si="38"/>
        <v>590.83563704066819</v>
      </c>
      <c r="J307" s="179" t="e">
        <f t="shared" si="36"/>
        <v>#N/A</v>
      </c>
      <c r="M307" s="177"/>
    </row>
    <row r="308" spans="1:13" x14ac:dyDescent="0.2">
      <c r="A308" s="153">
        <v>2026</v>
      </c>
      <c r="B308" s="153">
        <v>7</v>
      </c>
      <c r="C308" s="153" t="str">
        <f t="shared" si="35"/>
        <v>20267</v>
      </c>
      <c r="D308" s="153" t="str">
        <f t="shared" si="37"/>
        <v>Q3</v>
      </c>
      <c r="E308" s="153" t="e">
        <f t="shared" si="38"/>
        <v>#N/A</v>
      </c>
      <c r="F308" s="153" t="e">
        <f t="shared" si="38"/>
        <v>#N/A</v>
      </c>
      <c r="G308" s="153">
        <f t="shared" si="38"/>
        <v>56112.35191472694</v>
      </c>
      <c r="H308" s="153">
        <f t="shared" si="38"/>
        <v>1468.9613247427073</v>
      </c>
      <c r="I308" s="153">
        <f t="shared" si="38"/>
        <v>592.037050251849</v>
      </c>
      <c r="J308" s="179" t="e">
        <f t="shared" si="36"/>
        <v>#N/A</v>
      </c>
      <c r="M308" s="177"/>
    </row>
    <row r="309" spans="1:13" x14ac:dyDescent="0.2">
      <c r="A309" s="153">
        <v>2026</v>
      </c>
      <c r="B309" s="153">
        <v>8</v>
      </c>
      <c r="C309" s="153" t="str">
        <f t="shared" si="35"/>
        <v>20268</v>
      </c>
      <c r="D309" s="153" t="str">
        <f t="shared" si="37"/>
        <v>Q3</v>
      </c>
      <c r="E309" s="153" t="e">
        <f t="shared" si="38"/>
        <v>#N/A</v>
      </c>
      <c r="F309" s="153" t="e">
        <f t="shared" si="38"/>
        <v>#N/A</v>
      </c>
      <c r="G309" s="153">
        <f t="shared" si="38"/>
        <v>56112.35191472694</v>
      </c>
      <c r="H309" s="153">
        <f t="shared" si="38"/>
        <v>1468.9613247427073</v>
      </c>
      <c r="I309" s="153">
        <f t="shared" si="38"/>
        <v>592.037050251849</v>
      </c>
      <c r="J309" s="179" t="e">
        <f t="shared" si="36"/>
        <v>#N/A</v>
      </c>
      <c r="M309" s="177"/>
    </row>
    <row r="310" spans="1:13" x14ac:dyDescent="0.2">
      <c r="A310" s="153">
        <v>2026</v>
      </c>
      <c r="B310" s="153">
        <v>9</v>
      </c>
      <c r="C310" s="153" t="str">
        <f t="shared" si="35"/>
        <v>20269</v>
      </c>
      <c r="D310" s="153" t="str">
        <f t="shared" si="37"/>
        <v>Q3</v>
      </c>
      <c r="E310" s="153" t="e">
        <f t="shared" si="38"/>
        <v>#N/A</v>
      </c>
      <c r="F310" s="153" t="e">
        <f t="shared" si="38"/>
        <v>#N/A</v>
      </c>
      <c r="G310" s="153">
        <f t="shared" si="38"/>
        <v>56112.35191472694</v>
      </c>
      <c r="H310" s="153">
        <f t="shared" si="38"/>
        <v>1468.9613247427073</v>
      </c>
      <c r="I310" s="153">
        <f t="shared" si="38"/>
        <v>592.037050251849</v>
      </c>
      <c r="J310" s="179" t="e">
        <f t="shared" si="36"/>
        <v>#N/A</v>
      </c>
      <c r="M310" s="177"/>
    </row>
    <row r="311" spans="1:13" x14ac:dyDescent="0.2">
      <c r="A311" s="153">
        <v>2026</v>
      </c>
      <c r="B311" s="153">
        <v>10</v>
      </c>
      <c r="C311" s="153" t="str">
        <f t="shared" si="35"/>
        <v>202610</v>
      </c>
      <c r="D311" s="153" t="str">
        <f t="shared" si="37"/>
        <v>Q4</v>
      </c>
      <c r="E311" s="153" t="e">
        <f t="shared" si="38"/>
        <v>#N/A</v>
      </c>
      <c r="F311" s="153" t="e">
        <f t="shared" si="38"/>
        <v>#N/A</v>
      </c>
      <c r="G311" s="153">
        <f t="shared" si="38"/>
        <v>56458.331396926224</v>
      </c>
      <c r="H311" s="153">
        <f t="shared" si="38"/>
        <v>1472.189134430844</v>
      </c>
      <c r="I311" s="153">
        <f t="shared" si="38"/>
        <v>593.44700159440708</v>
      </c>
      <c r="J311" s="179" t="e">
        <f t="shared" si="36"/>
        <v>#N/A</v>
      </c>
      <c r="M311" s="177"/>
    </row>
    <row r="312" spans="1:13" x14ac:dyDescent="0.2">
      <c r="A312" s="153">
        <v>2026</v>
      </c>
      <c r="B312" s="153">
        <v>11</v>
      </c>
      <c r="C312" s="153" t="str">
        <f t="shared" si="35"/>
        <v>202611</v>
      </c>
      <c r="D312" s="153" t="str">
        <f t="shared" si="37"/>
        <v>Q4</v>
      </c>
      <c r="E312" s="153" t="e">
        <f t="shared" si="38"/>
        <v>#N/A</v>
      </c>
      <c r="F312" s="153" t="e">
        <f t="shared" si="38"/>
        <v>#N/A</v>
      </c>
      <c r="G312" s="153">
        <f t="shared" si="38"/>
        <v>56458.331396926224</v>
      </c>
      <c r="H312" s="153">
        <f t="shared" si="38"/>
        <v>1472.189134430844</v>
      </c>
      <c r="I312" s="153">
        <f t="shared" si="38"/>
        <v>593.44700159440708</v>
      </c>
      <c r="J312" s="179" t="e">
        <f t="shared" si="36"/>
        <v>#N/A</v>
      </c>
      <c r="M312" s="177"/>
    </row>
    <row r="313" spans="1:13" x14ac:dyDescent="0.2">
      <c r="A313" s="153">
        <v>2026</v>
      </c>
      <c r="B313" s="153">
        <v>12</v>
      </c>
      <c r="C313" s="153" t="str">
        <f t="shared" si="35"/>
        <v>202612</v>
      </c>
      <c r="D313" s="153" t="str">
        <f t="shared" si="37"/>
        <v>Q4</v>
      </c>
      <c r="E313" s="153" t="e">
        <f t="shared" si="38"/>
        <v>#N/A</v>
      </c>
      <c r="F313" s="153" t="e">
        <f t="shared" si="38"/>
        <v>#N/A</v>
      </c>
      <c r="G313" s="153">
        <f t="shared" si="38"/>
        <v>56458.331396926224</v>
      </c>
      <c r="H313" s="153">
        <f t="shared" si="38"/>
        <v>1472.189134430844</v>
      </c>
      <c r="I313" s="153">
        <f t="shared" si="38"/>
        <v>593.44700159440708</v>
      </c>
      <c r="J313" s="179" t="e">
        <f t="shared" si="36"/>
        <v>#N/A</v>
      </c>
      <c r="M313" s="177"/>
    </row>
    <row r="314" spans="1:13" x14ac:dyDescent="0.2">
      <c r="A314" s="153">
        <v>2027</v>
      </c>
      <c r="B314" s="153">
        <v>1</v>
      </c>
      <c r="C314" s="153" t="str">
        <f t="shared" si="35"/>
        <v>20271</v>
      </c>
      <c r="D314" s="153" t="str">
        <f t="shared" si="37"/>
        <v>Q1</v>
      </c>
      <c r="E314" s="153" t="e">
        <f t="shared" si="38"/>
        <v>#N/A</v>
      </c>
      <c r="F314" s="153" t="e">
        <f t="shared" si="38"/>
        <v>#N/A</v>
      </c>
      <c r="G314" s="153">
        <f t="shared" si="38"/>
        <v>56964.713161103646</v>
      </c>
      <c r="H314" s="153">
        <f t="shared" si="38"/>
        <v>1475.2980818535743</v>
      </c>
      <c r="I314" s="153">
        <f t="shared" si="38"/>
        <v>594.82095610078215</v>
      </c>
      <c r="J314" s="179" t="e">
        <f t="shared" si="36"/>
        <v>#N/A</v>
      </c>
      <c r="M314" s="177"/>
    </row>
    <row r="315" spans="1:13" x14ac:dyDescent="0.2">
      <c r="A315" s="153">
        <v>2027</v>
      </c>
      <c r="B315" s="153">
        <v>2</v>
      </c>
      <c r="C315" s="153" t="str">
        <f t="shared" si="35"/>
        <v>20272</v>
      </c>
      <c r="D315" s="153" t="str">
        <f t="shared" si="37"/>
        <v>Q1</v>
      </c>
      <c r="E315" s="153" t="e">
        <f t="shared" si="38"/>
        <v>#N/A</v>
      </c>
      <c r="F315" s="153" t="e">
        <f t="shared" si="38"/>
        <v>#N/A</v>
      </c>
      <c r="G315" s="153">
        <f t="shared" si="38"/>
        <v>56964.713161103646</v>
      </c>
      <c r="H315" s="153">
        <f t="shared" si="38"/>
        <v>1475.2980818535743</v>
      </c>
      <c r="I315" s="153">
        <f t="shared" si="38"/>
        <v>594.82095610078215</v>
      </c>
      <c r="J315" s="179" t="e">
        <f t="shared" si="36"/>
        <v>#N/A</v>
      </c>
      <c r="M315" s="177"/>
    </row>
    <row r="316" spans="1:13" x14ac:dyDescent="0.2">
      <c r="A316" s="153">
        <v>2027</v>
      </c>
      <c r="B316" s="153">
        <v>3</v>
      </c>
      <c r="C316" s="153" t="str">
        <f t="shared" si="35"/>
        <v>20273</v>
      </c>
      <c r="D316" s="153" t="str">
        <f t="shared" si="37"/>
        <v>Q1</v>
      </c>
      <c r="E316" s="153" t="e">
        <f t="shared" si="38"/>
        <v>#N/A</v>
      </c>
      <c r="F316" s="153" t="e">
        <f t="shared" si="38"/>
        <v>#N/A</v>
      </c>
      <c r="G316" s="153">
        <f t="shared" si="38"/>
        <v>56964.713161103646</v>
      </c>
      <c r="H316" s="153">
        <f t="shared" si="38"/>
        <v>1475.2980818535743</v>
      </c>
      <c r="I316" s="153">
        <f t="shared" si="38"/>
        <v>594.82095610078215</v>
      </c>
      <c r="J316" s="179" t="e">
        <f t="shared" si="36"/>
        <v>#N/A</v>
      </c>
      <c r="M316" s="177"/>
    </row>
    <row r="317" spans="1:13" x14ac:dyDescent="0.2">
      <c r="A317" s="153">
        <v>2027</v>
      </c>
      <c r="B317" s="153">
        <v>4</v>
      </c>
      <c r="C317" s="153" t="str">
        <f t="shared" si="35"/>
        <v>20274</v>
      </c>
      <c r="D317" s="153" t="str">
        <f t="shared" si="37"/>
        <v>Q2</v>
      </c>
      <c r="E317" s="153" t="e">
        <f t="shared" si="38"/>
        <v>#N/A</v>
      </c>
      <c r="F317" s="153" t="e">
        <f t="shared" si="38"/>
        <v>#N/A</v>
      </c>
      <c r="G317" s="153">
        <f t="shared" si="38"/>
        <v>57254.533685953822</v>
      </c>
      <c r="H317" s="153">
        <f t="shared" si="38"/>
        <v>1478.3078936440054</v>
      </c>
      <c r="I317" s="153">
        <f t="shared" si="38"/>
        <v>596.17989665720165</v>
      </c>
      <c r="J317" s="179" t="e">
        <f t="shared" si="36"/>
        <v>#N/A</v>
      </c>
      <c r="M317" s="177"/>
    </row>
    <row r="318" spans="1:13" x14ac:dyDescent="0.2">
      <c r="A318" s="153">
        <v>2027</v>
      </c>
      <c r="B318" s="153">
        <v>5</v>
      </c>
      <c r="C318" s="153" t="str">
        <f t="shared" si="35"/>
        <v>20275</v>
      </c>
      <c r="D318" s="153" t="str">
        <f t="shared" si="37"/>
        <v>Q2</v>
      </c>
      <c r="E318" s="153" t="e">
        <f t="shared" si="38"/>
        <v>#N/A</v>
      </c>
      <c r="F318" s="153" t="e">
        <f t="shared" si="38"/>
        <v>#N/A</v>
      </c>
      <c r="G318" s="153">
        <f t="shared" si="38"/>
        <v>57254.533685953822</v>
      </c>
      <c r="H318" s="153">
        <f t="shared" si="38"/>
        <v>1478.3078936440054</v>
      </c>
      <c r="I318" s="153">
        <f t="shared" si="38"/>
        <v>596.17989665720165</v>
      </c>
      <c r="J318" s="179" t="e">
        <f t="shared" si="36"/>
        <v>#N/A</v>
      </c>
      <c r="M318" s="177"/>
    </row>
    <row r="319" spans="1:13" x14ac:dyDescent="0.2">
      <c r="A319" s="153">
        <v>2027</v>
      </c>
      <c r="B319" s="153">
        <v>6</v>
      </c>
      <c r="C319" s="153" t="str">
        <f t="shared" si="35"/>
        <v>20276</v>
      </c>
      <c r="D319" s="153" t="str">
        <f t="shared" si="37"/>
        <v>Q2</v>
      </c>
      <c r="E319" s="153" t="e">
        <f t="shared" si="38"/>
        <v>#N/A</v>
      </c>
      <c r="F319" s="153" t="e">
        <f t="shared" si="38"/>
        <v>#N/A</v>
      </c>
      <c r="G319" s="153">
        <f t="shared" si="38"/>
        <v>57254.533685953822</v>
      </c>
      <c r="H319" s="153">
        <f t="shared" si="38"/>
        <v>1478.3078936440054</v>
      </c>
      <c r="I319" s="153">
        <f t="shared" si="38"/>
        <v>596.17989665720165</v>
      </c>
      <c r="J319" s="179" t="e">
        <f t="shared" si="36"/>
        <v>#N/A</v>
      </c>
      <c r="M319" s="177"/>
    </row>
    <row r="320" spans="1:13" x14ac:dyDescent="0.2">
      <c r="A320" s="153">
        <v>2027</v>
      </c>
      <c r="B320" s="153">
        <v>7</v>
      </c>
      <c r="C320" s="153" t="str">
        <f t="shared" si="35"/>
        <v>20277</v>
      </c>
      <c r="D320" s="153" t="str">
        <f t="shared" si="37"/>
        <v>Q3</v>
      </c>
      <c r="E320" s="153" t="e">
        <f t="shared" si="38"/>
        <v>#N/A</v>
      </c>
      <c r="F320" s="153" t="e">
        <f t="shared" si="38"/>
        <v>#N/A</v>
      </c>
      <c r="G320" s="153">
        <f t="shared" si="38"/>
        <v>57588.191423894845</v>
      </c>
      <c r="H320" s="153">
        <f t="shared" si="38"/>
        <v>1481.4953488555889</v>
      </c>
      <c r="I320" s="153">
        <f t="shared" si="38"/>
        <v>598.22216419318227</v>
      </c>
      <c r="J320" s="179" t="e">
        <f t="shared" si="36"/>
        <v>#N/A</v>
      </c>
      <c r="M320" s="177"/>
    </row>
    <row r="321" spans="1:13" x14ac:dyDescent="0.2">
      <c r="A321" s="153">
        <v>2027</v>
      </c>
      <c r="B321" s="153">
        <v>8</v>
      </c>
      <c r="C321" s="153" t="str">
        <f t="shared" si="35"/>
        <v>20278</v>
      </c>
      <c r="D321" s="153" t="str">
        <f t="shared" si="37"/>
        <v>Q3</v>
      </c>
      <c r="E321" s="153" t="e">
        <f t="shared" si="38"/>
        <v>#N/A</v>
      </c>
      <c r="F321" s="153" t="e">
        <f t="shared" si="38"/>
        <v>#N/A</v>
      </c>
      <c r="G321" s="153">
        <f t="shared" si="38"/>
        <v>57588.191423894845</v>
      </c>
      <c r="H321" s="153">
        <f t="shared" si="38"/>
        <v>1481.4953488555889</v>
      </c>
      <c r="I321" s="153">
        <f t="shared" si="38"/>
        <v>598.22216419318227</v>
      </c>
      <c r="J321" s="179" t="e">
        <f t="shared" si="36"/>
        <v>#N/A</v>
      </c>
      <c r="M321" s="177"/>
    </row>
    <row r="322" spans="1:13" x14ac:dyDescent="0.2">
      <c r="A322" s="153">
        <v>2027</v>
      </c>
      <c r="B322" s="153">
        <v>9</v>
      </c>
      <c r="C322" s="153" t="str">
        <f t="shared" si="35"/>
        <v>20279</v>
      </c>
      <c r="D322" s="153" t="str">
        <f t="shared" si="37"/>
        <v>Q3</v>
      </c>
      <c r="E322" s="153" t="e">
        <f t="shared" si="38"/>
        <v>#N/A</v>
      </c>
      <c r="F322" s="153" t="e">
        <f t="shared" si="38"/>
        <v>#N/A</v>
      </c>
      <c r="G322" s="153">
        <f t="shared" si="38"/>
        <v>57588.191423894845</v>
      </c>
      <c r="H322" s="153">
        <f t="shared" si="38"/>
        <v>1481.4953488555889</v>
      </c>
      <c r="I322" s="153">
        <f t="shared" si="38"/>
        <v>598.22216419318227</v>
      </c>
      <c r="J322" s="179" t="e">
        <f t="shared" si="36"/>
        <v>#N/A</v>
      </c>
      <c r="M322" s="177"/>
    </row>
    <row r="323" spans="1:13" x14ac:dyDescent="0.2">
      <c r="A323" s="153">
        <v>2027</v>
      </c>
      <c r="B323" s="153">
        <v>10</v>
      </c>
      <c r="C323" s="153" t="str">
        <f t="shared" ref="C323:C386" si="39">A323&amp;B323</f>
        <v>202710</v>
      </c>
      <c r="D323" s="153" t="str">
        <f t="shared" si="37"/>
        <v>Q4</v>
      </c>
      <c r="E323" s="153" t="e">
        <f t="shared" si="38"/>
        <v>#N/A</v>
      </c>
      <c r="F323" s="153" t="e">
        <f t="shared" si="38"/>
        <v>#N/A</v>
      </c>
      <c r="G323" s="153">
        <f t="shared" si="38"/>
        <v>57876.059941927051</v>
      </c>
      <c r="H323" s="153">
        <f t="shared" si="38"/>
        <v>1483.9849116873886</v>
      </c>
      <c r="I323" s="153">
        <f t="shared" si="38"/>
        <v>599.12721202533294</v>
      </c>
      <c r="J323" s="179" t="e">
        <f t="shared" si="36"/>
        <v>#N/A</v>
      </c>
      <c r="M323" s="177"/>
    </row>
    <row r="324" spans="1:13" x14ac:dyDescent="0.2">
      <c r="A324" s="153">
        <v>2027</v>
      </c>
      <c r="B324" s="153">
        <v>11</v>
      </c>
      <c r="C324" s="153" t="str">
        <f t="shared" si="39"/>
        <v>202711</v>
      </c>
      <c r="D324" s="153" t="str">
        <f t="shared" si="37"/>
        <v>Q4</v>
      </c>
      <c r="E324" s="153" t="e">
        <f t="shared" si="38"/>
        <v>#N/A</v>
      </c>
      <c r="F324" s="153" t="e">
        <f t="shared" si="38"/>
        <v>#N/A</v>
      </c>
      <c r="G324" s="153">
        <f t="shared" si="38"/>
        <v>57876.059941927051</v>
      </c>
      <c r="H324" s="153">
        <f t="shared" si="38"/>
        <v>1483.9849116873886</v>
      </c>
      <c r="I324" s="153">
        <f t="shared" si="38"/>
        <v>599.12721202533294</v>
      </c>
      <c r="J324" s="179" t="e">
        <f t="shared" si="36"/>
        <v>#N/A</v>
      </c>
      <c r="M324" s="177"/>
    </row>
    <row r="325" spans="1:13" x14ac:dyDescent="0.2">
      <c r="A325" s="153">
        <v>2027</v>
      </c>
      <c r="B325" s="153">
        <v>12</v>
      </c>
      <c r="C325" s="153" t="str">
        <f t="shared" si="39"/>
        <v>202712</v>
      </c>
      <c r="D325" s="153" t="str">
        <f t="shared" si="37"/>
        <v>Q4</v>
      </c>
      <c r="E325" s="153" t="e">
        <f t="shared" si="38"/>
        <v>#N/A</v>
      </c>
      <c r="F325" s="153" t="e">
        <f t="shared" si="38"/>
        <v>#N/A</v>
      </c>
      <c r="G325" s="153">
        <f t="shared" si="38"/>
        <v>57876.059941927051</v>
      </c>
      <c r="H325" s="153">
        <f t="shared" si="38"/>
        <v>1483.9849116873886</v>
      </c>
      <c r="I325" s="153">
        <f t="shared" si="38"/>
        <v>599.12721202533294</v>
      </c>
      <c r="J325" s="179" t="e">
        <f t="shared" si="36"/>
        <v>#N/A</v>
      </c>
      <c r="M325" s="177"/>
    </row>
    <row r="326" spans="1:13" x14ac:dyDescent="0.2">
      <c r="A326" s="153">
        <v>2028</v>
      </c>
      <c r="B326" s="153">
        <v>1</v>
      </c>
      <c r="C326" s="153" t="str">
        <f t="shared" si="39"/>
        <v>20281</v>
      </c>
      <c r="D326" s="153" t="str">
        <f t="shared" si="37"/>
        <v>Q1</v>
      </c>
      <c r="E326" s="153" t="e">
        <f t="shared" si="38"/>
        <v>#N/A</v>
      </c>
      <c r="F326" s="153" t="e">
        <f t="shared" si="38"/>
        <v>#N/A</v>
      </c>
      <c r="G326" s="153">
        <f t="shared" si="38"/>
        <v>58418.654423987813</v>
      </c>
      <c r="H326" s="153">
        <f t="shared" si="38"/>
        <v>1487.1113560323031</v>
      </c>
      <c r="I326" s="153">
        <f t="shared" si="38"/>
        <v>600.21601911545486</v>
      </c>
      <c r="J326" s="179" t="e">
        <f t="shared" si="36"/>
        <v>#N/A</v>
      </c>
      <c r="M326" s="177"/>
    </row>
    <row r="327" spans="1:13" x14ac:dyDescent="0.2">
      <c r="A327" s="153">
        <v>2028</v>
      </c>
      <c r="B327" s="153">
        <v>2</v>
      </c>
      <c r="C327" s="153" t="str">
        <f t="shared" si="39"/>
        <v>20282</v>
      </c>
      <c r="D327" s="153" t="str">
        <f t="shared" si="37"/>
        <v>Q1</v>
      </c>
      <c r="E327" s="153" t="e">
        <f t="shared" si="38"/>
        <v>#N/A</v>
      </c>
      <c r="F327" s="153" t="e">
        <f t="shared" si="38"/>
        <v>#N/A</v>
      </c>
      <c r="G327" s="153">
        <f t="shared" si="38"/>
        <v>58418.654423987813</v>
      </c>
      <c r="H327" s="153">
        <f t="shared" si="38"/>
        <v>1487.1113560323031</v>
      </c>
      <c r="I327" s="153">
        <f t="shared" si="38"/>
        <v>600.21601911545486</v>
      </c>
      <c r="J327" s="179" t="e">
        <f t="shared" ref="J327:J390" si="40">E327/E315-1</f>
        <v>#N/A</v>
      </c>
      <c r="M327" s="177"/>
    </row>
    <row r="328" spans="1:13" x14ac:dyDescent="0.2">
      <c r="A328" s="153">
        <v>2028</v>
      </c>
      <c r="B328" s="153">
        <v>3</v>
      </c>
      <c r="C328" s="153" t="str">
        <f t="shared" si="39"/>
        <v>20283</v>
      </c>
      <c r="D328" s="153" t="str">
        <f t="shared" si="37"/>
        <v>Q1</v>
      </c>
      <c r="E328" s="153" t="e">
        <f t="shared" si="38"/>
        <v>#N/A</v>
      </c>
      <c r="F328" s="153" t="e">
        <f t="shared" si="38"/>
        <v>#N/A</v>
      </c>
      <c r="G328" s="153">
        <f t="shared" si="38"/>
        <v>58418.654423987813</v>
      </c>
      <c r="H328" s="153">
        <f t="shared" si="38"/>
        <v>1487.1113560323031</v>
      </c>
      <c r="I328" s="153">
        <f t="shared" si="38"/>
        <v>600.21601911545486</v>
      </c>
      <c r="J328" s="179" t="e">
        <f t="shared" si="40"/>
        <v>#N/A</v>
      </c>
      <c r="M328" s="177"/>
    </row>
    <row r="329" spans="1:13" x14ac:dyDescent="0.2">
      <c r="A329" s="153">
        <v>2028</v>
      </c>
      <c r="B329" s="153">
        <v>4</v>
      </c>
      <c r="C329" s="153" t="str">
        <f t="shared" si="39"/>
        <v>20284</v>
      </c>
      <c r="D329" s="153" t="str">
        <f t="shared" si="37"/>
        <v>Q2</v>
      </c>
      <c r="E329" s="153" t="e">
        <f t="shared" si="38"/>
        <v>#N/A</v>
      </c>
      <c r="F329" s="153" t="e">
        <f t="shared" si="38"/>
        <v>#N/A</v>
      </c>
      <c r="G329" s="153">
        <f t="shared" si="38"/>
        <v>58713.8376022312</v>
      </c>
      <c r="H329" s="153">
        <f t="shared" si="38"/>
        <v>1490.2081646802681</v>
      </c>
      <c r="I329" s="153">
        <f t="shared" si="38"/>
        <v>601.32505611233148</v>
      </c>
      <c r="J329" s="179" t="e">
        <f t="shared" si="40"/>
        <v>#N/A</v>
      </c>
      <c r="M329" s="177"/>
    </row>
    <row r="330" spans="1:13" x14ac:dyDescent="0.2">
      <c r="A330" s="153">
        <v>2028</v>
      </c>
      <c r="B330" s="153">
        <v>5</v>
      </c>
      <c r="C330" s="153" t="str">
        <f t="shared" si="39"/>
        <v>20285</v>
      </c>
      <c r="D330" s="153" t="str">
        <f t="shared" si="37"/>
        <v>Q2</v>
      </c>
      <c r="E330" s="153" t="e">
        <f t="shared" si="38"/>
        <v>#N/A</v>
      </c>
      <c r="F330" s="153" t="e">
        <f t="shared" si="38"/>
        <v>#N/A</v>
      </c>
      <c r="G330" s="153">
        <f t="shared" si="38"/>
        <v>58713.8376022312</v>
      </c>
      <c r="H330" s="153">
        <f t="shared" si="38"/>
        <v>1490.2081646802681</v>
      </c>
      <c r="I330" s="153">
        <f t="shared" si="38"/>
        <v>601.32505611233148</v>
      </c>
      <c r="J330" s="179" t="e">
        <f t="shared" si="40"/>
        <v>#N/A</v>
      </c>
      <c r="M330" s="177"/>
    </row>
    <row r="331" spans="1:13" x14ac:dyDescent="0.2">
      <c r="A331" s="153">
        <v>2028</v>
      </c>
      <c r="B331" s="153">
        <v>6</v>
      </c>
      <c r="C331" s="153" t="str">
        <f t="shared" si="39"/>
        <v>20286</v>
      </c>
      <c r="D331" s="153" t="str">
        <f t="shared" si="37"/>
        <v>Q2</v>
      </c>
      <c r="E331" s="153" t="e">
        <f t="shared" si="38"/>
        <v>#N/A</v>
      </c>
      <c r="F331" s="153" t="e">
        <f t="shared" si="38"/>
        <v>#N/A</v>
      </c>
      <c r="G331" s="153">
        <f t="shared" si="38"/>
        <v>58713.8376022312</v>
      </c>
      <c r="H331" s="153">
        <f t="shared" si="38"/>
        <v>1490.2081646802681</v>
      </c>
      <c r="I331" s="153">
        <f t="shared" si="38"/>
        <v>601.32505611233148</v>
      </c>
      <c r="J331" s="179" t="e">
        <f t="shared" si="40"/>
        <v>#N/A</v>
      </c>
      <c r="M331" s="177"/>
    </row>
    <row r="332" spans="1:13" x14ac:dyDescent="0.2">
      <c r="A332" s="153">
        <v>2028</v>
      </c>
      <c r="B332" s="153">
        <v>7</v>
      </c>
      <c r="C332" s="153" t="str">
        <f t="shared" si="39"/>
        <v>20287</v>
      </c>
      <c r="D332" s="153" t="str">
        <f t="shared" si="37"/>
        <v>Q3</v>
      </c>
      <c r="E332" s="153" t="e">
        <f t="shared" si="38"/>
        <v>#N/A</v>
      </c>
      <c r="F332" s="153" t="e">
        <f t="shared" si="38"/>
        <v>#N/A</v>
      </c>
      <c r="G332" s="153">
        <f t="shared" si="38"/>
        <v>59006.505698010005</v>
      </c>
      <c r="H332" s="153">
        <f t="shared" si="38"/>
        <v>1493.2999206794384</v>
      </c>
      <c r="I332" s="153">
        <f t="shared" si="38"/>
        <v>602.42908481717632</v>
      </c>
      <c r="J332" s="179" t="e">
        <f t="shared" si="40"/>
        <v>#N/A</v>
      </c>
      <c r="M332" s="177"/>
    </row>
    <row r="333" spans="1:13" x14ac:dyDescent="0.2">
      <c r="A333" s="153">
        <v>2028</v>
      </c>
      <c r="B333" s="153">
        <v>8</v>
      </c>
      <c r="C333" s="153" t="str">
        <f t="shared" si="39"/>
        <v>20288</v>
      </c>
      <c r="D333" s="153" t="str">
        <f t="shared" si="37"/>
        <v>Q3</v>
      </c>
      <c r="E333" s="153" t="e">
        <f t="shared" si="38"/>
        <v>#N/A</v>
      </c>
      <c r="F333" s="153" t="e">
        <f t="shared" si="38"/>
        <v>#N/A</v>
      </c>
      <c r="G333" s="153">
        <f t="shared" si="38"/>
        <v>59006.505698010005</v>
      </c>
      <c r="H333" s="153">
        <f t="shared" si="38"/>
        <v>1493.2999206794384</v>
      </c>
      <c r="I333" s="153">
        <f t="shared" si="38"/>
        <v>602.42908481717632</v>
      </c>
      <c r="J333" s="179" t="e">
        <f t="shared" si="40"/>
        <v>#N/A</v>
      </c>
      <c r="M333" s="177"/>
    </row>
    <row r="334" spans="1:13" x14ac:dyDescent="0.2">
      <c r="A334" s="153">
        <v>2028</v>
      </c>
      <c r="B334" s="153">
        <v>9</v>
      </c>
      <c r="C334" s="153" t="str">
        <f t="shared" si="39"/>
        <v>20289</v>
      </c>
      <c r="D334" s="153" t="str">
        <f t="shared" si="37"/>
        <v>Q3</v>
      </c>
      <c r="E334" s="153" t="e">
        <f t="shared" si="38"/>
        <v>#N/A</v>
      </c>
      <c r="F334" s="153" t="e">
        <f t="shared" si="38"/>
        <v>#N/A</v>
      </c>
      <c r="G334" s="153">
        <f t="shared" si="38"/>
        <v>59006.505698010005</v>
      </c>
      <c r="H334" s="153">
        <f t="shared" si="38"/>
        <v>1493.2999206794384</v>
      </c>
      <c r="I334" s="153">
        <f t="shared" si="38"/>
        <v>602.42908481717632</v>
      </c>
      <c r="J334" s="179" t="e">
        <f t="shared" si="40"/>
        <v>#N/A</v>
      </c>
      <c r="M334" s="177"/>
    </row>
    <row r="335" spans="1:13" x14ac:dyDescent="0.2">
      <c r="A335" s="153">
        <v>2028</v>
      </c>
      <c r="B335" s="153">
        <v>10</v>
      </c>
      <c r="C335" s="153" t="str">
        <f t="shared" si="39"/>
        <v>202810</v>
      </c>
      <c r="D335" s="153" t="str">
        <f t="shared" ref="D335:D398" si="41">D323</f>
        <v>Q4</v>
      </c>
      <c r="E335" s="153" t="e">
        <f t="shared" si="38"/>
        <v>#N/A</v>
      </c>
      <c r="F335" s="153" t="e">
        <f t="shared" si="38"/>
        <v>#N/A</v>
      </c>
      <c r="G335" s="153">
        <f t="shared" si="38"/>
        <v>59266.994694104913</v>
      </c>
      <c r="H335" s="153">
        <f t="shared" si="38"/>
        <v>1496.411470119825</v>
      </c>
      <c r="I335" s="153">
        <f t="shared" si="38"/>
        <v>603.77402706422311</v>
      </c>
      <c r="J335" s="179" t="e">
        <f t="shared" si="40"/>
        <v>#N/A</v>
      </c>
      <c r="M335" s="177"/>
    </row>
    <row r="336" spans="1:13" x14ac:dyDescent="0.2">
      <c r="A336" s="153">
        <v>2028</v>
      </c>
      <c r="B336" s="153">
        <v>11</v>
      </c>
      <c r="C336" s="153" t="str">
        <f t="shared" si="39"/>
        <v>202811</v>
      </c>
      <c r="D336" s="153" t="str">
        <f t="shared" si="41"/>
        <v>Q4</v>
      </c>
      <c r="E336" s="153" t="e">
        <f t="shared" si="38"/>
        <v>#N/A</v>
      </c>
      <c r="F336" s="153" t="e">
        <f t="shared" si="38"/>
        <v>#N/A</v>
      </c>
      <c r="G336" s="153">
        <f t="shared" si="38"/>
        <v>59266.994694104913</v>
      </c>
      <c r="H336" s="153">
        <f t="shared" si="38"/>
        <v>1496.411470119825</v>
      </c>
      <c r="I336" s="153">
        <f t="shared" si="38"/>
        <v>603.77402706422311</v>
      </c>
      <c r="J336" s="179" t="e">
        <f t="shared" si="40"/>
        <v>#N/A</v>
      </c>
      <c r="M336" s="177"/>
    </row>
    <row r="337" spans="1:13" x14ac:dyDescent="0.2">
      <c r="A337" s="153">
        <v>2028</v>
      </c>
      <c r="B337" s="153">
        <v>12</v>
      </c>
      <c r="C337" s="153" t="str">
        <f t="shared" si="39"/>
        <v>202812</v>
      </c>
      <c r="D337" s="153" t="str">
        <f t="shared" si="41"/>
        <v>Q4</v>
      </c>
      <c r="E337" s="153" t="e">
        <f t="shared" si="38"/>
        <v>#N/A</v>
      </c>
      <c r="F337" s="153" t="e">
        <f t="shared" si="38"/>
        <v>#N/A</v>
      </c>
      <c r="G337" s="153">
        <f t="shared" si="38"/>
        <v>59266.994694104913</v>
      </c>
      <c r="H337" s="153">
        <f t="shared" si="38"/>
        <v>1496.411470119825</v>
      </c>
      <c r="I337" s="153">
        <f t="shared" si="38"/>
        <v>603.77402706422311</v>
      </c>
      <c r="J337" s="179" t="e">
        <f t="shared" si="40"/>
        <v>#N/A</v>
      </c>
      <c r="M337" s="177"/>
    </row>
    <row r="338" spans="1:13" x14ac:dyDescent="0.2">
      <c r="A338" s="153">
        <v>2029</v>
      </c>
      <c r="B338" s="153">
        <v>1</v>
      </c>
      <c r="C338" s="153" t="str">
        <f t="shared" si="39"/>
        <v>20291</v>
      </c>
      <c r="D338" s="153" t="str">
        <f t="shared" si="41"/>
        <v>Q1</v>
      </c>
      <c r="E338" s="153" t="e">
        <f t="shared" si="38"/>
        <v>#N/A</v>
      </c>
      <c r="F338" s="153" t="e">
        <f t="shared" si="38"/>
        <v>#N/A</v>
      </c>
      <c r="G338" s="153">
        <f t="shared" si="38"/>
        <v>59877.087698330462</v>
      </c>
      <c r="H338" s="153">
        <f t="shared" si="38"/>
        <v>1498.8940832056842</v>
      </c>
      <c r="I338" s="153">
        <f t="shared" si="38"/>
        <v>604.87579551826514</v>
      </c>
      <c r="J338" s="179" t="e">
        <f t="shared" si="40"/>
        <v>#N/A</v>
      </c>
      <c r="M338" s="177"/>
    </row>
    <row r="339" spans="1:13" x14ac:dyDescent="0.2">
      <c r="A339" s="153">
        <v>2029</v>
      </c>
      <c r="B339" s="153">
        <v>2</v>
      </c>
      <c r="C339" s="153" t="str">
        <f t="shared" si="39"/>
        <v>20292</v>
      </c>
      <c r="D339" s="153" t="str">
        <f t="shared" si="41"/>
        <v>Q1</v>
      </c>
      <c r="E339" s="153" t="e">
        <f t="shared" si="38"/>
        <v>#N/A</v>
      </c>
      <c r="F339" s="153" t="e">
        <f t="shared" si="38"/>
        <v>#N/A</v>
      </c>
      <c r="G339" s="153">
        <f t="shared" si="38"/>
        <v>59877.087698330462</v>
      </c>
      <c r="H339" s="153">
        <f t="shared" si="38"/>
        <v>1498.8940832056842</v>
      </c>
      <c r="I339" s="153">
        <f t="shared" si="38"/>
        <v>604.87579551826514</v>
      </c>
      <c r="J339" s="179" t="e">
        <f t="shared" si="40"/>
        <v>#N/A</v>
      </c>
      <c r="M339" s="177"/>
    </row>
    <row r="340" spans="1:13" x14ac:dyDescent="0.2">
      <c r="A340" s="153">
        <v>2029</v>
      </c>
      <c r="B340" s="153">
        <v>3</v>
      </c>
      <c r="C340" s="153" t="str">
        <f t="shared" si="39"/>
        <v>20293</v>
      </c>
      <c r="D340" s="153" t="str">
        <f t="shared" si="41"/>
        <v>Q1</v>
      </c>
      <c r="E340" s="153" t="e">
        <f t="shared" si="38"/>
        <v>#N/A</v>
      </c>
      <c r="F340" s="153" t="e">
        <f t="shared" si="38"/>
        <v>#N/A</v>
      </c>
      <c r="G340" s="153">
        <f t="shared" si="38"/>
        <v>59877.087698330462</v>
      </c>
      <c r="H340" s="153">
        <f t="shared" si="38"/>
        <v>1498.8940832056842</v>
      </c>
      <c r="I340" s="153">
        <f t="shared" si="38"/>
        <v>604.87579551826514</v>
      </c>
      <c r="J340" s="179" t="e">
        <f t="shared" si="40"/>
        <v>#N/A</v>
      </c>
      <c r="M340" s="177"/>
    </row>
    <row r="341" spans="1:13" x14ac:dyDescent="0.2">
      <c r="A341" s="153">
        <v>2029</v>
      </c>
      <c r="B341" s="153">
        <v>4</v>
      </c>
      <c r="C341" s="153" t="str">
        <f t="shared" si="39"/>
        <v>20294</v>
      </c>
      <c r="D341" s="153" t="str">
        <f t="shared" si="41"/>
        <v>Q2</v>
      </c>
      <c r="E341" s="153" t="e">
        <f t="shared" si="38"/>
        <v>#N/A</v>
      </c>
      <c r="F341" s="153" t="e">
        <f t="shared" si="38"/>
        <v>#N/A</v>
      </c>
      <c r="G341" s="153">
        <f t="shared" si="38"/>
        <v>60277.737576157888</v>
      </c>
      <c r="H341" s="153">
        <f t="shared" si="38"/>
        <v>1501.9716137818423</v>
      </c>
      <c r="I341" s="153">
        <f t="shared" si="38"/>
        <v>606.2176949165962</v>
      </c>
      <c r="J341" s="179" t="e">
        <f t="shared" si="40"/>
        <v>#N/A</v>
      </c>
      <c r="M341" s="177"/>
    </row>
    <row r="342" spans="1:13" x14ac:dyDescent="0.2">
      <c r="A342" s="153">
        <v>2029</v>
      </c>
      <c r="B342" s="153">
        <v>5</v>
      </c>
      <c r="C342" s="153" t="str">
        <f t="shared" si="39"/>
        <v>20295</v>
      </c>
      <c r="D342" s="153" t="str">
        <f t="shared" si="41"/>
        <v>Q2</v>
      </c>
      <c r="E342" s="153" t="e">
        <f t="shared" si="38"/>
        <v>#N/A</v>
      </c>
      <c r="F342" s="153" t="e">
        <f t="shared" si="38"/>
        <v>#N/A</v>
      </c>
      <c r="G342" s="153">
        <f t="shared" si="38"/>
        <v>60277.737576157888</v>
      </c>
      <c r="H342" s="153">
        <f t="shared" si="38"/>
        <v>1501.9716137818423</v>
      </c>
      <c r="I342" s="153">
        <f t="shared" si="38"/>
        <v>606.2176949165962</v>
      </c>
      <c r="J342" s="179" t="e">
        <f t="shared" si="40"/>
        <v>#N/A</v>
      </c>
      <c r="M342" s="177"/>
    </row>
    <row r="343" spans="1:13" x14ac:dyDescent="0.2">
      <c r="A343" s="153">
        <v>2029</v>
      </c>
      <c r="B343" s="153">
        <v>6</v>
      </c>
      <c r="C343" s="153" t="str">
        <f t="shared" si="39"/>
        <v>20296</v>
      </c>
      <c r="D343" s="153" t="str">
        <f t="shared" si="41"/>
        <v>Q2</v>
      </c>
      <c r="E343" s="153" t="e">
        <f t="shared" si="38"/>
        <v>#N/A</v>
      </c>
      <c r="F343" s="153" t="e">
        <f t="shared" si="38"/>
        <v>#N/A</v>
      </c>
      <c r="G343" s="153">
        <f t="shared" si="38"/>
        <v>60277.737576157888</v>
      </c>
      <c r="H343" s="153">
        <f t="shared" si="38"/>
        <v>1501.9716137818423</v>
      </c>
      <c r="I343" s="153">
        <f t="shared" si="38"/>
        <v>606.2176949165962</v>
      </c>
      <c r="J343" s="179" t="e">
        <f t="shared" si="40"/>
        <v>#N/A</v>
      </c>
      <c r="M343" s="177"/>
    </row>
    <row r="344" spans="1:13" x14ac:dyDescent="0.2">
      <c r="A344" s="153">
        <v>2029</v>
      </c>
      <c r="B344" s="153">
        <v>7</v>
      </c>
      <c r="C344" s="153" t="str">
        <f t="shared" si="39"/>
        <v>20297</v>
      </c>
      <c r="D344" s="153" t="str">
        <f t="shared" si="41"/>
        <v>Q3</v>
      </c>
      <c r="E344" s="153" t="e">
        <f t="shared" si="38"/>
        <v>#N/A</v>
      </c>
      <c r="F344" s="153" t="e">
        <f t="shared" si="38"/>
        <v>#N/A</v>
      </c>
      <c r="G344" s="153">
        <f t="shared" si="38"/>
        <v>60511.781745148182</v>
      </c>
      <c r="H344" s="153">
        <f t="shared" si="38"/>
        <v>1505.0383744277997</v>
      </c>
      <c r="I344" s="153">
        <f t="shared" si="38"/>
        <v>607.55440562869467</v>
      </c>
      <c r="J344" s="179" t="e">
        <f t="shared" si="40"/>
        <v>#N/A</v>
      </c>
      <c r="M344" s="177"/>
    </row>
    <row r="345" spans="1:13" x14ac:dyDescent="0.2">
      <c r="A345" s="153">
        <v>2029</v>
      </c>
      <c r="B345" s="153">
        <v>8</v>
      </c>
      <c r="C345" s="153" t="str">
        <f t="shared" si="39"/>
        <v>20298</v>
      </c>
      <c r="D345" s="153" t="str">
        <f t="shared" si="41"/>
        <v>Q3</v>
      </c>
      <c r="E345" s="153" t="e">
        <f t="shared" si="38"/>
        <v>#N/A</v>
      </c>
      <c r="F345" s="153" t="e">
        <f t="shared" si="38"/>
        <v>#N/A</v>
      </c>
      <c r="G345" s="153">
        <f t="shared" si="38"/>
        <v>60511.781745148182</v>
      </c>
      <c r="H345" s="153">
        <f t="shared" si="38"/>
        <v>1505.0383744277997</v>
      </c>
      <c r="I345" s="153">
        <f t="shared" si="38"/>
        <v>607.55440562869467</v>
      </c>
      <c r="J345" s="179" t="e">
        <f t="shared" si="40"/>
        <v>#N/A</v>
      </c>
      <c r="M345" s="177"/>
    </row>
    <row r="346" spans="1:13" x14ac:dyDescent="0.2">
      <c r="A346" s="153">
        <v>2029</v>
      </c>
      <c r="B346" s="153">
        <v>9</v>
      </c>
      <c r="C346" s="153" t="str">
        <f t="shared" si="39"/>
        <v>20299</v>
      </c>
      <c r="D346" s="153" t="str">
        <f t="shared" si="41"/>
        <v>Q3</v>
      </c>
      <c r="E346" s="153" t="e">
        <f t="shared" si="38"/>
        <v>#N/A</v>
      </c>
      <c r="F346" s="153" t="e">
        <f t="shared" si="38"/>
        <v>#N/A</v>
      </c>
      <c r="G346" s="153">
        <f t="shared" si="38"/>
        <v>60511.781745148182</v>
      </c>
      <c r="H346" s="153">
        <f t="shared" si="38"/>
        <v>1505.0383744277997</v>
      </c>
      <c r="I346" s="153">
        <f t="shared" si="38"/>
        <v>607.55440562869467</v>
      </c>
      <c r="J346" s="179" t="e">
        <f t="shared" si="40"/>
        <v>#N/A</v>
      </c>
      <c r="M346" s="177"/>
    </row>
    <row r="347" spans="1:13" x14ac:dyDescent="0.2">
      <c r="A347" s="153">
        <v>2029</v>
      </c>
      <c r="B347" s="153">
        <v>10</v>
      </c>
      <c r="C347" s="153" t="str">
        <f t="shared" si="39"/>
        <v>202910</v>
      </c>
      <c r="D347" s="153" t="str">
        <f t="shared" si="41"/>
        <v>Q4</v>
      </c>
      <c r="E347" s="153" t="e">
        <f t="shared" si="38"/>
        <v>#N/A</v>
      </c>
      <c r="F347" s="153" t="e">
        <f t="shared" si="38"/>
        <v>#N/A</v>
      </c>
      <c r="G347" s="153">
        <f t="shared" si="38"/>
        <v>60805.872480766535</v>
      </c>
      <c r="H347" s="153">
        <f t="shared" si="38"/>
        <v>1508.0969329650397</v>
      </c>
      <c r="I347" s="153">
        <f t="shared" si="38"/>
        <v>608.86789054647124</v>
      </c>
      <c r="J347" s="179" t="e">
        <f t="shared" si="40"/>
        <v>#N/A</v>
      </c>
      <c r="M347" s="177"/>
    </row>
    <row r="348" spans="1:13" x14ac:dyDescent="0.2">
      <c r="A348" s="153">
        <v>2029</v>
      </c>
      <c r="B348" s="153">
        <v>11</v>
      </c>
      <c r="C348" s="153" t="str">
        <f t="shared" si="39"/>
        <v>202911</v>
      </c>
      <c r="D348" s="153" t="str">
        <f t="shared" si="41"/>
        <v>Q4</v>
      </c>
      <c r="E348" s="153" t="e">
        <f t="shared" si="38"/>
        <v>#N/A</v>
      </c>
      <c r="F348" s="153" t="e">
        <f t="shared" si="38"/>
        <v>#N/A</v>
      </c>
      <c r="G348" s="153">
        <f t="shared" si="38"/>
        <v>60805.872480766535</v>
      </c>
      <c r="H348" s="153">
        <f t="shared" si="38"/>
        <v>1508.0969329650397</v>
      </c>
      <c r="I348" s="153">
        <f t="shared" si="38"/>
        <v>608.86789054647124</v>
      </c>
      <c r="J348" s="179" t="e">
        <f t="shared" si="40"/>
        <v>#N/A</v>
      </c>
      <c r="M348" s="177"/>
    </row>
    <row r="349" spans="1:13" x14ac:dyDescent="0.2">
      <c r="A349" s="153">
        <v>2029</v>
      </c>
      <c r="B349" s="153">
        <v>12</v>
      </c>
      <c r="C349" s="153" t="str">
        <f t="shared" si="39"/>
        <v>202912</v>
      </c>
      <c r="D349" s="153" t="str">
        <f t="shared" si="41"/>
        <v>Q4</v>
      </c>
      <c r="E349" s="153" t="e">
        <f t="shared" si="38"/>
        <v>#N/A</v>
      </c>
      <c r="F349" s="153" t="e">
        <f t="shared" si="38"/>
        <v>#N/A</v>
      </c>
      <c r="G349" s="153">
        <f t="shared" si="38"/>
        <v>60805.872480766535</v>
      </c>
      <c r="H349" s="153">
        <f t="shared" si="38"/>
        <v>1508.0969329650397</v>
      </c>
      <c r="I349" s="153">
        <f t="shared" si="38"/>
        <v>608.86789054647124</v>
      </c>
      <c r="J349" s="179" t="e">
        <f t="shared" si="40"/>
        <v>#N/A</v>
      </c>
      <c r="M349" s="177"/>
    </row>
    <row r="350" spans="1:13" x14ac:dyDescent="0.2">
      <c r="A350" s="153">
        <v>2030</v>
      </c>
      <c r="B350" s="153">
        <v>1</v>
      </c>
      <c r="C350" s="153" t="str">
        <f t="shared" si="39"/>
        <v>20301</v>
      </c>
      <c r="D350" s="153" t="str">
        <f t="shared" si="41"/>
        <v>Q1</v>
      </c>
      <c r="E350" s="153" t="e">
        <f t="shared" si="38"/>
        <v>#N/A</v>
      </c>
      <c r="F350" s="153" t="e">
        <f t="shared" si="38"/>
        <v>#N/A</v>
      </c>
      <c r="G350" s="153">
        <f t="shared" si="38"/>
        <v>61466.666126746961</v>
      </c>
      <c r="H350" s="153">
        <f t="shared" si="38"/>
        <v>1511.1514067649505</v>
      </c>
      <c r="I350" s="153">
        <f t="shared" si="38"/>
        <v>610.18524311972146</v>
      </c>
      <c r="J350" s="179" t="e">
        <f t="shared" si="40"/>
        <v>#N/A</v>
      </c>
      <c r="M350" s="177"/>
    </row>
    <row r="351" spans="1:13" x14ac:dyDescent="0.2">
      <c r="A351" s="153">
        <v>2030</v>
      </c>
      <c r="B351" s="153">
        <v>2</v>
      </c>
      <c r="C351" s="153" t="str">
        <f t="shared" si="39"/>
        <v>20302</v>
      </c>
      <c r="D351" s="153" t="str">
        <f t="shared" si="41"/>
        <v>Q1</v>
      </c>
      <c r="E351" s="153" t="e">
        <f t="shared" si="38"/>
        <v>#N/A</v>
      </c>
      <c r="F351" s="153" t="e">
        <f t="shared" si="38"/>
        <v>#N/A</v>
      </c>
      <c r="G351" s="153">
        <f t="shared" si="38"/>
        <v>61466.666126746961</v>
      </c>
      <c r="H351" s="153">
        <f t="shared" si="38"/>
        <v>1511.1514067649505</v>
      </c>
      <c r="I351" s="153">
        <f t="shared" si="38"/>
        <v>610.18524311972146</v>
      </c>
      <c r="J351" s="179" t="e">
        <f t="shared" si="40"/>
        <v>#N/A</v>
      </c>
      <c r="M351" s="177"/>
    </row>
    <row r="352" spans="1:13" x14ac:dyDescent="0.2">
      <c r="A352" s="153">
        <v>2030</v>
      </c>
      <c r="B352" s="153">
        <v>3</v>
      </c>
      <c r="C352" s="153" t="str">
        <f t="shared" si="39"/>
        <v>20303</v>
      </c>
      <c r="D352" s="153" t="str">
        <f t="shared" si="41"/>
        <v>Q1</v>
      </c>
      <c r="E352" s="153" t="e">
        <f t="shared" si="38"/>
        <v>#N/A</v>
      </c>
      <c r="F352" s="153" t="e">
        <f t="shared" si="38"/>
        <v>#N/A</v>
      </c>
      <c r="G352" s="153">
        <f t="shared" si="38"/>
        <v>61466.666126746961</v>
      </c>
      <c r="H352" s="153">
        <f t="shared" si="38"/>
        <v>1511.1514067649505</v>
      </c>
      <c r="I352" s="153">
        <f t="shared" si="38"/>
        <v>610.18524311972146</v>
      </c>
      <c r="J352" s="179" t="e">
        <f t="shared" si="40"/>
        <v>#N/A</v>
      </c>
      <c r="M352" s="177"/>
    </row>
    <row r="353" spans="1:13" x14ac:dyDescent="0.2">
      <c r="A353" s="153">
        <v>2030</v>
      </c>
      <c r="B353" s="153">
        <v>4</v>
      </c>
      <c r="C353" s="153" t="str">
        <f t="shared" si="39"/>
        <v>20304</v>
      </c>
      <c r="D353" s="153" t="str">
        <f t="shared" si="41"/>
        <v>Q2</v>
      </c>
      <c r="E353" s="153" t="e">
        <f t="shared" si="38"/>
        <v>#N/A</v>
      </c>
      <c r="F353" s="153" t="e">
        <f t="shared" si="38"/>
        <v>#N/A</v>
      </c>
      <c r="G353" s="153">
        <f t="shared" si="38"/>
        <v>61814.830377760452</v>
      </c>
      <c r="H353" s="153">
        <f t="shared" si="38"/>
        <v>1513.6282170670941</v>
      </c>
      <c r="I353" s="153">
        <f t="shared" si="38"/>
        <v>611.3547516287606</v>
      </c>
      <c r="J353" s="179" t="e">
        <f t="shared" si="40"/>
        <v>#N/A</v>
      </c>
      <c r="M353" s="177"/>
    </row>
    <row r="354" spans="1:13" x14ac:dyDescent="0.2">
      <c r="A354" s="153">
        <v>2030</v>
      </c>
      <c r="B354" s="153">
        <v>5</v>
      </c>
      <c r="C354" s="153" t="str">
        <f t="shared" si="39"/>
        <v>20305</v>
      </c>
      <c r="D354" s="153" t="str">
        <f t="shared" si="41"/>
        <v>Q2</v>
      </c>
      <c r="E354" s="153" t="e">
        <f t="shared" ref="E354:I404" si="42">VLOOKUP($A354&amp;$D354,$O$1:$U$169,MATCH(E$1,$O$1:$U$1,0),0)</f>
        <v>#N/A</v>
      </c>
      <c r="F354" s="153" t="e">
        <f t="shared" si="42"/>
        <v>#N/A</v>
      </c>
      <c r="G354" s="153">
        <f t="shared" si="42"/>
        <v>61814.830377760452</v>
      </c>
      <c r="H354" s="153">
        <f t="shared" si="42"/>
        <v>1513.6282170670941</v>
      </c>
      <c r="I354" s="153">
        <f t="shared" si="42"/>
        <v>611.3547516287606</v>
      </c>
      <c r="J354" s="179" t="e">
        <f t="shared" si="40"/>
        <v>#N/A</v>
      </c>
      <c r="M354" s="177"/>
    </row>
    <row r="355" spans="1:13" x14ac:dyDescent="0.2">
      <c r="A355" s="153">
        <v>2030</v>
      </c>
      <c r="B355" s="153">
        <v>6</v>
      </c>
      <c r="C355" s="153" t="str">
        <f t="shared" si="39"/>
        <v>20306</v>
      </c>
      <c r="D355" s="153" t="str">
        <f t="shared" si="41"/>
        <v>Q2</v>
      </c>
      <c r="E355" s="153" t="e">
        <f t="shared" si="42"/>
        <v>#N/A</v>
      </c>
      <c r="F355" s="153" t="e">
        <f t="shared" si="42"/>
        <v>#N/A</v>
      </c>
      <c r="G355" s="153">
        <f t="shared" si="42"/>
        <v>61814.830377760452</v>
      </c>
      <c r="H355" s="153">
        <f t="shared" si="42"/>
        <v>1513.6282170670941</v>
      </c>
      <c r="I355" s="153">
        <f t="shared" si="42"/>
        <v>611.3547516287606</v>
      </c>
      <c r="J355" s="179" t="e">
        <f t="shared" si="40"/>
        <v>#N/A</v>
      </c>
      <c r="M355" s="177"/>
    </row>
    <row r="356" spans="1:13" x14ac:dyDescent="0.2">
      <c r="A356" s="153">
        <v>2030</v>
      </c>
      <c r="B356" s="153">
        <v>7</v>
      </c>
      <c r="C356" s="153" t="str">
        <f t="shared" si="39"/>
        <v>20307</v>
      </c>
      <c r="D356" s="153" t="str">
        <f t="shared" si="41"/>
        <v>Q3</v>
      </c>
      <c r="E356" s="153" t="e">
        <f t="shared" si="42"/>
        <v>#N/A</v>
      </c>
      <c r="F356" s="153" t="e">
        <f t="shared" si="42"/>
        <v>#N/A</v>
      </c>
      <c r="G356" s="153">
        <f t="shared" si="42"/>
        <v>62118.659604022723</v>
      </c>
      <c r="H356" s="153">
        <f t="shared" si="42"/>
        <v>1516.6646655985724</v>
      </c>
      <c r="I356" s="153">
        <f t="shared" si="42"/>
        <v>612.70205142698967</v>
      </c>
      <c r="J356" s="179" t="e">
        <f t="shared" si="40"/>
        <v>#N/A</v>
      </c>
      <c r="M356" s="177"/>
    </row>
    <row r="357" spans="1:13" x14ac:dyDescent="0.2">
      <c r="A357" s="153">
        <v>2030</v>
      </c>
      <c r="B357" s="153">
        <v>8</v>
      </c>
      <c r="C357" s="153" t="str">
        <f t="shared" si="39"/>
        <v>20308</v>
      </c>
      <c r="D357" s="153" t="str">
        <f t="shared" si="41"/>
        <v>Q3</v>
      </c>
      <c r="E357" s="153" t="e">
        <f t="shared" si="42"/>
        <v>#N/A</v>
      </c>
      <c r="F357" s="153" t="e">
        <f t="shared" si="42"/>
        <v>#N/A</v>
      </c>
      <c r="G357" s="153">
        <f t="shared" si="42"/>
        <v>62118.659604022723</v>
      </c>
      <c r="H357" s="153">
        <f t="shared" si="42"/>
        <v>1516.6646655985724</v>
      </c>
      <c r="I357" s="153">
        <f t="shared" si="42"/>
        <v>612.70205142698967</v>
      </c>
      <c r="J357" s="179" t="e">
        <f t="shared" si="40"/>
        <v>#N/A</v>
      </c>
      <c r="M357" s="177"/>
    </row>
    <row r="358" spans="1:13" x14ac:dyDescent="0.2">
      <c r="A358" s="153">
        <v>2030</v>
      </c>
      <c r="B358" s="153">
        <v>9</v>
      </c>
      <c r="C358" s="153" t="str">
        <f t="shared" si="39"/>
        <v>20309</v>
      </c>
      <c r="D358" s="153" t="str">
        <f t="shared" si="41"/>
        <v>Q3</v>
      </c>
      <c r="E358" s="153" t="e">
        <f t="shared" si="42"/>
        <v>#N/A</v>
      </c>
      <c r="F358" s="153" t="e">
        <f t="shared" si="42"/>
        <v>#N/A</v>
      </c>
      <c r="G358" s="153">
        <f t="shared" si="42"/>
        <v>62118.659604022723</v>
      </c>
      <c r="H358" s="153">
        <f t="shared" si="42"/>
        <v>1516.6646655985724</v>
      </c>
      <c r="I358" s="153">
        <f t="shared" si="42"/>
        <v>612.70205142698967</v>
      </c>
      <c r="J358" s="179" t="e">
        <f t="shared" si="40"/>
        <v>#N/A</v>
      </c>
      <c r="M358" s="177"/>
    </row>
    <row r="359" spans="1:13" x14ac:dyDescent="0.2">
      <c r="A359" s="153">
        <v>2030</v>
      </c>
      <c r="B359" s="153">
        <v>10</v>
      </c>
      <c r="C359" s="153" t="str">
        <f t="shared" si="39"/>
        <v>203010</v>
      </c>
      <c r="D359" s="153" t="str">
        <f t="shared" si="41"/>
        <v>Q4</v>
      </c>
      <c r="E359" s="153" t="e">
        <f t="shared" si="42"/>
        <v>#N/A</v>
      </c>
      <c r="F359" s="153" t="e">
        <f t="shared" si="42"/>
        <v>#N/A</v>
      </c>
      <c r="G359" s="153">
        <f t="shared" si="42"/>
        <v>62422.456993532964</v>
      </c>
      <c r="H359" s="153">
        <f t="shared" si="42"/>
        <v>1519.6893055405494</v>
      </c>
      <c r="I359" s="153">
        <f t="shared" si="42"/>
        <v>614.03698657838606</v>
      </c>
      <c r="J359" s="179" t="e">
        <f t="shared" si="40"/>
        <v>#N/A</v>
      </c>
      <c r="M359" s="177"/>
    </row>
    <row r="360" spans="1:13" x14ac:dyDescent="0.2">
      <c r="A360" s="153">
        <v>2030</v>
      </c>
      <c r="B360" s="153">
        <v>11</v>
      </c>
      <c r="C360" s="153" t="str">
        <f t="shared" si="39"/>
        <v>203011</v>
      </c>
      <c r="D360" s="153" t="str">
        <f t="shared" si="41"/>
        <v>Q4</v>
      </c>
      <c r="E360" s="153" t="e">
        <f t="shared" si="42"/>
        <v>#N/A</v>
      </c>
      <c r="F360" s="153" t="e">
        <f t="shared" si="42"/>
        <v>#N/A</v>
      </c>
      <c r="G360" s="153">
        <f t="shared" si="42"/>
        <v>62422.456993532964</v>
      </c>
      <c r="H360" s="153">
        <f t="shared" si="42"/>
        <v>1519.6893055405494</v>
      </c>
      <c r="I360" s="153">
        <f t="shared" si="42"/>
        <v>614.03698657838606</v>
      </c>
      <c r="J360" s="179" t="e">
        <f t="shared" si="40"/>
        <v>#N/A</v>
      </c>
      <c r="M360" s="177"/>
    </row>
    <row r="361" spans="1:13" x14ac:dyDescent="0.2">
      <c r="A361" s="153">
        <v>2030</v>
      </c>
      <c r="B361" s="153">
        <v>12</v>
      </c>
      <c r="C361" s="153" t="str">
        <f t="shared" si="39"/>
        <v>203012</v>
      </c>
      <c r="D361" s="153" t="str">
        <f t="shared" si="41"/>
        <v>Q4</v>
      </c>
      <c r="E361" s="153" t="e">
        <f t="shared" si="42"/>
        <v>#N/A</v>
      </c>
      <c r="F361" s="153" t="e">
        <f t="shared" si="42"/>
        <v>#N/A</v>
      </c>
      <c r="G361" s="153">
        <f t="shared" si="42"/>
        <v>62422.456993532964</v>
      </c>
      <c r="H361" s="153">
        <f t="shared" si="42"/>
        <v>1519.6893055405494</v>
      </c>
      <c r="I361" s="153">
        <f t="shared" si="42"/>
        <v>614.03698657838606</v>
      </c>
      <c r="J361" s="179" t="e">
        <f t="shared" si="40"/>
        <v>#N/A</v>
      </c>
      <c r="M361" s="177"/>
    </row>
    <row r="362" spans="1:13" x14ac:dyDescent="0.2">
      <c r="A362" s="153">
        <v>2031</v>
      </c>
      <c r="B362" s="153">
        <v>1</v>
      </c>
      <c r="C362" s="153" t="str">
        <f t="shared" si="39"/>
        <v>20311</v>
      </c>
      <c r="D362" s="153" t="str">
        <f t="shared" si="41"/>
        <v>Q1</v>
      </c>
      <c r="E362" s="153" t="e">
        <f t="shared" si="42"/>
        <v>#N/A</v>
      </c>
      <c r="F362" s="153" t="e">
        <f t="shared" si="42"/>
        <v>#N/A</v>
      </c>
      <c r="G362" s="153">
        <f t="shared" si="42"/>
        <v>63011.686044511735</v>
      </c>
      <c r="H362" s="153">
        <f t="shared" si="42"/>
        <v>1522.7063615677707</v>
      </c>
      <c r="I362" s="153">
        <f t="shared" si="42"/>
        <v>615.33249350408596</v>
      </c>
      <c r="J362" s="179" t="e">
        <f t="shared" si="40"/>
        <v>#N/A</v>
      </c>
      <c r="M362" s="177"/>
    </row>
    <row r="363" spans="1:13" x14ac:dyDescent="0.2">
      <c r="A363" s="153">
        <v>2031</v>
      </c>
      <c r="B363" s="153">
        <v>2</v>
      </c>
      <c r="C363" s="153" t="str">
        <f t="shared" si="39"/>
        <v>20312</v>
      </c>
      <c r="D363" s="153" t="str">
        <f t="shared" si="41"/>
        <v>Q1</v>
      </c>
      <c r="E363" s="153" t="e">
        <f t="shared" si="42"/>
        <v>#N/A</v>
      </c>
      <c r="F363" s="153" t="e">
        <f t="shared" si="42"/>
        <v>#N/A</v>
      </c>
      <c r="G363" s="153">
        <f t="shared" si="42"/>
        <v>63011.686044511735</v>
      </c>
      <c r="H363" s="153">
        <f t="shared" si="42"/>
        <v>1522.7063615677707</v>
      </c>
      <c r="I363" s="153">
        <f t="shared" si="42"/>
        <v>615.33249350408596</v>
      </c>
      <c r="J363" s="179" t="e">
        <f t="shared" si="40"/>
        <v>#N/A</v>
      </c>
      <c r="M363" s="177"/>
    </row>
    <row r="364" spans="1:13" x14ac:dyDescent="0.2">
      <c r="A364" s="153">
        <v>2031</v>
      </c>
      <c r="B364" s="153">
        <v>3</v>
      </c>
      <c r="C364" s="153" t="str">
        <f t="shared" si="39"/>
        <v>20313</v>
      </c>
      <c r="D364" s="153" t="str">
        <f t="shared" si="41"/>
        <v>Q1</v>
      </c>
      <c r="E364" s="153" t="e">
        <f t="shared" si="42"/>
        <v>#N/A</v>
      </c>
      <c r="F364" s="153" t="e">
        <f t="shared" si="42"/>
        <v>#N/A</v>
      </c>
      <c r="G364" s="153">
        <f t="shared" si="42"/>
        <v>63011.686044511735</v>
      </c>
      <c r="H364" s="153">
        <f t="shared" si="42"/>
        <v>1522.7063615677707</v>
      </c>
      <c r="I364" s="153">
        <f t="shared" si="42"/>
        <v>615.33249350408596</v>
      </c>
      <c r="J364" s="179" t="e">
        <f t="shared" si="40"/>
        <v>#N/A</v>
      </c>
      <c r="M364" s="177"/>
    </row>
    <row r="365" spans="1:13" x14ac:dyDescent="0.2">
      <c r="A365" s="153">
        <v>2031</v>
      </c>
      <c r="B365" s="153">
        <v>4</v>
      </c>
      <c r="C365" s="153" t="str">
        <f t="shared" si="39"/>
        <v>20314</v>
      </c>
      <c r="D365" s="153" t="str">
        <f t="shared" si="41"/>
        <v>Q2</v>
      </c>
      <c r="E365" s="153" t="e">
        <f t="shared" si="42"/>
        <v>#N/A</v>
      </c>
      <c r="F365" s="153" t="e">
        <f t="shared" si="42"/>
        <v>#N/A</v>
      </c>
      <c r="G365" s="153">
        <f t="shared" si="42"/>
        <v>63354.072173494787</v>
      </c>
      <c r="H365" s="153">
        <f t="shared" si="42"/>
        <v>1525.7175629361911</v>
      </c>
      <c r="I365" s="153">
        <f t="shared" si="42"/>
        <v>616.63853988313849</v>
      </c>
      <c r="J365" s="179" t="e">
        <f t="shared" si="40"/>
        <v>#N/A</v>
      </c>
      <c r="M365" s="177"/>
    </row>
    <row r="366" spans="1:13" x14ac:dyDescent="0.2">
      <c r="A366" s="153">
        <v>2031</v>
      </c>
      <c r="B366" s="153">
        <v>5</v>
      </c>
      <c r="C366" s="153" t="str">
        <f t="shared" si="39"/>
        <v>20315</v>
      </c>
      <c r="D366" s="153" t="str">
        <f t="shared" si="41"/>
        <v>Q2</v>
      </c>
      <c r="E366" s="153" t="e">
        <f t="shared" si="42"/>
        <v>#N/A</v>
      </c>
      <c r="F366" s="153" t="e">
        <f t="shared" si="42"/>
        <v>#N/A</v>
      </c>
      <c r="G366" s="153">
        <f t="shared" si="42"/>
        <v>63354.072173494787</v>
      </c>
      <c r="H366" s="153">
        <f t="shared" si="42"/>
        <v>1525.7175629361911</v>
      </c>
      <c r="I366" s="153">
        <f t="shared" si="42"/>
        <v>616.63853988313849</v>
      </c>
      <c r="J366" s="179" t="e">
        <f t="shared" si="40"/>
        <v>#N/A</v>
      </c>
      <c r="M366" s="177"/>
    </row>
    <row r="367" spans="1:13" x14ac:dyDescent="0.2">
      <c r="A367" s="153">
        <v>2031</v>
      </c>
      <c r="B367" s="153">
        <v>6</v>
      </c>
      <c r="C367" s="153" t="str">
        <f t="shared" si="39"/>
        <v>20316</v>
      </c>
      <c r="D367" s="153" t="str">
        <f t="shared" si="41"/>
        <v>Q2</v>
      </c>
      <c r="E367" s="153" t="e">
        <f t="shared" si="42"/>
        <v>#N/A</v>
      </c>
      <c r="F367" s="153" t="e">
        <f t="shared" si="42"/>
        <v>#N/A</v>
      </c>
      <c r="G367" s="153">
        <f t="shared" si="42"/>
        <v>63354.072173494787</v>
      </c>
      <c r="H367" s="153">
        <f t="shared" si="42"/>
        <v>1525.7175629361911</v>
      </c>
      <c r="I367" s="153">
        <f t="shared" si="42"/>
        <v>616.63853988313849</v>
      </c>
      <c r="J367" s="179" t="e">
        <f t="shared" si="40"/>
        <v>#N/A</v>
      </c>
      <c r="M367" s="177"/>
    </row>
    <row r="368" spans="1:13" x14ac:dyDescent="0.2">
      <c r="A368" s="153">
        <v>2031</v>
      </c>
      <c r="B368" s="153">
        <v>7</v>
      </c>
      <c r="C368" s="153" t="str">
        <f t="shared" si="39"/>
        <v>20317</v>
      </c>
      <c r="D368" s="153" t="str">
        <f t="shared" si="41"/>
        <v>Q3</v>
      </c>
      <c r="E368" s="153" t="e">
        <f t="shared" si="42"/>
        <v>#N/A</v>
      </c>
      <c r="F368" s="153" t="e">
        <f t="shared" si="42"/>
        <v>#N/A</v>
      </c>
      <c r="G368" s="153">
        <f t="shared" si="42"/>
        <v>63686.068810866331</v>
      </c>
      <c r="H368" s="153">
        <f t="shared" si="42"/>
        <v>1528.1911768049849</v>
      </c>
      <c r="I368" s="153">
        <f t="shared" si="42"/>
        <v>617.73989758699781</v>
      </c>
      <c r="J368" s="179" t="e">
        <f t="shared" si="40"/>
        <v>#N/A</v>
      </c>
      <c r="M368" s="177"/>
    </row>
    <row r="369" spans="1:13" x14ac:dyDescent="0.2">
      <c r="A369" s="153">
        <v>2031</v>
      </c>
      <c r="B369" s="153">
        <v>8</v>
      </c>
      <c r="C369" s="153" t="str">
        <f t="shared" si="39"/>
        <v>20318</v>
      </c>
      <c r="D369" s="153" t="str">
        <f t="shared" si="41"/>
        <v>Q3</v>
      </c>
      <c r="E369" s="153" t="e">
        <f t="shared" si="42"/>
        <v>#N/A</v>
      </c>
      <c r="F369" s="153" t="e">
        <f t="shared" si="42"/>
        <v>#N/A</v>
      </c>
      <c r="G369" s="153">
        <f t="shared" si="42"/>
        <v>63686.068810866331</v>
      </c>
      <c r="H369" s="153">
        <f t="shared" si="42"/>
        <v>1528.1911768049849</v>
      </c>
      <c r="I369" s="153">
        <f t="shared" si="42"/>
        <v>617.73989758699781</v>
      </c>
      <c r="J369" s="179" t="e">
        <f t="shared" si="40"/>
        <v>#N/A</v>
      </c>
      <c r="M369" s="177"/>
    </row>
    <row r="370" spans="1:13" x14ac:dyDescent="0.2">
      <c r="A370" s="153">
        <v>2031</v>
      </c>
      <c r="B370" s="153">
        <v>9</v>
      </c>
      <c r="C370" s="153" t="str">
        <f t="shared" si="39"/>
        <v>20319</v>
      </c>
      <c r="D370" s="153" t="str">
        <f t="shared" si="41"/>
        <v>Q3</v>
      </c>
      <c r="E370" s="153" t="e">
        <f t="shared" si="42"/>
        <v>#N/A</v>
      </c>
      <c r="F370" s="153" t="e">
        <f t="shared" si="42"/>
        <v>#N/A</v>
      </c>
      <c r="G370" s="153">
        <f t="shared" si="42"/>
        <v>63686.068810866331</v>
      </c>
      <c r="H370" s="153">
        <f t="shared" si="42"/>
        <v>1528.1911768049849</v>
      </c>
      <c r="I370" s="153">
        <f t="shared" si="42"/>
        <v>617.73989758699781</v>
      </c>
      <c r="J370" s="179" t="e">
        <f t="shared" si="40"/>
        <v>#N/A</v>
      </c>
      <c r="M370" s="177"/>
    </row>
    <row r="371" spans="1:13" x14ac:dyDescent="0.2">
      <c r="A371" s="153">
        <v>2031</v>
      </c>
      <c r="B371" s="153">
        <v>10</v>
      </c>
      <c r="C371" s="153" t="str">
        <f t="shared" si="39"/>
        <v>203110</v>
      </c>
      <c r="D371" s="153" t="str">
        <f t="shared" si="41"/>
        <v>Q4</v>
      </c>
      <c r="E371" s="153" t="e">
        <f t="shared" si="42"/>
        <v>#N/A</v>
      </c>
      <c r="F371" s="153" t="e">
        <f t="shared" si="42"/>
        <v>#N/A</v>
      </c>
      <c r="G371" s="153">
        <f t="shared" si="42"/>
        <v>63983.702106726494</v>
      </c>
      <c r="H371" s="153">
        <f t="shared" si="42"/>
        <v>1531.1846149018745</v>
      </c>
      <c r="I371" s="153">
        <f t="shared" si="42"/>
        <v>619.04503095209066</v>
      </c>
      <c r="J371" s="179" t="e">
        <f t="shared" si="40"/>
        <v>#N/A</v>
      </c>
      <c r="M371" s="177"/>
    </row>
    <row r="372" spans="1:13" x14ac:dyDescent="0.2">
      <c r="A372" s="153">
        <v>2031</v>
      </c>
      <c r="B372" s="153">
        <v>11</v>
      </c>
      <c r="C372" s="153" t="str">
        <f t="shared" si="39"/>
        <v>203111</v>
      </c>
      <c r="D372" s="153" t="str">
        <f t="shared" si="41"/>
        <v>Q4</v>
      </c>
      <c r="E372" s="153" t="e">
        <f t="shared" si="42"/>
        <v>#N/A</v>
      </c>
      <c r="F372" s="153" t="e">
        <f t="shared" si="42"/>
        <v>#N/A</v>
      </c>
      <c r="G372" s="153">
        <f t="shared" si="42"/>
        <v>63983.702106726494</v>
      </c>
      <c r="H372" s="153">
        <f t="shared" si="42"/>
        <v>1531.1846149018745</v>
      </c>
      <c r="I372" s="153">
        <f t="shared" si="42"/>
        <v>619.04503095209066</v>
      </c>
      <c r="J372" s="179" t="e">
        <f t="shared" si="40"/>
        <v>#N/A</v>
      </c>
      <c r="M372" s="177"/>
    </row>
    <row r="373" spans="1:13" x14ac:dyDescent="0.2">
      <c r="A373" s="153">
        <v>2031</v>
      </c>
      <c r="B373" s="153">
        <v>12</v>
      </c>
      <c r="C373" s="153" t="str">
        <f t="shared" si="39"/>
        <v>203112</v>
      </c>
      <c r="D373" s="153" t="str">
        <f t="shared" si="41"/>
        <v>Q4</v>
      </c>
      <c r="E373" s="153" t="e">
        <f t="shared" si="42"/>
        <v>#N/A</v>
      </c>
      <c r="F373" s="153" t="e">
        <f t="shared" si="42"/>
        <v>#N/A</v>
      </c>
      <c r="G373" s="153">
        <f t="shared" si="42"/>
        <v>63983.702106726494</v>
      </c>
      <c r="H373" s="153">
        <f t="shared" si="42"/>
        <v>1531.1846149018745</v>
      </c>
      <c r="I373" s="153">
        <f t="shared" si="42"/>
        <v>619.04503095209066</v>
      </c>
      <c r="J373" s="179" t="e">
        <f t="shared" si="40"/>
        <v>#N/A</v>
      </c>
      <c r="M373" s="177"/>
    </row>
    <row r="374" spans="1:13" x14ac:dyDescent="0.2">
      <c r="A374" s="153">
        <v>2032</v>
      </c>
      <c r="B374" s="153">
        <v>1</v>
      </c>
      <c r="C374" s="153" t="str">
        <f t="shared" si="39"/>
        <v>20321</v>
      </c>
      <c r="D374" s="153" t="str">
        <f t="shared" si="41"/>
        <v>Q1</v>
      </c>
      <c r="E374" s="153" t="e">
        <f t="shared" si="42"/>
        <v>#N/A</v>
      </c>
      <c r="F374" s="153" t="e">
        <f t="shared" si="42"/>
        <v>#N/A</v>
      </c>
      <c r="G374" s="153">
        <f t="shared" si="42"/>
        <v>64517.895684862429</v>
      </c>
      <c r="H374" s="153">
        <f t="shared" si="42"/>
        <v>1534.1732396647717</v>
      </c>
      <c r="I374" s="153">
        <f t="shared" si="42"/>
        <v>620.33944280688956</v>
      </c>
      <c r="J374" s="179" t="e">
        <f t="shared" si="40"/>
        <v>#N/A</v>
      </c>
      <c r="M374" s="177"/>
    </row>
    <row r="375" spans="1:13" x14ac:dyDescent="0.2">
      <c r="A375" s="153">
        <v>2032</v>
      </c>
      <c r="B375" s="153">
        <v>2</v>
      </c>
      <c r="C375" s="153" t="str">
        <f t="shared" si="39"/>
        <v>20322</v>
      </c>
      <c r="D375" s="153" t="str">
        <f t="shared" si="41"/>
        <v>Q1</v>
      </c>
      <c r="E375" s="153" t="e">
        <f t="shared" si="42"/>
        <v>#N/A</v>
      </c>
      <c r="F375" s="153" t="e">
        <f t="shared" si="42"/>
        <v>#N/A</v>
      </c>
      <c r="G375" s="153">
        <f t="shared" si="42"/>
        <v>64517.895684862429</v>
      </c>
      <c r="H375" s="153">
        <f t="shared" si="42"/>
        <v>1534.1732396647717</v>
      </c>
      <c r="I375" s="153">
        <f t="shared" si="42"/>
        <v>620.33944280688956</v>
      </c>
      <c r="J375" s="179" t="e">
        <f t="shared" si="40"/>
        <v>#N/A</v>
      </c>
      <c r="M375" s="177"/>
    </row>
    <row r="376" spans="1:13" x14ac:dyDescent="0.2">
      <c r="A376" s="153">
        <v>2032</v>
      </c>
      <c r="B376" s="153">
        <v>3</v>
      </c>
      <c r="C376" s="153" t="str">
        <f t="shared" si="39"/>
        <v>20323</v>
      </c>
      <c r="D376" s="153" t="str">
        <f t="shared" si="41"/>
        <v>Q1</v>
      </c>
      <c r="E376" s="153" t="e">
        <f t="shared" si="42"/>
        <v>#N/A</v>
      </c>
      <c r="F376" s="153" t="e">
        <f t="shared" si="42"/>
        <v>#N/A</v>
      </c>
      <c r="G376" s="153">
        <f t="shared" si="42"/>
        <v>64517.895684862429</v>
      </c>
      <c r="H376" s="153">
        <f t="shared" si="42"/>
        <v>1534.1732396647717</v>
      </c>
      <c r="I376" s="153">
        <f t="shared" si="42"/>
        <v>620.33944280688956</v>
      </c>
      <c r="J376" s="179" t="e">
        <f t="shared" si="40"/>
        <v>#N/A</v>
      </c>
      <c r="M376" s="177"/>
    </row>
    <row r="377" spans="1:13" x14ac:dyDescent="0.2">
      <c r="A377" s="153">
        <v>2032</v>
      </c>
      <c r="B377" s="153">
        <v>4</v>
      </c>
      <c r="C377" s="153" t="str">
        <f t="shared" si="39"/>
        <v>20324</v>
      </c>
      <c r="D377" s="153" t="str">
        <f t="shared" si="41"/>
        <v>Q2</v>
      </c>
      <c r="E377" s="153" t="e">
        <f t="shared" si="42"/>
        <v>#N/A</v>
      </c>
      <c r="F377" s="153" t="e">
        <f t="shared" si="42"/>
        <v>#N/A</v>
      </c>
      <c r="G377" s="153">
        <f t="shared" si="42"/>
        <v>64852.902436758101</v>
      </c>
      <c r="H377" s="153">
        <f t="shared" si="42"/>
        <v>1537.1533655279743</v>
      </c>
      <c r="I377" s="153">
        <f t="shared" si="42"/>
        <v>621.62665257890262</v>
      </c>
      <c r="J377" s="179" t="e">
        <f t="shared" si="40"/>
        <v>#N/A</v>
      </c>
      <c r="M377" s="177"/>
    </row>
    <row r="378" spans="1:13" x14ac:dyDescent="0.2">
      <c r="A378" s="153">
        <v>2032</v>
      </c>
      <c r="B378" s="153">
        <v>5</v>
      </c>
      <c r="C378" s="153" t="str">
        <f t="shared" si="39"/>
        <v>20325</v>
      </c>
      <c r="D378" s="153" t="str">
        <f t="shared" si="41"/>
        <v>Q2</v>
      </c>
      <c r="E378" s="153" t="e">
        <f t="shared" si="42"/>
        <v>#N/A</v>
      </c>
      <c r="F378" s="153" t="e">
        <f t="shared" si="42"/>
        <v>#N/A</v>
      </c>
      <c r="G378" s="153">
        <f t="shared" si="42"/>
        <v>64852.902436758101</v>
      </c>
      <c r="H378" s="153">
        <f t="shared" si="42"/>
        <v>1537.1533655279743</v>
      </c>
      <c r="I378" s="153">
        <f t="shared" si="42"/>
        <v>621.62665257890262</v>
      </c>
      <c r="J378" s="179" t="e">
        <f t="shared" si="40"/>
        <v>#N/A</v>
      </c>
      <c r="M378" s="177"/>
    </row>
    <row r="379" spans="1:13" x14ac:dyDescent="0.2">
      <c r="A379" s="153">
        <v>2032</v>
      </c>
      <c r="B379" s="153">
        <v>6</v>
      </c>
      <c r="C379" s="153" t="str">
        <f t="shared" si="39"/>
        <v>20326</v>
      </c>
      <c r="D379" s="153" t="str">
        <f t="shared" si="41"/>
        <v>Q2</v>
      </c>
      <c r="E379" s="153" t="e">
        <f t="shared" si="42"/>
        <v>#N/A</v>
      </c>
      <c r="F379" s="153" t="e">
        <f t="shared" si="42"/>
        <v>#N/A</v>
      </c>
      <c r="G379" s="153">
        <f t="shared" si="42"/>
        <v>64852.902436758101</v>
      </c>
      <c r="H379" s="153">
        <f t="shared" si="42"/>
        <v>1537.1533655279743</v>
      </c>
      <c r="I379" s="153">
        <f t="shared" si="42"/>
        <v>621.62665257890262</v>
      </c>
      <c r="J379" s="179" t="e">
        <f t="shared" si="40"/>
        <v>#N/A</v>
      </c>
      <c r="M379" s="177"/>
    </row>
    <row r="380" spans="1:13" x14ac:dyDescent="0.2">
      <c r="A380" s="153">
        <v>2032</v>
      </c>
      <c r="B380" s="153">
        <v>7</v>
      </c>
      <c r="C380" s="153" t="str">
        <f t="shared" si="39"/>
        <v>20327</v>
      </c>
      <c r="D380" s="153" t="str">
        <f t="shared" si="41"/>
        <v>Q3</v>
      </c>
      <c r="E380" s="153" t="e">
        <f t="shared" si="42"/>
        <v>#N/A</v>
      </c>
      <c r="F380" s="153" t="e">
        <f t="shared" si="42"/>
        <v>#N/A</v>
      </c>
      <c r="G380" s="153">
        <f t="shared" si="42"/>
        <v>65092.663837385568</v>
      </c>
      <c r="H380" s="153">
        <f t="shared" si="42"/>
        <v>1540.1256757532456</v>
      </c>
      <c r="I380" s="153">
        <f t="shared" si="42"/>
        <v>623.37824065720486</v>
      </c>
      <c r="J380" s="179" t="e">
        <f t="shared" si="40"/>
        <v>#N/A</v>
      </c>
      <c r="M380" s="177"/>
    </row>
    <row r="381" spans="1:13" x14ac:dyDescent="0.2">
      <c r="A381" s="153">
        <v>2032</v>
      </c>
      <c r="B381" s="153">
        <v>8</v>
      </c>
      <c r="C381" s="153" t="str">
        <f t="shared" si="39"/>
        <v>20328</v>
      </c>
      <c r="D381" s="153" t="str">
        <f t="shared" si="41"/>
        <v>Q3</v>
      </c>
      <c r="E381" s="153" t="e">
        <f t="shared" si="42"/>
        <v>#N/A</v>
      </c>
      <c r="F381" s="153" t="e">
        <f t="shared" si="42"/>
        <v>#N/A</v>
      </c>
      <c r="G381" s="153">
        <f t="shared" si="42"/>
        <v>65092.663837385568</v>
      </c>
      <c r="H381" s="153">
        <f t="shared" si="42"/>
        <v>1540.1256757532456</v>
      </c>
      <c r="I381" s="153">
        <f t="shared" si="42"/>
        <v>623.37824065720486</v>
      </c>
      <c r="J381" s="179" t="e">
        <f t="shared" si="40"/>
        <v>#N/A</v>
      </c>
      <c r="M381" s="177"/>
    </row>
    <row r="382" spans="1:13" x14ac:dyDescent="0.2">
      <c r="A382" s="153">
        <v>2032</v>
      </c>
      <c r="B382" s="153">
        <v>9</v>
      </c>
      <c r="C382" s="153" t="str">
        <f t="shared" si="39"/>
        <v>20329</v>
      </c>
      <c r="D382" s="153" t="str">
        <f t="shared" si="41"/>
        <v>Q3</v>
      </c>
      <c r="E382" s="153" t="e">
        <f t="shared" si="42"/>
        <v>#N/A</v>
      </c>
      <c r="F382" s="153" t="e">
        <f t="shared" si="42"/>
        <v>#N/A</v>
      </c>
      <c r="G382" s="153">
        <f t="shared" si="42"/>
        <v>65092.663837385568</v>
      </c>
      <c r="H382" s="153">
        <f t="shared" si="42"/>
        <v>1540.1256757532456</v>
      </c>
      <c r="I382" s="153">
        <f t="shared" si="42"/>
        <v>623.37824065720486</v>
      </c>
      <c r="J382" s="179" t="e">
        <f t="shared" si="40"/>
        <v>#N/A</v>
      </c>
      <c r="M382" s="177"/>
    </row>
    <row r="383" spans="1:13" x14ac:dyDescent="0.2">
      <c r="A383" s="153">
        <v>2032</v>
      </c>
      <c r="B383" s="153">
        <v>10</v>
      </c>
      <c r="C383" s="153" t="str">
        <f t="shared" si="39"/>
        <v>203210</v>
      </c>
      <c r="D383" s="153" t="str">
        <f t="shared" si="41"/>
        <v>Q4</v>
      </c>
      <c r="E383" s="153" t="e">
        <f t="shared" si="42"/>
        <v>#N/A</v>
      </c>
      <c r="F383" s="153" t="e">
        <f t="shared" si="42"/>
        <v>#N/A</v>
      </c>
      <c r="G383" s="153">
        <f t="shared" si="42"/>
        <v>65379.712563198897</v>
      </c>
      <c r="H383" s="153">
        <f t="shared" si="42"/>
        <v>1543.0902552909947</v>
      </c>
      <c r="I383" s="153">
        <f t="shared" si="42"/>
        <v>624.45561954078835</v>
      </c>
      <c r="J383" s="179" t="e">
        <f t="shared" si="40"/>
        <v>#N/A</v>
      </c>
      <c r="M383" s="177"/>
    </row>
    <row r="384" spans="1:13" x14ac:dyDescent="0.2">
      <c r="A384" s="153">
        <v>2032</v>
      </c>
      <c r="B384" s="153">
        <v>11</v>
      </c>
      <c r="C384" s="153" t="str">
        <f t="shared" si="39"/>
        <v>203211</v>
      </c>
      <c r="D384" s="153" t="str">
        <f t="shared" si="41"/>
        <v>Q4</v>
      </c>
      <c r="E384" s="153" t="e">
        <f t="shared" si="42"/>
        <v>#N/A</v>
      </c>
      <c r="F384" s="153" t="e">
        <f t="shared" si="42"/>
        <v>#N/A</v>
      </c>
      <c r="G384" s="153">
        <f t="shared" si="42"/>
        <v>65379.712563198897</v>
      </c>
      <c r="H384" s="153">
        <f t="shared" si="42"/>
        <v>1543.0902552909947</v>
      </c>
      <c r="I384" s="153">
        <f t="shared" si="42"/>
        <v>624.45561954078835</v>
      </c>
      <c r="J384" s="179" t="e">
        <f t="shared" si="40"/>
        <v>#N/A</v>
      </c>
      <c r="M384" s="177"/>
    </row>
    <row r="385" spans="1:13" x14ac:dyDescent="0.2">
      <c r="A385" s="153">
        <v>2032</v>
      </c>
      <c r="B385" s="153">
        <v>12</v>
      </c>
      <c r="C385" s="153" t="str">
        <f t="shared" si="39"/>
        <v>203212</v>
      </c>
      <c r="D385" s="153" t="str">
        <f t="shared" si="41"/>
        <v>Q4</v>
      </c>
      <c r="E385" s="153" t="e">
        <f t="shared" si="42"/>
        <v>#N/A</v>
      </c>
      <c r="F385" s="153" t="e">
        <f t="shared" si="42"/>
        <v>#N/A</v>
      </c>
      <c r="G385" s="153">
        <f t="shared" si="42"/>
        <v>65379.712563198897</v>
      </c>
      <c r="H385" s="153">
        <f t="shared" si="42"/>
        <v>1543.0902552909947</v>
      </c>
      <c r="I385" s="153">
        <f t="shared" si="42"/>
        <v>624.45561954078835</v>
      </c>
      <c r="J385" s="179" t="e">
        <f t="shared" si="40"/>
        <v>#N/A</v>
      </c>
      <c r="M385" s="177"/>
    </row>
    <row r="386" spans="1:13" x14ac:dyDescent="0.2">
      <c r="A386" s="153">
        <v>2033</v>
      </c>
      <c r="B386" s="153">
        <v>1</v>
      </c>
      <c r="C386" s="153" t="str">
        <f t="shared" si="39"/>
        <v>20331</v>
      </c>
      <c r="D386" s="153" t="str">
        <f t="shared" si="41"/>
        <v>Q1</v>
      </c>
      <c r="E386" s="153" t="e">
        <f t="shared" si="42"/>
        <v>#N/A</v>
      </c>
      <c r="F386" s="153" t="e">
        <f t="shared" si="42"/>
        <v>#N/A</v>
      </c>
      <c r="G386" s="153">
        <f t="shared" si="42"/>
        <v>65915.343848067831</v>
      </c>
      <c r="H386" s="153">
        <f t="shared" si="42"/>
        <v>1545.5577487173284</v>
      </c>
      <c r="I386" s="153">
        <f t="shared" si="42"/>
        <v>625.62452554154856</v>
      </c>
      <c r="J386" s="179" t="e">
        <f t="shared" si="40"/>
        <v>#N/A</v>
      </c>
      <c r="M386" s="177"/>
    </row>
    <row r="387" spans="1:13" x14ac:dyDescent="0.2">
      <c r="A387" s="153">
        <v>2033</v>
      </c>
      <c r="B387" s="153">
        <v>2</v>
      </c>
      <c r="C387" s="153" t="str">
        <f t="shared" ref="C387:C450" si="43">A387&amp;B387</f>
        <v>20332</v>
      </c>
      <c r="D387" s="153" t="str">
        <f t="shared" si="41"/>
        <v>Q1</v>
      </c>
      <c r="E387" s="153" t="e">
        <f t="shared" si="42"/>
        <v>#N/A</v>
      </c>
      <c r="F387" s="153" t="e">
        <f t="shared" si="42"/>
        <v>#N/A</v>
      </c>
      <c r="G387" s="153">
        <f t="shared" si="42"/>
        <v>65915.343848067831</v>
      </c>
      <c r="H387" s="153">
        <f t="shared" si="42"/>
        <v>1545.5577487173284</v>
      </c>
      <c r="I387" s="153">
        <f t="shared" si="42"/>
        <v>625.62452554154856</v>
      </c>
      <c r="J387" s="179" t="e">
        <f t="shared" si="40"/>
        <v>#N/A</v>
      </c>
      <c r="M387" s="177"/>
    </row>
    <row r="388" spans="1:13" x14ac:dyDescent="0.2">
      <c r="A388" s="153">
        <v>2033</v>
      </c>
      <c r="B388" s="153">
        <v>3</v>
      </c>
      <c r="C388" s="153" t="str">
        <f t="shared" si="43"/>
        <v>20333</v>
      </c>
      <c r="D388" s="153" t="str">
        <f t="shared" si="41"/>
        <v>Q1</v>
      </c>
      <c r="E388" s="153" t="e">
        <f t="shared" si="42"/>
        <v>#N/A</v>
      </c>
      <c r="F388" s="153" t="e">
        <f t="shared" si="42"/>
        <v>#N/A</v>
      </c>
      <c r="G388" s="153">
        <f t="shared" si="42"/>
        <v>65915.343848067831</v>
      </c>
      <c r="H388" s="153">
        <f t="shared" si="42"/>
        <v>1545.5577487173284</v>
      </c>
      <c r="I388" s="153">
        <f t="shared" si="42"/>
        <v>625.62452554154856</v>
      </c>
      <c r="J388" s="179" t="e">
        <f t="shared" si="40"/>
        <v>#N/A</v>
      </c>
      <c r="M388" s="177"/>
    </row>
    <row r="389" spans="1:13" x14ac:dyDescent="0.2">
      <c r="A389" s="153">
        <v>2033</v>
      </c>
      <c r="B389" s="153">
        <v>4</v>
      </c>
      <c r="C389" s="153" t="str">
        <f t="shared" si="43"/>
        <v>20334</v>
      </c>
      <c r="D389" s="153" t="str">
        <f t="shared" si="41"/>
        <v>Q2</v>
      </c>
      <c r="E389" s="153" t="e">
        <f t="shared" si="42"/>
        <v>#N/A</v>
      </c>
      <c r="F389" s="153" t="e">
        <f t="shared" si="42"/>
        <v>#N/A</v>
      </c>
      <c r="G389" s="153">
        <f t="shared" si="42"/>
        <v>66272.860998632343</v>
      </c>
      <c r="H389" s="153">
        <f t="shared" si="42"/>
        <v>1548.506319874994</v>
      </c>
      <c r="I389" s="153">
        <f t="shared" si="42"/>
        <v>626.92111190625531</v>
      </c>
      <c r="J389" s="179" t="e">
        <f t="shared" si="40"/>
        <v>#N/A</v>
      </c>
      <c r="M389" s="177"/>
    </row>
    <row r="390" spans="1:13" x14ac:dyDescent="0.2">
      <c r="A390" s="153">
        <v>2033</v>
      </c>
      <c r="B390" s="153">
        <v>5</v>
      </c>
      <c r="C390" s="153" t="str">
        <f t="shared" si="43"/>
        <v>20335</v>
      </c>
      <c r="D390" s="153" t="str">
        <f t="shared" si="41"/>
        <v>Q2</v>
      </c>
      <c r="E390" s="153" t="e">
        <f t="shared" si="42"/>
        <v>#N/A</v>
      </c>
      <c r="F390" s="153" t="e">
        <f t="shared" si="42"/>
        <v>#N/A</v>
      </c>
      <c r="G390" s="153">
        <f t="shared" si="42"/>
        <v>66272.860998632343</v>
      </c>
      <c r="H390" s="153">
        <f t="shared" si="42"/>
        <v>1548.506319874994</v>
      </c>
      <c r="I390" s="153">
        <f t="shared" si="42"/>
        <v>626.92111190625531</v>
      </c>
      <c r="J390" s="179" t="e">
        <f t="shared" si="40"/>
        <v>#N/A</v>
      </c>
      <c r="M390" s="177"/>
    </row>
    <row r="391" spans="1:13" x14ac:dyDescent="0.2">
      <c r="A391" s="153">
        <v>2033</v>
      </c>
      <c r="B391" s="153">
        <v>6</v>
      </c>
      <c r="C391" s="153" t="str">
        <f t="shared" si="43"/>
        <v>20336</v>
      </c>
      <c r="D391" s="153" t="str">
        <f t="shared" si="41"/>
        <v>Q2</v>
      </c>
      <c r="E391" s="153" t="e">
        <f t="shared" si="42"/>
        <v>#N/A</v>
      </c>
      <c r="F391" s="153" t="e">
        <f t="shared" si="42"/>
        <v>#N/A</v>
      </c>
      <c r="G391" s="153">
        <f t="shared" si="42"/>
        <v>66272.860998632343</v>
      </c>
      <c r="H391" s="153">
        <f t="shared" si="42"/>
        <v>1548.506319874994</v>
      </c>
      <c r="I391" s="153">
        <f t="shared" si="42"/>
        <v>626.92111190625531</v>
      </c>
      <c r="J391" s="179" t="e">
        <f t="shared" ref="J391:J454" si="44">E391/E379-1</f>
        <v>#N/A</v>
      </c>
      <c r="M391" s="177"/>
    </row>
    <row r="392" spans="1:13" x14ac:dyDescent="0.2">
      <c r="A392" s="153">
        <v>2033</v>
      </c>
      <c r="B392" s="153">
        <v>7</v>
      </c>
      <c r="C392" s="153" t="str">
        <f t="shared" si="43"/>
        <v>20337</v>
      </c>
      <c r="D392" s="153" t="str">
        <f t="shared" si="41"/>
        <v>Q3</v>
      </c>
      <c r="E392" s="153" t="e">
        <f t="shared" si="42"/>
        <v>#N/A</v>
      </c>
      <c r="F392" s="153" t="e">
        <f t="shared" si="42"/>
        <v>#N/A</v>
      </c>
      <c r="G392" s="153">
        <f t="shared" si="42"/>
        <v>66575.69117880259</v>
      </c>
      <c r="H392" s="153">
        <f t="shared" si="42"/>
        <v>1551.4503927163839</v>
      </c>
      <c r="I392" s="153">
        <f t="shared" si="42"/>
        <v>628.22467281158686</v>
      </c>
      <c r="J392" s="179" t="e">
        <f t="shared" si="44"/>
        <v>#N/A</v>
      </c>
      <c r="M392" s="177"/>
    </row>
    <row r="393" spans="1:13" x14ac:dyDescent="0.2">
      <c r="A393" s="153">
        <v>2033</v>
      </c>
      <c r="B393" s="153">
        <v>8</v>
      </c>
      <c r="C393" s="153" t="str">
        <f t="shared" si="43"/>
        <v>20338</v>
      </c>
      <c r="D393" s="153" t="str">
        <f t="shared" si="41"/>
        <v>Q3</v>
      </c>
      <c r="E393" s="153" t="e">
        <f t="shared" si="42"/>
        <v>#N/A</v>
      </c>
      <c r="F393" s="153" t="e">
        <f t="shared" si="42"/>
        <v>#N/A</v>
      </c>
      <c r="G393" s="153">
        <f t="shared" si="42"/>
        <v>66575.69117880259</v>
      </c>
      <c r="H393" s="153">
        <f t="shared" si="42"/>
        <v>1551.4503927163839</v>
      </c>
      <c r="I393" s="153">
        <f t="shared" si="42"/>
        <v>628.22467281158686</v>
      </c>
      <c r="J393" s="179" t="e">
        <f t="shared" si="44"/>
        <v>#N/A</v>
      </c>
      <c r="M393" s="177"/>
    </row>
    <row r="394" spans="1:13" x14ac:dyDescent="0.2">
      <c r="A394" s="153">
        <v>2033</v>
      </c>
      <c r="B394" s="153">
        <v>9</v>
      </c>
      <c r="C394" s="153" t="str">
        <f t="shared" si="43"/>
        <v>20339</v>
      </c>
      <c r="D394" s="153" t="str">
        <f t="shared" si="41"/>
        <v>Q3</v>
      </c>
      <c r="E394" s="153" t="e">
        <f t="shared" si="42"/>
        <v>#N/A</v>
      </c>
      <c r="F394" s="153" t="e">
        <f t="shared" si="42"/>
        <v>#N/A</v>
      </c>
      <c r="G394" s="153">
        <f t="shared" si="42"/>
        <v>66575.69117880259</v>
      </c>
      <c r="H394" s="153">
        <f t="shared" si="42"/>
        <v>1551.4503927163839</v>
      </c>
      <c r="I394" s="153">
        <f t="shared" si="42"/>
        <v>628.22467281158686</v>
      </c>
      <c r="J394" s="179" t="e">
        <f t="shared" si="44"/>
        <v>#N/A</v>
      </c>
      <c r="M394" s="177"/>
    </row>
    <row r="395" spans="1:13" x14ac:dyDescent="0.2">
      <c r="A395" s="153">
        <v>2033</v>
      </c>
      <c r="B395" s="153">
        <v>10</v>
      </c>
      <c r="C395" s="153" t="str">
        <f t="shared" si="43"/>
        <v>203310</v>
      </c>
      <c r="D395" s="153" t="str">
        <f t="shared" si="41"/>
        <v>Q4</v>
      </c>
      <c r="E395" s="153" t="e">
        <f t="shared" si="42"/>
        <v>#N/A</v>
      </c>
      <c r="F395" s="153" t="e">
        <f t="shared" si="42"/>
        <v>#N/A</v>
      </c>
      <c r="G395" s="153">
        <f t="shared" si="42"/>
        <v>66846.031778371878</v>
      </c>
      <c r="H395" s="153">
        <f t="shared" si="42"/>
        <v>1554.3843935328114</v>
      </c>
      <c r="I395" s="153">
        <f t="shared" si="42"/>
        <v>629.55095525810873</v>
      </c>
      <c r="J395" s="179" t="e">
        <f t="shared" si="44"/>
        <v>#N/A</v>
      </c>
      <c r="M395" s="177"/>
    </row>
    <row r="396" spans="1:13" x14ac:dyDescent="0.2">
      <c r="A396" s="153">
        <v>2033</v>
      </c>
      <c r="B396" s="153">
        <v>11</v>
      </c>
      <c r="C396" s="153" t="str">
        <f t="shared" si="43"/>
        <v>203311</v>
      </c>
      <c r="D396" s="153" t="str">
        <f t="shared" si="41"/>
        <v>Q4</v>
      </c>
      <c r="E396" s="153" t="e">
        <f t="shared" si="42"/>
        <v>#N/A</v>
      </c>
      <c r="F396" s="153" t="e">
        <f t="shared" si="42"/>
        <v>#N/A</v>
      </c>
      <c r="G396" s="153">
        <f t="shared" si="42"/>
        <v>66846.031778371878</v>
      </c>
      <c r="H396" s="153">
        <f t="shared" si="42"/>
        <v>1554.3843935328114</v>
      </c>
      <c r="I396" s="153">
        <f t="shared" si="42"/>
        <v>629.55095525810873</v>
      </c>
      <c r="J396" s="179" t="e">
        <f t="shared" si="44"/>
        <v>#N/A</v>
      </c>
      <c r="M396" s="177"/>
    </row>
    <row r="397" spans="1:13" x14ac:dyDescent="0.2">
      <c r="A397" s="153">
        <v>2033</v>
      </c>
      <c r="B397" s="153">
        <v>12</v>
      </c>
      <c r="C397" s="153" t="str">
        <f t="shared" si="43"/>
        <v>203312</v>
      </c>
      <c r="D397" s="153" t="str">
        <f t="shared" si="41"/>
        <v>Q4</v>
      </c>
      <c r="E397" s="153" t="e">
        <f t="shared" si="42"/>
        <v>#N/A</v>
      </c>
      <c r="F397" s="153" t="e">
        <f t="shared" si="42"/>
        <v>#N/A</v>
      </c>
      <c r="G397" s="153">
        <f t="shared" si="42"/>
        <v>66846.031778371878</v>
      </c>
      <c r="H397" s="153">
        <f t="shared" si="42"/>
        <v>1554.3843935328114</v>
      </c>
      <c r="I397" s="153">
        <f t="shared" si="42"/>
        <v>629.55095525810873</v>
      </c>
      <c r="J397" s="179" t="e">
        <f t="shared" si="44"/>
        <v>#N/A</v>
      </c>
      <c r="M397" s="177"/>
    </row>
    <row r="398" spans="1:13" x14ac:dyDescent="0.2">
      <c r="A398" s="153">
        <v>2034</v>
      </c>
      <c r="B398" s="153">
        <v>1</v>
      </c>
      <c r="C398" s="153" t="str">
        <f t="shared" si="43"/>
        <v>20341</v>
      </c>
      <c r="D398" s="153" t="str">
        <f t="shared" si="41"/>
        <v>Q1</v>
      </c>
      <c r="E398" s="153" t="e">
        <f t="shared" si="42"/>
        <v>#N/A</v>
      </c>
      <c r="F398" s="153" t="e">
        <f t="shared" si="42"/>
        <v>#N/A</v>
      </c>
      <c r="G398" s="153">
        <f t="shared" si="42"/>
        <v>67408.698459790423</v>
      </c>
      <c r="H398" s="153">
        <f t="shared" si="42"/>
        <v>1556.8511776228941</v>
      </c>
      <c r="I398" s="153">
        <f t="shared" si="42"/>
        <v>630.6911643598304</v>
      </c>
      <c r="J398" s="179" t="e">
        <f t="shared" si="44"/>
        <v>#N/A</v>
      </c>
      <c r="M398" s="177"/>
    </row>
    <row r="399" spans="1:13" x14ac:dyDescent="0.2">
      <c r="A399" s="153">
        <v>2034</v>
      </c>
      <c r="B399" s="153">
        <v>2</v>
      </c>
      <c r="C399" s="153" t="str">
        <f t="shared" si="43"/>
        <v>20342</v>
      </c>
      <c r="D399" s="153" t="str">
        <f t="shared" ref="D399:D462" si="45">D387</f>
        <v>Q1</v>
      </c>
      <c r="E399" s="153" t="e">
        <f t="shared" si="42"/>
        <v>#N/A</v>
      </c>
      <c r="F399" s="153" t="e">
        <f t="shared" si="42"/>
        <v>#N/A</v>
      </c>
      <c r="G399" s="153">
        <f t="shared" si="42"/>
        <v>67408.698459790423</v>
      </c>
      <c r="H399" s="153">
        <f t="shared" si="42"/>
        <v>1556.8511776228941</v>
      </c>
      <c r="I399" s="153">
        <f t="shared" si="42"/>
        <v>630.6911643598304</v>
      </c>
      <c r="J399" s="179" t="e">
        <f t="shared" si="44"/>
        <v>#N/A</v>
      </c>
      <c r="M399" s="177"/>
    </row>
    <row r="400" spans="1:13" x14ac:dyDescent="0.2">
      <c r="A400" s="153">
        <v>2034</v>
      </c>
      <c r="B400" s="153">
        <v>3</v>
      </c>
      <c r="C400" s="153" t="str">
        <f t="shared" si="43"/>
        <v>20343</v>
      </c>
      <c r="D400" s="153" t="str">
        <f t="shared" si="45"/>
        <v>Q1</v>
      </c>
      <c r="E400" s="153" t="e">
        <f t="shared" si="42"/>
        <v>#N/A</v>
      </c>
      <c r="F400" s="153" t="e">
        <f t="shared" si="42"/>
        <v>#N/A</v>
      </c>
      <c r="G400" s="153">
        <f t="shared" si="42"/>
        <v>67408.698459790423</v>
      </c>
      <c r="H400" s="153">
        <f t="shared" si="42"/>
        <v>1556.8511776228941</v>
      </c>
      <c r="I400" s="153">
        <f t="shared" si="42"/>
        <v>630.6911643598304</v>
      </c>
      <c r="J400" s="179" t="e">
        <f t="shared" si="44"/>
        <v>#N/A</v>
      </c>
      <c r="M400" s="177"/>
    </row>
    <row r="401" spans="1:13" x14ac:dyDescent="0.2">
      <c r="A401" s="153">
        <v>2034</v>
      </c>
      <c r="B401" s="153">
        <v>4</v>
      </c>
      <c r="C401" s="153" t="str">
        <f t="shared" si="43"/>
        <v>20344</v>
      </c>
      <c r="D401" s="153" t="str">
        <f t="shared" si="45"/>
        <v>Q2</v>
      </c>
      <c r="E401" s="153" t="e">
        <f t="shared" si="42"/>
        <v>#N/A</v>
      </c>
      <c r="F401" s="153" t="e">
        <f t="shared" si="42"/>
        <v>#N/A</v>
      </c>
      <c r="G401" s="153">
        <f t="shared" si="42"/>
        <v>67784.731090709829</v>
      </c>
      <c r="H401" s="153">
        <f t="shared" si="42"/>
        <v>1559.7722494363395</v>
      </c>
      <c r="I401" s="153">
        <f t="shared" si="42"/>
        <v>632.01744040657491</v>
      </c>
      <c r="J401" s="179" t="e">
        <f t="shared" si="44"/>
        <v>#N/A</v>
      </c>
      <c r="M401" s="177"/>
    </row>
    <row r="402" spans="1:13" x14ac:dyDescent="0.2">
      <c r="A402" s="153">
        <v>2034</v>
      </c>
      <c r="B402" s="153">
        <v>5</v>
      </c>
      <c r="C402" s="153" t="str">
        <f t="shared" si="43"/>
        <v>20345</v>
      </c>
      <c r="D402" s="153" t="str">
        <f t="shared" si="45"/>
        <v>Q2</v>
      </c>
      <c r="E402" s="153" t="e">
        <f t="shared" si="42"/>
        <v>#N/A</v>
      </c>
      <c r="F402" s="153" t="e">
        <f t="shared" si="42"/>
        <v>#N/A</v>
      </c>
      <c r="G402" s="153">
        <f t="shared" si="42"/>
        <v>67784.731090709829</v>
      </c>
      <c r="H402" s="153">
        <f t="shared" si="42"/>
        <v>1559.7722494363395</v>
      </c>
      <c r="I402" s="153">
        <f t="shared" si="42"/>
        <v>632.01744040657491</v>
      </c>
      <c r="J402" s="179" t="e">
        <f t="shared" si="44"/>
        <v>#N/A</v>
      </c>
      <c r="M402" s="177"/>
    </row>
    <row r="403" spans="1:13" x14ac:dyDescent="0.2">
      <c r="A403" s="153">
        <v>2034</v>
      </c>
      <c r="B403" s="153">
        <v>6</v>
      </c>
      <c r="C403" s="153" t="str">
        <f t="shared" si="43"/>
        <v>20346</v>
      </c>
      <c r="D403" s="153" t="str">
        <f t="shared" si="45"/>
        <v>Q2</v>
      </c>
      <c r="E403" s="153" t="e">
        <f t="shared" si="42"/>
        <v>#N/A</v>
      </c>
      <c r="F403" s="153" t="e">
        <f t="shared" si="42"/>
        <v>#N/A</v>
      </c>
      <c r="G403" s="153">
        <f t="shared" si="42"/>
        <v>67784.731090709829</v>
      </c>
      <c r="H403" s="153">
        <f t="shared" si="42"/>
        <v>1559.7722494363395</v>
      </c>
      <c r="I403" s="153">
        <f t="shared" si="42"/>
        <v>632.01744040657491</v>
      </c>
      <c r="J403" s="179" t="e">
        <f t="shared" si="44"/>
        <v>#N/A</v>
      </c>
      <c r="M403" s="177"/>
    </row>
    <row r="404" spans="1:13" x14ac:dyDescent="0.2">
      <c r="A404" s="153">
        <v>2034</v>
      </c>
      <c r="B404" s="153">
        <v>7</v>
      </c>
      <c r="C404" s="153" t="str">
        <f t="shared" si="43"/>
        <v>20347</v>
      </c>
      <c r="D404" s="153" t="str">
        <f t="shared" si="45"/>
        <v>Q3</v>
      </c>
      <c r="E404" s="153" t="e">
        <f t="shared" si="42"/>
        <v>#N/A</v>
      </c>
      <c r="F404" s="153" t="e">
        <f t="shared" si="42"/>
        <v>#N/A</v>
      </c>
      <c r="G404" s="153">
        <f t="shared" si="42"/>
        <v>68112.672404732177</v>
      </c>
      <c r="H404" s="153">
        <f t="shared" si="42"/>
        <v>1562.6933220055346</v>
      </c>
      <c r="I404" s="153">
        <f t="shared" si="42"/>
        <v>633.78713931451284</v>
      </c>
      <c r="J404" s="179" t="e">
        <f t="shared" si="44"/>
        <v>#N/A</v>
      </c>
      <c r="M404" s="177"/>
    </row>
    <row r="405" spans="1:13" x14ac:dyDescent="0.2">
      <c r="A405" s="153">
        <v>2034</v>
      </c>
      <c r="B405" s="153">
        <v>8</v>
      </c>
      <c r="C405" s="153" t="str">
        <f t="shared" si="43"/>
        <v>20348</v>
      </c>
      <c r="D405" s="153" t="str">
        <f t="shared" si="45"/>
        <v>Q3</v>
      </c>
      <c r="E405" s="153" t="e">
        <f t="shared" ref="E405:I455" si="46">VLOOKUP($A405&amp;$D405,$O$1:$U$169,MATCH(E$1,$O$1:$U$1,0),0)</f>
        <v>#N/A</v>
      </c>
      <c r="F405" s="153" t="e">
        <f t="shared" si="46"/>
        <v>#N/A</v>
      </c>
      <c r="G405" s="153">
        <f t="shared" si="46"/>
        <v>68112.672404732177</v>
      </c>
      <c r="H405" s="153">
        <f t="shared" si="46"/>
        <v>1562.6933220055346</v>
      </c>
      <c r="I405" s="153">
        <f t="shared" si="46"/>
        <v>633.78713931451284</v>
      </c>
      <c r="J405" s="179" t="e">
        <f t="shared" si="44"/>
        <v>#N/A</v>
      </c>
      <c r="M405" s="177"/>
    </row>
    <row r="406" spans="1:13" x14ac:dyDescent="0.2">
      <c r="A406" s="153">
        <v>2034</v>
      </c>
      <c r="B406" s="153">
        <v>9</v>
      </c>
      <c r="C406" s="153" t="str">
        <f t="shared" si="43"/>
        <v>20349</v>
      </c>
      <c r="D406" s="153" t="str">
        <f t="shared" si="45"/>
        <v>Q3</v>
      </c>
      <c r="E406" s="153" t="e">
        <f t="shared" si="46"/>
        <v>#N/A</v>
      </c>
      <c r="F406" s="153" t="e">
        <f t="shared" si="46"/>
        <v>#N/A</v>
      </c>
      <c r="G406" s="153">
        <f t="shared" si="46"/>
        <v>68112.672404732177</v>
      </c>
      <c r="H406" s="153">
        <f t="shared" si="46"/>
        <v>1562.6933220055346</v>
      </c>
      <c r="I406" s="153">
        <f t="shared" si="46"/>
        <v>633.78713931451284</v>
      </c>
      <c r="J406" s="179" t="e">
        <f t="shared" si="44"/>
        <v>#N/A</v>
      </c>
      <c r="M406" s="177"/>
    </row>
    <row r="407" spans="1:13" x14ac:dyDescent="0.2">
      <c r="A407" s="153">
        <v>2034</v>
      </c>
      <c r="B407" s="153">
        <v>10</v>
      </c>
      <c r="C407" s="153" t="str">
        <f t="shared" si="43"/>
        <v>203410</v>
      </c>
      <c r="D407" s="153" t="str">
        <f t="shared" si="45"/>
        <v>Q4</v>
      </c>
      <c r="E407" s="153" t="e">
        <f t="shared" si="46"/>
        <v>#N/A</v>
      </c>
      <c r="F407" s="153" t="e">
        <f t="shared" si="46"/>
        <v>#N/A</v>
      </c>
      <c r="G407" s="153">
        <f t="shared" si="46"/>
        <v>68426.110254572006</v>
      </c>
      <c r="H407" s="153">
        <f t="shared" si="46"/>
        <v>1565.6045764336034</v>
      </c>
      <c r="I407" s="153">
        <f t="shared" si="46"/>
        <v>634.82440651003947</v>
      </c>
      <c r="J407" s="179" t="e">
        <f t="shared" si="44"/>
        <v>#N/A</v>
      </c>
      <c r="M407" s="177"/>
    </row>
    <row r="408" spans="1:13" x14ac:dyDescent="0.2">
      <c r="A408" s="153">
        <v>2034</v>
      </c>
      <c r="B408" s="153">
        <v>11</v>
      </c>
      <c r="C408" s="153" t="str">
        <f t="shared" si="43"/>
        <v>203411</v>
      </c>
      <c r="D408" s="153" t="str">
        <f t="shared" si="45"/>
        <v>Q4</v>
      </c>
      <c r="E408" s="153" t="e">
        <f t="shared" si="46"/>
        <v>#N/A</v>
      </c>
      <c r="F408" s="153" t="e">
        <f t="shared" si="46"/>
        <v>#N/A</v>
      </c>
      <c r="G408" s="153">
        <f t="shared" si="46"/>
        <v>68426.110254572006</v>
      </c>
      <c r="H408" s="153">
        <f t="shared" si="46"/>
        <v>1565.6045764336034</v>
      </c>
      <c r="I408" s="153">
        <f t="shared" si="46"/>
        <v>634.82440651003947</v>
      </c>
      <c r="J408" s="179" t="e">
        <f t="shared" si="44"/>
        <v>#N/A</v>
      </c>
      <c r="M408" s="177"/>
    </row>
    <row r="409" spans="1:13" x14ac:dyDescent="0.2">
      <c r="A409" s="153">
        <v>2034</v>
      </c>
      <c r="B409" s="153">
        <v>12</v>
      </c>
      <c r="C409" s="153" t="str">
        <f t="shared" si="43"/>
        <v>203412</v>
      </c>
      <c r="D409" s="153" t="str">
        <f t="shared" si="45"/>
        <v>Q4</v>
      </c>
      <c r="E409" s="153" t="e">
        <f t="shared" si="46"/>
        <v>#N/A</v>
      </c>
      <c r="F409" s="153" t="e">
        <f t="shared" si="46"/>
        <v>#N/A</v>
      </c>
      <c r="G409" s="153">
        <f t="shared" si="46"/>
        <v>68426.110254572006</v>
      </c>
      <c r="H409" s="153">
        <f t="shared" si="46"/>
        <v>1565.6045764336034</v>
      </c>
      <c r="I409" s="153">
        <f t="shared" si="46"/>
        <v>634.82440651003947</v>
      </c>
      <c r="J409" s="179" t="e">
        <f t="shared" si="44"/>
        <v>#N/A</v>
      </c>
      <c r="M409" s="177"/>
    </row>
    <row r="410" spans="1:13" x14ac:dyDescent="0.2">
      <c r="A410" s="153">
        <v>2035</v>
      </c>
      <c r="B410" s="153">
        <v>1</v>
      </c>
      <c r="C410" s="153" t="str">
        <f t="shared" si="43"/>
        <v>20351</v>
      </c>
      <c r="D410" s="153" t="str">
        <f t="shared" si="45"/>
        <v>Q1</v>
      </c>
      <c r="E410" s="153" t="e">
        <f t="shared" si="46"/>
        <v>#N/A</v>
      </c>
      <c r="F410" s="153" t="e">
        <f t="shared" si="46"/>
        <v>#N/A</v>
      </c>
      <c r="G410" s="153">
        <f t="shared" si="46"/>
        <v>69089.969321900251</v>
      </c>
      <c r="H410" s="153">
        <f t="shared" si="46"/>
        <v>1568.508372448882</v>
      </c>
      <c r="I410" s="153">
        <f t="shared" si="46"/>
        <v>636.10270657365675</v>
      </c>
      <c r="J410" s="179" t="e">
        <f t="shared" si="44"/>
        <v>#N/A</v>
      </c>
      <c r="M410" s="177"/>
    </row>
    <row r="411" spans="1:13" x14ac:dyDescent="0.2">
      <c r="A411" s="153">
        <v>2035</v>
      </c>
      <c r="B411" s="153">
        <v>2</v>
      </c>
      <c r="C411" s="153" t="str">
        <f t="shared" si="43"/>
        <v>20352</v>
      </c>
      <c r="D411" s="153" t="str">
        <f t="shared" si="45"/>
        <v>Q1</v>
      </c>
      <c r="E411" s="153" t="e">
        <f t="shared" si="46"/>
        <v>#N/A</v>
      </c>
      <c r="F411" s="153" t="e">
        <f t="shared" si="46"/>
        <v>#N/A</v>
      </c>
      <c r="G411" s="153">
        <f t="shared" si="46"/>
        <v>69089.969321900251</v>
      </c>
      <c r="H411" s="153">
        <f t="shared" si="46"/>
        <v>1568.508372448882</v>
      </c>
      <c r="I411" s="153">
        <f t="shared" si="46"/>
        <v>636.10270657365675</v>
      </c>
      <c r="J411" s="179" t="e">
        <f t="shared" si="44"/>
        <v>#N/A</v>
      </c>
      <c r="M411" s="177"/>
    </row>
    <row r="412" spans="1:13" x14ac:dyDescent="0.2">
      <c r="A412" s="153">
        <v>2035</v>
      </c>
      <c r="B412" s="153">
        <v>3</v>
      </c>
      <c r="C412" s="153" t="str">
        <f t="shared" si="43"/>
        <v>20353</v>
      </c>
      <c r="D412" s="153" t="str">
        <f t="shared" si="45"/>
        <v>Q1</v>
      </c>
      <c r="E412" s="153" t="e">
        <f t="shared" si="46"/>
        <v>#N/A</v>
      </c>
      <c r="F412" s="153" t="e">
        <f t="shared" si="46"/>
        <v>#N/A</v>
      </c>
      <c r="G412" s="153">
        <f t="shared" si="46"/>
        <v>69089.969321900251</v>
      </c>
      <c r="H412" s="153">
        <f t="shared" si="46"/>
        <v>1568.508372448882</v>
      </c>
      <c r="I412" s="153">
        <f t="shared" si="46"/>
        <v>636.10270657365675</v>
      </c>
      <c r="J412" s="179" t="e">
        <f t="shared" si="44"/>
        <v>#N/A</v>
      </c>
      <c r="M412" s="177"/>
    </row>
    <row r="413" spans="1:13" x14ac:dyDescent="0.2">
      <c r="A413" s="153">
        <v>2035</v>
      </c>
      <c r="B413" s="153">
        <v>4</v>
      </c>
      <c r="C413" s="153" t="str">
        <f t="shared" si="43"/>
        <v>20354</v>
      </c>
      <c r="D413" s="153" t="str">
        <f t="shared" si="45"/>
        <v>Q2</v>
      </c>
      <c r="E413" s="153" t="e">
        <f t="shared" si="46"/>
        <v>#N/A</v>
      </c>
      <c r="F413" s="153" t="e">
        <f t="shared" si="46"/>
        <v>#N/A</v>
      </c>
      <c r="G413" s="153">
        <f t="shared" si="46"/>
        <v>69470.238709459431</v>
      </c>
      <c r="H413" s="153">
        <f t="shared" si="46"/>
        <v>1570.9755130853168</v>
      </c>
      <c r="I413" s="153">
        <f t="shared" si="46"/>
        <v>637.2332381420423</v>
      </c>
      <c r="J413" s="179" t="e">
        <f t="shared" si="44"/>
        <v>#N/A</v>
      </c>
      <c r="M413" s="177"/>
    </row>
    <row r="414" spans="1:13" x14ac:dyDescent="0.2">
      <c r="A414" s="153">
        <v>2035</v>
      </c>
      <c r="B414" s="153">
        <v>5</v>
      </c>
      <c r="C414" s="153" t="str">
        <f t="shared" si="43"/>
        <v>20355</v>
      </c>
      <c r="D414" s="153" t="str">
        <f t="shared" si="45"/>
        <v>Q2</v>
      </c>
      <c r="E414" s="153" t="e">
        <f t="shared" si="46"/>
        <v>#N/A</v>
      </c>
      <c r="F414" s="153" t="e">
        <f t="shared" si="46"/>
        <v>#N/A</v>
      </c>
      <c r="G414" s="153">
        <f t="shared" si="46"/>
        <v>69470.238709459431</v>
      </c>
      <c r="H414" s="153">
        <f t="shared" si="46"/>
        <v>1570.9755130853168</v>
      </c>
      <c r="I414" s="153">
        <f t="shared" si="46"/>
        <v>637.2332381420423</v>
      </c>
      <c r="J414" s="179" t="e">
        <f t="shared" si="44"/>
        <v>#N/A</v>
      </c>
      <c r="M414" s="177"/>
    </row>
    <row r="415" spans="1:13" x14ac:dyDescent="0.2">
      <c r="A415" s="153">
        <v>2035</v>
      </c>
      <c r="B415" s="153">
        <v>6</v>
      </c>
      <c r="C415" s="153" t="str">
        <f t="shared" si="43"/>
        <v>20356</v>
      </c>
      <c r="D415" s="153" t="str">
        <f t="shared" si="45"/>
        <v>Q2</v>
      </c>
      <c r="E415" s="153" t="e">
        <f t="shared" si="46"/>
        <v>#N/A</v>
      </c>
      <c r="F415" s="153" t="e">
        <f t="shared" si="46"/>
        <v>#N/A</v>
      </c>
      <c r="G415" s="153">
        <f t="shared" si="46"/>
        <v>69470.238709459431</v>
      </c>
      <c r="H415" s="153">
        <f t="shared" si="46"/>
        <v>1570.9755130853168</v>
      </c>
      <c r="I415" s="153">
        <f t="shared" si="46"/>
        <v>637.2332381420423</v>
      </c>
      <c r="J415" s="179" t="e">
        <f t="shared" si="44"/>
        <v>#N/A</v>
      </c>
      <c r="M415" s="177"/>
    </row>
    <row r="416" spans="1:13" x14ac:dyDescent="0.2">
      <c r="A416" s="153">
        <v>2035</v>
      </c>
      <c r="B416" s="153">
        <v>7</v>
      </c>
      <c r="C416" s="153" t="str">
        <f t="shared" si="43"/>
        <v>20357</v>
      </c>
      <c r="D416" s="153" t="str">
        <f t="shared" si="45"/>
        <v>Q3</v>
      </c>
      <c r="E416" s="153" t="e">
        <f t="shared" si="46"/>
        <v>#N/A</v>
      </c>
      <c r="F416" s="153" t="e">
        <f t="shared" si="46"/>
        <v>#N/A</v>
      </c>
      <c r="G416" s="153">
        <f t="shared" si="46"/>
        <v>69817.684773173722</v>
      </c>
      <c r="H416" s="153">
        <f t="shared" si="46"/>
        <v>1573.8678014536194</v>
      </c>
      <c r="I416" s="153">
        <f t="shared" si="46"/>
        <v>638.46766289449954</v>
      </c>
      <c r="J416" s="179" t="e">
        <f t="shared" si="44"/>
        <v>#N/A</v>
      </c>
      <c r="M416" s="177"/>
    </row>
    <row r="417" spans="1:13" x14ac:dyDescent="0.2">
      <c r="A417" s="153">
        <v>2035</v>
      </c>
      <c r="B417" s="153">
        <v>8</v>
      </c>
      <c r="C417" s="153" t="str">
        <f t="shared" si="43"/>
        <v>20358</v>
      </c>
      <c r="D417" s="153" t="str">
        <f t="shared" si="45"/>
        <v>Q3</v>
      </c>
      <c r="E417" s="153" t="e">
        <f t="shared" si="46"/>
        <v>#N/A</v>
      </c>
      <c r="F417" s="153" t="e">
        <f t="shared" si="46"/>
        <v>#N/A</v>
      </c>
      <c r="G417" s="153">
        <f t="shared" si="46"/>
        <v>69817.684773173722</v>
      </c>
      <c r="H417" s="153">
        <f t="shared" si="46"/>
        <v>1573.8678014536194</v>
      </c>
      <c r="I417" s="153">
        <f t="shared" si="46"/>
        <v>638.46766289449954</v>
      </c>
      <c r="J417" s="179" t="e">
        <f t="shared" si="44"/>
        <v>#N/A</v>
      </c>
      <c r="M417" s="177"/>
    </row>
    <row r="418" spans="1:13" x14ac:dyDescent="0.2">
      <c r="A418" s="153">
        <v>2035</v>
      </c>
      <c r="B418" s="153">
        <v>9</v>
      </c>
      <c r="C418" s="153" t="str">
        <f t="shared" si="43"/>
        <v>20359</v>
      </c>
      <c r="D418" s="153" t="str">
        <f t="shared" si="45"/>
        <v>Q3</v>
      </c>
      <c r="E418" s="153" t="e">
        <f t="shared" si="46"/>
        <v>#N/A</v>
      </c>
      <c r="F418" s="153" t="e">
        <f t="shared" si="46"/>
        <v>#N/A</v>
      </c>
      <c r="G418" s="153">
        <f t="shared" si="46"/>
        <v>69817.684773173722</v>
      </c>
      <c r="H418" s="153">
        <f t="shared" si="46"/>
        <v>1573.8678014536194</v>
      </c>
      <c r="I418" s="153">
        <f t="shared" si="46"/>
        <v>638.46766289449954</v>
      </c>
      <c r="J418" s="179" t="e">
        <f t="shared" si="44"/>
        <v>#N/A</v>
      </c>
      <c r="M418" s="177"/>
    </row>
    <row r="419" spans="1:13" x14ac:dyDescent="0.2">
      <c r="A419" s="153">
        <v>2035</v>
      </c>
      <c r="B419" s="153">
        <v>10</v>
      </c>
      <c r="C419" s="153" t="str">
        <f t="shared" si="43"/>
        <v>203510</v>
      </c>
      <c r="D419" s="153" t="str">
        <f t="shared" si="45"/>
        <v>Q4</v>
      </c>
      <c r="E419" s="153" t="e">
        <f t="shared" si="46"/>
        <v>#N/A</v>
      </c>
      <c r="F419" s="153" t="e">
        <f t="shared" si="46"/>
        <v>#N/A</v>
      </c>
      <c r="G419" s="153">
        <f t="shared" si="46"/>
        <v>70167.400418664678</v>
      </c>
      <c r="H419" s="153">
        <f t="shared" si="46"/>
        <v>1576.7503003609072</v>
      </c>
      <c r="I419" s="153">
        <f t="shared" si="46"/>
        <v>639.73205991686507</v>
      </c>
      <c r="J419" s="179" t="e">
        <f t="shared" si="44"/>
        <v>#N/A</v>
      </c>
      <c r="M419" s="177"/>
    </row>
    <row r="420" spans="1:13" x14ac:dyDescent="0.2">
      <c r="A420" s="153">
        <v>2035</v>
      </c>
      <c r="B420" s="153">
        <v>11</v>
      </c>
      <c r="C420" s="153" t="str">
        <f t="shared" si="43"/>
        <v>203511</v>
      </c>
      <c r="D420" s="153" t="str">
        <f t="shared" si="45"/>
        <v>Q4</v>
      </c>
      <c r="E420" s="153" t="e">
        <f t="shared" si="46"/>
        <v>#N/A</v>
      </c>
      <c r="F420" s="153" t="e">
        <f t="shared" si="46"/>
        <v>#N/A</v>
      </c>
      <c r="G420" s="153">
        <f t="shared" si="46"/>
        <v>70167.400418664678</v>
      </c>
      <c r="H420" s="153">
        <f t="shared" si="46"/>
        <v>1576.7503003609072</v>
      </c>
      <c r="I420" s="153">
        <f t="shared" si="46"/>
        <v>639.73205991686507</v>
      </c>
      <c r="J420" s="179" t="e">
        <f t="shared" si="44"/>
        <v>#N/A</v>
      </c>
      <c r="M420" s="177"/>
    </row>
    <row r="421" spans="1:13" x14ac:dyDescent="0.2">
      <c r="A421" s="153">
        <v>2035</v>
      </c>
      <c r="B421" s="153">
        <v>12</v>
      </c>
      <c r="C421" s="153" t="str">
        <f t="shared" si="43"/>
        <v>203512</v>
      </c>
      <c r="D421" s="153" t="str">
        <f t="shared" si="45"/>
        <v>Q4</v>
      </c>
      <c r="E421" s="153" t="e">
        <f t="shared" si="46"/>
        <v>#N/A</v>
      </c>
      <c r="F421" s="153" t="e">
        <f t="shared" si="46"/>
        <v>#N/A</v>
      </c>
      <c r="G421" s="153">
        <f t="shared" si="46"/>
        <v>70167.400418664678</v>
      </c>
      <c r="H421" s="153">
        <f t="shared" si="46"/>
        <v>1576.7503003609072</v>
      </c>
      <c r="I421" s="153">
        <f t="shared" si="46"/>
        <v>639.73205991686507</v>
      </c>
      <c r="J421" s="179" t="e">
        <f t="shared" si="44"/>
        <v>#N/A</v>
      </c>
      <c r="M421" s="177"/>
    </row>
    <row r="422" spans="1:13" x14ac:dyDescent="0.2">
      <c r="A422" s="153">
        <v>2036</v>
      </c>
      <c r="B422" s="153">
        <v>1</v>
      </c>
      <c r="C422" s="153" t="str">
        <f t="shared" si="43"/>
        <v>20361</v>
      </c>
      <c r="D422" s="153" t="str">
        <f t="shared" si="45"/>
        <v>Q1</v>
      </c>
      <c r="E422" s="153" t="e">
        <f t="shared" si="46"/>
        <v>#N/A</v>
      </c>
      <c r="F422" s="153" t="e">
        <f t="shared" si="46"/>
        <v>#N/A</v>
      </c>
      <c r="G422" s="153">
        <f t="shared" si="46"/>
        <v>70857.293052576584</v>
      </c>
      <c r="H422" s="153">
        <f t="shared" si="46"/>
        <v>1579.2169398459446</v>
      </c>
      <c r="I422" s="153">
        <f t="shared" si="46"/>
        <v>640.87129782675129</v>
      </c>
      <c r="J422" s="179" t="e">
        <f t="shared" si="44"/>
        <v>#N/A</v>
      </c>
      <c r="M422" s="177"/>
    </row>
    <row r="423" spans="1:13" x14ac:dyDescent="0.2">
      <c r="A423" s="153">
        <v>2036</v>
      </c>
      <c r="B423" s="153">
        <v>2</v>
      </c>
      <c r="C423" s="153" t="str">
        <f t="shared" si="43"/>
        <v>20362</v>
      </c>
      <c r="D423" s="153" t="str">
        <f t="shared" si="45"/>
        <v>Q1</v>
      </c>
      <c r="E423" s="153" t="e">
        <f t="shared" si="46"/>
        <v>#N/A</v>
      </c>
      <c r="F423" s="153" t="e">
        <f t="shared" si="46"/>
        <v>#N/A</v>
      </c>
      <c r="G423" s="153">
        <f t="shared" si="46"/>
        <v>70857.293052576584</v>
      </c>
      <c r="H423" s="153">
        <f t="shared" si="46"/>
        <v>1579.2169398459446</v>
      </c>
      <c r="I423" s="153">
        <f t="shared" si="46"/>
        <v>640.87129782675129</v>
      </c>
      <c r="J423" s="179" t="e">
        <f t="shared" si="44"/>
        <v>#N/A</v>
      </c>
      <c r="M423" s="177"/>
    </row>
    <row r="424" spans="1:13" x14ac:dyDescent="0.2">
      <c r="A424" s="153">
        <v>2036</v>
      </c>
      <c r="B424" s="153">
        <v>3</v>
      </c>
      <c r="C424" s="153" t="str">
        <f t="shared" si="43"/>
        <v>20363</v>
      </c>
      <c r="D424" s="153" t="str">
        <f t="shared" si="45"/>
        <v>Q1</v>
      </c>
      <c r="E424" s="153" t="e">
        <f t="shared" si="46"/>
        <v>#N/A</v>
      </c>
      <c r="F424" s="153" t="e">
        <f t="shared" si="46"/>
        <v>#N/A</v>
      </c>
      <c r="G424" s="153">
        <f t="shared" si="46"/>
        <v>70857.293052576584</v>
      </c>
      <c r="H424" s="153">
        <f t="shared" si="46"/>
        <v>1579.2169398459446</v>
      </c>
      <c r="I424" s="153">
        <f t="shared" si="46"/>
        <v>640.87129782675129</v>
      </c>
      <c r="J424" s="179" t="e">
        <f t="shared" si="44"/>
        <v>#N/A</v>
      </c>
      <c r="M424" s="177"/>
    </row>
    <row r="425" spans="1:13" x14ac:dyDescent="0.2">
      <c r="A425" s="153">
        <v>2036</v>
      </c>
      <c r="B425" s="153">
        <v>4</v>
      </c>
      <c r="C425" s="153" t="str">
        <f t="shared" si="43"/>
        <v>20364</v>
      </c>
      <c r="D425" s="153" t="str">
        <f t="shared" si="45"/>
        <v>Q2</v>
      </c>
      <c r="E425" s="153" t="e">
        <f t="shared" si="46"/>
        <v>#N/A</v>
      </c>
      <c r="F425" s="153" t="e">
        <f t="shared" si="46"/>
        <v>#N/A</v>
      </c>
      <c r="G425" s="153">
        <f t="shared" si="46"/>
        <v>71135.634899548866</v>
      </c>
      <c r="H425" s="153">
        <f t="shared" si="46"/>
        <v>1582.1005232058155</v>
      </c>
      <c r="I425" s="153">
        <f t="shared" si="46"/>
        <v>642.14218493052499</v>
      </c>
      <c r="J425" s="179" t="e">
        <f t="shared" si="44"/>
        <v>#N/A</v>
      </c>
      <c r="M425" s="177"/>
    </row>
    <row r="426" spans="1:13" x14ac:dyDescent="0.2">
      <c r="A426" s="153">
        <v>2036</v>
      </c>
      <c r="B426" s="153">
        <v>5</v>
      </c>
      <c r="C426" s="153" t="str">
        <f t="shared" si="43"/>
        <v>20365</v>
      </c>
      <c r="D426" s="153" t="str">
        <f t="shared" si="45"/>
        <v>Q2</v>
      </c>
      <c r="E426" s="153" t="e">
        <f t="shared" si="46"/>
        <v>#N/A</v>
      </c>
      <c r="F426" s="153" t="e">
        <f t="shared" si="46"/>
        <v>#N/A</v>
      </c>
      <c r="G426" s="153">
        <f t="shared" si="46"/>
        <v>71135.634899548866</v>
      </c>
      <c r="H426" s="153">
        <f t="shared" si="46"/>
        <v>1582.1005232058155</v>
      </c>
      <c r="I426" s="153">
        <f t="shared" si="46"/>
        <v>642.14218493052499</v>
      </c>
      <c r="J426" s="179" t="e">
        <f t="shared" si="44"/>
        <v>#N/A</v>
      </c>
      <c r="M426" s="177"/>
    </row>
    <row r="427" spans="1:13" x14ac:dyDescent="0.2">
      <c r="A427" s="153">
        <v>2036</v>
      </c>
      <c r="B427" s="153">
        <v>6</v>
      </c>
      <c r="C427" s="153" t="str">
        <f t="shared" si="43"/>
        <v>20366</v>
      </c>
      <c r="D427" s="153" t="str">
        <f t="shared" si="45"/>
        <v>Q2</v>
      </c>
      <c r="E427" s="153" t="e">
        <f t="shared" si="46"/>
        <v>#N/A</v>
      </c>
      <c r="F427" s="153" t="e">
        <f t="shared" si="46"/>
        <v>#N/A</v>
      </c>
      <c r="G427" s="153">
        <f t="shared" si="46"/>
        <v>71135.634899548866</v>
      </c>
      <c r="H427" s="153">
        <f t="shared" si="46"/>
        <v>1582.1005232058155</v>
      </c>
      <c r="I427" s="153">
        <f t="shared" si="46"/>
        <v>642.14218493052499</v>
      </c>
      <c r="J427" s="179" t="e">
        <f t="shared" si="44"/>
        <v>#N/A</v>
      </c>
      <c r="M427" s="177"/>
    </row>
    <row r="428" spans="1:13" x14ac:dyDescent="0.2">
      <c r="A428" s="153">
        <v>2036</v>
      </c>
      <c r="B428" s="153">
        <v>7</v>
      </c>
      <c r="C428" s="153" t="str">
        <f t="shared" si="43"/>
        <v>20367</v>
      </c>
      <c r="D428" s="153" t="str">
        <f t="shared" si="45"/>
        <v>Q3</v>
      </c>
      <c r="E428" s="153" t="e">
        <f t="shared" si="46"/>
        <v>#N/A</v>
      </c>
      <c r="F428" s="153" t="e">
        <f t="shared" si="46"/>
        <v>#N/A</v>
      </c>
      <c r="G428" s="153">
        <f t="shared" si="46"/>
        <v>71458.151592626236</v>
      </c>
      <c r="H428" s="153">
        <f t="shared" si="46"/>
        <v>1584.9823031928072</v>
      </c>
      <c r="I428" s="153">
        <f t="shared" si="46"/>
        <v>643.41766149123566</v>
      </c>
      <c r="J428" s="179" t="e">
        <f t="shared" si="44"/>
        <v>#N/A</v>
      </c>
      <c r="M428" s="177"/>
    </row>
    <row r="429" spans="1:13" x14ac:dyDescent="0.2">
      <c r="A429" s="153">
        <v>2036</v>
      </c>
      <c r="B429" s="153">
        <v>8</v>
      </c>
      <c r="C429" s="153" t="str">
        <f t="shared" si="43"/>
        <v>20368</v>
      </c>
      <c r="D429" s="153" t="str">
        <f t="shared" si="45"/>
        <v>Q3</v>
      </c>
      <c r="E429" s="153" t="e">
        <f t="shared" si="46"/>
        <v>#N/A</v>
      </c>
      <c r="F429" s="153" t="e">
        <f t="shared" si="46"/>
        <v>#N/A</v>
      </c>
      <c r="G429" s="153">
        <f t="shared" si="46"/>
        <v>71458.151592626236</v>
      </c>
      <c r="H429" s="153">
        <f t="shared" si="46"/>
        <v>1584.9823031928072</v>
      </c>
      <c r="I429" s="153">
        <f t="shared" si="46"/>
        <v>643.41766149123566</v>
      </c>
      <c r="J429" s="179" t="e">
        <f t="shared" si="44"/>
        <v>#N/A</v>
      </c>
      <c r="M429" s="177"/>
    </row>
    <row r="430" spans="1:13" x14ac:dyDescent="0.2">
      <c r="A430" s="153">
        <v>2036</v>
      </c>
      <c r="B430" s="153">
        <v>9</v>
      </c>
      <c r="C430" s="153" t="str">
        <f t="shared" si="43"/>
        <v>20369</v>
      </c>
      <c r="D430" s="153" t="str">
        <f t="shared" si="45"/>
        <v>Q3</v>
      </c>
      <c r="E430" s="153" t="e">
        <f t="shared" si="46"/>
        <v>#N/A</v>
      </c>
      <c r="F430" s="153" t="e">
        <f t="shared" si="46"/>
        <v>#N/A</v>
      </c>
      <c r="G430" s="153">
        <f t="shared" si="46"/>
        <v>71458.151592626236</v>
      </c>
      <c r="H430" s="153">
        <f t="shared" si="46"/>
        <v>1584.9823031928072</v>
      </c>
      <c r="I430" s="153">
        <f t="shared" si="46"/>
        <v>643.41766149123566</v>
      </c>
      <c r="J430" s="179" t="e">
        <f t="shared" si="44"/>
        <v>#N/A</v>
      </c>
      <c r="M430" s="177"/>
    </row>
    <row r="431" spans="1:13" x14ac:dyDescent="0.2">
      <c r="A431" s="153">
        <v>2036</v>
      </c>
      <c r="B431" s="153">
        <v>10</v>
      </c>
      <c r="C431" s="153" t="str">
        <f t="shared" si="43"/>
        <v>203610</v>
      </c>
      <c r="D431" s="153" t="str">
        <f t="shared" si="45"/>
        <v>Q4</v>
      </c>
      <c r="E431" s="153" t="e">
        <f t="shared" si="46"/>
        <v>#N/A</v>
      </c>
      <c r="F431" s="153" t="e">
        <f t="shared" si="46"/>
        <v>#N/A</v>
      </c>
      <c r="G431" s="153">
        <f t="shared" si="46"/>
        <v>71824.680357699355</v>
      </c>
      <c r="H431" s="153">
        <f t="shared" si="46"/>
        <v>1587.8631187716624</v>
      </c>
      <c r="I431" s="153">
        <f t="shared" si="46"/>
        <v>644.64642834154051</v>
      </c>
      <c r="J431" s="179" t="e">
        <f t="shared" si="44"/>
        <v>#N/A</v>
      </c>
      <c r="M431" s="177"/>
    </row>
    <row r="432" spans="1:13" x14ac:dyDescent="0.2">
      <c r="A432" s="153">
        <v>2036</v>
      </c>
      <c r="B432" s="153">
        <v>11</v>
      </c>
      <c r="C432" s="153" t="str">
        <f t="shared" si="43"/>
        <v>203611</v>
      </c>
      <c r="D432" s="153" t="str">
        <f t="shared" si="45"/>
        <v>Q4</v>
      </c>
      <c r="E432" s="153" t="e">
        <f t="shared" si="46"/>
        <v>#N/A</v>
      </c>
      <c r="F432" s="153" t="e">
        <f t="shared" si="46"/>
        <v>#N/A</v>
      </c>
      <c r="G432" s="153">
        <f t="shared" si="46"/>
        <v>71824.680357699355</v>
      </c>
      <c r="H432" s="153">
        <f t="shared" si="46"/>
        <v>1587.8631187716624</v>
      </c>
      <c r="I432" s="153">
        <f t="shared" si="46"/>
        <v>644.64642834154051</v>
      </c>
      <c r="J432" s="179" t="e">
        <f t="shared" si="44"/>
        <v>#N/A</v>
      </c>
      <c r="M432" s="177"/>
    </row>
    <row r="433" spans="1:13" x14ac:dyDescent="0.2">
      <c r="A433" s="153">
        <v>2036</v>
      </c>
      <c r="B433" s="153">
        <v>12</v>
      </c>
      <c r="C433" s="153" t="str">
        <f t="shared" si="43"/>
        <v>203612</v>
      </c>
      <c r="D433" s="153" t="str">
        <f t="shared" si="45"/>
        <v>Q4</v>
      </c>
      <c r="E433" s="153" t="e">
        <f t="shared" si="46"/>
        <v>#N/A</v>
      </c>
      <c r="F433" s="153" t="e">
        <f t="shared" si="46"/>
        <v>#N/A</v>
      </c>
      <c r="G433" s="153">
        <f t="shared" si="46"/>
        <v>71824.680357699355</v>
      </c>
      <c r="H433" s="153">
        <f t="shared" si="46"/>
        <v>1587.8631187716624</v>
      </c>
      <c r="I433" s="153">
        <f t="shared" si="46"/>
        <v>644.64642834154051</v>
      </c>
      <c r="J433" s="179" t="e">
        <f t="shared" si="44"/>
        <v>#N/A</v>
      </c>
      <c r="M433" s="177"/>
    </row>
    <row r="434" spans="1:13" x14ac:dyDescent="0.2">
      <c r="A434" s="153">
        <v>2037</v>
      </c>
      <c r="B434" s="153">
        <v>1</v>
      </c>
      <c r="C434" s="153" t="str">
        <f t="shared" si="43"/>
        <v>20371</v>
      </c>
      <c r="D434" s="153" t="str">
        <f t="shared" si="45"/>
        <v>Q1</v>
      </c>
      <c r="E434" s="153" t="e">
        <f t="shared" si="46"/>
        <v>#N/A</v>
      </c>
      <c r="F434" s="153" t="e">
        <f t="shared" si="46"/>
        <v>#N/A</v>
      </c>
      <c r="G434" s="153">
        <f t="shared" si="46"/>
        <v>72447.763150773302</v>
      </c>
      <c r="H434" s="153">
        <f t="shared" si="46"/>
        <v>1590.3371175079371</v>
      </c>
      <c r="I434" s="153">
        <f t="shared" si="46"/>
        <v>646.17868991644832</v>
      </c>
      <c r="J434" s="179" t="e">
        <f t="shared" si="44"/>
        <v>#N/A</v>
      </c>
      <c r="M434" s="177"/>
    </row>
    <row r="435" spans="1:13" x14ac:dyDescent="0.2">
      <c r="A435" s="153">
        <v>2037</v>
      </c>
      <c r="B435" s="153">
        <v>2</v>
      </c>
      <c r="C435" s="153" t="str">
        <f t="shared" si="43"/>
        <v>20372</v>
      </c>
      <c r="D435" s="153" t="str">
        <f t="shared" si="45"/>
        <v>Q1</v>
      </c>
      <c r="E435" s="153" t="e">
        <f t="shared" si="46"/>
        <v>#N/A</v>
      </c>
      <c r="F435" s="153" t="e">
        <f t="shared" si="46"/>
        <v>#N/A</v>
      </c>
      <c r="G435" s="153">
        <f t="shared" si="46"/>
        <v>72447.763150773302</v>
      </c>
      <c r="H435" s="153">
        <f t="shared" si="46"/>
        <v>1590.3371175079371</v>
      </c>
      <c r="I435" s="153">
        <f t="shared" si="46"/>
        <v>646.17868991644832</v>
      </c>
      <c r="J435" s="179" t="e">
        <f t="shared" si="44"/>
        <v>#N/A</v>
      </c>
      <c r="M435" s="177"/>
    </row>
    <row r="436" spans="1:13" x14ac:dyDescent="0.2">
      <c r="A436" s="153">
        <v>2037</v>
      </c>
      <c r="B436" s="153">
        <v>3</v>
      </c>
      <c r="C436" s="153" t="str">
        <f t="shared" si="43"/>
        <v>20373</v>
      </c>
      <c r="D436" s="153" t="str">
        <f t="shared" si="45"/>
        <v>Q1</v>
      </c>
      <c r="E436" s="153" t="e">
        <f t="shared" si="46"/>
        <v>#N/A</v>
      </c>
      <c r="F436" s="153" t="e">
        <f t="shared" si="46"/>
        <v>#N/A</v>
      </c>
      <c r="G436" s="153">
        <f t="shared" si="46"/>
        <v>72447.763150773302</v>
      </c>
      <c r="H436" s="153">
        <f t="shared" si="46"/>
        <v>1590.3371175079371</v>
      </c>
      <c r="I436" s="153">
        <f t="shared" si="46"/>
        <v>646.17868991644832</v>
      </c>
      <c r="J436" s="179" t="e">
        <f t="shared" si="44"/>
        <v>#N/A</v>
      </c>
      <c r="M436" s="177"/>
    </row>
    <row r="437" spans="1:13" x14ac:dyDescent="0.2">
      <c r="A437" s="153">
        <v>2037</v>
      </c>
      <c r="B437" s="153">
        <v>4</v>
      </c>
      <c r="C437" s="153" t="str">
        <f t="shared" si="43"/>
        <v>20374</v>
      </c>
      <c r="D437" s="153" t="str">
        <f t="shared" si="45"/>
        <v>Q2</v>
      </c>
      <c r="E437" s="153" t="e">
        <f t="shared" si="46"/>
        <v>#N/A</v>
      </c>
      <c r="F437" s="153" t="e">
        <f t="shared" si="46"/>
        <v>#N/A</v>
      </c>
      <c r="G437" s="153">
        <f t="shared" si="46"/>
        <v>72741.245498345263</v>
      </c>
      <c r="H437" s="153">
        <f t="shared" si="46"/>
        <v>1593.2153142308298</v>
      </c>
      <c r="I437" s="153">
        <f t="shared" si="46"/>
        <v>647.24235365531092</v>
      </c>
      <c r="J437" s="179" t="e">
        <f t="shared" si="44"/>
        <v>#N/A</v>
      </c>
      <c r="M437" s="177"/>
    </row>
    <row r="438" spans="1:13" x14ac:dyDescent="0.2">
      <c r="A438" s="153">
        <v>2037</v>
      </c>
      <c r="B438" s="153">
        <v>5</v>
      </c>
      <c r="C438" s="153" t="str">
        <f t="shared" si="43"/>
        <v>20375</v>
      </c>
      <c r="D438" s="153" t="str">
        <f t="shared" si="45"/>
        <v>Q2</v>
      </c>
      <c r="E438" s="153" t="e">
        <f t="shared" si="46"/>
        <v>#N/A</v>
      </c>
      <c r="F438" s="153" t="e">
        <f t="shared" si="46"/>
        <v>#N/A</v>
      </c>
      <c r="G438" s="153">
        <f t="shared" si="46"/>
        <v>72741.245498345263</v>
      </c>
      <c r="H438" s="153">
        <f t="shared" si="46"/>
        <v>1593.2153142308298</v>
      </c>
      <c r="I438" s="153">
        <f t="shared" si="46"/>
        <v>647.24235365531092</v>
      </c>
      <c r="J438" s="179" t="e">
        <f t="shared" si="44"/>
        <v>#N/A</v>
      </c>
      <c r="M438" s="177"/>
    </row>
    <row r="439" spans="1:13" x14ac:dyDescent="0.2">
      <c r="A439" s="153">
        <v>2037</v>
      </c>
      <c r="B439" s="153">
        <v>6</v>
      </c>
      <c r="C439" s="153" t="str">
        <f t="shared" si="43"/>
        <v>20376</v>
      </c>
      <c r="D439" s="153" t="str">
        <f t="shared" si="45"/>
        <v>Q2</v>
      </c>
      <c r="E439" s="153" t="e">
        <f t="shared" si="46"/>
        <v>#N/A</v>
      </c>
      <c r="F439" s="153" t="e">
        <f t="shared" si="46"/>
        <v>#N/A</v>
      </c>
      <c r="G439" s="153">
        <f t="shared" si="46"/>
        <v>72741.245498345263</v>
      </c>
      <c r="H439" s="153">
        <f t="shared" si="46"/>
        <v>1593.2153142308298</v>
      </c>
      <c r="I439" s="153">
        <f t="shared" si="46"/>
        <v>647.24235365531092</v>
      </c>
      <c r="J439" s="179" t="e">
        <f t="shared" si="44"/>
        <v>#N/A</v>
      </c>
      <c r="M439" s="177"/>
    </row>
    <row r="440" spans="1:13" x14ac:dyDescent="0.2">
      <c r="A440" s="153">
        <v>2037</v>
      </c>
      <c r="B440" s="153">
        <v>7</v>
      </c>
      <c r="C440" s="153" t="str">
        <f t="shared" si="43"/>
        <v>20377</v>
      </c>
      <c r="D440" s="153" t="str">
        <f t="shared" si="45"/>
        <v>Q3</v>
      </c>
      <c r="E440" s="153" t="e">
        <f t="shared" si="46"/>
        <v>#N/A</v>
      </c>
      <c r="F440" s="153" t="e">
        <f t="shared" si="46"/>
        <v>#N/A</v>
      </c>
      <c r="G440" s="153">
        <f t="shared" si="46"/>
        <v>73102.722593319864</v>
      </c>
      <c r="H440" s="153">
        <f t="shared" si="46"/>
        <v>1596.0959356728197</v>
      </c>
      <c r="I440" s="153">
        <f t="shared" si="46"/>
        <v>648.42676799107232</v>
      </c>
      <c r="J440" s="179" t="e">
        <f t="shared" si="44"/>
        <v>#N/A</v>
      </c>
      <c r="M440" s="177"/>
    </row>
    <row r="441" spans="1:13" x14ac:dyDescent="0.2">
      <c r="A441" s="153">
        <v>2037</v>
      </c>
      <c r="B441" s="153">
        <v>8</v>
      </c>
      <c r="C441" s="153" t="str">
        <f t="shared" si="43"/>
        <v>20378</v>
      </c>
      <c r="D441" s="153" t="str">
        <f t="shared" si="45"/>
        <v>Q3</v>
      </c>
      <c r="E441" s="153" t="e">
        <f t="shared" si="46"/>
        <v>#N/A</v>
      </c>
      <c r="F441" s="153" t="e">
        <f t="shared" si="46"/>
        <v>#N/A</v>
      </c>
      <c r="G441" s="153">
        <f t="shared" si="46"/>
        <v>73102.722593319864</v>
      </c>
      <c r="H441" s="153">
        <f t="shared" si="46"/>
        <v>1596.0959356728197</v>
      </c>
      <c r="I441" s="153">
        <f t="shared" si="46"/>
        <v>648.42676799107232</v>
      </c>
      <c r="J441" s="179" t="e">
        <f t="shared" si="44"/>
        <v>#N/A</v>
      </c>
      <c r="M441" s="177"/>
    </row>
    <row r="442" spans="1:13" x14ac:dyDescent="0.2">
      <c r="A442" s="153">
        <v>2037</v>
      </c>
      <c r="B442" s="153">
        <v>9</v>
      </c>
      <c r="C442" s="153" t="str">
        <f t="shared" si="43"/>
        <v>20379</v>
      </c>
      <c r="D442" s="153" t="str">
        <f t="shared" si="45"/>
        <v>Q3</v>
      </c>
      <c r="E442" s="153" t="e">
        <f t="shared" si="46"/>
        <v>#N/A</v>
      </c>
      <c r="F442" s="153" t="e">
        <f t="shared" si="46"/>
        <v>#N/A</v>
      </c>
      <c r="G442" s="153">
        <f t="shared" si="46"/>
        <v>73102.722593319864</v>
      </c>
      <c r="H442" s="153">
        <f t="shared" si="46"/>
        <v>1596.0959356728197</v>
      </c>
      <c r="I442" s="153">
        <f t="shared" si="46"/>
        <v>648.42676799107232</v>
      </c>
      <c r="J442" s="179" t="e">
        <f t="shared" si="44"/>
        <v>#N/A</v>
      </c>
      <c r="M442" s="177"/>
    </row>
    <row r="443" spans="1:13" x14ac:dyDescent="0.2">
      <c r="A443" s="153">
        <v>2037</v>
      </c>
      <c r="B443" s="153">
        <v>10</v>
      </c>
      <c r="C443" s="153" t="str">
        <f t="shared" si="43"/>
        <v>203710</v>
      </c>
      <c r="D443" s="153" t="str">
        <f t="shared" si="45"/>
        <v>Q4</v>
      </c>
      <c r="E443" s="153" t="e">
        <f t="shared" si="46"/>
        <v>#N/A</v>
      </c>
      <c r="F443" s="153" t="e">
        <f t="shared" si="46"/>
        <v>#N/A</v>
      </c>
      <c r="G443" s="153">
        <f t="shared" si="46"/>
        <v>73402.360419798119</v>
      </c>
      <c r="H443" s="153">
        <f t="shared" si="46"/>
        <v>1598.9764503681336</v>
      </c>
      <c r="I443" s="153">
        <f t="shared" si="46"/>
        <v>649.58191279176742</v>
      </c>
      <c r="J443" s="179" t="e">
        <f t="shared" si="44"/>
        <v>#N/A</v>
      </c>
      <c r="M443" s="177"/>
    </row>
    <row r="444" spans="1:13" x14ac:dyDescent="0.2">
      <c r="A444" s="153">
        <v>2037</v>
      </c>
      <c r="B444" s="153">
        <v>11</v>
      </c>
      <c r="C444" s="153" t="str">
        <f t="shared" si="43"/>
        <v>203711</v>
      </c>
      <c r="D444" s="153" t="str">
        <f t="shared" si="45"/>
        <v>Q4</v>
      </c>
      <c r="E444" s="153" t="e">
        <f t="shared" si="46"/>
        <v>#N/A</v>
      </c>
      <c r="F444" s="153" t="e">
        <f t="shared" si="46"/>
        <v>#N/A</v>
      </c>
      <c r="G444" s="153">
        <f t="shared" si="46"/>
        <v>73402.360419798119</v>
      </c>
      <c r="H444" s="153">
        <f t="shared" si="46"/>
        <v>1598.9764503681336</v>
      </c>
      <c r="I444" s="153">
        <f t="shared" si="46"/>
        <v>649.58191279176742</v>
      </c>
      <c r="J444" s="179" t="e">
        <f t="shared" si="44"/>
        <v>#N/A</v>
      </c>
      <c r="M444" s="177"/>
    </row>
    <row r="445" spans="1:13" x14ac:dyDescent="0.2">
      <c r="A445" s="153">
        <v>2037</v>
      </c>
      <c r="B445" s="153">
        <v>12</v>
      </c>
      <c r="C445" s="153" t="str">
        <f t="shared" si="43"/>
        <v>203712</v>
      </c>
      <c r="D445" s="153" t="str">
        <f t="shared" si="45"/>
        <v>Q4</v>
      </c>
      <c r="E445" s="153" t="e">
        <f t="shared" si="46"/>
        <v>#N/A</v>
      </c>
      <c r="F445" s="153" t="e">
        <f t="shared" si="46"/>
        <v>#N/A</v>
      </c>
      <c r="G445" s="153">
        <f t="shared" si="46"/>
        <v>73402.360419798119</v>
      </c>
      <c r="H445" s="153">
        <f t="shared" si="46"/>
        <v>1598.9764503681336</v>
      </c>
      <c r="I445" s="153">
        <f t="shared" si="46"/>
        <v>649.58191279176742</v>
      </c>
      <c r="J445" s="179" t="e">
        <f t="shared" si="44"/>
        <v>#N/A</v>
      </c>
      <c r="M445" s="177"/>
    </row>
    <row r="446" spans="1:13" x14ac:dyDescent="0.2">
      <c r="A446" s="153">
        <v>2038</v>
      </c>
      <c r="B446" s="153">
        <v>1</v>
      </c>
      <c r="C446" s="153" t="str">
        <f t="shared" si="43"/>
        <v>20381</v>
      </c>
      <c r="D446" s="153" t="str">
        <f t="shared" si="45"/>
        <v>Q1</v>
      </c>
      <c r="E446" s="153" t="e">
        <f t="shared" si="46"/>
        <v>#N/A</v>
      </c>
      <c r="F446" s="153" t="e">
        <f t="shared" si="46"/>
        <v>#N/A</v>
      </c>
      <c r="G446" s="153">
        <f t="shared" si="46"/>
        <v>74168.296997856392</v>
      </c>
      <c r="H446" s="153">
        <f t="shared" si="46"/>
        <v>1601.4611143230209</v>
      </c>
      <c r="I446" s="153">
        <f t="shared" si="46"/>
        <v>650.64643651730421</v>
      </c>
      <c r="J446" s="179" t="e">
        <f t="shared" si="44"/>
        <v>#N/A</v>
      </c>
      <c r="M446" s="177"/>
    </row>
    <row r="447" spans="1:13" x14ac:dyDescent="0.2">
      <c r="A447" s="153">
        <v>2038</v>
      </c>
      <c r="B447" s="153">
        <v>2</v>
      </c>
      <c r="C447" s="153" t="str">
        <f t="shared" si="43"/>
        <v>20382</v>
      </c>
      <c r="D447" s="153" t="str">
        <f t="shared" si="45"/>
        <v>Q1</v>
      </c>
      <c r="E447" s="153" t="e">
        <f t="shared" si="46"/>
        <v>#N/A</v>
      </c>
      <c r="F447" s="153" t="e">
        <f t="shared" si="46"/>
        <v>#N/A</v>
      </c>
      <c r="G447" s="153">
        <f t="shared" si="46"/>
        <v>74168.296997856392</v>
      </c>
      <c r="H447" s="153">
        <f t="shared" si="46"/>
        <v>1601.4611143230209</v>
      </c>
      <c r="I447" s="153">
        <f t="shared" si="46"/>
        <v>650.64643651730421</v>
      </c>
      <c r="J447" s="179" t="e">
        <f t="shared" si="44"/>
        <v>#N/A</v>
      </c>
      <c r="M447" s="177"/>
    </row>
    <row r="448" spans="1:13" x14ac:dyDescent="0.2">
      <c r="A448" s="153">
        <v>2038</v>
      </c>
      <c r="B448" s="153">
        <v>3</v>
      </c>
      <c r="C448" s="153" t="str">
        <f t="shared" si="43"/>
        <v>20383</v>
      </c>
      <c r="D448" s="153" t="str">
        <f t="shared" si="45"/>
        <v>Q1</v>
      </c>
      <c r="E448" s="153" t="e">
        <f t="shared" si="46"/>
        <v>#N/A</v>
      </c>
      <c r="F448" s="153" t="e">
        <f t="shared" si="46"/>
        <v>#N/A</v>
      </c>
      <c r="G448" s="153">
        <f t="shared" si="46"/>
        <v>74168.296997856392</v>
      </c>
      <c r="H448" s="153">
        <f t="shared" si="46"/>
        <v>1601.4611143230209</v>
      </c>
      <c r="I448" s="153">
        <f t="shared" si="46"/>
        <v>650.64643651730421</v>
      </c>
      <c r="J448" s="179" t="e">
        <f t="shared" si="44"/>
        <v>#N/A</v>
      </c>
      <c r="M448" s="177"/>
    </row>
    <row r="449" spans="1:18" x14ac:dyDescent="0.2">
      <c r="A449" s="153">
        <v>2038</v>
      </c>
      <c r="B449" s="153">
        <v>4</v>
      </c>
      <c r="C449" s="153" t="str">
        <f t="shared" si="43"/>
        <v>20384</v>
      </c>
      <c r="D449" s="153" t="str">
        <f t="shared" si="45"/>
        <v>Q2</v>
      </c>
      <c r="E449" s="153" t="e">
        <f t="shared" si="46"/>
        <v>#N/A</v>
      </c>
      <c r="F449" s="153" t="e">
        <f t="shared" si="46"/>
        <v>#N/A</v>
      </c>
      <c r="G449" s="153">
        <f t="shared" si="46"/>
        <v>74450.486243109015</v>
      </c>
      <c r="H449" s="153">
        <f t="shared" si="46"/>
        <v>1604.3431943766236</v>
      </c>
      <c r="I449" s="153">
        <f t="shared" si="46"/>
        <v>651.85894634814315</v>
      </c>
      <c r="J449" s="179" t="e">
        <f t="shared" si="44"/>
        <v>#N/A</v>
      </c>
      <c r="M449" s="177"/>
    </row>
    <row r="450" spans="1:18" x14ac:dyDescent="0.2">
      <c r="A450" s="153">
        <v>2038</v>
      </c>
      <c r="B450" s="153">
        <v>5</v>
      </c>
      <c r="C450" s="153" t="str">
        <f t="shared" si="43"/>
        <v>20385</v>
      </c>
      <c r="D450" s="153" t="str">
        <f t="shared" si="45"/>
        <v>Q2</v>
      </c>
      <c r="E450" s="153" t="e">
        <f t="shared" si="46"/>
        <v>#N/A</v>
      </c>
      <c r="F450" s="153" t="e">
        <f t="shared" si="46"/>
        <v>#N/A</v>
      </c>
      <c r="G450" s="153">
        <f t="shared" si="46"/>
        <v>74450.486243109015</v>
      </c>
      <c r="H450" s="153">
        <f t="shared" si="46"/>
        <v>1604.3431943766236</v>
      </c>
      <c r="I450" s="153">
        <f t="shared" si="46"/>
        <v>651.85894634814315</v>
      </c>
      <c r="J450" s="179" t="e">
        <f t="shared" si="44"/>
        <v>#N/A</v>
      </c>
      <c r="M450" s="177"/>
    </row>
    <row r="451" spans="1:18" x14ac:dyDescent="0.2">
      <c r="A451" s="153">
        <v>2038</v>
      </c>
      <c r="B451" s="153">
        <v>6</v>
      </c>
      <c r="C451" s="153" t="str">
        <f t="shared" ref="C451:C505" si="47">A451&amp;B451</f>
        <v>20386</v>
      </c>
      <c r="D451" s="153" t="str">
        <f t="shared" si="45"/>
        <v>Q2</v>
      </c>
      <c r="E451" s="153" t="e">
        <f t="shared" si="46"/>
        <v>#N/A</v>
      </c>
      <c r="F451" s="153" t="e">
        <f t="shared" si="46"/>
        <v>#N/A</v>
      </c>
      <c r="G451" s="153">
        <f t="shared" si="46"/>
        <v>74450.486243109015</v>
      </c>
      <c r="H451" s="153">
        <f t="shared" si="46"/>
        <v>1604.3431943766236</v>
      </c>
      <c r="I451" s="153">
        <f t="shared" si="46"/>
        <v>651.85894634814315</v>
      </c>
      <c r="J451" s="179" t="e">
        <f t="shared" si="44"/>
        <v>#N/A</v>
      </c>
      <c r="M451" s="177"/>
    </row>
    <row r="452" spans="1:18" x14ac:dyDescent="0.2">
      <c r="A452" s="153">
        <v>2038</v>
      </c>
      <c r="B452" s="153">
        <v>7</v>
      </c>
      <c r="C452" s="153" t="str">
        <f t="shared" si="47"/>
        <v>20387</v>
      </c>
      <c r="D452" s="153" t="str">
        <f t="shared" si="45"/>
        <v>Q3</v>
      </c>
      <c r="E452" s="153" t="e">
        <f t="shared" si="46"/>
        <v>#N/A</v>
      </c>
      <c r="F452" s="153" t="e">
        <f t="shared" si="46"/>
        <v>#N/A</v>
      </c>
      <c r="G452" s="153">
        <f t="shared" si="46"/>
        <v>74816.632055130074</v>
      </c>
      <c r="H452" s="153">
        <f t="shared" si="46"/>
        <v>1606.83089746121</v>
      </c>
      <c r="I452" s="153">
        <f t="shared" si="46"/>
        <v>652.90882450601555</v>
      </c>
      <c r="J452" s="179" t="e">
        <f t="shared" si="44"/>
        <v>#N/A</v>
      </c>
      <c r="M452" s="177"/>
    </row>
    <row r="453" spans="1:18" x14ac:dyDescent="0.2">
      <c r="A453" s="153">
        <v>2038</v>
      </c>
      <c r="B453" s="153">
        <v>8</v>
      </c>
      <c r="C453" s="153" t="str">
        <f t="shared" si="47"/>
        <v>20388</v>
      </c>
      <c r="D453" s="153" t="str">
        <f t="shared" si="45"/>
        <v>Q3</v>
      </c>
      <c r="E453" s="153" t="e">
        <f t="shared" si="46"/>
        <v>#N/A</v>
      </c>
      <c r="F453" s="153" t="e">
        <f t="shared" si="46"/>
        <v>#N/A</v>
      </c>
      <c r="G453" s="153">
        <f t="shared" si="46"/>
        <v>74816.632055130074</v>
      </c>
      <c r="H453" s="153">
        <f t="shared" si="46"/>
        <v>1606.83089746121</v>
      </c>
      <c r="I453" s="153">
        <f t="shared" si="46"/>
        <v>652.90882450601555</v>
      </c>
      <c r="J453" s="179" t="e">
        <f t="shared" si="44"/>
        <v>#N/A</v>
      </c>
      <c r="M453" s="177"/>
    </row>
    <row r="454" spans="1:18" x14ac:dyDescent="0.2">
      <c r="A454" s="153">
        <v>2038</v>
      </c>
      <c r="B454" s="153">
        <v>9</v>
      </c>
      <c r="C454" s="153" t="str">
        <f t="shared" si="47"/>
        <v>20389</v>
      </c>
      <c r="D454" s="153" t="str">
        <f t="shared" si="45"/>
        <v>Q3</v>
      </c>
      <c r="E454" s="153" t="e">
        <f t="shared" si="46"/>
        <v>#N/A</v>
      </c>
      <c r="F454" s="153" t="e">
        <f t="shared" si="46"/>
        <v>#N/A</v>
      </c>
      <c r="G454" s="153">
        <f t="shared" si="46"/>
        <v>74816.632055130074</v>
      </c>
      <c r="H454" s="153">
        <f t="shared" si="46"/>
        <v>1606.83089746121</v>
      </c>
      <c r="I454" s="153">
        <f t="shared" si="46"/>
        <v>652.90882450601555</v>
      </c>
      <c r="J454" s="179" t="e">
        <f t="shared" si="44"/>
        <v>#N/A</v>
      </c>
      <c r="M454" s="177"/>
    </row>
    <row r="455" spans="1:18" x14ac:dyDescent="0.2">
      <c r="A455" s="153">
        <v>2038</v>
      </c>
      <c r="B455" s="153">
        <v>10</v>
      </c>
      <c r="C455" s="153" t="str">
        <f t="shared" si="47"/>
        <v>203810</v>
      </c>
      <c r="D455" s="153" t="str">
        <f t="shared" si="45"/>
        <v>Q4</v>
      </c>
      <c r="E455" s="153" t="e">
        <f t="shared" si="46"/>
        <v>#N/A</v>
      </c>
      <c r="F455" s="153" t="e">
        <f t="shared" si="46"/>
        <v>#N/A</v>
      </c>
      <c r="G455" s="153">
        <f t="shared" si="46"/>
        <v>75064.067244100908</v>
      </c>
      <c r="H455" s="153">
        <f t="shared" si="46"/>
        <v>1609.7258733013837</v>
      </c>
      <c r="I455" s="153">
        <f t="shared" si="46"/>
        <v>654.04624818355182</v>
      </c>
      <c r="J455" s="179" t="e">
        <f t="shared" ref="J455:J505" si="48">E455/E443-1</f>
        <v>#N/A</v>
      </c>
      <c r="M455" s="177"/>
    </row>
    <row r="456" spans="1:18" x14ac:dyDescent="0.2">
      <c r="A456" s="153">
        <v>2038</v>
      </c>
      <c r="B456" s="153">
        <v>11</v>
      </c>
      <c r="C456" s="153" t="str">
        <f t="shared" si="47"/>
        <v>203811</v>
      </c>
      <c r="D456" s="153" t="str">
        <f t="shared" si="45"/>
        <v>Q4</v>
      </c>
      <c r="E456" s="153" t="e">
        <f t="shared" ref="E456:I505" si="49">VLOOKUP($A456&amp;$D456,$O$1:$U$169,MATCH(E$1,$O$1:$U$1,0),0)</f>
        <v>#N/A</v>
      </c>
      <c r="F456" s="153" t="e">
        <f t="shared" si="49"/>
        <v>#N/A</v>
      </c>
      <c r="G456" s="153">
        <f t="shared" si="49"/>
        <v>75064.067244100908</v>
      </c>
      <c r="H456" s="153">
        <f t="shared" si="49"/>
        <v>1609.7258733013837</v>
      </c>
      <c r="I456" s="153">
        <f t="shared" si="49"/>
        <v>654.04624818355182</v>
      </c>
      <c r="J456" s="179" t="e">
        <f t="shared" si="48"/>
        <v>#N/A</v>
      </c>
      <c r="M456" s="177"/>
    </row>
    <row r="457" spans="1:18" x14ac:dyDescent="0.2">
      <c r="A457" s="153">
        <v>2038</v>
      </c>
      <c r="B457" s="153">
        <v>12</v>
      </c>
      <c r="C457" s="153" t="str">
        <f t="shared" si="47"/>
        <v>203812</v>
      </c>
      <c r="D457" s="153" t="str">
        <f t="shared" si="45"/>
        <v>Q4</v>
      </c>
      <c r="E457" s="153" t="e">
        <f t="shared" si="49"/>
        <v>#N/A</v>
      </c>
      <c r="F457" s="153" t="e">
        <f t="shared" si="49"/>
        <v>#N/A</v>
      </c>
      <c r="G457" s="153">
        <f t="shared" si="49"/>
        <v>75064.067244100908</v>
      </c>
      <c r="H457" s="153">
        <f t="shared" si="49"/>
        <v>1609.7258733013837</v>
      </c>
      <c r="I457" s="153">
        <f t="shared" si="49"/>
        <v>654.04624818355182</v>
      </c>
      <c r="J457" s="179" t="e">
        <f t="shared" si="48"/>
        <v>#N/A</v>
      </c>
      <c r="M457" s="177"/>
    </row>
    <row r="458" spans="1:18" x14ac:dyDescent="0.2">
      <c r="A458" s="153">
        <v>2039</v>
      </c>
      <c r="B458" s="153">
        <v>1</v>
      </c>
      <c r="C458" s="153" t="str">
        <f t="shared" si="47"/>
        <v>20391</v>
      </c>
      <c r="D458" s="153" t="str">
        <f t="shared" si="45"/>
        <v>Q1</v>
      </c>
      <c r="E458" s="153" t="e">
        <f t="shared" si="49"/>
        <v>#N/A</v>
      </c>
      <c r="F458" s="153" t="e">
        <f t="shared" si="49"/>
        <v>#N/A</v>
      </c>
      <c r="G458" s="153">
        <f t="shared" si="49"/>
        <v>75840.568404815305</v>
      </c>
      <c r="H458" s="153">
        <f t="shared" si="49"/>
        <v>1612.6175504805458</v>
      </c>
      <c r="I458" s="153">
        <f t="shared" si="49"/>
        <v>655.30018451505816</v>
      </c>
      <c r="J458" s="179" t="e">
        <f t="shared" si="48"/>
        <v>#N/A</v>
      </c>
      <c r="M458" s="177"/>
      <c r="P458" s="161"/>
      <c r="Q458" s="161"/>
      <c r="R458" s="161"/>
    </row>
    <row r="459" spans="1:18" x14ac:dyDescent="0.2">
      <c r="A459" s="153">
        <v>2039</v>
      </c>
      <c r="B459" s="153">
        <v>2</v>
      </c>
      <c r="C459" s="153" t="str">
        <f t="shared" si="47"/>
        <v>20392</v>
      </c>
      <c r="D459" s="153" t="str">
        <f t="shared" si="45"/>
        <v>Q1</v>
      </c>
      <c r="E459" s="153" t="e">
        <f t="shared" si="49"/>
        <v>#N/A</v>
      </c>
      <c r="F459" s="153" t="e">
        <f t="shared" si="49"/>
        <v>#N/A</v>
      </c>
      <c r="G459" s="153">
        <f t="shared" si="49"/>
        <v>75840.568404815305</v>
      </c>
      <c r="H459" s="153">
        <f t="shared" si="49"/>
        <v>1612.6175504805458</v>
      </c>
      <c r="I459" s="153">
        <f t="shared" si="49"/>
        <v>655.30018451505816</v>
      </c>
      <c r="J459" s="179" t="e">
        <f t="shared" si="48"/>
        <v>#N/A</v>
      </c>
      <c r="M459" s="177"/>
      <c r="P459" s="161"/>
      <c r="Q459" s="161"/>
      <c r="R459" s="161"/>
    </row>
    <row r="460" spans="1:18" x14ac:dyDescent="0.2">
      <c r="A460" s="153">
        <v>2039</v>
      </c>
      <c r="B460" s="153">
        <v>3</v>
      </c>
      <c r="C460" s="153" t="str">
        <f t="shared" si="47"/>
        <v>20393</v>
      </c>
      <c r="D460" s="153" t="str">
        <f t="shared" si="45"/>
        <v>Q1</v>
      </c>
      <c r="E460" s="153" t="e">
        <f t="shared" si="49"/>
        <v>#N/A</v>
      </c>
      <c r="F460" s="153" t="e">
        <f t="shared" si="49"/>
        <v>#N/A</v>
      </c>
      <c r="G460" s="153">
        <f t="shared" si="49"/>
        <v>75840.568404815305</v>
      </c>
      <c r="H460" s="153">
        <f t="shared" si="49"/>
        <v>1612.6175504805458</v>
      </c>
      <c r="I460" s="153">
        <f t="shared" si="49"/>
        <v>655.30018451505816</v>
      </c>
      <c r="J460" s="179" t="e">
        <f t="shared" si="48"/>
        <v>#N/A</v>
      </c>
      <c r="M460" s="177"/>
      <c r="P460" s="161"/>
      <c r="Q460" s="161"/>
      <c r="R460" s="161"/>
    </row>
    <row r="461" spans="1:18" x14ac:dyDescent="0.2">
      <c r="A461" s="153">
        <v>2039</v>
      </c>
      <c r="B461" s="153">
        <v>4</v>
      </c>
      <c r="C461" s="153" t="str">
        <f t="shared" si="47"/>
        <v>20394</v>
      </c>
      <c r="D461" s="153" t="str">
        <f t="shared" si="45"/>
        <v>Q2</v>
      </c>
      <c r="E461" s="153" t="e">
        <f t="shared" si="49"/>
        <v>#N/A</v>
      </c>
      <c r="F461" s="153" t="e">
        <f t="shared" si="49"/>
        <v>#N/A</v>
      </c>
      <c r="G461" s="153">
        <f t="shared" si="49"/>
        <v>76141.322355622717</v>
      </c>
      <c r="H461" s="153">
        <f t="shared" si="49"/>
        <v>1615.5089503416345</v>
      </c>
      <c r="I461" s="153">
        <f t="shared" si="49"/>
        <v>656.52817840494413</v>
      </c>
      <c r="J461" s="179" t="e">
        <f t="shared" si="48"/>
        <v>#N/A</v>
      </c>
      <c r="M461" s="177"/>
      <c r="P461" s="161"/>
      <c r="Q461" s="161"/>
      <c r="R461" s="161"/>
    </row>
    <row r="462" spans="1:18" x14ac:dyDescent="0.2">
      <c r="A462" s="153">
        <v>2039</v>
      </c>
      <c r="B462" s="153">
        <v>5</v>
      </c>
      <c r="C462" s="153" t="str">
        <f t="shared" si="47"/>
        <v>20395</v>
      </c>
      <c r="D462" s="153" t="str">
        <f t="shared" si="45"/>
        <v>Q2</v>
      </c>
      <c r="E462" s="153" t="e">
        <f t="shared" si="49"/>
        <v>#N/A</v>
      </c>
      <c r="F462" s="153" t="e">
        <f t="shared" si="49"/>
        <v>#N/A</v>
      </c>
      <c r="G462" s="153">
        <f t="shared" si="49"/>
        <v>76141.322355622717</v>
      </c>
      <c r="H462" s="153">
        <f t="shared" si="49"/>
        <v>1615.5089503416345</v>
      </c>
      <c r="I462" s="153">
        <f t="shared" si="49"/>
        <v>656.52817840494413</v>
      </c>
      <c r="J462" s="179" t="e">
        <f t="shared" si="48"/>
        <v>#N/A</v>
      </c>
      <c r="M462" s="177"/>
      <c r="P462" s="161"/>
      <c r="Q462" s="161"/>
      <c r="R462" s="161"/>
    </row>
    <row r="463" spans="1:18" x14ac:dyDescent="0.2">
      <c r="A463" s="153">
        <v>2039</v>
      </c>
      <c r="B463" s="153">
        <v>6</v>
      </c>
      <c r="C463" s="153" t="str">
        <f t="shared" si="47"/>
        <v>20396</v>
      </c>
      <c r="D463" s="153" t="str">
        <f t="shared" ref="D463:D505" si="50">D451</f>
        <v>Q2</v>
      </c>
      <c r="E463" s="153" t="e">
        <f t="shared" si="49"/>
        <v>#N/A</v>
      </c>
      <c r="F463" s="153" t="e">
        <f t="shared" si="49"/>
        <v>#N/A</v>
      </c>
      <c r="G463" s="153">
        <f t="shared" si="49"/>
        <v>76141.322355622717</v>
      </c>
      <c r="H463" s="153">
        <f t="shared" si="49"/>
        <v>1615.5089503416345</v>
      </c>
      <c r="I463" s="153">
        <f t="shared" si="49"/>
        <v>656.52817840494413</v>
      </c>
      <c r="J463" s="179" t="e">
        <f t="shared" si="48"/>
        <v>#N/A</v>
      </c>
      <c r="M463" s="177"/>
      <c r="P463" s="161"/>
      <c r="Q463" s="161"/>
      <c r="R463" s="161"/>
    </row>
    <row r="464" spans="1:18" x14ac:dyDescent="0.2">
      <c r="A464" s="153">
        <v>2039</v>
      </c>
      <c r="B464" s="153">
        <v>7</v>
      </c>
      <c r="C464" s="153" t="str">
        <f t="shared" si="47"/>
        <v>20397</v>
      </c>
      <c r="D464" s="153" t="str">
        <f t="shared" si="50"/>
        <v>Q3</v>
      </c>
      <c r="E464" s="153" t="e">
        <f t="shared" si="49"/>
        <v>#N/A</v>
      </c>
      <c r="F464" s="153" t="e">
        <f t="shared" si="49"/>
        <v>#N/A</v>
      </c>
      <c r="G464" s="153">
        <f t="shared" si="49"/>
        <v>76492.965770602008</v>
      </c>
      <c r="H464" s="153">
        <f t="shared" si="49"/>
        <v>1617.6029197345481</v>
      </c>
      <c r="I464" s="153">
        <f t="shared" si="49"/>
        <v>657.46191608893332</v>
      </c>
      <c r="J464" s="179" t="e">
        <f t="shared" si="48"/>
        <v>#N/A</v>
      </c>
      <c r="M464" s="177"/>
      <c r="P464" s="161"/>
      <c r="Q464" s="161"/>
      <c r="R464" s="161"/>
    </row>
    <row r="465" spans="1:18" x14ac:dyDescent="0.2">
      <c r="A465" s="153">
        <v>2039</v>
      </c>
      <c r="B465" s="153">
        <v>8</v>
      </c>
      <c r="C465" s="153" t="str">
        <f t="shared" si="47"/>
        <v>20398</v>
      </c>
      <c r="D465" s="153" t="str">
        <f t="shared" si="50"/>
        <v>Q3</v>
      </c>
      <c r="E465" s="153" t="e">
        <f t="shared" si="49"/>
        <v>#N/A</v>
      </c>
      <c r="F465" s="153" t="e">
        <f t="shared" si="49"/>
        <v>#N/A</v>
      </c>
      <c r="G465" s="153">
        <f t="shared" si="49"/>
        <v>76492.965770602008</v>
      </c>
      <c r="H465" s="153">
        <f t="shared" si="49"/>
        <v>1617.6029197345481</v>
      </c>
      <c r="I465" s="153">
        <f t="shared" si="49"/>
        <v>657.46191608893332</v>
      </c>
      <c r="J465" s="179" t="e">
        <f t="shared" si="48"/>
        <v>#N/A</v>
      </c>
      <c r="M465" s="177"/>
      <c r="P465" s="161"/>
      <c r="Q465" s="161"/>
      <c r="R465" s="161"/>
    </row>
    <row r="466" spans="1:18" x14ac:dyDescent="0.2">
      <c r="A466" s="153">
        <v>2039</v>
      </c>
      <c r="B466" s="153">
        <v>9</v>
      </c>
      <c r="C466" s="153" t="str">
        <f t="shared" si="47"/>
        <v>20399</v>
      </c>
      <c r="D466" s="153" t="str">
        <f t="shared" si="50"/>
        <v>Q3</v>
      </c>
      <c r="E466" s="153" t="e">
        <f t="shared" si="49"/>
        <v>#N/A</v>
      </c>
      <c r="F466" s="153" t="e">
        <f t="shared" si="49"/>
        <v>#N/A</v>
      </c>
      <c r="G466" s="153">
        <f t="shared" si="49"/>
        <v>76492.965770602008</v>
      </c>
      <c r="H466" s="153">
        <f t="shared" si="49"/>
        <v>1617.6029197345481</v>
      </c>
      <c r="I466" s="153">
        <f t="shared" si="49"/>
        <v>657.46191608893332</v>
      </c>
      <c r="J466" s="179" t="e">
        <f t="shared" si="48"/>
        <v>#N/A</v>
      </c>
      <c r="M466" s="177"/>
      <c r="P466" s="161"/>
      <c r="Q466" s="161"/>
      <c r="R466" s="161"/>
    </row>
    <row r="467" spans="1:18" x14ac:dyDescent="0.2">
      <c r="A467" s="153">
        <v>2039</v>
      </c>
      <c r="B467" s="153">
        <v>10</v>
      </c>
      <c r="C467" s="153" t="str">
        <f t="shared" si="47"/>
        <v>203910</v>
      </c>
      <c r="D467" s="153" t="str">
        <f t="shared" si="50"/>
        <v>Q4</v>
      </c>
      <c r="E467" s="153" t="e">
        <f t="shared" si="49"/>
        <v>#N/A</v>
      </c>
      <c r="F467" s="153" t="e">
        <f t="shared" si="49"/>
        <v>#N/A</v>
      </c>
      <c r="G467" s="153">
        <f t="shared" si="49"/>
        <v>76695.004703515413</v>
      </c>
      <c r="H467" s="153">
        <f t="shared" si="49"/>
        <v>1620.4951949773053</v>
      </c>
      <c r="I467" s="153">
        <f t="shared" si="49"/>
        <v>658.56291460396233</v>
      </c>
      <c r="J467" s="179" t="e">
        <f t="shared" si="48"/>
        <v>#N/A</v>
      </c>
      <c r="M467" s="177"/>
      <c r="P467" s="161"/>
      <c r="Q467" s="161"/>
      <c r="R467" s="161"/>
    </row>
    <row r="468" spans="1:18" x14ac:dyDescent="0.2">
      <c r="A468" s="153">
        <v>2039</v>
      </c>
      <c r="B468" s="153">
        <v>11</v>
      </c>
      <c r="C468" s="153" t="str">
        <f t="shared" si="47"/>
        <v>203911</v>
      </c>
      <c r="D468" s="153" t="str">
        <f t="shared" si="50"/>
        <v>Q4</v>
      </c>
      <c r="E468" s="153" t="e">
        <f t="shared" si="49"/>
        <v>#N/A</v>
      </c>
      <c r="F468" s="153" t="e">
        <f t="shared" si="49"/>
        <v>#N/A</v>
      </c>
      <c r="G468" s="153">
        <f t="shared" si="49"/>
        <v>76695.004703515413</v>
      </c>
      <c r="H468" s="153">
        <f t="shared" si="49"/>
        <v>1620.4951949773053</v>
      </c>
      <c r="I468" s="153">
        <f t="shared" si="49"/>
        <v>658.56291460396233</v>
      </c>
      <c r="J468" s="179" t="e">
        <f t="shared" si="48"/>
        <v>#N/A</v>
      </c>
      <c r="M468" s="177"/>
      <c r="P468" s="161"/>
      <c r="Q468" s="161"/>
      <c r="R468" s="161"/>
    </row>
    <row r="469" spans="1:18" x14ac:dyDescent="0.2">
      <c r="A469" s="153">
        <v>2039</v>
      </c>
      <c r="B469" s="153">
        <v>12</v>
      </c>
      <c r="C469" s="153" t="str">
        <f t="shared" si="47"/>
        <v>203912</v>
      </c>
      <c r="D469" s="153" t="str">
        <f t="shared" si="50"/>
        <v>Q4</v>
      </c>
      <c r="E469" s="153" t="e">
        <f t="shared" si="49"/>
        <v>#N/A</v>
      </c>
      <c r="F469" s="153" t="e">
        <f t="shared" si="49"/>
        <v>#N/A</v>
      </c>
      <c r="G469" s="153">
        <f t="shared" si="49"/>
        <v>76695.004703515413</v>
      </c>
      <c r="H469" s="153">
        <f t="shared" si="49"/>
        <v>1620.4951949773053</v>
      </c>
      <c r="I469" s="153">
        <f t="shared" si="49"/>
        <v>658.56291460396233</v>
      </c>
      <c r="J469" s="179" t="e">
        <f t="shared" si="48"/>
        <v>#N/A</v>
      </c>
      <c r="M469" s="177"/>
      <c r="P469" s="161"/>
      <c r="Q469" s="161"/>
      <c r="R469" s="161"/>
    </row>
    <row r="470" spans="1:18" x14ac:dyDescent="0.2">
      <c r="A470" s="153">
        <v>2040</v>
      </c>
      <c r="B470" s="153">
        <v>1</v>
      </c>
      <c r="C470" s="153" t="str">
        <f t="shared" si="47"/>
        <v>20401</v>
      </c>
      <c r="D470" s="153" t="str">
        <f t="shared" si="50"/>
        <v>Q1</v>
      </c>
      <c r="E470" s="153" t="e">
        <f t="shared" si="49"/>
        <v>#N/A</v>
      </c>
      <c r="F470" s="153" t="e">
        <f t="shared" si="49"/>
        <v>#N/A</v>
      </c>
      <c r="G470" s="153">
        <f t="shared" si="49"/>
        <v>77513.638711835636</v>
      </c>
      <c r="H470" s="153">
        <f t="shared" si="49"/>
        <v>1623.7853490545465</v>
      </c>
      <c r="I470" s="153">
        <f t="shared" si="49"/>
        <v>660.01880586217703</v>
      </c>
      <c r="J470" s="179" t="e">
        <f t="shared" si="48"/>
        <v>#N/A</v>
      </c>
      <c r="M470" s="177"/>
    </row>
    <row r="471" spans="1:18" x14ac:dyDescent="0.2">
      <c r="A471" s="153">
        <v>2040</v>
      </c>
      <c r="B471" s="153">
        <v>2</v>
      </c>
      <c r="C471" s="153" t="str">
        <f t="shared" si="47"/>
        <v>20402</v>
      </c>
      <c r="D471" s="153" t="str">
        <f t="shared" si="50"/>
        <v>Q1</v>
      </c>
      <c r="E471" s="153" t="e">
        <f t="shared" si="49"/>
        <v>#N/A</v>
      </c>
      <c r="F471" s="153" t="e">
        <f t="shared" si="49"/>
        <v>#N/A</v>
      </c>
      <c r="G471" s="153">
        <f t="shared" si="49"/>
        <v>77513.638711835636</v>
      </c>
      <c r="H471" s="153">
        <f t="shared" si="49"/>
        <v>1623.7853490545465</v>
      </c>
      <c r="I471" s="153">
        <f t="shared" si="49"/>
        <v>660.01880586217703</v>
      </c>
      <c r="J471" s="179" t="e">
        <f t="shared" si="48"/>
        <v>#N/A</v>
      </c>
      <c r="M471" s="177"/>
    </row>
    <row r="472" spans="1:18" x14ac:dyDescent="0.2">
      <c r="A472" s="153">
        <v>2040</v>
      </c>
      <c r="B472" s="153">
        <v>3</v>
      </c>
      <c r="C472" s="153" t="str">
        <f t="shared" si="47"/>
        <v>20403</v>
      </c>
      <c r="D472" s="153" t="str">
        <f t="shared" si="50"/>
        <v>Q1</v>
      </c>
      <c r="E472" s="153" t="e">
        <f t="shared" si="49"/>
        <v>#N/A</v>
      </c>
      <c r="F472" s="153" t="e">
        <f t="shared" si="49"/>
        <v>#N/A</v>
      </c>
      <c r="G472" s="153">
        <f t="shared" si="49"/>
        <v>77513.638711835636</v>
      </c>
      <c r="H472" s="153">
        <f t="shared" si="49"/>
        <v>1623.7853490545465</v>
      </c>
      <c r="I472" s="153">
        <f t="shared" si="49"/>
        <v>660.01880586217703</v>
      </c>
      <c r="J472" s="179" t="e">
        <f t="shared" si="48"/>
        <v>#N/A</v>
      </c>
      <c r="M472" s="177"/>
    </row>
    <row r="473" spans="1:18" x14ac:dyDescent="0.2">
      <c r="A473" s="153">
        <v>2040</v>
      </c>
      <c r="B473" s="153">
        <v>4</v>
      </c>
      <c r="C473" s="153" t="str">
        <f t="shared" si="47"/>
        <v>20404</v>
      </c>
      <c r="D473" s="153" t="str">
        <f t="shared" si="50"/>
        <v>Q2</v>
      </c>
      <c r="E473" s="153" t="e">
        <f t="shared" si="49"/>
        <v>#N/A</v>
      </c>
      <c r="F473" s="153" t="e">
        <f t="shared" si="49"/>
        <v>#N/A</v>
      </c>
      <c r="G473" s="153">
        <f t="shared" si="49"/>
        <v>77841.976074505961</v>
      </c>
      <c r="H473" s="153">
        <f t="shared" si="49"/>
        <v>1626.6764251669936</v>
      </c>
      <c r="I473" s="153">
        <f t="shared" si="49"/>
        <v>661.22040958897628</v>
      </c>
      <c r="J473" s="179" t="e">
        <f t="shared" si="48"/>
        <v>#N/A</v>
      </c>
      <c r="M473" s="177"/>
    </row>
    <row r="474" spans="1:18" x14ac:dyDescent="0.2">
      <c r="A474" s="153">
        <v>2040</v>
      </c>
      <c r="B474" s="153">
        <v>5</v>
      </c>
      <c r="C474" s="153" t="str">
        <f t="shared" si="47"/>
        <v>20405</v>
      </c>
      <c r="D474" s="153" t="str">
        <f t="shared" si="50"/>
        <v>Q2</v>
      </c>
      <c r="E474" s="153" t="e">
        <f t="shared" si="49"/>
        <v>#N/A</v>
      </c>
      <c r="F474" s="153" t="e">
        <f t="shared" si="49"/>
        <v>#N/A</v>
      </c>
      <c r="G474" s="153">
        <f t="shared" si="49"/>
        <v>77841.976074505961</v>
      </c>
      <c r="H474" s="153">
        <f t="shared" si="49"/>
        <v>1626.6764251669936</v>
      </c>
      <c r="I474" s="153">
        <f t="shared" si="49"/>
        <v>661.22040958897628</v>
      </c>
      <c r="J474" s="179" t="e">
        <f t="shared" si="48"/>
        <v>#N/A</v>
      </c>
      <c r="M474" s="177"/>
    </row>
    <row r="475" spans="1:18" x14ac:dyDescent="0.2">
      <c r="A475" s="153">
        <v>2040</v>
      </c>
      <c r="B475" s="153">
        <v>6</v>
      </c>
      <c r="C475" s="153" t="str">
        <f t="shared" si="47"/>
        <v>20406</v>
      </c>
      <c r="D475" s="153" t="str">
        <f t="shared" si="50"/>
        <v>Q2</v>
      </c>
      <c r="E475" s="153" t="e">
        <f t="shared" si="49"/>
        <v>#N/A</v>
      </c>
      <c r="F475" s="153" t="e">
        <f t="shared" si="49"/>
        <v>#N/A</v>
      </c>
      <c r="G475" s="153">
        <f t="shared" si="49"/>
        <v>77841.976074505961</v>
      </c>
      <c r="H475" s="153">
        <f t="shared" si="49"/>
        <v>1626.6764251669936</v>
      </c>
      <c r="I475" s="153">
        <f t="shared" si="49"/>
        <v>661.22040958897628</v>
      </c>
      <c r="J475" s="179" t="e">
        <f t="shared" si="48"/>
        <v>#N/A</v>
      </c>
      <c r="M475" s="177"/>
    </row>
    <row r="476" spans="1:18" x14ac:dyDescent="0.2">
      <c r="A476" s="153">
        <v>2040</v>
      </c>
      <c r="B476" s="153">
        <v>7</v>
      </c>
      <c r="C476" s="153" t="str">
        <f t="shared" si="47"/>
        <v>20407</v>
      </c>
      <c r="D476" s="153" t="str">
        <f t="shared" si="50"/>
        <v>Q3</v>
      </c>
      <c r="E476" s="153" t="e">
        <f t="shared" si="49"/>
        <v>#N/A</v>
      </c>
      <c r="F476" s="153" t="e">
        <f t="shared" si="49"/>
        <v>#N/A</v>
      </c>
      <c r="G476" s="153">
        <f t="shared" si="49"/>
        <v>78204.146715535113</v>
      </c>
      <c r="H476" s="153">
        <f t="shared" si="49"/>
        <v>1628.3660504644736</v>
      </c>
      <c r="I476" s="153">
        <f t="shared" si="49"/>
        <v>662.00450475364175</v>
      </c>
      <c r="J476" s="179" t="e">
        <f t="shared" si="48"/>
        <v>#N/A</v>
      </c>
      <c r="M476" s="177"/>
    </row>
    <row r="477" spans="1:18" x14ac:dyDescent="0.2">
      <c r="A477" s="153">
        <v>2040</v>
      </c>
      <c r="B477" s="153">
        <v>8</v>
      </c>
      <c r="C477" s="153" t="str">
        <f t="shared" si="47"/>
        <v>20408</v>
      </c>
      <c r="D477" s="153" t="str">
        <f t="shared" si="50"/>
        <v>Q3</v>
      </c>
      <c r="E477" s="153" t="e">
        <f t="shared" si="49"/>
        <v>#N/A</v>
      </c>
      <c r="F477" s="153" t="e">
        <f t="shared" si="49"/>
        <v>#N/A</v>
      </c>
      <c r="G477" s="153">
        <f t="shared" si="49"/>
        <v>78204.146715535113</v>
      </c>
      <c r="H477" s="153">
        <f t="shared" si="49"/>
        <v>1628.3660504644736</v>
      </c>
      <c r="I477" s="153">
        <f t="shared" si="49"/>
        <v>662.00450475364175</v>
      </c>
      <c r="J477" s="179" t="e">
        <f t="shared" si="48"/>
        <v>#N/A</v>
      </c>
      <c r="M477" s="177"/>
    </row>
    <row r="478" spans="1:18" x14ac:dyDescent="0.2">
      <c r="A478" s="153">
        <v>2040</v>
      </c>
      <c r="B478" s="153">
        <v>9</v>
      </c>
      <c r="C478" s="153" t="str">
        <f t="shared" si="47"/>
        <v>20409</v>
      </c>
      <c r="D478" s="153" t="str">
        <f t="shared" si="50"/>
        <v>Q3</v>
      </c>
      <c r="E478" s="153" t="e">
        <f t="shared" si="49"/>
        <v>#N/A</v>
      </c>
      <c r="F478" s="153" t="e">
        <f t="shared" si="49"/>
        <v>#N/A</v>
      </c>
      <c r="G478" s="153">
        <f t="shared" si="49"/>
        <v>78204.146715535113</v>
      </c>
      <c r="H478" s="153">
        <f t="shared" si="49"/>
        <v>1628.3660504644736</v>
      </c>
      <c r="I478" s="153">
        <f t="shared" si="49"/>
        <v>662.00450475364175</v>
      </c>
      <c r="J478" s="179" t="e">
        <f t="shared" si="48"/>
        <v>#N/A</v>
      </c>
      <c r="M478" s="177"/>
    </row>
    <row r="479" spans="1:18" x14ac:dyDescent="0.2">
      <c r="A479" s="153">
        <v>2040</v>
      </c>
      <c r="B479" s="153">
        <v>10</v>
      </c>
      <c r="C479" s="153" t="str">
        <f t="shared" si="47"/>
        <v>204010</v>
      </c>
      <c r="D479" s="153" t="str">
        <f t="shared" si="50"/>
        <v>Q4</v>
      </c>
      <c r="E479" s="153" t="e">
        <f t="shared" si="49"/>
        <v>#N/A</v>
      </c>
      <c r="F479" s="153" t="e">
        <f t="shared" si="49"/>
        <v>#N/A</v>
      </c>
      <c r="G479" s="153">
        <f t="shared" si="49"/>
        <v>78353.210632927832</v>
      </c>
      <c r="H479" s="153">
        <f t="shared" si="49"/>
        <v>1631.2593703972593</v>
      </c>
      <c r="I479" s="153">
        <f t="shared" si="49"/>
        <v>663.00775377696857</v>
      </c>
      <c r="J479" s="179" t="e">
        <f t="shared" si="48"/>
        <v>#N/A</v>
      </c>
      <c r="M479" s="177"/>
    </row>
    <row r="480" spans="1:18" x14ac:dyDescent="0.2">
      <c r="A480" s="153">
        <v>2040</v>
      </c>
      <c r="B480" s="153">
        <v>11</v>
      </c>
      <c r="C480" s="153" t="str">
        <f t="shared" si="47"/>
        <v>204011</v>
      </c>
      <c r="D480" s="153" t="str">
        <f t="shared" si="50"/>
        <v>Q4</v>
      </c>
      <c r="E480" s="153" t="e">
        <f t="shared" si="49"/>
        <v>#N/A</v>
      </c>
      <c r="F480" s="153" t="e">
        <f t="shared" si="49"/>
        <v>#N/A</v>
      </c>
      <c r="G480" s="153">
        <f t="shared" si="49"/>
        <v>78353.210632927832</v>
      </c>
      <c r="H480" s="153">
        <f t="shared" si="49"/>
        <v>1631.2593703972593</v>
      </c>
      <c r="I480" s="153">
        <f t="shared" si="49"/>
        <v>663.00775377696857</v>
      </c>
      <c r="J480" s="179" t="e">
        <f t="shared" si="48"/>
        <v>#N/A</v>
      </c>
      <c r="M480" s="177"/>
    </row>
    <row r="481" spans="1:13" x14ac:dyDescent="0.2">
      <c r="A481" s="153">
        <v>2040</v>
      </c>
      <c r="B481" s="153">
        <v>12</v>
      </c>
      <c r="C481" s="153" t="str">
        <f t="shared" si="47"/>
        <v>204012</v>
      </c>
      <c r="D481" s="153" t="str">
        <f t="shared" si="50"/>
        <v>Q4</v>
      </c>
      <c r="E481" s="153" t="e">
        <f t="shared" si="49"/>
        <v>#N/A</v>
      </c>
      <c r="F481" s="153" t="e">
        <f t="shared" si="49"/>
        <v>#N/A</v>
      </c>
      <c r="G481" s="153">
        <f t="shared" si="49"/>
        <v>78353.210632927832</v>
      </c>
      <c r="H481" s="153">
        <f t="shared" si="49"/>
        <v>1631.2593703972593</v>
      </c>
      <c r="I481" s="153">
        <f t="shared" si="49"/>
        <v>663.00775377696857</v>
      </c>
      <c r="J481" s="179" t="e">
        <f t="shared" si="48"/>
        <v>#N/A</v>
      </c>
      <c r="M481" s="177"/>
    </row>
    <row r="482" spans="1:13" x14ac:dyDescent="0.2">
      <c r="A482" s="153">
        <v>2041</v>
      </c>
      <c r="B482" s="153">
        <v>1</v>
      </c>
      <c r="C482" s="153" t="str">
        <f t="shared" si="47"/>
        <v>20411</v>
      </c>
      <c r="D482" s="153" t="str">
        <f t="shared" si="50"/>
        <v>Q1</v>
      </c>
      <c r="E482" s="153" t="e">
        <f t="shared" si="49"/>
        <v>#N/A</v>
      </c>
      <c r="F482" s="153" t="e">
        <f t="shared" si="49"/>
        <v>#N/A</v>
      </c>
      <c r="G482" s="153">
        <f t="shared" si="49"/>
        <v>79359.287038077135</v>
      </c>
      <c r="H482" s="153">
        <f t="shared" si="49"/>
        <v>1634.9550126437005</v>
      </c>
      <c r="I482" s="153">
        <f t="shared" si="49"/>
        <v>664.90680433900059</v>
      </c>
      <c r="J482" s="179" t="e">
        <f t="shared" si="48"/>
        <v>#N/A</v>
      </c>
      <c r="M482" s="177"/>
    </row>
    <row r="483" spans="1:13" x14ac:dyDescent="0.2">
      <c r="A483" s="153">
        <v>2041</v>
      </c>
      <c r="B483" s="153">
        <v>2</v>
      </c>
      <c r="C483" s="153" t="str">
        <f t="shared" si="47"/>
        <v>20412</v>
      </c>
      <c r="D483" s="153" t="str">
        <f t="shared" si="50"/>
        <v>Q1</v>
      </c>
      <c r="E483" s="153" t="e">
        <f t="shared" si="49"/>
        <v>#N/A</v>
      </c>
      <c r="F483" s="153" t="e">
        <f t="shared" si="49"/>
        <v>#N/A</v>
      </c>
      <c r="G483" s="153">
        <f t="shared" si="49"/>
        <v>79359.287038077135</v>
      </c>
      <c r="H483" s="153">
        <f t="shared" si="49"/>
        <v>1634.9550126437005</v>
      </c>
      <c r="I483" s="153">
        <f t="shared" si="49"/>
        <v>664.90680433900059</v>
      </c>
      <c r="J483" s="179" t="e">
        <f t="shared" si="48"/>
        <v>#N/A</v>
      </c>
      <c r="M483" s="177"/>
    </row>
    <row r="484" spans="1:13" x14ac:dyDescent="0.2">
      <c r="A484" s="153">
        <v>2041</v>
      </c>
      <c r="B484" s="153">
        <v>3</v>
      </c>
      <c r="C484" s="153" t="str">
        <f t="shared" si="47"/>
        <v>20413</v>
      </c>
      <c r="D484" s="153" t="str">
        <f t="shared" si="50"/>
        <v>Q1</v>
      </c>
      <c r="E484" s="153" t="e">
        <f t="shared" si="49"/>
        <v>#N/A</v>
      </c>
      <c r="F484" s="153" t="e">
        <f t="shared" si="49"/>
        <v>#N/A</v>
      </c>
      <c r="G484" s="153">
        <f t="shared" si="49"/>
        <v>79359.287038077135</v>
      </c>
      <c r="H484" s="153">
        <f t="shared" si="49"/>
        <v>1634.9550126437005</v>
      </c>
      <c r="I484" s="153">
        <f t="shared" si="49"/>
        <v>664.90680433900059</v>
      </c>
      <c r="J484" s="179" t="e">
        <f t="shared" si="48"/>
        <v>#N/A</v>
      </c>
      <c r="M484" s="177"/>
    </row>
    <row r="485" spans="1:13" x14ac:dyDescent="0.2">
      <c r="A485" s="153">
        <v>2041</v>
      </c>
      <c r="B485" s="153">
        <v>4</v>
      </c>
      <c r="C485" s="153" t="str">
        <f t="shared" si="47"/>
        <v>20414</v>
      </c>
      <c r="D485" s="153" t="str">
        <f t="shared" si="50"/>
        <v>Q2</v>
      </c>
      <c r="E485" s="153" t="e">
        <f t="shared" si="49"/>
        <v>#N/A</v>
      </c>
      <c r="F485" s="153" t="e">
        <f t="shared" si="49"/>
        <v>#N/A</v>
      </c>
      <c r="G485" s="153">
        <f t="shared" si="49"/>
        <v>79663.055240366433</v>
      </c>
      <c r="H485" s="153">
        <f t="shared" si="49"/>
        <v>1637.8500459704619</v>
      </c>
      <c r="I485" s="153">
        <f t="shared" si="49"/>
        <v>666.1970095576562</v>
      </c>
      <c r="J485" s="179" t="e">
        <f t="shared" si="48"/>
        <v>#N/A</v>
      </c>
      <c r="M485" s="177"/>
    </row>
    <row r="486" spans="1:13" x14ac:dyDescent="0.2">
      <c r="A486" s="153">
        <v>2041</v>
      </c>
      <c r="B486" s="153">
        <v>5</v>
      </c>
      <c r="C486" s="153" t="str">
        <f t="shared" si="47"/>
        <v>20415</v>
      </c>
      <c r="D486" s="153" t="str">
        <f t="shared" si="50"/>
        <v>Q2</v>
      </c>
      <c r="E486" s="153" t="e">
        <f t="shared" si="49"/>
        <v>#N/A</v>
      </c>
      <c r="F486" s="153" t="e">
        <f t="shared" si="49"/>
        <v>#N/A</v>
      </c>
      <c r="G486" s="153">
        <f t="shared" si="49"/>
        <v>79663.055240366433</v>
      </c>
      <c r="H486" s="153">
        <f t="shared" si="49"/>
        <v>1637.8500459704619</v>
      </c>
      <c r="I486" s="153">
        <f t="shared" si="49"/>
        <v>666.1970095576562</v>
      </c>
      <c r="J486" s="179" t="e">
        <f t="shared" si="48"/>
        <v>#N/A</v>
      </c>
      <c r="M486" s="177"/>
    </row>
    <row r="487" spans="1:13" x14ac:dyDescent="0.2">
      <c r="A487" s="153">
        <v>2041</v>
      </c>
      <c r="B487" s="153">
        <v>6</v>
      </c>
      <c r="C487" s="153" t="str">
        <f t="shared" si="47"/>
        <v>20416</v>
      </c>
      <c r="D487" s="153" t="str">
        <f t="shared" si="50"/>
        <v>Q2</v>
      </c>
      <c r="E487" s="153" t="e">
        <f t="shared" si="49"/>
        <v>#N/A</v>
      </c>
      <c r="F487" s="153" t="e">
        <f t="shared" si="49"/>
        <v>#N/A</v>
      </c>
      <c r="G487" s="153">
        <f t="shared" si="49"/>
        <v>79663.055240366433</v>
      </c>
      <c r="H487" s="153">
        <f t="shared" si="49"/>
        <v>1637.8500459704619</v>
      </c>
      <c r="I487" s="153">
        <f t="shared" si="49"/>
        <v>666.1970095576562</v>
      </c>
      <c r="J487" s="179" t="e">
        <f t="shared" si="48"/>
        <v>#N/A</v>
      </c>
      <c r="M487" s="177"/>
    </row>
    <row r="488" spans="1:13" x14ac:dyDescent="0.2">
      <c r="A488" s="153">
        <v>2041</v>
      </c>
      <c r="B488" s="153">
        <v>7</v>
      </c>
      <c r="C488" s="153" t="str">
        <f t="shared" si="47"/>
        <v>20417</v>
      </c>
      <c r="D488" s="153" t="str">
        <f t="shared" si="50"/>
        <v>Q3</v>
      </c>
      <c r="E488" s="153" t="e">
        <f t="shared" si="49"/>
        <v>#N/A</v>
      </c>
      <c r="F488" s="153" t="e">
        <f t="shared" si="49"/>
        <v>#N/A</v>
      </c>
      <c r="G488" s="153">
        <f t="shared" si="49"/>
        <v>80091.173605845252</v>
      </c>
      <c r="H488" s="153">
        <f t="shared" si="49"/>
        <v>1639.1353340251969</v>
      </c>
      <c r="I488" s="153">
        <f t="shared" si="49"/>
        <v>666.95155045085892</v>
      </c>
      <c r="J488" s="179" t="e">
        <f t="shared" si="48"/>
        <v>#N/A</v>
      </c>
      <c r="M488" s="177"/>
    </row>
    <row r="489" spans="1:13" x14ac:dyDescent="0.2">
      <c r="A489" s="153">
        <v>2041</v>
      </c>
      <c r="B489" s="153">
        <v>8</v>
      </c>
      <c r="C489" s="153" t="str">
        <f t="shared" si="47"/>
        <v>20418</v>
      </c>
      <c r="D489" s="153" t="str">
        <f t="shared" si="50"/>
        <v>Q3</v>
      </c>
      <c r="E489" s="153" t="e">
        <f t="shared" si="49"/>
        <v>#N/A</v>
      </c>
      <c r="F489" s="153" t="e">
        <f t="shared" si="49"/>
        <v>#N/A</v>
      </c>
      <c r="G489" s="153">
        <f t="shared" si="49"/>
        <v>80091.173605845252</v>
      </c>
      <c r="H489" s="153">
        <f t="shared" si="49"/>
        <v>1639.1353340251969</v>
      </c>
      <c r="I489" s="153">
        <f t="shared" si="49"/>
        <v>666.95155045085892</v>
      </c>
      <c r="J489" s="179" t="e">
        <f t="shared" si="48"/>
        <v>#N/A</v>
      </c>
      <c r="M489" s="177"/>
    </row>
    <row r="490" spans="1:13" x14ac:dyDescent="0.2">
      <c r="A490" s="153">
        <v>2041</v>
      </c>
      <c r="B490" s="153">
        <v>9</v>
      </c>
      <c r="C490" s="153" t="str">
        <f t="shared" si="47"/>
        <v>20419</v>
      </c>
      <c r="D490" s="153" t="str">
        <f t="shared" si="50"/>
        <v>Q3</v>
      </c>
      <c r="E490" s="153" t="e">
        <f t="shared" si="49"/>
        <v>#N/A</v>
      </c>
      <c r="F490" s="153" t="e">
        <f t="shared" si="49"/>
        <v>#N/A</v>
      </c>
      <c r="G490" s="153">
        <f t="shared" si="49"/>
        <v>80091.173605845252</v>
      </c>
      <c r="H490" s="153">
        <f t="shared" si="49"/>
        <v>1639.1353340251969</v>
      </c>
      <c r="I490" s="153">
        <f t="shared" si="49"/>
        <v>666.95155045085892</v>
      </c>
      <c r="J490" s="179" t="e">
        <f t="shared" si="48"/>
        <v>#N/A</v>
      </c>
      <c r="M490" s="177"/>
    </row>
    <row r="491" spans="1:13" x14ac:dyDescent="0.2">
      <c r="A491" s="153">
        <v>2041</v>
      </c>
      <c r="B491" s="153">
        <v>10</v>
      </c>
      <c r="C491" s="153" t="str">
        <f t="shared" si="47"/>
        <v>204110</v>
      </c>
      <c r="D491" s="153" t="str">
        <f t="shared" si="50"/>
        <v>Q4</v>
      </c>
      <c r="E491" s="153" t="e">
        <f t="shared" si="49"/>
        <v>#N/A</v>
      </c>
      <c r="F491" s="153" t="e">
        <f t="shared" si="49"/>
        <v>#N/A</v>
      </c>
      <c r="G491" s="153">
        <f t="shared" si="49"/>
        <v>80240.833138693764</v>
      </c>
      <c r="H491" s="153">
        <f t="shared" si="49"/>
        <v>1642.0358310005879</v>
      </c>
      <c r="I491" s="153">
        <f t="shared" si="49"/>
        <v>667.96599328001332</v>
      </c>
      <c r="J491" s="179" t="e">
        <f t="shared" si="48"/>
        <v>#N/A</v>
      </c>
      <c r="M491" s="177"/>
    </row>
    <row r="492" spans="1:13" x14ac:dyDescent="0.2">
      <c r="A492" s="153">
        <v>2041</v>
      </c>
      <c r="B492" s="153">
        <v>11</v>
      </c>
      <c r="C492" s="153" t="str">
        <f t="shared" si="47"/>
        <v>204111</v>
      </c>
      <c r="D492" s="153" t="str">
        <f t="shared" si="50"/>
        <v>Q4</v>
      </c>
      <c r="E492" s="153" t="e">
        <f t="shared" si="49"/>
        <v>#N/A</v>
      </c>
      <c r="F492" s="153" t="e">
        <f t="shared" si="49"/>
        <v>#N/A</v>
      </c>
      <c r="G492" s="153">
        <f t="shared" si="49"/>
        <v>80240.833138693764</v>
      </c>
      <c r="H492" s="153">
        <f t="shared" si="49"/>
        <v>1642.0358310005879</v>
      </c>
      <c r="I492" s="153">
        <f t="shared" si="49"/>
        <v>667.96599328001332</v>
      </c>
      <c r="J492" s="179" t="e">
        <f t="shared" si="48"/>
        <v>#N/A</v>
      </c>
      <c r="M492" s="177"/>
    </row>
    <row r="493" spans="1:13" x14ac:dyDescent="0.2">
      <c r="A493" s="153">
        <v>2041</v>
      </c>
      <c r="B493" s="153">
        <v>12</v>
      </c>
      <c r="C493" s="153" t="str">
        <f t="shared" si="47"/>
        <v>204112</v>
      </c>
      <c r="D493" s="153" t="str">
        <f t="shared" si="50"/>
        <v>Q4</v>
      </c>
      <c r="E493" s="153" t="e">
        <f t="shared" si="49"/>
        <v>#N/A</v>
      </c>
      <c r="F493" s="153" t="e">
        <f t="shared" si="49"/>
        <v>#N/A</v>
      </c>
      <c r="G493" s="153">
        <f t="shared" si="49"/>
        <v>80240.833138693764</v>
      </c>
      <c r="H493" s="153">
        <f t="shared" si="49"/>
        <v>1642.0358310005879</v>
      </c>
      <c r="I493" s="153">
        <f t="shared" si="49"/>
        <v>667.96599328001332</v>
      </c>
      <c r="J493" s="179" t="e">
        <f t="shared" si="48"/>
        <v>#N/A</v>
      </c>
      <c r="M493" s="177"/>
    </row>
    <row r="494" spans="1:13" x14ac:dyDescent="0.2">
      <c r="A494" s="153">
        <f>A482+1</f>
        <v>2042</v>
      </c>
      <c r="B494" s="153">
        <v>1</v>
      </c>
      <c r="C494" s="153" t="str">
        <f t="shared" si="47"/>
        <v>20421</v>
      </c>
      <c r="D494" s="153" t="str">
        <f t="shared" si="50"/>
        <v>Q1</v>
      </c>
      <c r="E494" s="153" t="e">
        <f t="shared" si="49"/>
        <v>#N/A</v>
      </c>
      <c r="F494" s="153" t="e">
        <f t="shared" si="49"/>
        <v>#N/A</v>
      </c>
      <c r="G494" s="153">
        <f t="shared" si="49"/>
        <v>81263.909926990993</v>
      </c>
      <c r="H494" s="153">
        <f t="shared" si="49"/>
        <v>1642.0256822418812</v>
      </c>
      <c r="I494" s="153">
        <f t="shared" si="49"/>
        <v>667.9803119302959</v>
      </c>
      <c r="J494" s="179" t="e">
        <f t="shared" si="48"/>
        <v>#N/A</v>
      </c>
      <c r="M494" s="177"/>
    </row>
    <row r="495" spans="1:13" x14ac:dyDescent="0.2">
      <c r="A495" s="153">
        <f t="shared" ref="A495:A505" si="51">A483+1</f>
        <v>2042</v>
      </c>
      <c r="B495" s="153">
        <v>2</v>
      </c>
      <c r="C495" s="153" t="str">
        <f t="shared" si="47"/>
        <v>20422</v>
      </c>
      <c r="D495" s="153" t="str">
        <f t="shared" si="50"/>
        <v>Q1</v>
      </c>
      <c r="E495" s="153" t="e">
        <f t="shared" si="49"/>
        <v>#N/A</v>
      </c>
      <c r="F495" s="153" t="e">
        <f t="shared" si="49"/>
        <v>#N/A</v>
      </c>
      <c r="G495" s="153">
        <f t="shared" si="49"/>
        <v>81263.909926990993</v>
      </c>
      <c r="H495" s="153">
        <f t="shared" si="49"/>
        <v>1642.0256822418812</v>
      </c>
      <c r="I495" s="153">
        <f t="shared" si="49"/>
        <v>667.9803119302959</v>
      </c>
      <c r="J495" s="179" t="e">
        <f t="shared" si="48"/>
        <v>#N/A</v>
      </c>
      <c r="M495" s="177"/>
    </row>
    <row r="496" spans="1:13" x14ac:dyDescent="0.2">
      <c r="A496" s="153">
        <f t="shared" si="51"/>
        <v>2042</v>
      </c>
      <c r="B496" s="153">
        <v>3</v>
      </c>
      <c r="C496" s="153" t="str">
        <f t="shared" si="47"/>
        <v>20423</v>
      </c>
      <c r="D496" s="153" t="str">
        <f t="shared" si="50"/>
        <v>Q1</v>
      </c>
      <c r="E496" s="153" t="e">
        <f t="shared" si="49"/>
        <v>#N/A</v>
      </c>
      <c r="F496" s="153" t="e">
        <f t="shared" si="49"/>
        <v>#N/A</v>
      </c>
      <c r="G496" s="153">
        <f t="shared" si="49"/>
        <v>81263.909926990993</v>
      </c>
      <c r="H496" s="153">
        <f t="shared" si="49"/>
        <v>1642.0256822418812</v>
      </c>
      <c r="I496" s="153">
        <f t="shared" si="49"/>
        <v>667.9803119302959</v>
      </c>
      <c r="J496" s="179" t="e">
        <f t="shared" si="48"/>
        <v>#N/A</v>
      </c>
      <c r="M496" s="177"/>
    </row>
    <row r="497" spans="1:13" x14ac:dyDescent="0.2">
      <c r="A497" s="153">
        <f t="shared" si="51"/>
        <v>2042</v>
      </c>
      <c r="B497" s="153">
        <v>4</v>
      </c>
      <c r="C497" s="153" t="str">
        <f t="shared" si="47"/>
        <v>20424</v>
      </c>
      <c r="D497" s="153" t="str">
        <f t="shared" si="50"/>
        <v>Q2</v>
      </c>
      <c r="E497" s="153" t="e">
        <f t="shared" si="49"/>
        <v>#N/A</v>
      </c>
      <c r="F497" s="153" t="e">
        <f t="shared" si="49"/>
        <v>#N/A</v>
      </c>
      <c r="G497" s="153">
        <f t="shared" si="49"/>
        <v>81574.968566135227</v>
      </c>
      <c r="H497" s="153">
        <f t="shared" si="49"/>
        <v>1645.7457157271488</v>
      </c>
      <c r="I497" s="153">
        <f t="shared" si="49"/>
        <v>669.89360537154312</v>
      </c>
      <c r="J497" s="179" t="e">
        <f t="shared" si="48"/>
        <v>#N/A</v>
      </c>
      <c r="M497" s="177"/>
    </row>
    <row r="498" spans="1:13" x14ac:dyDescent="0.2">
      <c r="A498" s="153">
        <f t="shared" si="51"/>
        <v>2042</v>
      </c>
      <c r="B498" s="153">
        <v>5</v>
      </c>
      <c r="C498" s="153" t="str">
        <f t="shared" si="47"/>
        <v>20425</v>
      </c>
      <c r="D498" s="153" t="str">
        <f t="shared" si="50"/>
        <v>Q2</v>
      </c>
      <c r="E498" s="153" t="e">
        <f t="shared" si="49"/>
        <v>#N/A</v>
      </c>
      <c r="F498" s="153" t="e">
        <f t="shared" si="49"/>
        <v>#N/A</v>
      </c>
      <c r="G498" s="153">
        <f t="shared" si="49"/>
        <v>81574.968566135227</v>
      </c>
      <c r="H498" s="153">
        <f t="shared" si="49"/>
        <v>1645.7457157271488</v>
      </c>
      <c r="I498" s="153">
        <f t="shared" si="49"/>
        <v>669.89360537154312</v>
      </c>
      <c r="J498" s="179" t="e">
        <f t="shared" si="48"/>
        <v>#N/A</v>
      </c>
      <c r="M498" s="177"/>
    </row>
    <row r="499" spans="1:13" x14ac:dyDescent="0.2">
      <c r="A499" s="153">
        <f t="shared" si="51"/>
        <v>2042</v>
      </c>
      <c r="B499" s="153">
        <v>6</v>
      </c>
      <c r="C499" s="153" t="str">
        <f t="shared" si="47"/>
        <v>20426</v>
      </c>
      <c r="D499" s="153" t="str">
        <f t="shared" si="50"/>
        <v>Q2</v>
      </c>
      <c r="E499" s="153" t="e">
        <f t="shared" si="49"/>
        <v>#N/A</v>
      </c>
      <c r="F499" s="153" t="e">
        <f t="shared" si="49"/>
        <v>#N/A</v>
      </c>
      <c r="G499" s="153">
        <f t="shared" si="49"/>
        <v>81574.968566135227</v>
      </c>
      <c r="H499" s="153">
        <f t="shared" si="49"/>
        <v>1645.7457157271488</v>
      </c>
      <c r="I499" s="153">
        <f t="shared" si="49"/>
        <v>669.89360537154312</v>
      </c>
      <c r="J499" s="179" t="e">
        <f t="shared" si="48"/>
        <v>#N/A</v>
      </c>
      <c r="M499" s="177"/>
    </row>
    <row r="500" spans="1:13" x14ac:dyDescent="0.2">
      <c r="A500" s="153">
        <f t="shared" si="51"/>
        <v>2042</v>
      </c>
      <c r="B500" s="153">
        <v>7</v>
      </c>
      <c r="C500" s="153" t="str">
        <f t="shared" si="47"/>
        <v>20427</v>
      </c>
      <c r="D500" s="153" t="str">
        <f t="shared" si="50"/>
        <v>Q3</v>
      </c>
      <c r="E500" s="153" t="e">
        <f t="shared" si="49"/>
        <v>#N/A</v>
      </c>
      <c r="F500" s="153" t="e">
        <f t="shared" si="49"/>
        <v>#N/A</v>
      </c>
      <c r="G500" s="153">
        <f t="shared" si="49"/>
        <v>82013.361772385542</v>
      </c>
      <c r="H500" s="153">
        <f t="shared" si="49"/>
        <v>1648.6598562738668</v>
      </c>
      <c r="I500" s="153">
        <f t="shared" si="49"/>
        <v>671.19348712933868</v>
      </c>
      <c r="J500" s="179" t="e">
        <f t="shared" si="48"/>
        <v>#N/A</v>
      </c>
      <c r="M500" s="177"/>
    </row>
    <row r="501" spans="1:13" x14ac:dyDescent="0.2">
      <c r="A501" s="153">
        <f t="shared" si="51"/>
        <v>2042</v>
      </c>
      <c r="B501" s="153">
        <v>8</v>
      </c>
      <c r="C501" s="153" t="str">
        <f t="shared" si="47"/>
        <v>20428</v>
      </c>
      <c r="D501" s="153" t="str">
        <f t="shared" si="50"/>
        <v>Q3</v>
      </c>
      <c r="E501" s="153" t="e">
        <f t="shared" si="49"/>
        <v>#N/A</v>
      </c>
      <c r="F501" s="153" t="e">
        <f t="shared" si="49"/>
        <v>#N/A</v>
      </c>
      <c r="G501" s="153">
        <f t="shared" si="49"/>
        <v>82013.361772385542</v>
      </c>
      <c r="H501" s="153">
        <f t="shared" si="49"/>
        <v>1648.6598562738668</v>
      </c>
      <c r="I501" s="153">
        <f t="shared" si="49"/>
        <v>671.19348712933868</v>
      </c>
      <c r="J501" s="179" t="e">
        <f t="shared" si="48"/>
        <v>#N/A</v>
      </c>
      <c r="M501" s="177"/>
    </row>
    <row r="502" spans="1:13" x14ac:dyDescent="0.2">
      <c r="A502" s="153">
        <f t="shared" si="51"/>
        <v>2042</v>
      </c>
      <c r="B502" s="153">
        <v>9</v>
      </c>
      <c r="C502" s="153" t="str">
        <f t="shared" si="47"/>
        <v>20429</v>
      </c>
      <c r="D502" s="153" t="str">
        <f t="shared" si="50"/>
        <v>Q3</v>
      </c>
      <c r="E502" s="153" t="e">
        <f t="shared" si="49"/>
        <v>#N/A</v>
      </c>
      <c r="F502" s="153" t="e">
        <f t="shared" si="49"/>
        <v>#N/A</v>
      </c>
      <c r="G502" s="153">
        <f t="shared" si="49"/>
        <v>82013.361772385542</v>
      </c>
      <c r="H502" s="153">
        <f t="shared" si="49"/>
        <v>1648.6598562738668</v>
      </c>
      <c r="I502" s="153">
        <f t="shared" si="49"/>
        <v>671.19348712933868</v>
      </c>
      <c r="J502" s="179" t="e">
        <f t="shared" si="48"/>
        <v>#N/A</v>
      </c>
      <c r="M502" s="177"/>
    </row>
    <row r="503" spans="1:13" x14ac:dyDescent="0.2">
      <c r="A503" s="153">
        <f>A491+1</f>
        <v>2042</v>
      </c>
      <c r="B503" s="153">
        <v>10</v>
      </c>
      <c r="C503" s="153" t="str">
        <f t="shared" si="47"/>
        <v>204210</v>
      </c>
      <c r="D503" s="153" t="str">
        <f t="shared" si="50"/>
        <v>Q4</v>
      </c>
      <c r="E503" s="153" t="e">
        <f t="shared" si="49"/>
        <v>#N/A</v>
      </c>
      <c r="F503" s="153" t="e">
        <f t="shared" si="49"/>
        <v>#N/A</v>
      </c>
      <c r="G503" s="153">
        <f t="shared" si="49"/>
        <v>82166.613134022409</v>
      </c>
      <c r="H503" s="153">
        <f t="shared" si="49"/>
        <v>1649.953627229763</v>
      </c>
      <c r="I503" s="153">
        <f t="shared" si="49"/>
        <v>671.95368707924035</v>
      </c>
      <c r="J503" s="179" t="e">
        <f t="shared" si="48"/>
        <v>#N/A</v>
      </c>
      <c r="M503" s="177"/>
    </row>
    <row r="504" spans="1:13" x14ac:dyDescent="0.2">
      <c r="A504" s="153">
        <f t="shared" si="51"/>
        <v>2042</v>
      </c>
      <c r="B504" s="153">
        <v>11</v>
      </c>
      <c r="C504" s="153" t="str">
        <f t="shared" si="47"/>
        <v>204211</v>
      </c>
      <c r="D504" s="153" t="str">
        <f t="shared" si="50"/>
        <v>Q4</v>
      </c>
      <c r="E504" s="153" t="e">
        <f t="shared" si="49"/>
        <v>#N/A</v>
      </c>
      <c r="F504" s="153" t="e">
        <f t="shared" si="49"/>
        <v>#N/A</v>
      </c>
      <c r="G504" s="153">
        <f t="shared" si="49"/>
        <v>82166.613134022409</v>
      </c>
      <c r="H504" s="153">
        <f t="shared" si="49"/>
        <v>1649.953627229763</v>
      </c>
      <c r="I504" s="153">
        <f t="shared" si="49"/>
        <v>671.95368707924035</v>
      </c>
      <c r="J504" s="179" t="e">
        <f t="shared" si="48"/>
        <v>#N/A</v>
      </c>
      <c r="M504" s="177"/>
    </row>
    <row r="505" spans="1:13" x14ac:dyDescent="0.2">
      <c r="A505" s="153">
        <f t="shared" si="51"/>
        <v>2042</v>
      </c>
      <c r="B505" s="153">
        <v>12</v>
      </c>
      <c r="C505" s="153" t="str">
        <f t="shared" si="47"/>
        <v>204212</v>
      </c>
      <c r="D505" s="153" t="str">
        <f t="shared" si="50"/>
        <v>Q4</v>
      </c>
      <c r="E505" s="153" t="e">
        <f t="shared" si="49"/>
        <v>#N/A</v>
      </c>
      <c r="F505" s="153" t="e">
        <f t="shared" si="49"/>
        <v>#N/A</v>
      </c>
      <c r="G505" s="153">
        <f t="shared" si="49"/>
        <v>82166.613134022409</v>
      </c>
      <c r="H505" s="153">
        <f t="shared" si="49"/>
        <v>1649.953627229763</v>
      </c>
      <c r="I505" s="153">
        <f t="shared" si="49"/>
        <v>671.95368707924035</v>
      </c>
      <c r="J505" s="179" t="e">
        <f t="shared" si="48"/>
        <v>#N/A</v>
      </c>
      <c r="M505" s="177"/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7"/>
  <sheetViews>
    <sheetView workbookViewId="0"/>
  </sheetViews>
  <sheetFormatPr defaultRowHeight="12.75" x14ac:dyDescent="0.2"/>
  <cols>
    <col min="1" max="1" width="10.28515625" style="177" bestFit="1" customWidth="1"/>
    <col min="2" max="2" width="17.5703125" style="177" bestFit="1" customWidth="1"/>
    <col min="3" max="3" width="18.5703125" style="177" bestFit="1" customWidth="1"/>
    <col min="4" max="16384" width="9.140625" style="177"/>
  </cols>
  <sheetData>
    <row r="2" spans="1:5" x14ac:dyDescent="0.2">
      <c r="B2" s="177" t="s">
        <v>249</v>
      </c>
      <c r="C2" s="177" t="s">
        <v>250</v>
      </c>
    </row>
    <row r="3" spans="1:5" x14ac:dyDescent="0.2">
      <c r="B3" s="177" t="s">
        <v>251</v>
      </c>
    </row>
    <row r="4" spans="1:5" x14ac:dyDescent="0.2">
      <c r="A4" s="177" t="s">
        <v>15</v>
      </c>
      <c r="B4" s="177" t="s">
        <v>252</v>
      </c>
      <c r="C4" s="177" t="s">
        <v>253</v>
      </c>
    </row>
    <row r="5" spans="1:5" x14ac:dyDescent="0.2">
      <c r="A5" s="177">
        <v>2005</v>
      </c>
      <c r="B5" s="189">
        <v>6.4065135612233277</v>
      </c>
      <c r="C5" s="189">
        <v>6.4065135612233277</v>
      </c>
    </row>
    <row r="6" spans="1:5" x14ac:dyDescent="0.2">
      <c r="A6" s="177">
        <v>2006</v>
      </c>
      <c r="B6" s="189">
        <v>6.6378619567564625</v>
      </c>
      <c r="C6" s="189">
        <v>6.6378619567564625</v>
      </c>
    </row>
    <row r="7" spans="1:5" x14ac:dyDescent="0.2">
      <c r="A7" s="177">
        <v>2007</v>
      </c>
      <c r="B7" s="189">
        <v>6.8778619567564609</v>
      </c>
      <c r="C7" s="189">
        <v>6.8778619567564609</v>
      </c>
    </row>
    <row r="8" spans="1:5" x14ac:dyDescent="0.2">
      <c r="A8" s="177">
        <v>2008</v>
      </c>
      <c r="B8" s="189">
        <v>7.1562642176594835</v>
      </c>
      <c r="C8" s="189">
        <v>7.1562642176594835</v>
      </c>
      <c r="D8" s="178">
        <f t="shared" ref="D8:E12" si="0">B8/B$5-1</f>
        <v>0.11702943407068833</v>
      </c>
      <c r="E8" s="178">
        <f t="shared" si="0"/>
        <v>0.11702943407068833</v>
      </c>
    </row>
    <row r="9" spans="1:5" x14ac:dyDescent="0.2">
      <c r="A9" s="177">
        <v>2009</v>
      </c>
      <c r="B9" s="189">
        <v>7.2900558232403219</v>
      </c>
      <c r="C9" s="189">
        <v>7.2900558232403219</v>
      </c>
      <c r="D9" s="178">
        <f t="shared" si="0"/>
        <v>0.13791311819970309</v>
      </c>
      <c r="E9" s="178">
        <f t="shared" si="0"/>
        <v>0.13791311819970309</v>
      </c>
    </row>
    <row r="10" spans="1:5" x14ac:dyDescent="0.2">
      <c r="A10" s="177">
        <v>2010</v>
      </c>
      <c r="B10" s="189">
        <v>7.4759202235333779</v>
      </c>
      <c r="C10" s="189">
        <v>7.4759202235333779</v>
      </c>
      <c r="D10" s="178">
        <f t="shared" si="0"/>
        <v>0.16692490417609385</v>
      </c>
      <c r="E10" s="178">
        <f t="shared" si="0"/>
        <v>0.16692490417609385</v>
      </c>
    </row>
    <row r="11" spans="1:5" x14ac:dyDescent="0.2">
      <c r="A11" s="177">
        <v>2011</v>
      </c>
      <c r="B11" s="189">
        <v>8.2894638037513477</v>
      </c>
      <c r="C11" s="189">
        <v>8.2894638037513477</v>
      </c>
      <c r="D11" s="178">
        <f t="shared" si="0"/>
        <v>0.2939118483920713</v>
      </c>
      <c r="E11" s="178">
        <f t="shared" si="0"/>
        <v>0.2939118483920713</v>
      </c>
    </row>
    <row r="12" spans="1:5" x14ac:dyDescent="0.2">
      <c r="A12" s="177">
        <v>2012</v>
      </c>
      <c r="B12" s="189">
        <v>8.8999885401544248</v>
      </c>
      <c r="C12" s="189">
        <v>8.5772101877244911</v>
      </c>
      <c r="D12" s="178">
        <f t="shared" si="0"/>
        <v>0.38920935000018431</v>
      </c>
      <c r="E12" s="178">
        <f t="shared" si="0"/>
        <v>0.33882650926390423</v>
      </c>
    </row>
    <row r="13" spans="1:5" x14ac:dyDescent="0.2">
      <c r="A13" s="177">
        <v>2013</v>
      </c>
      <c r="B13" s="189">
        <v>9.7259169494704008</v>
      </c>
      <c r="C13" s="189">
        <v>9.5861743542818498</v>
      </c>
      <c r="D13" s="178">
        <f>B13/B$5-1</f>
        <v>0.51812945629872842</v>
      </c>
      <c r="E13" s="178">
        <f>C13/C$5-1</f>
        <v>0.49631687542254488</v>
      </c>
    </row>
    <row r="14" spans="1:5" x14ac:dyDescent="0.2">
      <c r="A14" s="177">
        <v>2014</v>
      </c>
      <c r="B14" s="189">
        <v>11.003830034113447</v>
      </c>
      <c r="C14" s="189">
        <v>10.291964184589402</v>
      </c>
      <c r="D14" s="178">
        <f t="shared" ref="D14:E15" si="1">B14/B$5-1</f>
        <v>0.71760036546496586</v>
      </c>
      <c r="E14" s="178">
        <f t="shared" si="1"/>
        <v>0.60648441406313736</v>
      </c>
    </row>
    <row r="15" spans="1:5" x14ac:dyDescent="0.2">
      <c r="A15" s="177">
        <v>2015</v>
      </c>
      <c r="B15" s="189">
        <v>12.063906523553113</v>
      </c>
      <c r="C15" s="189">
        <v>11.410251224331203</v>
      </c>
      <c r="D15" s="178">
        <f t="shared" si="1"/>
        <v>0.88306891232889284</v>
      </c>
      <c r="E15" s="178">
        <f t="shared" si="1"/>
        <v>0.7810391120365332</v>
      </c>
    </row>
    <row r="16" spans="1:5" x14ac:dyDescent="0.2">
      <c r="A16" s="177">
        <v>2016</v>
      </c>
      <c r="B16" s="189">
        <v>12.772604561174989</v>
      </c>
      <c r="C16" s="189">
        <v>12.3600856287173</v>
      </c>
    </row>
    <row r="17" spans="1:3" x14ac:dyDescent="0.2">
      <c r="A17" s="177">
        <v>2017</v>
      </c>
      <c r="B17" s="189">
        <v>13.276189156742456</v>
      </c>
      <c r="C17" s="189">
        <v>12.60728734129165</v>
      </c>
    </row>
    <row r="18" spans="1:3" x14ac:dyDescent="0.2">
      <c r="A18" s="177" t="s">
        <v>212</v>
      </c>
      <c r="B18" s="284">
        <v>9.0674136390869045</v>
      </c>
      <c r="C18" s="284">
        <v>8.8436088049120478</v>
      </c>
    </row>
    <row r="19" spans="1:3" x14ac:dyDescent="0.2">
      <c r="A19"/>
      <c r="B19"/>
      <c r="C19"/>
    </row>
    <row r="20" spans="1:3" x14ac:dyDescent="0.2">
      <c r="A20"/>
      <c r="B20"/>
      <c r="C20"/>
    </row>
    <row r="21" spans="1:3" x14ac:dyDescent="0.2">
      <c r="A21"/>
      <c r="B21"/>
      <c r="C21"/>
    </row>
    <row r="22" spans="1:3" x14ac:dyDescent="0.2">
      <c r="A22"/>
      <c r="B22"/>
      <c r="C22"/>
    </row>
    <row r="23" spans="1:3" x14ac:dyDescent="0.2">
      <c r="A23"/>
      <c r="B23"/>
      <c r="C23"/>
    </row>
    <row r="24" spans="1:3" x14ac:dyDescent="0.2">
      <c r="A24"/>
      <c r="B24"/>
      <c r="C24"/>
    </row>
    <row r="25" spans="1:3" x14ac:dyDescent="0.2">
      <c r="A25"/>
      <c r="B25"/>
      <c r="C25"/>
    </row>
    <row r="26" spans="1:3" x14ac:dyDescent="0.2">
      <c r="A26"/>
      <c r="B26"/>
      <c r="C26"/>
    </row>
    <row r="27" spans="1:3" x14ac:dyDescent="0.2">
      <c r="A27"/>
      <c r="B27"/>
      <c r="C27"/>
    </row>
    <row r="28" spans="1:3" x14ac:dyDescent="0.2">
      <c r="A28"/>
      <c r="B28"/>
      <c r="C28"/>
    </row>
    <row r="29" spans="1:3" x14ac:dyDescent="0.2">
      <c r="A29"/>
      <c r="B29"/>
      <c r="C29"/>
    </row>
    <row r="30" spans="1:3" x14ac:dyDescent="0.2">
      <c r="A30"/>
      <c r="B30"/>
      <c r="C30"/>
    </row>
    <row r="31" spans="1:3" x14ac:dyDescent="0.2">
      <c r="A31"/>
      <c r="B31"/>
      <c r="C31"/>
    </row>
    <row r="32" spans="1:3" x14ac:dyDescent="0.2">
      <c r="A32"/>
      <c r="B32"/>
      <c r="C32"/>
    </row>
    <row r="33" spans="1:3" x14ac:dyDescent="0.2">
      <c r="A33"/>
      <c r="B33"/>
      <c r="C33"/>
    </row>
    <row r="34" spans="1:3" x14ac:dyDescent="0.2">
      <c r="A34"/>
      <c r="B34"/>
      <c r="C34"/>
    </row>
    <row r="35" spans="1:3" x14ac:dyDescent="0.2">
      <c r="A35"/>
      <c r="B35"/>
      <c r="C35"/>
    </row>
    <row r="36" spans="1:3" x14ac:dyDescent="0.2">
      <c r="A36"/>
      <c r="B36"/>
      <c r="C36"/>
    </row>
    <row r="37" spans="1:3" x14ac:dyDescent="0.2">
      <c r="A37"/>
      <c r="B37"/>
      <c r="C37"/>
    </row>
    <row r="38" spans="1:3" x14ac:dyDescent="0.2">
      <c r="A38"/>
      <c r="B38"/>
      <c r="C38"/>
    </row>
    <row r="39" spans="1:3" x14ac:dyDescent="0.2">
      <c r="A39"/>
      <c r="B39"/>
      <c r="C39"/>
    </row>
    <row r="40" spans="1:3" x14ac:dyDescent="0.2">
      <c r="A40"/>
      <c r="B40"/>
      <c r="C40"/>
    </row>
    <row r="41" spans="1:3" x14ac:dyDescent="0.2">
      <c r="A41"/>
      <c r="B41"/>
      <c r="C41"/>
    </row>
    <row r="42" spans="1:3" x14ac:dyDescent="0.2">
      <c r="A42"/>
      <c r="B42"/>
      <c r="C42"/>
    </row>
    <row r="43" spans="1:3" x14ac:dyDescent="0.2">
      <c r="A43"/>
      <c r="B43"/>
      <c r="C43"/>
    </row>
    <row r="44" spans="1:3" x14ac:dyDescent="0.2">
      <c r="A44"/>
      <c r="B44"/>
      <c r="C44"/>
    </row>
    <row r="45" spans="1:3" x14ac:dyDescent="0.2">
      <c r="A45"/>
      <c r="B45"/>
      <c r="C45"/>
    </row>
    <row r="46" spans="1:3" x14ac:dyDescent="0.2">
      <c r="A46"/>
      <c r="B46"/>
      <c r="C46"/>
    </row>
    <row r="47" spans="1:3" x14ac:dyDescent="0.2">
      <c r="A47"/>
      <c r="B47"/>
      <c r="C47"/>
    </row>
  </sheetData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05"/>
  <sheetViews>
    <sheetView view="pageBreakPreview" zoomScale="60" zoomScaleNormal="100" workbookViewId="0">
      <pane xSplit="2" ySplit="1" topLeftCell="C2" activePane="bottomRight" state="frozen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15.7109375" defaultRowHeight="12.75" x14ac:dyDescent="0.2"/>
  <cols>
    <col min="1" max="1" width="6" style="153" bestFit="1" customWidth="1"/>
    <col min="2" max="2" width="7.140625" style="153" bestFit="1" customWidth="1"/>
    <col min="3" max="3" width="9.140625" style="169" bestFit="1" customWidth="1"/>
    <col min="4" max="4" width="10.7109375" style="169" bestFit="1" customWidth="1"/>
    <col min="5" max="5" width="10.85546875" style="174" bestFit="1" customWidth="1"/>
    <col min="6" max="7" width="10.85546875" style="174" customWidth="1"/>
    <col min="8" max="8" width="11.140625" style="173" bestFit="1" customWidth="1"/>
    <col min="9" max="9" width="18.42578125" style="162" bestFit="1" customWidth="1"/>
    <col min="10" max="10" width="10.85546875" style="162" customWidth="1"/>
    <col min="11" max="11" width="19.7109375" style="162" bestFit="1" customWidth="1"/>
    <col min="12" max="12" width="18.7109375" style="164" bestFit="1" customWidth="1"/>
    <col min="13" max="13" width="15.7109375" style="153"/>
    <col min="14" max="14" width="22.85546875" style="156" bestFit="1" customWidth="1"/>
    <col min="15" max="16" width="27.28515625" customWidth="1"/>
    <col min="17" max="17" width="6.7109375" style="169" bestFit="1" customWidth="1"/>
    <col min="18" max="18" width="5.5703125" style="169" bestFit="1" customWidth="1"/>
    <col min="19" max="19" width="14.42578125" style="166" bestFit="1" customWidth="1"/>
    <col min="20" max="20" width="14.28515625" style="166" bestFit="1" customWidth="1"/>
    <col min="21" max="22" width="14.28515625" style="166" customWidth="1"/>
    <col min="23" max="24" width="0" style="153" hidden="1" customWidth="1"/>
    <col min="25" max="263" width="15.7109375" style="153"/>
    <col min="264" max="264" width="6" style="153" bestFit="1" customWidth="1"/>
    <col min="265" max="265" width="7.140625" style="153" bestFit="1" customWidth="1"/>
    <col min="266" max="266" width="9.140625" style="153" bestFit="1" customWidth="1"/>
    <col min="267" max="267" width="10.85546875" style="153" bestFit="1" customWidth="1"/>
    <col min="268" max="268" width="10.85546875" style="153" customWidth="1"/>
    <col min="269" max="269" width="11.140625" style="153" bestFit="1" customWidth="1"/>
    <col min="270" max="270" width="10.85546875" style="153" bestFit="1" customWidth="1"/>
    <col min="271" max="271" width="11.42578125" style="153" bestFit="1" customWidth="1"/>
    <col min="272" max="272" width="15.85546875" style="153" bestFit="1" customWidth="1"/>
    <col min="273" max="273" width="6.7109375" style="153" bestFit="1" customWidth="1"/>
    <col min="274" max="274" width="5.5703125" style="153" bestFit="1" customWidth="1"/>
    <col min="275" max="275" width="14.42578125" style="153" bestFit="1" customWidth="1"/>
    <col min="276" max="276" width="14.28515625" style="153" bestFit="1" customWidth="1"/>
    <col min="277" max="277" width="14.28515625" style="153" customWidth="1"/>
    <col min="278" max="519" width="15.7109375" style="153"/>
    <col min="520" max="520" width="6" style="153" bestFit="1" customWidth="1"/>
    <col min="521" max="521" width="7.140625" style="153" bestFit="1" customWidth="1"/>
    <col min="522" max="522" width="9.140625" style="153" bestFit="1" customWidth="1"/>
    <col min="523" max="523" width="10.85546875" style="153" bestFit="1" customWidth="1"/>
    <col min="524" max="524" width="10.85546875" style="153" customWidth="1"/>
    <col min="525" max="525" width="11.140625" style="153" bestFit="1" customWidth="1"/>
    <col min="526" max="526" width="10.85546875" style="153" bestFit="1" customWidth="1"/>
    <col min="527" max="527" width="11.42578125" style="153" bestFit="1" customWidth="1"/>
    <col min="528" max="528" width="15.85546875" style="153" bestFit="1" customWidth="1"/>
    <col min="529" max="529" width="6.7109375" style="153" bestFit="1" customWidth="1"/>
    <col min="530" max="530" width="5.5703125" style="153" bestFit="1" customWidth="1"/>
    <col min="531" max="531" width="14.42578125" style="153" bestFit="1" customWidth="1"/>
    <col min="532" max="532" width="14.28515625" style="153" bestFit="1" customWidth="1"/>
    <col min="533" max="533" width="14.28515625" style="153" customWidth="1"/>
    <col min="534" max="775" width="15.7109375" style="153"/>
    <col min="776" max="776" width="6" style="153" bestFit="1" customWidth="1"/>
    <col min="777" max="777" width="7.140625" style="153" bestFit="1" customWidth="1"/>
    <col min="778" max="778" width="9.140625" style="153" bestFit="1" customWidth="1"/>
    <col min="779" max="779" width="10.85546875" style="153" bestFit="1" customWidth="1"/>
    <col min="780" max="780" width="10.85546875" style="153" customWidth="1"/>
    <col min="781" max="781" width="11.140625" style="153" bestFit="1" customWidth="1"/>
    <col min="782" max="782" width="10.85546875" style="153" bestFit="1" customWidth="1"/>
    <col min="783" max="783" width="11.42578125" style="153" bestFit="1" customWidth="1"/>
    <col min="784" max="784" width="15.85546875" style="153" bestFit="1" customWidth="1"/>
    <col min="785" max="785" width="6.7109375" style="153" bestFit="1" customWidth="1"/>
    <col min="786" max="786" width="5.5703125" style="153" bestFit="1" customWidth="1"/>
    <col min="787" max="787" width="14.42578125" style="153" bestFit="1" customWidth="1"/>
    <col min="788" max="788" width="14.28515625" style="153" bestFit="1" customWidth="1"/>
    <col min="789" max="789" width="14.28515625" style="153" customWidth="1"/>
    <col min="790" max="1031" width="15.7109375" style="153"/>
    <col min="1032" max="1032" width="6" style="153" bestFit="1" customWidth="1"/>
    <col min="1033" max="1033" width="7.140625" style="153" bestFit="1" customWidth="1"/>
    <col min="1034" max="1034" width="9.140625" style="153" bestFit="1" customWidth="1"/>
    <col min="1035" max="1035" width="10.85546875" style="153" bestFit="1" customWidth="1"/>
    <col min="1036" max="1036" width="10.85546875" style="153" customWidth="1"/>
    <col min="1037" max="1037" width="11.140625" style="153" bestFit="1" customWidth="1"/>
    <col min="1038" max="1038" width="10.85546875" style="153" bestFit="1" customWidth="1"/>
    <col min="1039" max="1039" width="11.42578125" style="153" bestFit="1" customWidth="1"/>
    <col min="1040" max="1040" width="15.85546875" style="153" bestFit="1" customWidth="1"/>
    <col min="1041" max="1041" width="6.7109375" style="153" bestFit="1" customWidth="1"/>
    <col min="1042" max="1042" width="5.5703125" style="153" bestFit="1" customWidth="1"/>
    <col min="1043" max="1043" width="14.42578125" style="153" bestFit="1" customWidth="1"/>
    <col min="1044" max="1044" width="14.28515625" style="153" bestFit="1" customWidth="1"/>
    <col min="1045" max="1045" width="14.28515625" style="153" customWidth="1"/>
    <col min="1046" max="1287" width="15.7109375" style="153"/>
    <col min="1288" max="1288" width="6" style="153" bestFit="1" customWidth="1"/>
    <col min="1289" max="1289" width="7.140625" style="153" bestFit="1" customWidth="1"/>
    <col min="1290" max="1290" width="9.140625" style="153" bestFit="1" customWidth="1"/>
    <col min="1291" max="1291" width="10.85546875" style="153" bestFit="1" customWidth="1"/>
    <col min="1292" max="1292" width="10.85546875" style="153" customWidth="1"/>
    <col min="1293" max="1293" width="11.140625" style="153" bestFit="1" customWidth="1"/>
    <col min="1294" max="1294" width="10.85546875" style="153" bestFit="1" customWidth="1"/>
    <col min="1295" max="1295" width="11.42578125" style="153" bestFit="1" customWidth="1"/>
    <col min="1296" max="1296" width="15.85546875" style="153" bestFit="1" customWidth="1"/>
    <col min="1297" max="1297" width="6.7109375" style="153" bestFit="1" customWidth="1"/>
    <col min="1298" max="1298" width="5.5703125" style="153" bestFit="1" customWidth="1"/>
    <col min="1299" max="1299" width="14.42578125" style="153" bestFit="1" customWidth="1"/>
    <col min="1300" max="1300" width="14.28515625" style="153" bestFit="1" customWidth="1"/>
    <col min="1301" max="1301" width="14.28515625" style="153" customWidth="1"/>
    <col min="1302" max="1543" width="15.7109375" style="153"/>
    <col min="1544" max="1544" width="6" style="153" bestFit="1" customWidth="1"/>
    <col min="1545" max="1545" width="7.140625" style="153" bestFit="1" customWidth="1"/>
    <col min="1546" max="1546" width="9.140625" style="153" bestFit="1" customWidth="1"/>
    <col min="1547" max="1547" width="10.85546875" style="153" bestFit="1" customWidth="1"/>
    <col min="1548" max="1548" width="10.85546875" style="153" customWidth="1"/>
    <col min="1549" max="1549" width="11.140625" style="153" bestFit="1" customWidth="1"/>
    <col min="1550" max="1550" width="10.85546875" style="153" bestFit="1" customWidth="1"/>
    <col min="1551" max="1551" width="11.42578125" style="153" bestFit="1" customWidth="1"/>
    <col min="1552" max="1552" width="15.85546875" style="153" bestFit="1" customWidth="1"/>
    <col min="1553" max="1553" width="6.7109375" style="153" bestFit="1" customWidth="1"/>
    <col min="1554" max="1554" width="5.5703125" style="153" bestFit="1" customWidth="1"/>
    <col min="1555" max="1555" width="14.42578125" style="153" bestFit="1" customWidth="1"/>
    <col min="1556" max="1556" width="14.28515625" style="153" bestFit="1" customWidth="1"/>
    <col min="1557" max="1557" width="14.28515625" style="153" customWidth="1"/>
    <col min="1558" max="1799" width="15.7109375" style="153"/>
    <col min="1800" max="1800" width="6" style="153" bestFit="1" customWidth="1"/>
    <col min="1801" max="1801" width="7.140625" style="153" bestFit="1" customWidth="1"/>
    <col min="1802" max="1802" width="9.140625" style="153" bestFit="1" customWidth="1"/>
    <col min="1803" max="1803" width="10.85546875" style="153" bestFit="1" customWidth="1"/>
    <col min="1804" max="1804" width="10.85546875" style="153" customWidth="1"/>
    <col min="1805" max="1805" width="11.140625" style="153" bestFit="1" customWidth="1"/>
    <col min="1806" max="1806" width="10.85546875" style="153" bestFit="1" customWidth="1"/>
    <col min="1807" max="1807" width="11.42578125" style="153" bestFit="1" customWidth="1"/>
    <col min="1808" max="1808" width="15.85546875" style="153" bestFit="1" customWidth="1"/>
    <col min="1809" max="1809" width="6.7109375" style="153" bestFit="1" customWidth="1"/>
    <col min="1810" max="1810" width="5.5703125" style="153" bestFit="1" customWidth="1"/>
    <col min="1811" max="1811" width="14.42578125" style="153" bestFit="1" customWidth="1"/>
    <col min="1812" max="1812" width="14.28515625" style="153" bestFit="1" customWidth="1"/>
    <col min="1813" max="1813" width="14.28515625" style="153" customWidth="1"/>
    <col min="1814" max="2055" width="15.7109375" style="153"/>
    <col min="2056" max="2056" width="6" style="153" bestFit="1" customWidth="1"/>
    <col min="2057" max="2057" width="7.140625" style="153" bestFit="1" customWidth="1"/>
    <col min="2058" max="2058" width="9.140625" style="153" bestFit="1" customWidth="1"/>
    <col min="2059" max="2059" width="10.85546875" style="153" bestFit="1" customWidth="1"/>
    <col min="2060" max="2060" width="10.85546875" style="153" customWidth="1"/>
    <col min="2061" max="2061" width="11.140625" style="153" bestFit="1" customWidth="1"/>
    <col min="2062" max="2062" width="10.85546875" style="153" bestFit="1" customWidth="1"/>
    <col min="2063" max="2063" width="11.42578125" style="153" bestFit="1" customWidth="1"/>
    <col min="2064" max="2064" width="15.85546875" style="153" bestFit="1" customWidth="1"/>
    <col min="2065" max="2065" width="6.7109375" style="153" bestFit="1" customWidth="1"/>
    <col min="2066" max="2066" width="5.5703125" style="153" bestFit="1" customWidth="1"/>
    <col min="2067" max="2067" width="14.42578125" style="153" bestFit="1" customWidth="1"/>
    <col min="2068" max="2068" width="14.28515625" style="153" bestFit="1" customWidth="1"/>
    <col min="2069" max="2069" width="14.28515625" style="153" customWidth="1"/>
    <col min="2070" max="2311" width="15.7109375" style="153"/>
    <col min="2312" max="2312" width="6" style="153" bestFit="1" customWidth="1"/>
    <col min="2313" max="2313" width="7.140625" style="153" bestFit="1" customWidth="1"/>
    <col min="2314" max="2314" width="9.140625" style="153" bestFit="1" customWidth="1"/>
    <col min="2315" max="2315" width="10.85546875" style="153" bestFit="1" customWidth="1"/>
    <col min="2316" max="2316" width="10.85546875" style="153" customWidth="1"/>
    <col min="2317" max="2317" width="11.140625" style="153" bestFit="1" customWidth="1"/>
    <col min="2318" max="2318" width="10.85546875" style="153" bestFit="1" customWidth="1"/>
    <col min="2319" max="2319" width="11.42578125" style="153" bestFit="1" customWidth="1"/>
    <col min="2320" max="2320" width="15.85546875" style="153" bestFit="1" customWidth="1"/>
    <col min="2321" max="2321" width="6.7109375" style="153" bestFit="1" customWidth="1"/>
    <col min="2322" max="2322" width="5.5703125" style="153" bestFit="1" customWidth="1"/>
    <col min="2323" max="2323" width="14.42578125" style="153" bestFit="1" customWidth="1"/>
    <col min="2324" max="2324" width="14.28515625" style="153" bestFit="1" customWidth="1"/>
    <col min="2325" max="2325" width="14.28515625" style="153" customWidth="1"/>
    <col min="2326" max="2567" width="15.7109375" style="153"/>
    <col min="2568" max="2568" width="6" style="153" bestFit="1" customWidth="1"/>
    <col min="2569" max="2569" width="7.140625" style="153" bestFit="1" customWidth="1"/>
    <col min="2570" max="2570" width="9.140625" style="153" bestFit="1" customWidth="1"/>
    <col min="2571" max="2571" width="10.85546875" style="153" bestFit="1" customWidth="1"/>
    <col min="2572" max="2572" width="10.85546875" style="153" customWidth="1"/>
    <col min="2573" max="2573" width="11.140625" style="153" bestFit="1" customWidth="1"/>
    <col min="2574" max="2574" width="10.85546875" style="153" bestFit="1" customWidth="1"/>
    <col min="2575" max="2575" width="11.42578125" style="153" bestFit="1" customWidth="1"/>
    <col min="2576" max="2576" width="15.85546875" style="153" bestFit="1" customWidth="1"/>
    <col min="2577" max="2577" width="6.7109375" style="153" bestFit="1" customWidth="1"/>
    <col min="2578" max="2578" width="5.5703125" style="153" bestFit="1" customWidth="1"/>
    <col min="2579" max="2579" width="14.42578125" style="153" bestFit="1" customWidth="1"/>
    <col min="2580" max="2580" width="14.28515625" style="153" bestFit="1" customWidth="1"/>
    <col min="2581" max="2581" width="14.28515625" style="153" customWidth="1"/>
    <col min="2582" max="2823" width="15.7109375" style="153"/>
    <col min="2824" max="2824" width="6" style="153" bestFit="1" customWidth="1"/>
    <col min="2825" max="2825" width="7.140625" style="153" bestFit="1" customWidth="1"/>
    <col min="2826" max="2826" width="9.140625" style="153" bestFit="1" customWidth="1"/>
    <col min="2827" max="2827" width="10.85546875" style="153" bestFit="1" customWidth="1"/>
    <col min="2828" max="2828" width="10.85546875" style="153" customWidth="1"/>
    <col min="2829" max="2829" width="11.140625" style="153" bestFit="1" customWidth="1"/>
    <col min="2830" max="2830" width="10.85546875" style="153" bestFit="1" customWidth="1"/>
    <col min="2831" max="2831" width="11.42578125" style="153" bestFit="1" customWidth="1"/>
    <col min="2832" max="2832" width="15.85546875" style="153" bestFit="1" customWidth="1"/>
    <col min="2833" max="2833" width="6.7109375" style="153" bestFit="1" customWidth="1"/>
    <col min="2834" max="2834" width="5.5703125" style="153" bestFit="1" customWidth="1"/>
    <col min="2835" max="2835" width="14.42578125" style="153" bestFit="1" customWidth="1"/>
    <col min="2836" max="2836" width="14.28515625" style="153" bestFit="1" customWidth="1"/>
    <col min="2837" max="2837" width="14.28515625" style="153" customWidth="1"/>
    <col min="2838" max="3079" width="15.7109375" style="153"/>
    <col min="3080" max="3080" width="6" style="153" bestFit="1" customWidth="1"/>
    <col min="3081" max="3081" width="7.140625" style="153" bestFit="1" customWidth="1"/>
    <col min="3082" max="3082" width="9.140625" style="153" bestFit="1" customWidth="1"/>
    <col min="3083" max="3083" width="10.85546875" style="153" bestFit="1" customWidth="1"/>
    <col min="3084" max="3084" width="10.85546875" style="153" customWidth="1"/>
    <col min="3085" max="3085" width="11.140625" style="153" bestFit="1" customWidth="1"/>
    <col min="3086" max="3086" width="10.85546875" style="153" bestFit="1" customWidth="1"/>
    <col min="3087" max="3087" width="11.42578125" style="153" bestFit="1" customWidth="1"/>
    <col min="3088" max="3088" width="15.85546875" style="153" bestFit="1" customWidth="1"/>
    <col min="3089" max="3089" width="6.7109375" style="153" bestFit="1" customWidth="1"/>
    <col min="3090" max="3090" width="5.5703125" style="153" bestFit="1" customWidth="1"/>
    <col min="3091" max="3091" width="14.42578125" style="153" bestFit="1" customWidth="1"/>
    <col min="3092" max="3092" width="14.28515625" style="153" bestFit="1" customWidth="1"/>
    <col min="3093" max="3093" width="14.28515625" style="153" customWidth="1"/>
    <col min="3094" max="3335" width="15.7109375" style="153"/>
    <col min="3336" max="3336" width="6" style="153" bestFit="1" customWidth="1"/>
    <col min="3337" max="3337" width="7.140625" style="153" bestFit="1" customWidth="1"/>
    <col min="3338" max="3338" width="9.140625" style="153" bestFit="1" customWidth="1"/>
    <col min="3339" max="3339" width="10.85546875" style="153" bestFit="1" customWidth="1"/>
    <col min="3340" max="3340" width="10.85546875" style="153" customWidth="1"/>
    <col min="3341" max="3341" width="11.140625" style="153" bestFit="1" customWidth="1"/>
    <col min="3342" max="3342" width="10.85546875" style="153" bestFit="1" customWidth="1"/>
    <col min="3343" max="3343" width="11.42578125" style="153" bestFit="1" customWidth="1"/>
    <col min="3344" max="3344" width="15.85546875" style="153" bestFit="1" customWidth="1"/>
    <col min="3345" max="3345" width="6.7109375" style="153" bestFit="1" customWidth="1"/>
    <col min="3346" max="3346" width="5.5703125" style="153" bestFit="1" customWidth="1"/>
    <col min="3347" max="3347" width="14.42578125" style="153" bestFit="1" customWidth="1"/>
    <col min="3348" max="3348" width="14.28515625" style="153" bestFit="1" customWidth="1"/>
    <col min="3349" max="3349" width="14.28515625" style="153" customWidth="1"/>
    <col min="3350" max="3591" width="15.7109375" style="153"/>
    <col min="3592" max="3592" width="6" style="153" bestFit="1" customWidth="1"/>
    <col min="3593" max="3593" width="7.140625" style="153" bestFit="1" customWidth="1"/>
    <col min="3594" max="3594" width="9.140625" style="153" bestFit="1" customWidth="1"/>
    <col min="3595" max="3595" width="10.85546875" style="153" bestFit="1" customWidth="1"/>
    <col min="3596" max="3596" width="10.85546875" style="153" customWidth="1"/>
    <col min="3597" max="3597" width="11.140625" style="153" bestFit="1" customWidth="1"/>
    <col min="3598" max="3598" width="10.85546875" style="153" bestFit="1" customWidth="1"/>
    <col min="3599" max="3599" width="11.42578125" style="153" bestFit="1" customWidth="1"/>
    <col min="3600" max="3600" width="15.85546875" style="153" bestFit="1" customWidth="1"/>
    <col min="3601" max="3601" width="6.7109375" style="153" bestFit="1" customWidth="1"/>
    <col min="3602" max="3602" width="5.5703125" style="153" bestFit="1" customWidth="1"/>
    <col min="3603" max="3603" width="14.42578125" style="153" bestFit="1" customWidth="1"/>
    <col min="3604" max="3604" width="14.28515625" style="153" bestFit="1" customWidth="1"/>
    <col min="3605" max="3605" width="14.28515625" style="153" customWidth="1"/>
    <col min="3606" max="3847" width="15.7109375" style="153"/>
    <col min="3848" max="3848" width="6" style="153" bestFit="1" customWidth="1"/>
    <col min="3849" max="3849" width="7.140625" style="153" bestFit="1" customWidth="1"/>
    <col min="3850" max="3850" width="9.140625" style="153" bestFit="1" customWidth="1"/>
    <col min="3851" max="3851" width="10.85546875" style="153" bestFit="1" customWidth="1"/>
    <col min="3852" max="3852" width="10.85546875" style="153" customWidth="1"/>
    <col min="3853" max="3853" width="11.140625" style="153" bestFit="1" customWidth="1"/>
    <col min="3854" max="3854" width="10.85546875" style="153" bestFit="1" customWidth="1"/>
    <col min="3855" max="3855" width="11.42578125" style="153" bestFit="1" customWidth="1"/>
    <col min="3856" max="3856" width="15.85546875" style="153" bestFit="1" customWidth="1"/>
    <col min="3857" max="3857" width="6.7109375" style="153" bestFit="1" customWidth="1"/>
    <col min="3858" max="3858" width="5.5703125" style="153" bestFit="1" customWidth="1"/>
    <col min="3859" max="3859" width="14.42578125" style="153" bestFit="1" customWidth="1"/>
    <col min="3860" max="3860" width="14.28515625" style="153" bestFit="1" customWidth="1"/>
    <col min="3861" max="3861" width="14.28515625" style="153" customWidth="1"/>
    <col min="3862" max="4103" width="15.7109375" style="153"/>
    <col min="4104" max="4104" width="6" style="153" bestFit="1" customWidth="1"/>
    <col min="4105" max="4105" width="7.140625" style="153" bestFit="1" customWidth="1"/>
    <col min="4106" max="4106" width="9.140625" style="153" bestFit="1" customWidth="1"/>
    <col min="4107" max="4107" width="10.85546875" style="153" bestFit="1" customWidth="1"/>
    <col min="4108" max="4108" width="10.85546875" style="153" customWidth="1"/>
    <col min="4109" max="4109" width="11.140625" style="153" bestFit="1" customWidth="1"/>
    <col min="4110" max="4110" width="10.85546875" style="153" bestFit="1" customWidth="1"/>
    <col min="4111" max="4111" width="11.42578125" style="153" bestFit="1" customWidth="1"/>
    <col min="4112" max="4112" width="15.85546875" style="153" bestFit="1" customWidth="1"/>
    <col min="4113" max="4113" width="6.7109375" style="153" bestFit="1" customWidth="1"/>
    <col min="4114" max="4114" width="5.5703125" style="153" bestFit="1" customWidth="1"/>
    <col min="4115" max="4115" width="14.42578125" style="153" bestFit="1" customWidth="1"/>
    <col min="4116" max="4116" width="14.28515625" style="153" bestFit="1" customWidth="1"/>
    <col min="4117" max="4117" width="14.28515625" style="153" customWidth="1"/>
    <col min="4118" max="4359" width="15.7109375" style="153"/>
    <col min="4360" max="4360" width="6" style="153" bestFit="1" customWidth="1"/>
    <col min="4361" max="4361" width="7.140625" style="153" bestFit="1" customWidth="1"/>
    <col min="4362" max="4362" width="9.140625" style="153" bestFit="1" customWidth="1"/>
    <col min="4363" max="4363" width="10.85546875" style="153" bestFit="1" customWidth="1"/>
    <col min="4364" max="4364" width="10.85546875" style="153" customWidth="1"/>
    <col min="4365" max="4365" width="11.140625" style="153" bestFit="1" customWidth="1"/>
    <col min="4366" max="4366" width="10.85546875" style="153" bestFit="1" customWidth="1"/>
    <col min="4367" max="4367" width="11.42578125" style="153" bestFit="1" customWidth="1"/>
    <col min="4368" max="4368" width="15.85546875" style="153" bestFit="1" customWidth="1"/>
    <col min="4369" max="4369" width="6.7109375" style="153" bestFit="1" customWidth="1"/>
    <col min="4370" max="4370" width="5.5703125" style="153" bestFit="1" customWidth="1"/>
    <col min="4371" max="4371" width="14.42578125" style="153" bestFit="1" customWidth="1"/>
    <col min="4372" max="4372" width="14.28515625" style="153" bestFit="1" customWidth="1"/>
    <col min="4373" max="4373" width="14.28515625" style="153" customWidth="1"/>
    <col min="4374" max="4615" width="15.7109375" style="153"/>
    <col min="4616" max="4616" width="6" style="153" bestFit="1" customWidth="1"/>
    <col min="4617" max="4617" width="7.140625" style="153" bestFit="1" customWidth="1"/>
    <col min="4618" max="4618" width="9.140625" style="153" bestFit="1" customWidth="1"/>
    <col min="4619" max="4619" width="10.85546875" style="153" bestFit="1" customWidth="1"/>
    <col min="4620" max="4620" width="10.85546875" style="153" customWidth="1"/>
    <col min="4621" max="4621" width="11.140625" style="153" bestFit="1" customWidth="1"/>
    <col min="4622" max="4622" width="10.85546875" style="153" bestFit="1" customWidth="1"/>
    <col min="4623" max="4623" width="11.42578125" style="153" bestFit="1" customWidth="1"/>
    <col min="4624" max="4624" width="15.85546875" style="153" bestFit="1" customWidth="1"/>
    <col min="4625" max="4625" width="6.7109375" style="153" bestFit="1" customWidth="1"/>
    <col min="4626" max="4626" width="5.5703125" style="153" bestFit="1" customWidth="1"/>
    <col min="4627" max="4627" width="14.42578125" style="153" bestFit="1" customWidth="1"/>
    <col min="4628" max="4628" width="14.28515625" style="153" bestFit="1" customWidth="1"/>
    <col min="4629" max="4629" width="14.28515625" style="153" customWidth="1"/>
    <col min="4630" max="4871" width="15.7109375" style="153"/>
    <col min="4872" max="4872" width="6" style="153" bestFit="1" customWidth="1"/>
    <col min="4873" max="4873" width="7.140625" style="153" bestFit="1" customWidth="1"/>
    <col min="4874" max="4874" width="9.140625" style="153" bestFit="1" customWidth="1"/>
    <col min="4875" max="4875" width="10.85546875" style="153" bestFit="1" customWidth="1"/>
    <col min="4876" max="4876" width="10.85546875" style="153" customWidth="1"/>
    <col min="4877" max="4877" width="11.140625" style="153" bestFit="1" customWidth="1"/>
    <col min="4878" max="4878" width="10.85546875" style="153" bestFit="1" customWidth="1"/>
    <col min="4879" max="4879" width="11.42578125" style="153" bestFit="1" customWidth="1"/>
    <col min="4880" max="4880" width="15.85546875" style="153" bestFit="1" customWidth="1"/>
    <col min="4881" max="4881" width="6.7109375" style="153" bestFit="1" customWidth="1"/>
    <col min="4882" max="4882" width="5.5703125" style="153" bestFit="1" customWidth="1"/>
    <col min="4883" max="4883" width="14.42578125" style="153" bestFit="1" customWidth="1"/>
    <col min="4884" max="4884" width="14.28515625" style="153" bestFit="1" customWidth="1"/>
    <col min="4885" max="4885" width="14.28515625" style="153" customWidth="1"/>
    <col min="4886" max="5127" width="15.7109375" style="153"/>
    <col min="5128" max="5128" width="6" style="153" bestFit="1" customWidth="1"/>
    <col min="5129" max="5129" width="7.140625" style="153" bestFit="1" customWidth="1"/>
    <col min="5130" max="5130" width="9.140625" style="153" bestFit="1" customWidth="1"/>
    <col min="5131" max="5131" width="10.85546875" style="153" bestFit="1" customWidth="1"/>
    <col min="5132" max="5132" width="10.85546875" style="153" customWidth="1"/>
    <col min="5133" max="5133" width="11.140625" style="153" bestFit="1" customWidth="1"/>
    <col min="5134" max="5134" width="10.85546875" style="153" bestFit="1" customWidth="1"/>
    <col min="5135" max="5135" width="11.42578125" style="153" bestFit="1" customWidth="1"/>
    <col min="5136" max="5136" width="15.85546875" style="153" bestFit="1" customWidth="1"/>
    <col min="5137" max="5137" width="6.7109375" style="153" bestFit="1" customWidth="1"/>
    <col min="5138" max="5138" width="5.5703125" style="153" bestFit="1" customWidth="1"/>
    <col min="5139" max="5139" width="14.42578125" style="153" bestFit="1" customWidth="1"/>
    <col min="5140" max="5140" width="14.28515625" style="153" bestFit="1" customWidth="1"/>
    <col min="5141" max="5141" width="14.28515625" style="153" customWidth="1"/>
    <col min="5142" max="5383" width="15.7109375" style="153"/>
    <col min="5384" max="5384" width="6" style="153" bestFit="1" customWidth="1"/>
    <col min="5385" max="5385" width="7.140625" style="153" bestFit="1" customWidth="1"/>
    <col min="5386" max="5386" width="9.140625" style="153" bestFit="1" customWidth="1"/>
    <col min="5387" max="5387" width="10.85546875" style="153" bestFit="1" customWidth="1"/>
    <col min="5388" max="5388" width="10.85546875" style="153" customWidth="1"/>
    <col min="5389" max="5389" width="11.140625" style="153" bestFit="1" customWidth="1"/>
    <col min="5390" max="5390" width="10.85546875" style="153" bestFit="1" customWidth="1"/>
    <col min="5391" max="5391" width="11.42578125" style="153" bestFit="1" customWidth="1"/>
    <col min="5392" max="5392" width="15.85546875" style="153" bestFit="1" customWidth="1"/>
    <col min="5393" max="5393" width="6.7109375" style="153" bestFit="1" customWidth="1"/>
    <col min="5394" max="5394" width="5.5703125" style="153" bestFit="1" customWidth="1"/>
    <col min="5395" max="5395" width="14.42578125" style="153" bestFit="1" customWidth="1"/>
    <col min="5396" max="5396" width="14.28515625" style="153" bestFit="1" customWidth="1"/>
    <col min="5397" max="5397" width="14.28515625" style="153" customWidth="1"/>
    <col min="5398" max="5639" width="15.7109375" style="153"/>
    <col min="5640" max="5640" width="6" style="153" bestFit="1" customWidth="1"/>
    <col min="5641" max="5641" width="7.140625" style="153" bestFit="1" customWidth="1"/>
    <col min="5642" max="5642" width="9.140625" style="153" bestFit="1" customWidth="1"/>
    <col min="5643" max="5643" width="10.85546875" style="153" bestFit="1" customWidth="1"/>
    <col min="5644" max="5644" width="10.85546875" style="153" customWidth="1"/>
    <col min="5645" max="5645" width="11.140625" style="153" bestFit="1" customWidth="1"/>
    <col min="5646" max="5646" width="10.85546875" style="153" bestFit="1" customWidth="1"/>
    <col min="5647" max="5647" width="11.42578125" style="153" bestFit="1" customWidth="1"/>
    <col min="5648" max="5648" width="15.85546875" style="153" bestFit="1" customWidth="1"/>
    <col min="5649" max="5649" width="6.7109375" style="153" bestFit="1" customWidth="1"/>
    <col min="5650" max="5650" width="5.5703125" style="153" bestFit="1" customWidth="1"/>
    <col min="5651" max="5651" width="14.42578125" style="153" bestFit="1" customWidth="1"/>
    <col min="5652" max="5652" width="14.28515625" style="153" bestFit="1" customWidth="1"/>
    <col min="5653" max="5653" width="14.28515625" style="153" customWidth="1"/>
    <col min="5654" max="5895" width="15.7109375" style="153"/>
    <col min="5896" max="5896" width="6" style="153" bestFit="1" customWidth="1"/>
    <col min="5897" max="5897" width="7.140625" style="153" bestFit="1" customWidth="1"/>
    <col min="5898" max="5898" width="9.140625" style="153" bestFit="1" customWidth="1"/>
    <col min="5899" max="5899" width="10.85546875" style="153" bestFit="1" customWidth="1"/>
    <col min="5900" max="5900" width="10.85546875" style="153" customWidth="1"/>
    <col min="5901" max="5901" width="11.140625" style="153" bestFit="1" customWidth="1"/>
    <col min="5902" max="5902" width="10.85546875" style="153" bestFit="1" customWidth="1"/>
    <col min="5903" max="5903" width="11.42578125" style="153" bestFit="1" customWidth="1"/>
    <col min="5904" max="5904" width="15.85546875" style="153" bestFit="1" customWidth="1"/>
    <col min="5905" max="5905" width="6.7109375" style="153" bestFit="1" customWidth="1"/>
    <col min="5906" max="5906" width="5.5703125" style="153" bestFit="1" customWidth="1"/>
    <col min="5907" max="5907" width="14.42578125" style="153" bestFit="1" customWidth="1"/>
    <col min="5908" max="5908" width="14.28515625" style="153" bestFit="1" customWidth="1"/>
    <col min="5909" max="5909" width="14.28515625" style="153" customWidth="1"/>
    <col min="5910" max="6151" width="15.7109375" style="153"/>
    <col min="6152" max="6152" width="6" style="153" bestFit="1" customWidth="1"/>
    <col min="6153" max="6153" width="7.140625" style="153" bestFit="1" customWidth="1"/>
    <col min="6154" max="6154" width="9.140625" style="153" bestFit="1" customWidth="1"/>
    <col min="6155" max="6155" width="10.85546875" style="153" bestFit="1" customWidth="1"/>
    <col min="6156" max="6156" width="10.85546875" style="153" customWidth="1"/>
    <col min="6157" max="6157" width="11.140625" style="153" bestFit="1" customWidth="1"/>
    <col min="6158" max="6158" width="10.85546875" style="153" bestFit="1" customWidth="1"/>
    <col min="6159" max="6159" width="11.42578125" style="153" bestFit="1" customWidth="1"/>
    <col min="6160" max="6160" width="15.85546875" style="153" bestFit="1" customWidth="1"/>
    <col min="6161" max="6161" width="6.7109375" style="153" bestFit="1" customWidth="1"/>
    <col min="6162" max="6162" width="5.5703125" style="153" bestFit="1" customWidth="1"/>
    <col min="6163" max="6163" width="14.42578125" style="153" bestFit="1" customWidth="1"/>
    <col min="6164" max="6164" width="14.28515625" style="153" bestFit="1" customWidth="1"/>
    <col min="6165" max="6165" width="14.28515625" style="153" customWidth="1"/>
    <col min="6166" max="6407" width="15.7109375" style="153"/>
    <col min="6408" max="6408" width="6" style="153" bestFit="1" customWidth="1"/>
    <col min="6409" max="6409" width="7.140625" style="153" bestFit="1" customWidth="1"/>
    <col min="6410" max="6410" width="9.140625" style="153" bestFit="1" customWidth="1"/>
    <col min="6411" max="6411" width="10.85546875" style="153" bestFit="1" customWidth="1"/>
    <col min="6412" max="6412" width="10.85546875" style="153" customWidth="1"/>
    <col min="6413" max="6413" width="11.140625" style="153" bestFit="1" customWidth="1"/>
    <col min="6414" max="6414" width="10.85546875" style="153" bestFit="1" customWidth="1"/>
    <col min="6415" max="6415" width="11.42578125" style="153" bestFit="1" customWidth="1"/>
    <col min="6416" max="6416" width="15.85546875" style="153" bestFit="1" customWidth="1"/>
    <col min="6417" max="6417" width="6.7109375" style="153" bestFit="1" customWidth="1"/>
    <col min="6418" max="6418" width="5.5703125" style="153" bestFit="1" customWidth="1"/>
    <col min="6419" max="6419" width="14.42578125" style="153" bestFit="1" customWidth="1"/>
    <col min="6420" max="6420" width="14.28515625" style="153" bestFit="1" customWidth="1"/>
    <col min="6421" max="6421" width="14.28515625" style="153" customWidth="1"/>
    <col min="6422" max="6663" width="15.7109375" style="153"/>
    <col min="6664" max="6664" width="6" style="153" bestFit="1" customWidth="1"/>
    <col min="6665" max="6665" width="7.140625" style="153" bestFit="1" customWidth="1"/>
    <col min="6666" max="6666" width="9.140625" style="153" bestFit="1" customWidth="1"/>
    <col min="6667" max="6667" width="10.85546875" style="153" bestFit="1" customWidth="1"/>
    <col min="6668" max="6668" width="10.85546875" style="153" customWidth="1"/>
    <col min="6669" max="6669" width="11.140625" style="153" bestFit="1" customWidth="1"/>
    <col min="6670" max="6670" width="10.85546875" style="153" bestFit="1" customWidth="1"/>
    <col min="6671" max="6671" width="11.42578125" style="153" bestFit="1" customWidth="1"/>
    <col min="6672" max="6672" width="15.85546875" style="153" bestFit="1" customWidth="1"/>
    <col min="6673" max="6673" width="6.7109375" style="153" bestFit="1" customWidth="1"/>
    <col min="6674" max="6674" width="5.5703125" style="153" bestFit="1" customWidth="1"/>
    <col min="6675" max="6675" width="14.42578125" style="153" bestFit="1" customWidth="1"/>
    <col min="6676" max="6676" width="14.28515625" style="153" bestFit="1" customWidth="1"/>
    <col min="6677" max="6677" width="14.28515625" style="153" customWidth="1"/>
    <col min="6678" max="6919" width="15.7109375" style="153"/>
    <col min="6920" max="6920" width="6" style="153" bestFit="1" customWidth="1"/>
    <col min="6921" max="6921" width="7.140625" style="153" bestFit="1" customWidth="1"/>
    <col min="6922" max="6922" width="9.140625" style="153" bestFit="1" customWidth="1"/>
    <col min="6923" max="6923" width="10.85546875" style="153" bestFit="1" customWidth="1"/>
    <col min="6924" max="6924" width="10.85546875" style="153" customWidth="1"/>
    <col min="6925" max="6925" width="11.140625" style="153" bestFit="1" customWidth="1"/>
    <col min="6926" max="6926" width="10.85546875" style="153" bestFit="1" customWidth="1"/>
    <col min="6927" max="6927" width="11.42578125" style="153" bestFit="1" customWidth="1"/>
    <col min="6928" max="6928" width="15.85546875" style="153" bestFit="1" customWidth="1"/>
    <col min="6929" max="6929" width="6.7109375" style="153" bestFit="1" customWidth="1"/>
    <col min="6930" max="6930" width="5.5703125" style="153" bestFit="1" customWidth="1"/>
    <col min="6931" max="6931" width="14.42578125" style="153" bestFit="1" customWidth="1"/>
    <col min="6932" max="6932" width="14.28515625" style="153" bestFit="1" customWidth="1"/>
    <col min="6933" max="6933" width="14.28515625" style="153" customWidth="1"/>
    <col min="6934" max="7175" width="15.7109375" style="153"/>
    <col min="7176" max="7176" width="6" style="153" bestFit="1" customWidth="1"/>
    <col min="7177" max="7177" width="7.140625" style="153" bestFit="1" customWidth="1"/>
    <col min="7178" max="7178" width="9.140625" style="153" bestFit="1" customWidth="1"/>
    <col min="7179" max="7179" width="10.85546875" style="153" bestFit="1" customWidth="1"/>
    <col min="7180" max="7180" width="10.85546875" style="153" customWidth="1"/>
    <col min="7181" max="7181" width="11.140625" style="153" bestFit="1" customWidth="1"/>
    <col min="7182" max="7182" width="10.85546875" style="153" bestFit="1" customWidth="1"/>
    <col min="7183" max="7183" width="11.42578125" style="153" bestFit="1" customWidth="1"/>
    <col min="7184" max="7184" width="15.85546875" style="153" bestFit="1" customWidth="1"/>
    <col min="7185" max="7185" width="6.7109375" style="153" bestFit="1" customWidth="1"/>
    <col min="7186" max="7186" width="5.5703125" style="153" bestFit="1" customWidth="1"/>
    <col min="7187" max="7187" width="14.42578125" style="153" bestFit="1" customWidth="1"/>
    <col min="7188" max="7188" width="14.28515625" style="153" bestFit="1" customWidth="1"/>
    <col min="7189" max="7189" width="14.28515625" style="153" customWidth="1"/>
    <col min="7190" max="7431" width="15.7109375" style="153"/>
    <col min="7432" max="7432" width="6" style="153" bestFit="1" customWidth="1"/>
    <col min="7433" max="7433" width="7.140625" style="153" bestFit="1" customWidth="1"/>
    <col min="7434" max="7434" width="9.140625" style="153" bestFit="1" customWidth="1"/>
    <col min="7435" max="7435" width="10.85546875" style="153" bestFit="1" customWidth="1"/>
    <col min="7436" max="7436" width="10.85546875" style="153" customWidth="1"/>
    <col min="7437" max="7437" width="11.140625" style="153" bestFit="1" customWidth="1"/>
    <col min="7438" max="7438" width="10.85546875" style="153" bestFit="1" customWidth="1"/>
    <col min="7439" max="7439" width="11.42578125" style="153" bestFit="1" customWidth="1"/>
    <col min="7440" max="7440" width="15.85546875" style="153" bestFit="1" customWidth="1"/>
    <col min="7441" max="7441" width="6.7109375" style="153" bestFit="1" customWidth="1"/>
    <col min="7442" max="7442" width="5.5703125" style="153" bestFit="1" customWidth="1"/>
    <col min="7443" max="7443" width="14.42578125" style="153" bestFit="1" customWidth="1"/>
    <col min="7444" max="7444" width="14.28515625" style="153" bestFit="1" customWidth="1"/>
    <col min="7445" max="7445" width="14.28515625" style="153" customWidth="1"/>
    <col min="7446" max="7687" width="15.7109375" style="153"/>
    <col min="7688" max="7688" width="6" style="153" bestFit="1" customWidth="1"/>
    <col min="7689" max="7689" width="7.140625" style="153" bestFit="1" customWidth="1"/>
    <col min="7690" max="7690" width="9.140625" style="153" bestFit="1" customWidth="1"/>
    <col min="7691" max="7691" width="10.85546875" style="153" bestFit="1" customWidth="1"/>
    <col min="7692" max="7692" width="10.85546875" style="153" customWidth="1"/>
    <col min="7693" max="7693" width="11.140625" style="153" bestFit="1" customWidth="1"/>
    <col min="7694" max="7694" width="10.85546875" style="153" bestFit="1" customWidth="1"/>
    <col min="7695" max="7695" width="11.42578125" style="153" bestFit="1" customWidth="1"/>
    <col min="7696" max="7696" width="15.85546875" style="153" bestFit="1" customWidth="1"/>
    <col min="7697" max="7697" width="6.7109375" style="153" bestFit="1" customWidth="1"/>
    <col min="7698" max="7698" width="5.5703125" style="153" bestFit="1" customWidth="1"/>
    <col min="7699" max="7699" width="14.42578125" style="153" bestFit="1" customWidth="1"/>
    <col min="7700" max="7700" width="14.28515625" style="153" bestFit="1" customWidth="1"/>
    <col min="7701" max="7701" width="14.28515625" style="153" customWidth="1"/>
    <col min="7702" max="7943" width="15.7109375" style="153"/>
    <col min="7944" max="7944" width="6" style="153" bestFit="1" customWidth="1"/>
    <col min="7945" max="7945" width="7.140625" style="153" bestFit="1" customWidth="1"/>
    <col min="7946" max="7946" width="9.140625" style="153" bestFit="1" customWidth="1"/>
    <col min="7947" max="7947" width="10.85546875" style="153" bestFit="1" customWidth="1"/>
    <col min="7948" max="7948" width="10.85546875" style="153" customWidth="1"/>
    <col min="7949" max="7949" width="11.140625" style="153" bestFit="1" customWidth="1"/>
    <col min="7950" max="7950" width="10.85546875" style="153" bestFit="1" customWidth="1"/>
    <col min="7951" max="7951" width="11.42578125" style="153" bestFit="1" customWidth="1"/>
    <col min="7952" max="7952" width="15.85546875" style="153" bestFit="1" customWidth="1"/>
    <col min="7953" max="7953" width="6.7109375" style="153" bestFit="1" customWidth="1"/>
    <col min="7954" max="7954" width="5.5703125" style="153" bestFit="1" customWidth="1"/>
    <col min="7955" max="7955" width="14.42578125" style="153" bestFit="1" customWidth="1"/>
    <col min="7956" max="7956" width="14.28515625" style="153" bestFit="1" customWidth="1"/>
    <col min="7957" max="7957" width="14.28515625" style="153" customWidth="1"/>
    <col min="7958" max="8199" width="15.7109375" style="153"/>
    <col min="8200" max="8200" width="6" style="153" bestFit="1" customWidth="1"/>
    <col min="8201" max="8201" width="7.140625" style="153" bestFit="1" customWidth="1"/>
    <col min="8202" max="8202" width="9.140625" style="153" bestFit="1" customWidth="1"/>
    <col min="8203" max="8203" width="10.85546875" style="153" bestFit="1" customWidth="1"/>
    <col min="8204" max="8204" width="10.85546875" style="153" customWidth="1"/>
    <col min="8205" max="8205" width="11.140625" style="153" bestFit="1" customWidth="1"/>
    <col min="8206" max="8206" width="10.85546875" style="153" bestFit="1" customWidth="1"/>
    <col min="8207" max="8207" width="11.42578125" style="153" bestFit="1" customWidth="1"/>
    <col min="8208" max="8208" width="15.85546875" style="153" bestFit="1" customWidth="1"/>
    <col min="8209" max="8209" width="6.7109375" style="153" bestFit="1" customWidth="1"/>
    <col min="8210" max="8210" width="5.5703125" style="153" bestFit="1" customWidth="1"/>
    <col min="8211" max="8211" width="14.42578125" style="153" bestFit="1" customWidth="1"/>
    <col min="8212" max="8212" width="14.28515625" style="153" bestFit="1" customWidth="1"/>
    <col min="8213" max="8213" width="14.28515625" style="153" customWidth="1"/>
    <col min="8214" max="8455" width="15.7109375" style="153"/>
    <col min="8456" max="8456" width="6" style="153" bestFit="1" customWidth="1"/>
    <col min="8457" max="8457" width="7.140625" style="153" bestFit="1" customWidth="1"/>
    <col min="8458" max="8458" width="9.140625" style="153" bestFit="1" customWidth="1"/>
    <col min="8459" max="8459" width="10.85546875" style="153" bestFit="1" customWidth="1"/>
    <col min="8460" max="8460" width="10.85546875" style="153" customWidth="1"/>
    <col min="8461" max="8461" width="11.140625" style="153" bestFit="1" customWidth="1"/>
    <col min="8462" max="8462" width="10.85546875" style="153" bestFit="1" customWidth="1"/>
    <col min="8463" max="8463" width="11.42578125" style="153" bestFit="1" customWidth="1"/>
    <col min="8464" max="8464" width="15.85546875" style="153" bestFit="1" customWidth="1"/>
    <col min="8465" max="8465" width="6.7109375" style="153" bestFit="1" customWidth="1"/>
    <col min="8466" max="8466" width="5.5703125" style="153" bestFit="1" customWidth="1"/>
    <col min="8467" max="8467" width="14.42578125" style="153" bestFit="1" customWidth="1"/>
    <col min="8468" max="8468" width="14.28515625" style="153" bestFit="1" customWidth="1"/>
    <col min="8469" max="8469" width="14.28515625" style="153" customWidth="1"/>
    <col min="8470" max="8711" width="15.7109375" style="153"/>
    <col min="8712" max="8712" width="6" style="153" bestFit="1" customWidth="1"/>
    <col min="8713" max="8713" width="7.140625" style="153" bestFit="1" customWidth="1"/>
    <col min="8714" max="8714" width="9.140625" style="153" bestFit="1" customWidth="1"/>
    <col min="8715" max="8715" width="10.85546875" style="153" bestFit="1" customWidth="1"/>
    <col min="8716" max="8716" width="10.85546875" style="153" customWidth="1"/>
    <col min="8717" max="8717" width="11.140625" style="153" bestFit="1" customWidth="1"/>
    <col min="8718" max="8718" width="10.85546875" style="153" bestFit="1" customWidth="1"/>
    <col min="8719" max="8719" width="11.42578125" style="153" bestFit="1" customWidth="1"/>
    <col min="8720" max="8720" width="15.85546875" style="153" bestFit="1" customWidth="1"/>
    <col min="8721" max="8721" width="6.7109375" style="153" bestFit="1" customWidth="1"/>
    <col min="8722" max="8722" width="5.5703125" style="153" bestFit="1" customWidth="1"/>
    <col min="8723" max="8723" width="14.42578125" style="153" bestFit="1" customWidth="1"/>
    <col min="8724" max="8724" width="14.28515625" style="153" bestFit="1" customWidth="1"/>
    <col min="8725" max="8725" width="14.28515625" style="153" customWidth="1"/>
    <col min="8726" max="8967" width="15.7109375" style="153"/>
    <col min="8968" max="8968" width="6" style="153" bestFit="1" customWidth="1"/>
    <col min="8969" max="8969" width="7.140625" style="153" bestFit="1" customWidth="1"/>
    <col min="8970" max="8970" width="9.140625" style="153" bestFit="1" customWidth="1"/>
    <col min="8971" max="8971" width="10.85546875" style="153" bestFit="1" customWidth="1"/>
    <col min="8972" max="8972" width="10.85546875" style="153" customWidth="1"/>
    <col min="8973" max="8973" width="11.140625" style="153" bestFit="1" customWidth="1"/>
    <col min="8974" max="8974" width="10.85546875" style="153" bestFit="1" customWidth="1"/>
    <col min="8975" max="8975" width="11.42578125" style="153" bestFit="1" customWidth="1"/>
    <col min="8976" max="8976" width="15.85546875" style="153" bestFit="1" customWidth="1"/>
    <col min="8977" max="8977" width="6.7109375" style="153" bestFit="1" customWidth="1"/>
    <col min="8978" max="8978" width="5.5703125" style="153" bestFit="1" customWidth="1"/>
    <col min="8979" max="8979" width="14.42578125" style="153" bestFit="1" customWidth="1"/>
    <col min="8980" max="8980" width="14.28515625" style="153" bestFit="1" customWidth="1"/>
    <col min="8981" max="8981" width="14.28515625" style="153" customWidth="1"/>
    <col min="8982" max="9223" width="15.7109375" style="153"/>
    <col min="9224" max="9224" width="6" style="153" bestFit="1" customWidth="1"/>
    <col min="9225" max="9225" width="7.140625" style="153" bestFit="1" customWidth="1"/>
    <col min="9226" max="9226" width="9.140625" style="153" bestFit="1" customWidth="1"/>
    <col min="9227" max="9227" width="10.85546875" style="153" bestFit="1" customWidth="1"/>
    <col min="9228" max="9228" width="10.85546875" style="153" customWidth="1"/>
    <col min="9229" max="9229" width="11.140625" style="153" bestFit="1" customWidth="1"/>
    <col min="9230" max="9230" width="10.85546875" style="153" bestFit="1" customWidth="1"/>
    <col min="9231" max="9231" width="11.42578125" style="153" bestFit="1" customWidth="1"/>
    <col min="9232" max="9232" width="15.85546875" style="153" bestFit="1" customWidth="1"/>
    <col min="9233" max="9233" width="6.7109375" style="153" bestFit="1" customWidth="1"/>
    <col min="9234" max="9234" width="5.5703125" style="153" bestFit="1" customWidth="1"/>
    <col min="9235" max="9235" width="14.42578125" style="153" bestFit="1" customWidth="1"/>
    <col min="9236" max="9236" width="14.28515625" style="153" bestFit="1" customWidth="1"/>
    <col min="9237" max="9237" width="14.28515625" style="153" customWidth="1"/>
    <col min="9238" max="9479" width="15.7109375" style="153"/>
    <col min="9480" max="9480" width="6" style="153" bestFit="1" customWidth="1"/>
    <col min="9481" max="9481" width="7.140625" style="153" bestFit="1" customWidth="1"/>
    <col min="9482" max="9482" width="9.140625" style="153" bestFit="1" customWidth="1"/>
    <col min="9483" max="9483" width="10.85546875" style="153" bestFit="1" customWidth="1"/>
    <col min="9484" max="9484" width="10.85546875" style="153" customWidth="1"/>
    <col min="9485" max="9485" width="11.140625" style="153" bestFit="1" customWidth="1"/>
    <col min="9486" max="9486" width="10.85546875" style="153" bestFit="1" customWidth="1"/>
    <col min="9487" max="9487" width="11.42578125" style="153" bestFit="1" customWidth="1"/>
    <col min="9488" max="9488" width="15.85546875" style="153" bestFit="1" customWidth="1"/>
    <col min="9489" max="9489" width="6.7109375" style="153" bestFit="1" customWidth="1"/>
    <col min="9490" max="9490" width="5.5703125" style="153" bestFit="1" customWidth="1"/>
    <col min="9491" max="9491" width="14.42578125" style="153" bestFit="1" customWidth="1"/>
    <col min="9492" max="9492" width="14.28515625" style="153" bestFit="1" customWidth="1"/>
    <col min="9493" max="9493" width="14.28515625" style="153" customWidth="1"/>
    <col min="9494" max="9735" width="15.7109375" style="153"/>
    <col min="9736" max="9736" width="6" style="153" bestFit="1" customWidth="1"/>
    <col min="9737" max="9737" width="7.140625" style="153" bestFit="1" customWidth="1"/>
    <col min="9738" max="9738" width="9.140625" style="153" bestFit="1" customWidth="1"/>
    <col min="9739" max="9739" width="10.85546875" style="153" bestFit="1" customWidth="1"/>
    <col min="9740" max="9740" width="10.85546875" style="153" customWidth="1"/>
    <col min="9741" max="9741" width="11.140625" style="153" bestFit="1" customWidth="1"/>
    <col min="9742" max="9742" width="10.85546875" style="153" bestFit="1" customWidth="1"/>
    <col min="9743" max="9743" width="11.42578125" style="153" bestFit="1" customWidth="1"/>
    <col min="9744" max="9744" width="15.85546875" style="153" bestFit="1" customWidth="1"/>
    <col min="9745" max="9745" width="6.7109375" style="153" bestFit="1" customWidth="1"/>
    <col min="9746" max="9746" width="5.5703125" style="153" bestFit="1" customWidth="1"/>
    <col min="9747" max="9747" width="14.42578125" style="153" bestFit="1" customWidth="1"/>
    <col min="9748" max="9748" width="14.28515625" style="153" bestFit="1" customWidth="1"/>
    <col min="9749" max="9749" width="14.28515625" style="153" customWidth="1"/>
    <col min="9750" max="9991" width="15.7109375" style="153"/>
    <col min="9992" max="9992" width="6" style="153" bestFit="1" customWidth="1"/>
    <col min="9993" max="9993" width="7.140625" style="153" bestFit="1" customWidth="1"/>
    <col min="9994" max="9994" width="9.140625" style="153" bestFit="1" customWidth="1"/>
    <col min="9995" max="9995" width="10.85546875" style="153" bestFit="1" customWidth="1"/>
    <col min="9996" max="9996" width="10.85546875" style="153" customWidth="1"/>
    <col min="9997" max="9997" width="11.140625" style="153" bestFit="1" customWidth="1"/>
    <col min="9998" max="9998" width="10.85546875" style="153" bestFit="1" customWidth="1"/>
    <col min="9999" max="9999" width="11.42578125" style="153" bestFit="1" customWidth="1"/>
    <col min="10000" max="10000" width="15.85546875" style="153" bestFit="1" customWidth="1"/>
    <col min="10001" max="10001" width="6.7109375" style="153" bestFit="1" customWidth="1"/>
    <col min="10002" max="10002" width="5.5703125" style="153" bestFit="1" customWidth="1"/>
    <col min="10003" max="10003" width="14.42578125" style="153" bestFit="1" customWidth="1"/>
    <col min="10004" max="10004" width="14.28515625" style="153" bestFit="1" customWidth="1"/>
    <col min="10005" max="10005" width="14.28515625" style="153" customWidth="1"/>
    <col min="10006" max="10247" width="15.7109375" style="153"/>
    <col min="10248" max="10248" width="6" style="153" bestFit="1" customWidth="1"/>
    <col min="10249" max="10249" width="7.140625" style="153" bestFit="1" customWidth="1"/>
    <col min="10250" max="10250" width="9.140625" style="153" bestFit="1" customWidth="1"/>
    <col min="10251" max="10251" width="10.85546875" style="153" bestFit="1" customWidth="1"/>
    <col min="10252" max="10252" width="10.85546875" style="153" customWidth="1"/>
    <col min="10253" max="10253" width="11.140625" style="153" bestFit="1" customWidth="1"/>
    <col min="10254" max="10254" width="10.85546875" style="153" bestFit="1" customWidth="1"/>
    <col min="10255" max="10255" width="11.42578125" style="153" bestFit="1" customWidth="1"/>
    <col min="10256" max="10256" width="15.85546875" style="153" bestFit="1" customWidth="1"/>
    <col min="10257" max="10257" width="6.7109375" style="153" bestFit="1" customWidth="1"/>
    <col min="10258" max="10258" width="5.5703125" style="153" bestFit="1" customWidth="1"/>
    <col min="10259" max="10259" width="14.42578125" style="153" bestFit="1" customWidth="1"/>
    <col min="10260" max="10260" width="14.28515625" style="153" bestFit="1" customWidth="1"/>
    <col min="10261" max="10261" width="14.28515625" style="153" customWidth="1"/>
    <col min="10262" max="10503" width="15.7109375" style="153"/>
    <col min="10504" max="10504" width="6" style="153" bestFit="1" customWidth="1"/>
    <col min="10505" max="10505" width="7.140625" style="153" bestFit="1" customWidth="1"/>
    <col min="10506" max="10506" width="9.140625" style="153" bestFit="1" customWidth="1"/>
    <col min="10507" max="10507" width="10.85546875" style="153" bestFit="1" customWidth="1"/>
    <col min="10508" max="10508" width="10.85546875" style="153" customWidth="1"/>
    <col min="10509" max="10509" width="11.140625" style="153" bestFit="1" customWidth="1"/>
    <col min="10510" max="10510" width="10.85546875" style="153" bestFit="1" customWidth="1"/>
    <col min="10511" max="10511" width="11.42578125" style="153" bestFit="1" customWidth="1"/>
    <col min="10512" max="10512" width="15.85546875" style="153" bestFit="1" customWidth="1"/>
    <col min="10513" max="10513" width="6.7109375" style="153" bestFit="1" customWidth="1"/>
    <col min="10514" max="10514" width="5.5703125" style="153" bestFit="1" customWidth="1"/>
    <col min="10515" max="10515" width="14.42578125" style="153" bestFit="1" customWidth="1"/>
    <col min="10516" max="10516" width="14.28515625" style="153" bestFit="1" customWidth="1"/>
    <col min="10517" max="10517" width="14.28515625" style="153" customWidth="1"/>
    <col min="10518" max="10759" width="15.7109375" style="153"/>
    <col min="10760" max="10760" width="6" style="153" bestFit="1" customWidth="1"/>
    <col min="10761" max="10761" width="7.140625" style="153" bestFit="1" customWidth="1"/>
    <col min="10762" max="10762" width="9.140625" style="153" bestFit="1" customWidth="1"/>
    <col min="10763" max="10763" width="10.85546875" style="153" bestFit="1" customWidth="1"/>
    <col min="10764" max="10764" width="10.85546875" style="153" customWidth="1"/>
    <col min="10765" max="10765" width="11.140625" style="153" bestFit="1" customWidth="1"/>
    <col min="10766" max="10766" width="10.85546875" style="153" bestFit="1" customWidth="1"/>
    <col min="10767" max="10767" width="11.42578125" style="153" bestFit="1" customWidth="1"/>
    <col min="10768" max="10768" width="15.85546875" style="153" bestFit="1" customWidth="1"/>
    <col min="10769" max="10769" width="6.7109375" style="153" bestFit="1" customWidth="1"/>
    <col min="10770" max="10770" width="5.5703125" style="153" bestFit="1" customWidth="1"/>
    <col min="10771" max="10771" width="14.42578125" style="153" bestFit="1" customWidth="1"/>
    <col min="10772" max="10772" width="14.28515625" style="153" bestFit="1" customWidth="1"/>
    <col min="10773" max="10773" width="14.28515625" style="153" customWidth="1"/>
    <col min="10774" max="11015" width="15.7109375" style="153"/>
    <col min="11016" max="11016" width="6" style="153" bestFit="1" customWidth="1"/>
    <col min="11017" max="11017" width="7.140625" style="153" bestFit="1" customWidth="1"/>
    <col min="11018" max="11018" width="9.140625" style="153" bestFit="1" customWidth="1"/>
    <col min="11019" max="11019" width="10.85546875" style="153" bestFit="1" customWidth="1"/>
    <col min="11020" max="11020" width="10.85546875" style="153" customWidth="1"/>
    <col min="11021" max="11021" width="11.140625" style="153" bestFit="1" customWidth="1"/>
    <col min="11022" max="11022" width="10.85546875" style="153" bestFit="1" customWidth="1"/>
    <col min="11023" max="11023" width="11.42578125" style="153" bestFit="1" customWidth="1"/>
    <col min="11024" max="11024" width="15.85546875" style="153" bestFit="1" customWidth="1"/>
    <col min="11025" max="11025" width="6.7109375" style="153" bestFit="1" customWidth="1"/>
    <col min="11026" max="11026" width="5.5703125" style="153" bestFit="1" customWidth="1"/>
    <col min="11027" max="11027" width="14.42578125" style="153" bestFit="1" customWidth="1"/>
    <col min="11028" max="11028" width="14.28515625" style="153" bestFit="1" customWidth="1"/>
    <col min="11029" max="11029" width="14.28515625" style="153" customWidth="1"/>
    <col min="11030" max="11271" width="15.7109375" style="153"/>
    <col min="11272" max="11272" width="6" style="153" bestFit="1" customWidth="1"/>
    <col min="11273" max="11273" width="7.140625" style="153" bestFit="1" customWidth="1"/>
    <col min="11274" max="11274" width="9.140625" style="153" bestFit="1" customWidth="1"/>
    <col min="11275" max="11275" width="10.85546875" style="153" bestFit="1" customWidth="1"/>
    <col min="11276" max="11276" width="10.85546875" style="153" customWidth="1"/>
    <col min="11277" max="11277" width="11.140625" style="153" bestFit="1" customWidth="1"/>
    <col min="11278" max="11278" width="10.85546875" style="153" bestFit="1" customWidth="1"/>
    <col min="11279" max="11279" width="11.42578125" style="153" bestFit="1" customWidth="1"/>
    <col min="11280" max="11280" width="15.85546875" style="153" bestFit="1" customWidth="1"/>
    <col min="11281" max="11281" width="6.7109375" style="153" bestFit="1" customWidth="1"/>
    <col min="11282" max="11282" width="5.5703125" style="153" bestFit="1" customWidth="1"/>
    <col min="11283" max="11283" width="14.42578125" style="153" bestFit="1" customWidth="1"/>
    <col min="11284" max="11284" width="14.28515625" style="153" bestFit="1" customWidth="1"/>
    <col min="11285" max="11285" width="14.28515625" style="153" customWidth="1"/>
    <col min="11286" max="11527" width="15.7109375" style="153"/>
    <col min="11528" max="11528" width="6" style="153" bestFit="1" customWidth="1"/>
    <col min="11529" max="11529" width="7.140625" style="153" bestFit="1" customWidth="1"/>
    <col min="11530" max="11530" width="9.140625" style="153" bestFit="1" customWidth="1"/>
    <col min="11531" max="11531" width="10.85546875" style="153" bestFit="1" customWidth="1"/>
    <col min="11532" max="11532" width="10.85546875" style="153" customWidth="1"/>
    <col min="11533" max="11533" width="11.140625" style="153" bestFit="1" customWidth="1"/>
    <col min="11534" max="11534" width="10.85546875" style="153" bestFit="1" customWidth="1"/>
    <col min="11535" max="11535" width="11.42578125" style="153" bestFit="1" customWidth="1"/>
    <col min="11536" max="11536" width="15.85546875" style="153" bestFit="1" customWidth="1"/>
    <col min="11537" max="11537" width="6.7109375" style="153" bestFit="1" customWidth="1"/>
    <col min="11538" max="11538" width="5.5703125" style="153" bestFit="1" customWidth="1"/>
    <col min="11539" max="11539" width="14.42578125" style="153" bestFit="1" customWidth="1"/>
    <col min="11540" max="11540" width="14.28515625" style="153" bestFit="1" customWidth="1"/>
    <col min="11541" max="11541" width="14.28515625" style="153" customWidth="1"/>
    <col min="11542" max="11783" width="15.7109375" style="153"/>
    <col min="11784" max="11784" width="6" style="153" bestFit="1" customWidth="1"/>
    <col min="11785" max="11785" width="7.140625" style="153" bestFit="1" customWidth="1"/>
    <col min="11786" max="11786" width="9.140625" style="153" bestFit="1" customWidth="1"/>
    <col min="11787" max="11787" width="10.85546875" style="153" bestFit="1" customWidth="1"/>
    <col min="11788" max="11788" width="10.85546875" style="153" customWidth="1"/>
    <col min="11789" max="11789" width="11.140625" style="153" bestFit="1" customWidth="1"/>
    <col min="11790" max="11790" width="10.85546875" style="153" bestFit="1" customWidth="1"/>
    <col min="11791" max="11791" width="11.42578125" style="153" bestFit="1" customWidth="1"/>
    <col min="11792" max="11792" width="15.85546875" style="153" bestFit="1" customWidth="1"/>
    <col min="11793" max="11793" width="6.7109375" style="153" bestFit="1" customWidth="1"/>
    <col min="11794" max="11794" width="5.5703125" style="153" bestFit="1" customWidth="1"/>
    <col min="11795" max="11795" width="14.42578125" style="153" bestFit="1" customWidth="1"/>
    <col min="11796" max="11796" width="14.28515625" style="153" bestFit="1" customWidth="1"/>
    <col min="11797" max="11797" width="14.28515625" style="153" customWidth="1"/>
    <col min="11798" max="12039" width="15.7109375" style="153"/>
    <col min="12040" max="12040" width="6" style="153" bestFit="1" customWidth="1"/>
    <col min="12041" max="12041" width="7.140625" style="153" bestFit="1" customWidth="1"/>
    <col min="12042" max="12042" width="9.140625" style="153" bestFit="1" customWidth="1"/>
    <col min="12043" max="12043" width="10.85546875" style="153" bestFit="1" customWidth="1"/>
    <col min="12044" max="12044" width="10.85546875" style="153" customWidth="1"/>
    <col min="12045" max="12045" width="11.140625" style="153" bestFit="1" customWidth="1"/>
    <col min="12046" max="12046" width="10.85546875" style="153" bestFit="1" customWidth="1"/>
    <col min="12047" max="12047" width="11.42578125" style="153" bestFit="1" customWidth="1"/>
    <col min="12048" max="12048" width="15.85546875" style="153" bestFit="1" customWidth="1"/>
    <col min="12049" max="12049" width="6.7109375" style="153" bestFit="1" customWidth="1"/>
    <col min="12050" max="12050" width="5.5703125" style="153" bestFit="1" customWidth="1"/>
    <col min="12051" max="12051" width="14.42578125" style="153" bestFit="1" customWidth="1"/>
    <col min="12052" max="12052" width="14.28515625" style="153" bestFit="1" customWidth="1"/>
    <col min="12053" max="12053" width="14.28515625" style="153" customWidth="1"/>
    <col min="12054" max="12295" width="15.7109375" style="153"/>
    <col min="12296" max="12296" width="6" style="153" bestFit="1" customWidth="1"/>
    <col min="12297" max="12297" width="7.140625" style="153" bestFit="1" customWidth="1"/>
    <col min="12298" max="12298" width="9.140625" style="153" bestFit="1" customWidth="1"/>
    <col min="12299" max="12299" width="10.85546875" style="153" bestFit="1" customWidth="1"/>
    <col min="12300" max="12300" width="10.85546875" style="153" customWidth="1"/>
    <col min="12301" max="12301" width="11.140625" style="153" bestFit="1" customWidth="1"/>
    <col min="12302" max="12302" width="10.85546875" style="153" bestFit="1" customWidth="1"/>
    <col min="12303" max="12303" width="11.42578125" style="153" bestFit="1" customWidth="1"/>
    <col min="12304" max="12304" width="15.85546875" style="153" bestFit="1" customWidth="1"/>
    <col min="12305" max="12305" width="6.7109375" style="153" bestFit="1" customWidth="1"/>
    <col min="12306" max="12306" width="5.5703125" style="153" bestFit="1" customWidth="1"/>
    <col min="12307" max="12307" width="14.42578125" style="153" bestFit="1" customWidth="1"/>
    <col min="12308" max="12308" width="14.28515625" style="153" bestFit="1" customWidth="1"/>
    <col min="12309" max="12309" width="14.28515625" style="153" customWidth="1"/>
    <col min="12310" max="12551" width="15.7109375" style="153"/>
    <col min="12552" max="12552" width="6" style="153" bestFit="1" customWidth="1"/>
    <col min="12553" max="12553" width="7.140625" style="153" bestFit="1" customWidth="1"/>
    <col min="12554" max="12554" width="9.140625" style="153" bestFit="1" customWidth="1"/>
    <col min="12555" max="12555" width="10.85546875" style="153" bestFit="1" customWidth="1"/>
    <col min="12556" max="12556" width="10.85546875" style="153" customWidth="1"/>
    <col min="12557" max="12557" width="11.140625" style="153" bestFit="1" customWidth="1"/>
    <col min="12558" max="12558" width="10.85546875" style="153" bestFit="1" customWidth="1"/>
    <col min="12559" max="12559" width="11.42578125" style="153" bestFit="1" customWidth="1"/>
    <col min="12560" max="12560" width="15.85546875" style="153" bestFit="1" customWidth="1"/>
    <col min="12561" max="12561" width="6.7109375" style="153" bestFit="1" customWidth="1"/>
    <col min="12562" max="12562" width="5.5703125" style="153" bestFit="1" customWidth="1"/>
    <col min="12563" max="12563" width="14.42578125" style="153" bestFit="1" customWidth="1"/>
    <col min="12564" max="12564" width="14.28515625" style="153" bestFit="1" customWidth="1"/>
    <col min="12565" max="12565" width="14.28515625" style="153" customWidth="1"/>
    <col min="12566" max="12807" width="15.7109375" style="153"/>
    <col min="12808" max="12808" width="6" style="153" bestFit="1" customWidth="1"/>
    <col min="12809" max="12809" width="7.140625" style="153" bestFit="1" customWidth="1"/>
    <col min="12810" max="12810" width="9.140625" style="153" bestFit="1" customWidth="1"/>
    <col min="12811" max="12811" width="10.85546875" style="153" bestFit="1" customWidth="1"/>
    <col min="12812" max="12812" width="10.85546875" style="153" customWidth="1"/>
    <col min="12813" max="12813" width="11.140625" style="153" bestFit="1" customWidth="1"/>
    <col min="12814" max="12814" width="10.85546875" style="153" bestFit="1" customWidth="1"/>
    <col min="12815" max="12815" width="11.42578125" style="153" bestFit="1" customWidth="1"/>
    <col min="12816" max="12816" width="15.85546875" style="153" bestFit="1" customWidth="1"/>
    <col min="12817" max="12817" width="6.7109375" style="153" bestFit="1" customWidth="1"/>
    <col min="12818" max="12818" width="5.5703125" style="153" bestFit="1" customWidth="1"/>
    <col min="12819" max="12819" width="14.42578125" style="153" bestFit="1" customWidth="1"/>
    <col min="12820" max="12820" width="14.28515625" style="153" bestFit="1" customWidth="1"/>
    <col min="12821" max="12821" width="14.28515625" style="153" customWidth="1"/>
    <col min="12822" max="13063" width="15.7109375" style="153"/>
    <col min="13064" max="13064" width="6" style="153" bestFit="1" customWidth="1"/>
    <col min="13065" max="13065" width="7.140625" style="153" bestFit="1" customWidth="1"/>
    <col min="13066" max="13066" width="9.140625" style="153" bestFit="1" customWidth="1"/>
    <col min="13067" max="13067" width="10.85546875" style="153" bestFit="1" customWidth="1"/>
    <col min="13068" max="13068" width="10.85546875" style="153" customWidth="1"/>
    <col min="13069" max="13069" width="11.140625" style="153" bestFit="1" customWidth="1"/>
    <col min="13070" max="13070" width="10.85546875" style="153" bestFit="1" customWidth="1"/>
    <col min="13071" max="13071" width="11.42578125" style="153" bestFit="1" customWidth="1"/>
    <col min="13072" max="13072" width="15.85546875" style="153" bestFit="1" customWidth="1"/>
    <col min="13073" max="13073" width="6.7109375" style="153" bestFit="1" customWidth="1"/>
    <col min="13074" max="13074" width="5.5703125" style="153" bestFit="1" customWidth="1"/>
    <col min="13075" max="13075" width="14.42578125" style="153" bestFit="1" customWidth="1"/>
    <col min="13076" max="13076" width="14.28515625" style="153" bestFit="1" customWidth="1"/>
    <col min="13077" max="13077" width="14.28515625" style="153" customWidth="1"/>
    <col min="13078" max="13319" width="15.7109375" style="153"/>
    <col min="13320" max="13320" width="6" style="153" bestFit="1" customWidth="1"/>
    <col min="13321" max="13321" width="7.140625" style="153" bestFit="1" customWidth="1"/>
    <col min="13322" max="13322" width="9.140625" style="153" bestFit="1" customWidth="1"/>
    <col min="13323" max="13323" width="10.85546875" style="153" bestFit="1" customWidth="1"/>
    <col min="13324" max="13324" width="10.85546875" style="153" customWidth="1"/>
    <col min="13325" max="13325" width="11.140625" style="153" bestFit="1" customWidth="1"/>
    <col min="13326" max="13326" width="10.85546875" style="153" bestFit="1" customWidth="1"/>
    <col min="13327" max="13327" width="11.42578125" style="153" bestFit="1" customWidth="1"/>
    <col min="13328" max="13328" width="15.85546875" style="153" bestFit="1" customWidth="1"/>
    <col min="13329" max="13329" width="6.7109375" style="153" bestFit="1" customWidth="1"/>
    <col min="13330" max="13330" width="5.5703125" style="153" bestFit="1" customWidth="1"/>
    <col min="13331" max="13331" width="14.42578125" style="153" bestFit="1" customWidth="1"/>
    <col min="13332" max="13332" width="14.28515625" style="153" bestFit="1" customWidth="1"/>
    <col min="13333" max="13333" width="14.28515625" style="153" customWidth="1"/>
    <col min="13334" max="13575" width="15.7109375" style="153"/>
    <col min="13576" max="13576" width="6" style="153" bestFit="1" customWidth="1"/>
    <col min="13577" max="13577" width="7.140625" style="153" bestFit="1" customWidth="1"/>
    <col min="13578" max="13578" width="9.140625" style="153" bestFit="1" customWidth="1"/>
    <col min="13579" max="13579" width="10.85546875" style="153" bestFit="1" customWidth="1"/>
    <col min="13580" max="13580" width="10.85546875" style="153" customWidth="1"/>
    <col min="13581" max="13581" width="11.140625" style="153" bestFit="1" customWidth="1"/>
    <col min="13582" max="13582" width="10.85546875" style="153" bestFit="1" customWidth="1"/>
    <col min="13583" max="13583" width="11.42578125" style="153" bestFit="1" customWidth="1"/>
    <col min="13584" max="13584" width="15.85546875" style="153" bestFit="1" customWidth="1"/>
    <col min="13585" max="13585" width="6.7109375" style="153" bestFit="1" customWidth="1"/>
    <col min="13586" max="13586" width="5.5703125" style="153" bestFit="1" customWidth="1"/>
    <col min="13587" max="13587" width="14.42578125" style="153" bestFit="1" customWidth="1"/>
    <col min="13588" max="13588" width="14.28515625" style="153" bestFit="1" customWidth="1"/>
    <col min="13589" max="13589" width="14.28515625" style="153" customWidth="1"/>
    <col min="13590" max="13831" width="15.7109375" style="153"/>
    <col min="13832" max="13832" width="6" style="153" bestFit="1" customWidth="1"/>
    <col min="13833" max="13833" width="7.140625" style="153" bestFit="1" customWidth="1"/>
    <col min="13834" max="13834" width="9.140625" style="153" bestFit="1" customWidth="1"/>
    <col min="13835" max="13835" width="10.85546875" style="153" bestFit="1" customWidth="1"/>
    <col min="13836" max="13836" width="10.85546875" style="153" customWidth="1"/>
    <col min="13837" max="13837" width="11.140625" style="153" bestFit="1" customWidth="1"/>
    <col min="13838" max="13838" width="10.85546875" style="153" bestFit="1" customWidth="1"/>
    <col min="13839" max="13839" width="11.42578125" style="153" bestFit="1" customWidth="1"/>
    <col min="13840" max="13840" width="15.85546875" style="153" bestFit="1" customWidth="1"/>
    <col min="13841" max="13841" width="6.7109375" style="153" bestFit="1" customWidth="1"/>
    <col min="13842" max="13842" width="5.5703125" style="153" bestFit="1" customWidth="1"/>
    <col min="13843" max="13843" width="14.42578125" style="153" bestFit="1" customWidth="1"/>
    <col min="13844" max="13844" width="14.28515625" style="153" bestFit="1" customWidth="1"/>
    <col min="13845" max="13845" width="14.28515625" style="153" customWidth="1"/>
    <col min="13846" max="14087" width="15.7109375" style="153"/>
    <col min="14088" max="14088" width="6" style="153" bestFit="1" customWidth="1"/>
    <col min="14089" max="14089" width="7.140625" style="153" bestFit="1" customWidth="1"/>
    <col min="14090" max="14090" width="9.140625" style="153" bestFit="1" customWidth="1"/>
    <col min="14091" max="14091" width="10.85546875" style="153" bestFit="1" customWidth="1"/>
    <col min="14092" max="14092" width="10.85546875" style="153" customWidth="1"/>
    <col min="14093" max="14093" width="11.140625" style="153" bestFit="1" customWidth="1"/>
    <col min="14094" max="14094" width="10.85546875" style="153" bestFit="1" customWidth="1"/>
    <col min="14095" max="14095" width="11.42578125" style="153" bestFit="1" customWidth="1"/>
    <col min="14096" max="14096" width="15.85546875" style="153" bestFit="1" customWidth="1"/>
    <col min="14097" max="14097" width="6.7109375" style="153" bestFit="1" customWidth="1"/>
    <col min="14098" max="14098" width="5.5703125" style="153" bestFit="1" customWidth="1"/>
    <col min="14099" max="14099" width="14.42578125" style="153" bestFit="1" customWidth="1"/>
    <col min="14100" max="14100" width="14.28515625" style="153" bestFit="1" customWidth="1"/>
    <col min="14101" max="14101" width="14.28515625" style="153" customWidth="1"/>
    <col min="14102" max="14343" width="15.7109375" style="153"/>
    <col min="14344" max="14344" width="6" style="153" bestFit="1" customWidth="1"/>
    <col min="14345" max="14345" width="7.140625" style="153" bestFit="1" customWidth="1"/>
    <col min="14346" max="14346" width="9.140625" style="153" bestFit="1" customWidth="1"/>
    <col min="14347" max="14347" width="10.85546875" style="153" bestFit="1" customWidth="1"/>
    <col min="14348" max="14348" width="10.85546875" style="153" customWidth="1"/>
    <col min="14349" max="14349" width="11.140625" style="153" bestFit="1" customWidth="1"/>
    <col min="14350" max="14350" width="10.85546875" style="153" bestFit="1" customWidth="1"/>
    <col min="14351" max="14351" width="11.42578125" style="153" bestFit="1" customWidth="1"/>
    <col min="14352" max="14352" width="15.85546875" style="153" bestFit="1" customWidth="1"/>
    <col min="14353" max="14353" width="6.7109375" style="153" bestFit="1" customWidth="1"/>
    <col min="14354" max="14354" width="5.5703125" style="153" bestFit="1" customWidth="1"/>
    <col min="14355" max="14355" width="14.42578125" style="153" bestFit="1" customWidth="1"/>
    <col min="14356" max="14356" width="14.28515625" style="153" bestFit="1" customWidth="1"/>
    <col min="14357" max="14357" width="14.28515625" style="153" customWidth="1"/>
    <col min="14358" max="14599" width="15.7109375" style="153"/>
    <col min="14600" max="14600" width="6" style="153" bestFit="1" customWidth="1"/>
    <col min="14601" max="14601" width="7.140625" style="153" bestFit="1" customWidth="1"/>
    <col min="14602" max="14602" width="9.140625" style="153" bestFit="1" customWidth="1"/>
    <col min="14603" max="14603" width="10.85546875" style="153" bestFit="1" customWidth="1"/>
    <col min="14604" max="14604" width="10.85546875" style="153" customWidth="1"/>
    <col min="14605" max="14605" width="11.140625" style="153" bestFit="1" customWidth="1"/>
    <col min="14606" max="14606" width="10.85546875" style="153" bestFit="1" customWidth="1"/>
    <col min="14607" max="14607" width="11.42578125" style="153" bestFit="1" customWidth="1"/>
    <col min="14608" max="14608" width="15.85546875" style="153" bestFit="1" customWidth="1"/>
    <col min="14609" max="14609" width="6.7109375" style="153" bestFit="1" customWidth="1"/>
    <col min="14610" max="14610" width="5.5703125" style="153" bestFit="1" customWidth="1"/>
    <col min="14611" max="14611" width="14.42578125" style="153" bestFit="1" customWidth="1"/>
    <col min="14612" max="14612" width="14.28515625" style="153" bestFit="1" customWidth="1"/>
    <col min="14613" max="14613" width="14.28515625" style="153" customWidth="1"/>
    <col min="14614" max="14855" width="15.7109375" style="153"/>
    <col min="14856" max="14856" width="6" style="153" bestFit="1" customWidth="1"/>
    <col min="14857" max="14857" width="7.140625" style="153" bestFit="1" customWidth="1"/>
    <col min="14858" max="14858" width="9.140625" style="153" bestFit="1" customWidth="1"/>
    <col min="14859" max="14859" width="10.85546875" style="153" bestFit="1" customWidth="1"/>
    <col min="14860" max="14860" width="10.85546875" style="153" customWidth="1"/>
    <col min="14861" max="14861" width="11.140625" style="153" bestFit="1" customWidth="1"/>
    <col min="14862" max="14862" width="10.85546875" style="153" bestFit="1" customWidth="1"/>
    <col min="14863" max="14863" width="11.42578125" style="153" bestFit="1" customWidth="1"/>
    <col min="14864" max="14864" width="15.85546875" style="153" bestFit="1" customWidth="1"/>
    <col min="14865" max="14865" width="6.7109375" style="153" bestFit="1" customWidth="1"/>
    <col min="14866" max="14866" width="5.5703125" style="153" bestFit="1" customWidth="1"/>
    <col min="14867" max="14867" width="14.42578125" style="153" bestFit="1" customWidth="1"/>
    <col min="14868" max="14868" width="14.28515625" style="153" bestFit="1" customWidth="1"/>
    <col min="14869" max="14869" width="14.28515625" style="153" customWidth="1"/>
    <col min="14870" max="15111" width="15.7109375" style="153"/>
    <col min="15112" max="15112" width="6" style="153" bestFit="1" customWidth="1"/>
    <col min="15113" max="15113" width="7.140625" style="153" bestFit="1" customWidth="1"/>
    <col min="15114" max="15114" width="9.140625" style="153" bestFit="1" customWidth="1"/>
    <col min="15115" max="15115" width="10.85546875" style="153" bestFit="1" customWidth="1"/>
    <col min="15116" max="15116" width="10.85546875" style="153" customWidth="1"/>
    <col min="15117" max="15117" width="11.140625" style="153" bestFit="1" customWidth="1"/>
    <col min="15118" max="15118" width="10.85546875" style="153" bestFit="1" customWidth="1"/>
    <col min="15119" max="15119" width="11.42578125" style="153" bestFit="1" customWidth="1"/>
    <col min="15120" max="15120" width="15.85546875" style="153" bestFit="1" customWidth="1"/>
    <col min="15121" max="15121" width="6.7109375" style="153" bestFit="1" customWidth="1"/>
    <col min="15122" max="15122" width="5.5703125" style="153" bestFit="1" customWidth="1"/>
    <col min="15123" max="15123" width="14.42578125" style="153" bestFit="1" customWidth="1"/>
    <col min="15124" max="15124" width="14.28515625" style="153" bestFit="1" customWidth="1"/>
    <col min="15125" max="15125" width="14.28515625" style="153" customWidth="1"/>
    <col min="15126" max="15367" width="15.7109375" style="153"/>
    <col min="15368" max="15368" width="6" style="153" bestFit="1" customWidth="1"/>
    <col min="15369" max="15369" width="7.140625" style="153" bestFit="1" customWidth="1"/>
    <col min="15370" max="15370" width="9.140625" style="153" bestFit="1" customWidth="1"/>
    <col min="15371" max="15371" width="10.85546875" style="153" bestFit="1" customWidth="1"/>
    <col min="15372" max="15372" width="10.85546875" style="153" customWidth="1"/>
    <col min="15373" max="15373" width="11.140625" style="153" bestFit="1" customWidth="1"/>
    <col min="15374" max="15374" width="10.85546875" style="153" bestFit="1" customWidth="1"/>
    <col min="15375" max="15375" width="11.42578125" style="153" bestFit="1" customWidth="1"/>
    <col min="15376" max="15376" width="15.85546875" style="153" bestFit="1" customWidth="1"/>
    <col min="15377" max="15377" width="6.7109375" style="153" bestFit="1" customWidth="1"/>
    <col min="15378" max="15378" width="5.5703125" style="153" bestFit="1" customWidth="1"/>
    <col min="15379" max="15379" width="14.42578125" style="153" bestFit="1" customWidth="1"/>
    <col min="15380" max="15380" width="14.28515625" style="153" bestFit="1" customWidth="1"/>
    <col min="15381" max="15381" width="14.28515625" style="153" customWidth="1"/>
    <col min="15382" max="15623" width="15.7109375" style="153"/>
    <col min="15624" max="15624" width="6" style="153" bestFit="1" customWidth="1"/>
    <col min="15625" max="15625" width="7.140625" style="153" bestFit="1" customWidth="1"/>
    <col min="15626" max="15626" width="9.140625" style="153" bestFit="1" customWidth="1"/>
    <col min="15627" max="15627" width="10.85546875" style="153" bestFit="1" customWidth="1"/>
    <col min="15628" max="15628" width="10.85546875" style="153" customWidth="1"/>
    <col min="15629" max="15629" width="11.140625" style="153" bestFit="1" customWidth="1"/>
    <col min="15630" max="15630" width="10.85546875" style="153" bestFit="1" customWidth="1"/>
    <col min="15631" max="15631" width="11.42578125" style="153" bestFit="1" customWidth="1"/>
    <col min="15632" max="15632" width="15.85546875" style="153" bestFit="1" customWidth="1"/>
    <col min="15633" max="15633" width="6.7109375" style="153" bestFit="1" customWidth="1"/>
    <col min="15634" max="15634" width="5.5703125" style="153" bestFit="1" customWidth="1"/>
    <col min="15635" max="15635" width="14.42578125" style="153" bestFit="1" customWidth="1"/>
    <col min="15636" max="15636" width="14.28515625" style="153" bestFit="1" customWidth="1"/>
    <col min="15637" max="15637" width="14.28515625" style="153" customWidth="1"/>
    <col min="15638" max="15879" width="15.7109375" style="153"/>
    <col min="15880" max="15880" width="6" style="153" bestFit="1" customWidth="1"/>
    <col min="15881" max="15881" width="7.140625" style="153" bestFit="1" customWidth="1"/>
    <col min="15882" max="15882" width="9.140625" style="153" bestFit="1" customWidth="1"/>
    <col min="15883" max="15883" width="10.85546875" style="153" bestFit="1" customWidth="1"/>
    <col min="15884" max="15884" width="10.85546875" style="153" customWidth="1"/>
    <col min="15885" max="15885" width="11.140625" style="153" bestFit="1" customWidth="1"/>
    <col min="15886" max="15886" width="10.85546875" style="153" bestFit="1" customWidth="1"/>
    <col min="15887" max="15887" width="11.42578125" style="153" bestFit="1" customWidth="1"/>
    <col min="15888" max="15888" width="15.85546875" style="153" bestFit="1" customWidth="1"/>
    <col min="15889" max="15889" width="6.7109375" style="153" bestFit="1" customWidth="1"/>
    <col min="15890" max="15890" width="5.5703125" style="153" bestFit="1" customWidth="1"/>
    <col min="15891" max="15891" width="14.42578125" style="153" bestFit="1" customWidth="1"/>
    <col min="15892" max="15892" width="14.28515625" style="153" bestFit="1" customWidth="1"/>
    <col min="15893" max="15893" width="14.28515625" style="153" customWidth="1"/>
    <col min="15894" max="16135" width="15.7109375" style="153"/>
    <col min="16136" max="16136" width="6" style="153" bestFit="1" customWidth="1"/>
    <col min="16137" max="16137" width="7.140625" style="153" bestFit="1" customWidth="1"/>
    <col min="16138" max="16138" width="9.140625" style="153" bestFit="1" customWidth="1"/>
    <col min="16139" max="16139" width="10.85546875" style="153" bestFit="1" customWidth="1"/>
    <col min="16140" max="16140" width="10.85546875" style="153" customWidth="1"/>
    <col min="16141" max="16141" width="11.140625" style="153" bestFit="1" customWidth="1"/>
    <col min="16142" max="16142" width="10.85546875" style="153" bestFit="1" customWidth="1"/>
    <col min="16143" max="16143" width="11.42578125" style="153" bestFit="1" customWidth="1"/>
    <col min="16144" max="16144" width="15.85546875" style="153" bestFit="1" customWidth="1"/>
    <col min="16145" max="16145" width="6.7109375" style="153" bestFit="1" customWidth="1"/>
    <col min="16146" max="16146" width="5.5703125" style="153" bestFit="1" customWidth="1"/>
    <col min="16147" max="16147" width="14.42578125" style="153" bestFit="1" customWidth="1"/>
    <col min="16148" max="16148" width="14.28515625" style="153" bestFit="1" customWidth="1"/>
    <col min="16149" max="16149" width="14.28515625" style="153" customWidth="1"/>
    <col min="16150" max="16384" width="15.7109375" style="153"/>
  </cols>
  <sheetData>
    <row r="1" spans="1:24" x14ac:dyDescent="0.2">
      <c r="A1" s="150" t="s">
        <v>15</v>
      </c>
      <c r="B1" s="150" t="s">
        <v>18</v>
      </c>
      <c r="C1" s="175" t="s">
        <v>254</v>
      </c>
      <c r="D1" s="175" t="s">
        <v>153</v>
      </c>
      <c r="E1" s="172" t="s">
        <v>154</v>
      </c>
      <c r="F1" s="172" t="s">
        <v>175</v>
      </c>
      <c r="G1" s="172" t="s">
        <v>211</v>
      </c>
      <c r="H1" s="172" t="s">
        <v>155</v>
      </c>
      <c r="I1" s="151" t="s">
        <v>190</v>
      </c>
      <c r="J1" s="151" t="s">
        <v>156</v>
      </c>
      <c r="K1" s="152" t="s">
        <v>255</v>
      </c>
      <c r="L1" s="163" t="s">
        <v>191</v>
      </c>
      <c r="M1" s="153" t="s">
        <v>218</v>
      </c>
      <c r="N1" s="152" t="s">
        <v>157</v>
      </c>
      <c r="O1" s="152" t="s">
        <v>185</v>
      </c>
      <c r="P1" s="152"/>
      <c r="Q1" s="165"/>
      <c r="R1" s="165" t="s">
        <v>159</v>
      </c>
      <c r="S1" s="170" t="s">
        <v>160</v>
      </c>
      <c r="T1" s="170" t="s">
        <v>161</v>
      </c>
      <c r="U1" s="170" t="s">
        <v>176</v>
      </c>
      <c r="V1" s="170" t="s">
        <v>256</v>
      </c>
      <c r="X1" s="153" t="s">
        <v>177</v>
      </c>
    </row>
    <row r="2" spans="1:24" x14ac:dyDescent="0.2">
      <c r="A2" s="153">
        <v>2001</v>
      </c>
      <c r="B2" s="153">
        <v>1</v>
      </c>
      <c r="C2" s="164">
        <v>364664.49900000001</v>
      </c>
      <c r="D2" s="265">
        <v>364664.49900000001</v>
      </c>
      <c r="E2" s="173">
        <v>5.6</v>
      </c>
      <c r="F2" s="173">
        <v>5.6</v>
      </c>
      <c r="G2" s="173"/>
      <c r="H2" s="173">
        <v>32.33</v>
      </c>
      <c r="I2" s="154">
        <f t="shared" ref="I2:I12" si="0">I3-100</f>
        <v>683695</v>
      </c>
      <c r="J2" s="190">
        <f>VLOOKUP($A2&amp;$B2,'LE Inputs'!$C$2:$J$505,MATCH('LE UtilityData'!J$1,'LE Inputs'!$C$1:$J$1,0),0)*1000</f>
        <v>1173209</v>
      </c>
      <c r="K2" s="190">
        <v>467184.74541524117</v>
      </c>
      <c r="L2" s="164">
        <v>314404</v>
      </c>
      <c r="M2" s="291">
        <v>314402.21502399998</v>
      </c>
      <c r="N2" s="156">
        <v>35553.777046329102</v>
      </c>
      <c r="O2" s="190" t="e">
        <f>VLOOKUP($A2&amp;$B2,'LE Inputs'!$C$2:$J$505,MATCH('LE UtilityData'!O$1,'LE Inputs'!$C$1:$J$1,0),0)</f>
        <v>#N/A</v>
      </c>
      <c r="P2" s="190"/>
      <c r="Q2" s="182"/>
      <c r="R2" s="182">
        <v>0</v>
      </c>
      <c r="S2" s="166">
        <v>4124</v>
      </c>
      <c r="T2" s="166">
        <v>1696</v>
      </c>
      <c r="U2" s="166">
        <f>D2/M2*1000</f>
        <v>1159.8661891493455</v>
      </c>
      <c r="V2" s="166">
        <f t="shared" ref="V2:V65" si="1">C2/L2*1000</f>
        <v>1159.859604203509</v>
      </c>
      <c r="W2" s="153" t="e">
        <f>#REF!+1</f>
        <v>#REF!</v>
      </c>
      <c r="X2" s="157">
        <f t="shared" ref="X2:X32" si="2">SUMIF(A$2:A$493,W$2:W$31,L$2:L$493)/12</f>
        <v>0</v>
      </c>
    </row>
    <row r="3" spans="1:24" x14ac:dyDescent="0.2">
      <c r="A3" s="153">
        <v>2001</v>
      </c>
      <c r="B3" s="153">
        <v>2</v>
      </c>
      <c r="C3" s="164">
        <v>281238.44300000003</v>
      </c>
      <c r="D3" s="265">
        <v>281238.44300000003</v>
      </c>
      <c r="E3" s="173">
        <v>5.6</v>
      </c>
      <c r="F3" s="173">
        <v>5.6</v>
      </c>
      <c r="G3" s="173"/>
      <c r="H3" s="173">
        <v>29.81</v>
      </c>
      <c r="I3" s="154">
        <f t="shared" si="0"/>
        <v>683795</v>
      </c>
      <c r="J3" s="190">
        <f>VLOOKUP($A3&amp;$B3,'LE Inputs'!$C$2:$J$505,MATCH('LE UtilityData'!J$1,'LE Inputs'!$C$1:$J$1,0),0)*1000</f>
        <v>1173209</v>
      </c>
      <c r="K3" s="190">
        <v>467184.74541524117</v>
      </c>
      <c r="L3" s="164">
        <v>316189</v>
      </c>
      <c r="M3" s="291">
        <v>316187.449456</v>
      </c>
      <c r="N3" s="156">
        <v>35553.777046329102</v>
      </c>
      <c r="O3" s="190" t="e">
        <f>VLOOKUP($A3&amp;$B3,'LE Inputs'!$C$2:$J$505,MATCH('LE UtilityData'!O$1,'LE Inputs'!$C$1:$J$1,0),0)</f>
        <v>#N/A</v>
      </c>
      <c r="P3" s="190"/>
      <c r="Q3" s="182"/>
      <c r="R3" s="182">
        <v>0</v>
      </c>
      <c r="S3" s="166">
        <v>4124</v>
      </c>
      <c r="T3" s="166">
        <v>1696</v>
      </c>
      <c r="U3" s="166">
        <f t="shared" ref="U3:U66" si="3">D3/M3*1000</f>
        <v>889.46744560503691</v>
      </c>
      <c r="V3" s="166">
        <f t="shared" si="1"/>
        <v>889.46308378849369</v>
      </c>
      <c r="W3" s="153" t="e">
        <f t="shared" ref="W3:W32" si="4">W2+1</f>
        <v>#REF!</v>
      </c>
      <c r="X3" s="157">
        <f t="shared" si="2"/>
        <v>0</v>
      </c>
    </row>
    <row r="4" spans="1:24" x14ac:dyDescent="0.2">
      <c r="A4" s="153">
        <v>2001</v>
      </c>
      <c r="B4" s="153">
        <v>3</v>
      </c>
      <c r="C4" s="164">
        <v>259489.12100000001</v>
      </c>
      <c r="D4" s="265">
        <v>259489.12100000001</v>
      </c>
      <c r="E4" s="173">
        <v>5.6</v>
      </c>
      <c r="F4" s="173">
        <v>5.6</v>
      </c>
      <c r="G4" s="173"/>
      <c r="H4" s="173">
        <v>30.29</v>
      </c>
      <c r="I4" s="154">
        <f t="shared" si="0"/>
        <v>683895</v>
      </c>
      <c r="J4" s="190">
        <f>VLOOKUP($A4&amp;$B4,'LE Inputs'!$C$2:$J$505,MATCH('LE UtilityData'!J$1,'LE Inputs'!$C$1:$J$1,0),0)*1000</f>
        <v>1173209</v>
      </c>
      <c r="K4" s="190">
        <v>467184.74541524117</v>
      </c>
      <c r="L4" s="164">
        <v>315857</v>
      </c>
      <c r="M4" s="291">
        <v>315854.64174399996</v>
      </c>
      <c r="N4" s="156">
        <v>35553.777046329102</v>
      </c>
      <c r="O4" s="190" t="e">
        <f>VLOOKUP($A4&amp;$B4,'LE Inputs'!$C$2:$J$505,MATCH('LE UtilityData'!O$1,'LE Inputs'!$C$1:$J$1,0),0)</f>
        <v>#N/A</v>
      </c>
      <c r="P4" s="190"/>
      <c r="Q4" s="182"/>
      <c r="R4" s="182">
        <v>0</v>
      </c>
      <c r="S4" s="166">
        <v>4124</v>
      </c>
      <c r="T4" s="166">
        <v>1696</v>
      </c>
      <c r="U4" s="166">
        <f t="shared" si="3"/>
        <v>821.54601106136602</v>
      </c>
      <c r="V4" s="166">
        <f t="shared" si="1"/>
        <v>821.5398772229205</v>
      </c>
      <c r="W4" s="153" t="e">
        <f t="shared" si="4"/>
        <v>#REF!</v>
      </c>
      <c r="X4" s="157">
        <f t="shared" si="2"/>
        <v>0</v>
      </c>
    </row>
    <row r="5" spans="1:24" x14ac:dyDescent="0.2">
      <c r="A5" s="153">
        <v>2001</v>
      </c>
      <c r="B5" s="153">
        <v>4</v>
      </c>
      <c r="C5" s="164">
        <v>245529.92300000001</v>
      </c>
      <c r="D5" s="265">
        <v>245529.92300000004</v>
      </c>
      <c r="E5" s="173">
        <v>5.6</v>
      </c>
      <c r="F5" s="173">
        <v>5.6</v>
      </c>
      <c r="G5" s="173"/>
      <c r="H5" s="173">
        <v>30.29</v>
      </c>
      <c r="I5" s="154">
        <f t="shared" si="0"/>
        <v>683995</v>
      </c>
      <c r="J5" s="190">
        <f>VLOOKUP($A5&amp;$B5,'LE Inputs'!$C$2:$J$505,MATCH('LE UtilityData'!J$1,'LE Inputs'!$C$1:$J$1,0),0)*1000</f>
        <v>1175506</v>
      </c>
      <c r="K5" s="190">
        <v>468393.6583914088</v>
      </c>
      <c r="L5" s="164">
        <v>316835</v>
      </c>
      <c r="M5" s="291">
        <v>316832.86556800001</v>
      </c>
      <c r="N5" s="156">
        <v>35386.853965188398</v>
      </c>
      <c r="O5" s="190" t="e">
        <f>VLOOKUP($A5&amp;$B5,'LE Inputs'!$C$2:$J$505,MATCH('LE UtilityData'!O$1,'LE Inputs'!$C$1:$J$1,0),0)</f>
        <v>#N/A</v>
      </c>
      <c r="P5" s="190"/>
      <c r="Q5" s="182"/>
      <c r="R5" s="182">
        <v>58</v>
      </c>
      <c r="S5" s="166">
        <v>4124</v>
      </c>
      <c r="T5" s="166">
        <v>1696</v>
      </c>
      <c r="U5" s="166">
        <f t="shared" si="3"/>
        <v>774.9509273914116</v>
      </c>
      <c r="V5" s="166">
        <f t="shared" si="1"/>
        <v>774.9457067558825</v>
      </c>
      <c r="W5" s="153" t="e">
        <f t="shared" si="4"/>
        <v>#REF!</v>
      </c>
      <c r="X5" s="157">
        <f t="shared" si="2"/>
        <v>0</v>
      </c>
    </row>
    <row r="6" spans="1:24" x14ac:dyDescent="0.2">
      <c r="A6" s="153">
        <v>2001</v>
      </c>
      <c r="B6" s="153">
        <v>5</v>
      </c>
      <c r="C6" s="164">
        <v>267979.59899999999</v>
      </c>
      <c r="D6" s="265">
        <v>267979.59899999999</v>
      </c>
      <c r="E6" s="173">
        <v>5.6</v>
      </c>
      <c r="F6" s="173">
        <v>5.6</v>
      </c>
      <c r="G6" s="173"/>
      <c r="H6" s="173">
        <v>30.05</v>
      </c>
      <c r="I6" s="154">
        <f t="shared" si="0"/>
        <v>684095</v>
      </c>
      <c r="J6" s="190">
        <f>VLOOKUP($A6&amp;$B6,'LE Inputs'!$C$2:$J$505,MATCH('LE UtilityData'!J$1,'LE Inputs'!$C$1:$J$1,0),0)*1000</f>
        <v>1175506</v>
      </c>
      <c r="K6" s="190">
        <v>468393.6583914088</v>
      </c>
      <c r="L6" s="164">
        <v>316869</v>
      </c>
      <c r="M6" s="291">
        <v>316866.53108799999</v>
      </c>
      <c r="N6" s="156">
        <v>35386.853965188398</v>
      </c>
      <c r="O6" s="190" t="e">
        <f>VLOOKUP($A6&amp;$B6,'LE Inputs'!$C$2:$J$505,MATCH('LE UtilityData'!O$1,'LE Inputs'!$C$1:$J$1,0),0)</f>
        <v>#N/A</v>
      </c>
      <c r="P6" s="190"/>
      <c r="Q6" s="182"/>
      <c r="R6" s="182">
        <v>119</v>
      </c>
      <c r="S6" s="166">
        <v>4124</v>
      </c>
      <c r="T6" s="166">
        <v>1696</v>
      </c>
      <c r="U6" s="166">
        <f t="shared" si="3"/>
        <v>845.71758992614104</v>
      </c>
      <c r="V6" s="166">
        <f t="shared" si="1"/>
        <v>845.71100044497882</v>
      </c>
      <c r="W6" s="153" t="e">
        <f t="shared" si="4"/>
        <v>#REF!</v>
      </c>
      <c r="X6" s="157">
        <f t="shared" si="2"/>
        <v>0</v>
      </c>
    </row>
    <row r="7" spans="1:24" x14ac:dyDescent="0.2">
      <c r="A7" s="153">
        <v>2001</v>
      </c>
      <c r="B7" s="153">
        <v>6</v>
      </c>
      <c r="C7" s="164">
        <v>316797.81800000003</v>
      </c>
      <c r="D7" s="265">
        <v>316797.81800000003</v>
      </c>
      <c r="E7" s="173">
        <v>5.6</v>
      </c>
      <c r="F7" s="173">
        <v>5.6</v>
      </c>
      <c r="G7" s="173"/>
      <c r="H7" s="173">
        <v>30.62</v>
      </c>
      <c r="I7" s="154">
        <f t="shared" si="0"/>
        <v>684195</v>
      </c>
      <c r="J7" s="190">
        <f>VLOOKUP($A7&amp;$B7,'LE Inputs'!$C$2:$J$505,MATCH('LE UtilityData'!J$1,'LE Inputs'!$C$1:$J$1,0),0)*1000</f>
        <v>1175506</v>
      </c>
      <c r="K7" s="190">
        <v>468393.6583914088</v>
      </c>
      <c r="L7" s="164">
        <v>318441</v>
      </c>
      <c r="M7" s="291">
        <v>318439.19180799997</v>
      </c>
      <c r="N7" s="156">
        <v>35386.853965188398</v>
      </c>
      <c r="O7" s="190" t="e">
        <f>VLOOKUP($A7&amp;$B7,'LE Inputs'!$C$2:$J$505,MATCH('LE UtilityData'!O$1,'LE Inputs'!$C$1:$J$1,0),0)</f>
        <v>#N/A</v>
      </c>
      <c r="P7" s="190"/>
      <c r="Q7" s="182"/>
      <c r="R7" s="182">
        <v>166</v>
      </c>
      <c r="S7" s="166">
        <v>4124</v>
      </c>
      <c r="T7" s="166">
        <v>1696</v>
      </c>
      <c r="U7" s="166">
        <f t="shared" si="3"/>
        <v>994.84556596604602</v>
      </c>
      <c r="V7" s="166">
        <f t="shared" si="1"/>
        <v>994.83991697049066</v>
      </c>
      <c r="W7" s="153" t="e">
        <f t="shared" si="4"/>
        <v>#REF!</v>
      </c>
      <c r="X7" s="157">
        <f t="shared" si="2"/>
        <v>0</v>
      </c>
    </row>
    <row r="8" spans="1:24" x14ac:dyDescent="0.2">
      <c r="A8" s="153">
        <v>2001</v>
      </c>
      <c r="B8" s="153">
        <v>7</v>
      </c>
      <c r="C8" s="164">
        <v>432588.71</v>
      </c>
      <c r="D8" s="265">
        <v>432588.71</v>
      </c>
      <c r="E8" s="173">
        <v>5.6</v>
      </c>
      <c r="F8" s="173">
        <v>5.6</v>
      </c>
      <c r="G8" s="173"/>
      <c r="H8" s="173">
        <v>30.76</v>
      </c>
      <c r="I8" s="154">
        <f t="shared" si="0"/>
        <v>684295</v>
      </c>
      <c r="J8" s="190">
        <f>VLOOKUP($A8&amp;$B8,'LE Inputs'!$C$2:$J$505,MATCH('LE UtilityData'!J$1,'LE Inputs'!$C$1:$J$1,0),0)*1000</f>
        <v>1177757.25</v>
      </c>
      <c r="K8" s="190">
        <v>469625.08778390288</v>
      </c>
      <c r="L8" s="164">
        <v>318773</v>
      </c>
      <c r="M8" s="291">
        <v>318771.037648</v>
      </c>
      <c r="N8" s="156">
        <v>35357.645532071598</v>
      </c>
      <c r="O8" s="190" t="e">
        <f>VLOOKUP($A8&amp;$B8,'LE Inputs'!$C$2:$J$505,MATCH('LE UtilityData'!O$1,'LE Inputs'!$C$1:$J$1,0),0)</f>
        <v>#N/A</v>
      </c>
      <c r="P8" s="190"/>
      <c r="Q8" s="182"/>
      <c r="R8" s="182">
        <v>325</v>
      </c>
      <c r="S8" s="166">
        <v>4124</v>
      </c>
      <c r="T8" s="166">
        <v>1696</v>
      </c>
      <c r="U8" s="166">
        <f t="shared" si="3"/>
        <v>1357.0514849522876</v>
      </c>
      <c r="V8" s="166">
        <f t="shared" si="1"/>
        <v>1357.0431310054491</v>
      </c>
      <c r="W8" s="153" t="e">
        <f t="shared" si="4"/>
        <v>#REF!</v>
      </c>
      <c r="X8" s="157">
        <f t="shared" si="2"/>
        <v>0</v>
      </c>
    </row>
    <row r="9" spans="1:24" x14ac:dyDescent="0.2">
      <c r="A9" s="153">
        <v>2001</v>
      </c>
      <c r="B9" s="153">
        <v>8</v>
      </c>
      <c r="C9" s="164">
        <v>482261.65899999999</v>
      </c>
      <c r="D9" s="265">
        <v>482261.65899999999</v>
      </c>
      <c r="E9" s="173">
        <v>5.6</v>
      </c>
      <c r="F9" s="173">
        <v>5.6</v>
      </c>
      <c r="G9" s="173"/>
      <c r="H9" s="173">
        <v>29.48</v>
      </c>
      <c r="I9" s="154">
        <f t="shared" si="0"/>
        <v>684395</v>
      </c>
      <c r="J9" s="190">
        <f>VLOOKUP($A9&amp;$B9,'LE Inputs'!$C$2:$J$505,MATCH('LE UtilityData'!J$1,'LE Inputs'!$C$1:$J$1,0),0)*1000</f>
        <v>1177757.25</v>
      </c>
      <c r="K9" s="190">
        <v>469625.08778390288</v>
      </c>
      <c r="L9" s="164">
        <v>318223</v>
      </c>
      <c r="M9" s="291">
        <v>318220.84686399996</v>
      </c>
      <c r="N9" s="156">
        <v>35357.645532071598</v>
      </c>
      <c r="O9" s="190" t="e">
        <f>VLOOKUP($A9&amp;$B9,'LE Inputs'!$C$2:$J$505,MATCH('LE UtilityData'!O$1,'LE Inputs'!$C$1:$J$1,0),0)</f>
        <v>#N/A</v>
      </c>
      <c r="P9" s="190"/>
      <c r="Q9" s="182"/>
      <c r="R9" s="182">
        <v>414</v>
      </c>
      <c r="S9" s="166">
        <v>4124</v>
      </c>
      <c r="T9" s="166">
        <v>1696</v>
      </c>
      <c r="U9" s="166">
        <f t="shared" si="3"/>
        <v>1515.4936068852435</v>
      </c>
      <c r="V9" s="166">
        <f t="shared" si="1"/>
        <v>1515.4833528689001</v>
      </c>
      <c r="W9" s="153" t="e">
        <f t="shared" si="4"/>
        <v>#REF!</v>
      </c>
      <c r="X9" s="157">
        <f t="shared" si="2"/>
        <v>0</v>
      </c>
    </row>
    <row r="10" spans="1:24" x14ac:dyDescent="0.2">
      <c r="A10" s="153">
        <v>2001</v>
      </c>
      <c r="B10" s="153">
        <v>9</v>
      </c>
      <c r="C10" s="164">
        <v>412942.93400000001</v>
      </c>
      <c r="D10" s="265">
        <v>412942.93400000001</v>
      </c>
      <c r="E10" s="173">
        <v>5.6</v>
      </c>
      <c r="F10" s="173">
        <v>5.6</v>
      </c>
      <c r="G10" s="173"/>
      <c r="H10" s="173">
        <v>30.62</v>
      </c>
      <c r="I10" s="154">
        <f t="shared" si="0"/>
        <v>684495</v>
      </c>
      <c r="J10" s="190">
        <f>VLOOKUP($A10&amp;$B10,'LE Inputs'!$C$2:$J$505,MATCH('LE UtilityData'!J$1,'LE Inputs'!$C$1:$J$1,0),0)*1000</f>
        <v>1177757.25</v>
      </c>
      <c r="K10" s="190">
        <v>469625.08778390288</v>
      </c>
      <c r="L10" s="164">
        <v>318469</v>
      </c>
      <c r="M10" s="291">
        <v>318467.08609599998</v>
      </c>
      <c r="N10" s="156">
        <v>35357.645532071598</v>
      </c>
      <c r="O10" s="190" t="e">
        <f>VLOOKUP($A10&amp;$B10,'LE Inputs'!$C$2:$J$505,MATCH('LE UtilityData'!O$1,'LE Inputs'!$C$1:$J$1,0),0)</f>
        <v>#N/A</v>
      </c>
      <c r="P10" s="190"/>
      <c r="Q10" s="182"/>
      <c r="R10" s="182">
        <v>301</v>
      </c>
      <c r="S10" s="166">
        <v>4124</v>
      </c>
      <c r="T10" s="166">
        <v>1696</v>
      </c>
      <c r="U10" s="166">
        <f t="shared" si="3"/>
        <v>1296.6581227032073</v>
      </c>
      <c r="V10" s="166">
        <f t="shared" si="1"/>
        <v>1296.6503301734235</v>
      </c>
      <c r="W10" s="153" t="e">
        <f t="shared" si="4"/>
        <v>#REF!</v>
      </c>
      <c r="X10" s="157">
        <f t="shared" si="2"/>
        <v>0</v>
      </c>
    </row>
    <row r="11" spans="1:24" x14ac:dyDescent="0.2">
      <c r="A11" s="153">
        <v>2001</v>
      </c>
      <c r="B11" s="153">
        <v>10</v>
      </c>
      <c r="C11" s="164">
        <v>241862.98800000001</v>
      </c>
      <c r="D11" s="265">
        <v>241862.98800000004</v>
      </c>
      <c r="E11" s="173">
        <v>5.6</v>
      </c>
      <c r="F11" s="173">
        <v>5.6</v>
      </c>
      <c r="G11" s="173"/>
      <c r="H11" s="173">
        <v>29.67</v>
      </c>
      <c r="I11" s="154">
        <f t="shared" si="0"/>
        <v>684595</v>
      </c>
      <c r="J11" s="190">
        <f>VLOOKUP($A11&amp;$B11,'LE Inputs'!$C$2:$J$505,MATCH('LE UtilityData'!J$1,'LE Inputs'!$C$1:$J$1,0),0)*1000</f>
        <v>1180008.5</v>
      </c>
      <c r="K11" s="190">
        <v>470859.39986136515</v>
      </c>
      <c r="L11" s="164">
        <v>317873</v>
      </c>
      <c r="M11" s="291">
        <v>317870.72545599996</v>
      </c>
      <c r="N11" s="156">
        <v>35573.138087862797</v>
      </c>
      <c r="O11" s="190" t="e">
        <f>VLOOKUP($A11&amp;$B11,'LE Inputs'!$C$2:$J$505,MATCH('LE UtilityData'!O$1,'LE Inputs'!$C$1:$J$1,0),0)</f>
        <v>#N/A</v>
      </c>
      <c r="P11" s="190"/>
      <c r="Q11" s="182"/>
      <c r="R11" s="182">
        <v>50</v>
      </c>
      <c r="S11" s="166">
        <v>4124</v>
      </c>
      <c r="T11" s="166">
        <v>1696</v>
      </c>
      <c r="U11" s="166">
        <f t="shared" si="3"/>
        <v>760.88475166449075</v>
      </c>
      <c r="V11" s="166">
        <f t="shared" si="1"/>
        <v>760.87930714467734</v>
      </c>
      <c r="W11" s="153" t="e">
        <f t="shared" si="4"/>
        <v>#REF!</v>
      </c>
      <c r="X11" s="157">
        <f t="shared" si="2"/>
        <v>0</v>
      </c>
    </row>
    <row r="12" spans="1:24" x14ac:dyDescent="0.2">
      <c r="A12" s="153">
        <v>2001</v>
      </c>
      <c r="B12" s="153">
        <v>11</v>
      </c>
      <c r="C12" s="164">
        <v>222305.33499999999</v>
      </c>
      <c r="D12" s="265">
        <v>222305.33499999999</v>
      </c>
      <c r="E12" s="173">
        <v>5.6</v>
      </c>
      <c r="F12" s="173">
        <v>5.6</v>
      </c>
      <c r="G12" s="173"/>
      <c r="H12" s="173">
        <v>30</v>
      </c>
      <c r="I12" s="154">
        <f t="shared" si="0"/>
        <v>684695</v>
      </c>
      <c r="J12" s="190">
        <f>VLOOKUP($A12&amp;$B12,'LE Inputs'!$C$2:$J$505,MATCH('LE UtilityData'!J$1,'LE Inputs'!$C$1:$J$1,0),0)*1000</f>
        <v>1180008.5</v>
      </c>
      <c r="K12" s="190">
        <v>470859.39986136515</v>
      </c>
      <c r="L12" s="164">
        <v>318400</v>
      </c>
      <c r="M12" s="291">
        <v>318397.83131199999</v>
      </c>
      <c r="N12" s="156">
        <v>35573.138087862797</v>
      </c>
      <c r="O12" s="190" t="e">
        <f>VLOOKUP($A12&amp;$B12,'LE Inputs'!$C$2:$J$505,MATCH('LE UtilityData'!O$1,'LE Inputs'!$C$1:$J$1,0),0)</f>
        <v>#N/A</v>
      </c>
      <c r="P12" s="190"/>
      <c r="Q12" s="182"/>
      <c r="R12" s="182">
        <v>8</v>
      </c>
      <c r="S12" s="166">
        <v>4124</v>
      </c>
      <c r="T12" s="166">
        <v>1696</v>
      </c>
      <c r="U12" s="166">
        <f t="shared" si="3"/>
        <v>698.19990319645615</v>
      </c>
      <c r="V12" s="166">
        <f t="shared" si="1"/>
        <v>698.19514761306539</v>
      </c>
      <c r="W12" s="153" t="e">
        <f t="shared" si="4"/>
        <v>#REF!</v>
      </c>
      <c r="X12" s="157">
        <f t="shared" si="2"/>
        <v>0</v>
      </c>
    </row>
    <row r="13" spans="1:24" x14ac:dyDescent="0.2">
      <c r="A13" s="153">
        <v>2001</v>
      </c>
      <c r="B13" s="153">
        <v>12</v>
      </c>
      <c r="C13" s="164">
        <v>258446.606</v>
      </c>
      <c r="D13" s="265">
        <v>258446.606</v>
      </c>
      <c r="E13" s="173">
        <v>5.6</v>
      </c>
      <c r="F13" s="173">
        <v>5.6</v>
      </c>
      <c r="G13" s="173"/>
      <c r="H13" s="173">
        <v>31.43</v>
      </c>
      <c r="I13" s="154">
        <f>I14-100</f>
        <v>684795</v>
      </c>
      <c r="J13" s="190">
        <f>VLOOKUP($A13&amp;$B13,'LE Inputs'!$C$2:$J$505,MATCH('LE UtilityData'!J$1,'LE Inputs'!$C$1:$J$1,0),0)*1000</f>
        <v>1180008.5</v>
      </c>
      <c r="K13" s="190">
        <v>470859.39986136515</v>
      </c>
      <c r="L13" s="164">
        <v>319039</v>
      </c>
      <c r="M13" s="291">
        <v>319037.47619199997</v>
      </c>
      <c r="N13" s="156">
        <v>35573.138087862797</v>
      </c>
      <c r="O13" s="190" t="e">
        <f>VLOOKUP($A13&amp;$B13,'LE Inputs'!$C$2:$J$505,MATCH('LE UtilityData'!O$1,'LE Inputs'!$C$1:$J$1,0),0)</f>
        <v>#N/A</v>
      </c>
      <c r="P13" s="190"/>
      <c r="Q13" s="182"/>
      <c r="R13" s="182">
        <v>0</v>
      </c>
      <c r="S13" s="166">
        <v>4124</v>
      </c>
      <c r="T13" s="166">
        <v>1696</v>
      </c>
      <c r="U13" s="166">
        <f t="shared" si="3"/>
        <v>810.08227962681167</v>
      </c>
      <c r="V13" s="166">
        <f t="shared" si="1"/>
        <v>810.07841047646207</v>
      </c>
      <c r="W13" s="153" t="e">
        <f t="shared" si="4"/>
        <v>#REF!</v>
      </c>
      <c r="X13" s="157">
        <f t="shared" si="2"/>
        <v>0</v>
      </c>
    </row>
    <row r="14" spans="1:24" x14ac:dyDescent="0.2">
      <c r="A14" s="153">
        <v>2002</v>
      </c>
      <c r="B14" s="153">
        <v>1</v>
      </c>
      <c r="C14" s="164">
        <v>330148.39799999999</v>
      </c>
      <c r="D14" s="265">
        <v>330148.39799999999</v>
      </c>
      <c r="E14" s="173">
        <v>5.8</v>
      </c>
      <c r="F14" s="173">
        <v>5.8</v>
      </c>
      <c r="G14" s="173"/>
      <c r="H14" s="173">
        <v>32.380000000000003</v>
      </c>
      <c r="I14" s="154">
        <v>684895</v>
      </c>
      <c r="J14" s="190">
        <f>VLOOKUP($A14&amp;$B14,'LE Inputs'!$C$2:$J$505,MATCH('LE UtilityData'!J$1,'LE Inputs'!$C$1:$J$1,0),0)*1000</f>
        <v>1182259.75</v>
      </c>
      <c r="K14" s="190">
        <v>472096.60259149229</v>
      </c>
      <c r="L14" s="164">
        <v>318966</v>
      </c>
      <c r="M14" s="291">
        <v>318964.37391999998</v>
      </c>
      <c r="N14" s="156">
        <v>35885.6415535993</v>
      </c>
      <c r="O14" s="190" t="e">
        <f>VLOOKUP($A14&amp;$B14,'LE Inputs'!$C$2:$J$505,MATCH('LE UtilityData'!O$1,'LE Inputs'!$C$1:$J$1,0),0)</f>
        <v>#N/A</v>
      </c>
      <c r="P14" s="190"/>
      <c r="Q14" s="182"/>
      <c r="R14" s="182">
        <v>0</v>
      </c>
      <c r="S14" s="166">
        <v>4124</v>
      </c>
      <c r="T14" s="166">
        <v>1696</v>
      </c>
      <c r="U14" s="166">
        <f t="shared" si="3"/>
        <v>1035.0635525295534</v>
      </c>
      <c r="V14" s="166">
        <f t="shared" si="1"/>
        <v>1035.0582758036905</v>
      </c>
      <c r="W14" s="153" t="e">
        <f t="shared" si="4"/>
        <v>#REF!</v>
      </c>
      <c r="X14" s="157">
        <f t="shared" si="2"/>
        <v>0</v>
      </c>
    </row>
    <row r="15" spans="1:24" x14ac:dyDescent="0.2">
      <c r="A15" s="153">
        <v>2002</v>
      </c>
      <c r="B15" s="153">
        <v>2</v>
      </c>
      <c r="C15" s="164">
        <v>268736.10800000001</v>
      </c>
      <c r="D15" s="265">
        <v>268736.10800000001</v>
      </c>
      <c r="E15" s="173">
        <v>5.8</v>
      </c>
      <c r="F15" s="173">
        <v>5.8</v>
      </c>
      <c r="G15" s="173"/>
      <c r="H15" s="173">
        <v>29.9</v>
      </c>
      <c r="I15" s="154">
        <v>684973</v>
      </c>
      <c r="J15" s="190">
        <f>VLOOKUP($A15&amp;$B15,'LE Inputs'!$C$2:$J$505,MATCH('LE UtilityData'!J$1,'LE Inputs'!$C$1:$J$1,0),0)*1000</f>
        <v>1182259.75</v>
      </c>
      <c r="K15" s="190">
        <v>472096.60259149229</v>
      </c>
      <c r="L15" s="164">
        <v>321486</v>
      </c>
      <c r="M15" s="291">
        <v>321483.516688</v>
      </c>
      <c r="N15" s="156">
        <v>35885.6415535993</v>
      </c>
      <c r="O15" s="190" t="e">
        <f>VLOOKUP($A15&amp;$B15,'LE Inputs'!$C$2:$J$505,MATCH('LE UtilityData'!O$1,'LE Inputs'!$C$1:$J$1,0),0)</f>
        <v>#N/A</v>
      </c>
      <c r="P15" s="190"/>
      <c r="Q15" s="182"/>
      <c r="R15" s="182">
        <v>0</v>
      </c>
      <c r="S15" s="166">
        <v>4124</v>
      </c>
      <c r="T15" s="166">
        <v>1696</v>
      </c>
      <c r="U15" s="166">
        <f t="shared" si="3"/>
        <v>835.92499786173664</v>
      </c>
      <c r="V15" s="166">
        <f t="shared" si="1"/>
        <v>835.91854077627022</v>
      </c>
      <c r="W15" s="153" t="e">
        <f t="shared" si="4"/>
        <v>#REF!</v>
      </c>
      <c r="X15" s="157">
        <f t="shared" si="2"/>
        <v>0</v>
      </c>
    </row>
    <row r="16" spans="1:24" x14ac:dyDescent="0.2">
      <c r="A16" s="153">
        <v>2002</v>
      </c>
      <c r="B16" s="153">
        <v>3</v>
      </c>
      <c r="C16" s="164">
        <v>270097.016</v>
      </c>
      <c r="D16" s="265">
        <v>270097.016</v>
      </c>
      <c r="E16" s="173">
        <v>5.8</v>
      </c>
      <c r="F16" s="173">
        <v>5.8</v>
      </c>
      <c r="G16" s="173"/>
      <c r="H16" s="173">
        <v>30.52</v>
      </c>
      <c r="I16" s="154">
        <v>685051</v>
      </c>
      <c r="J16" s="190">
        <f>VLOOKUP($A16&amp;$B16,'LE Inputs'!$C$2:$J$505,MATCH('LE UtilityData'!J$1,'LE Inputs'!$C$1:$J$1,0),0)*1000</f>
        <v>1182259.75</v>
      </c>
      <c r="K16" s="190">
        <v>472096.60259149229</v>
      </c>
      <c r="L16" s="164">
        <v>321325</v>
      </c>
      <c r="M16" s="291">
        <v>321322.88406399998</v>
      </c>
      <c r="N16" s="156">
        <v>35885.6415535993</v>
      </c>
      <c r="O16" s="190" t="e">
        <f>VLOOKUP($A16&amp;$B16,'LE Inputs'!$C$2:$J$505,MATCH('LE UtilityData'!O$1,'LE Inputs'!$C$1:$J$1,0),0)</f>
        <v>#N/A</v>
      </c>
      <c r="P16" s="190" t="e">
        <f>VLOOKUP($A16&amp;$B16,'LE Inputs'!$C$2:$J$505,MATCH('LE UtilityData'!P$1,'LE Inputs'!$C$1:$J$1,0),0)</f>
        <v>#N/A</v>
      </c>
      <c r="Q16" s="182">
        <v>676</v>
      </c>
      <c r="R16" s="182">
        <v>0</v>
      </c>
      <c r="S16" s="166">
        <v>4124</v>
      </c>
      <c r="T16" s="166">
        <v>1696</v>
      </c>
      <c r="U16" s="166">
        <f t="shared" si="3"/>
        <v>840.57821398803026</v>
      </c>
      <c r="V16" s="166">
        <f t="shared" si="1"/>
        <v>840.57267875204229</v>
      </c>
      <c r="W16" s="153" t="e">
        <f t="shared" si="4"/>
        <v>#REF!</v>
      </c>
      <c r="X16" s="157">
        <f t="shared" si="2"/>
        <v>0</v>
      </c>
    </row>
    <row r="17" spans="1:24" x14ac:dyDescent="0.2">
      <c r="A17" s="153">
        <v>2002</v>
      </c>
      <c r="B17" s="153">
        <v>4</v>
      </c>
      <c r="C17" s="164">
        <v>247888.92600000001</v>
      </c>
      <c r="D17" s="265">
        <v>247888.92599999998</v>
      </c>
      <c r="E17" s="173">
        <v>5.8</v>
      </c>
      <c r="F17" s="173">
        <v>5.8</v>
      </c>
      <c r="G17" s="173"/>
      <c r="H17" s="173">
        <v>30.57</v>
      </c>
      <c r="I17" s="154">
        <v>685129</v>
      </c>
      <c r="J17" s="190">
        <f>VLOOKUP($A17&amp;$B17,'LE Inputs'!$C$2:$J$505,MATCH('LE UtilityData'!J$1,'LE Inputs'!$C$1:$J$1,0),0)*1000</f>
        <v>1184511.0000000002</v>
      </c>
      <c r="K17" s="190">
        <v>473336.70396275487</v>
      </c>
      <c r="L17" s="164">
        <v>320723</v>
      </c>
      <c r="M17" s="291">
        <v>320720.75219199999</v>
      </c>
      <c r="N17" s="156">
        <v>36031.623764453499</v>
      </c>
      <c r="O17" s="190" t="e">
        <f>VLOOKUP($A17&amp;$B17,'LE Inputs'!$C$2:$J$505,MATCH('LE UtilityData'!O$1,'LE Inputs'!$C$1:$J$1,0),0)</f>
        <v>#N/A</v>
      </c>
      <c r="P17" s="190" t="e">
        <f>VLOOKUP($A17&amp;$B17,'LE Inputs'!$C$2:$J$505,MATCH('LE UtilityData'!P$1,'LE Inputs'!$C$1:$J$1,0),0)</f>
        <v>#N/A</v>
      </c>
      <c r="Q17" s="182">
        <v>401</v>
      </c>
      <c r="R17" s="182">
        <v>34</v>
      </c>
      <c r="S17" s="166">
        <v>4124</v>
      </c>
      <c r="T17" s="166">
        <v>1696</v>
      </c>
      <c r="U17" s="166">
        <f t="shared" si="3"/>
        <v>772.91202488699855</v>
      </c>
      <c r="V17" s="166">
        <f t="shared" si="1"/>
        <v>772.90660788281468</v>
      </c>
      <c r="W17" s="153" t="e">
        <f t="shared" si="4"/>
        <v>#REF!</v>
      </c>
      <c r="X17" s="157">
        <f t="shared" si="2"/>
        <v>0</v>
      </c>
    </row>
    <row r="18" spans="1:24" x14ac:dyDescent="0.2">
      <c r="A18" s="153">
        <v>2002</v>
      </c>
      <c r="B18" s="153">
        <v>5</v>
      </c>
      <c r="C18" s="164">
        <v>237850.68599999999</v>
      </c>
      <c r="D18" s="265">
        <v>237850.68600000002</v>
      </c>
      <c r="E18" s="173">
        <v>5.8</v>
      </c>
      <c r="F18" s="173">
        <v>5.8</v>
      </c>
      <c r="G18" s="173"/>
      <c r="H18" s="173">
        <v>29.57</v>
      </c>
      <c r="I18" s="154">
        <v>685207</v>
      </c>
      <c r="J18" s="190">
        <f>VLOOKUP($A18&amp;$B18,'LE Inputs'!$C$2:$J$505,MATCH('LE UtilityData'!J$1,'LE Inputs'!$C$1:$J$1,0),0)*1000</f>
        <v>1184511.0000000002</v>
      </c>
      <c r="K18" s="190">
        <v>473336.70396275487</v>
      </c>
      <c r="L18" s="164">
        <v>321005</v>
      </c>
      <c r="M18" s="291">
        <v>321002.58068799996</v>
      </c>
      <c r="N18" s="156">
        <v>36031.623764453499</v>
      </c>
      <c r="O18" s="190" t="e">
        <f>VLOOKUP($A18&amp;$B18,'LE Inputs'!$C$2:$J$505,MATCH('LE UtilityData'!O$1,'LE Inputs'!$C$1:$J$1,0),0)</f>
        <v>#N/A</v>
      </c>
      <c r="P18" s="190" t="e">
        <f>VLOOKUP($A18&amp;$B18,'LE Inputs'!$C$2:$J$505,MATCH('LE UtilityData'!P$1,'LE Inputs'!$C$1:$J$1,0),0)</f>
        <v>#N/A</v>
      </c>
      <c r="Q18" s="182">
        <v>128</v>
      </c>
      <c r="R18" s="182">
        <v>67</v>
      </c>
      <c r="S18" s="166">
        <v>4124</v>
      </c>
      <c r="T18" s="166">
        <v>1696</v>
      </c>
      <c r="U18" s="166">
        <f t="shared" si="3"/>
        <v>740.96191217596515</v>
      </c>
      <c r="V18" s="166">
        <f t="shared" si="1"/>
        <v>740.95632778305628</v>
      </c>
      <c r="W18" s="153" t="e">
        <f t="shared" si="4"/>
        <v>#REF!</v>
      </c>
      <c r="X18" s="157">
        <f t="shared" si="2"/>
        <v>0</v>
      </c>
    </row>
    <row r="19" spans="1:24" x14ac:dyDescent="0.2">
      <c r="A19" s="153">
        <v>2002</v>
      </c>
      <c r="B19" s="153">
        <v>6</v>
      </c>
      <c r="C19" s="164">
        <v>365881.46299999999</v>
      </c>
      <c r="D19" s="265">
        <v>365881.46299999999</v>
      </c>
      <c r="E19" s="173">
        <v>5.8</v>
      </c>
      <c r="F19" s="173">
        <v>5.8</v>
      </c>
      <c r="G19" s="173"/>
      <c r="H19" s="173">
        <v>30.67</v>
      </c>
      <c r="I19" s="154">
        <v>685285</v>
      </c>
      <c r="J19" s="190">
        <f>VLOOKUP($A19&amp;$B19,'LE Inputs'!$C$2:$J$505,MATCH('LE UtilityData'!J$1,'LE Inputs'!$C$1:$J$1,0),0)*1000</f>
        <v>1184511.0000000002</v>
      </c>
      <c r="K19" s="190">
        <v>473336.70396275487</v>
      </c>
      <c r="L19" s="164">
        <v>322324</v>
      </c>
      <c r="M19" s="291">
        <v>322322.269072</v>
      </c>
      <c r="N19" s="156">
        <v>36031.623764453499</v>
      </c>
      <c r="O19" s="190" t="e">
        <f>VLOOKUP($A19&amp;$B19,'LE Inputs'!$C$2:$J$505,MATCH('LE UtilityData'!O$1,'LE Inputs'!$C$1:$J$1,0),0)</f>
        <v>#N/A</v>
      </c>
      <c r="P19" s="190" t="e">
        <f>VLOOKUP($A19&amp;$B19,'LE Inputs'!$C$2:$J$505,MATCH('LE UtilityData'!P$1,'LE Inputs'!$C$1:$J$1,0),0)</f>
        <v>#N/A</v>
      </c>
      <c r="Q19" s="182">
        <v>56</v>
      </c>
      <c r="R19" s="182">
        <v>252</v>
      </c>
      <c r="S19" s="166">
        <v>4124</v>
      </c>
      <c r="T19" s="166">
        <v>1696</v>
      </c>
      <c r="U19" s="166">
        <f t="shared" si="3"/>
        <v>1135.1417451031589</v>
      </c>
      <c r="V19" s="166">
        <f t="shared" si="1"/>
        <v>1135.1356492225214</v>
      </c>
      <c r="W19" s="153" t="e">
        <f t="shared" si="4"/>
        <v>#REF!</v>
      </c>
      <c r="X19" s="157">
        <f t="shared" si="2"/>
        <v>0</v>
      </c>
    </row>
    <row r="20" spans="1:24" x14ac:dyDescent="0.2">
      <c r="A20" s="153">
        <v>2002</v>
      </c>
      <c r="B20" s="153">
        <v>7</v>
      </c>
      <c r="C20" s="164">
        <v>503611.24300000002</v>
      </c>
      <c r="D20" s="265">
        <v>503611.24300000002</v>
      </c>
      <c r="E20" s="173">
        <v>5.8</v>
      </c>
      <c r="F20" s="173">
        <v>5.8</v>
      </c>
      <c r="G20" s="173"/>
      <c r="H20" s="173">
        <v>30.67</v>
      </c>
      <c r="I20" s="154">
        <v>685363</v>
      </c>
      <c r="J20" s="190">
        <f>VLOOKUP($A20&amp;$B20,'LE Inputs'!$C$2:$J$505,MATCH('LE UtilityData'!J$1,'LE Inputs'!$C$1:$J$1,0),0)*1000</f>
        <v>1187469.2499999995</v>
      </c>
      <c r="K20" s="190">
        <v>474820.38433068863</v>
      </c>
      <c r="L20" s="164">
        <v>322090</v>
      </c>
      <c r="M20" s="291">
        <v>322087.57230399997</v>
      </c>
      <c r="N20" s="156">
        <v>35961.968120744699</v>
      </c>
      <c r="O20" s="190" t="e">
        <f>VLOOKUP($A20&amp;$B20,'LE Inputs'!$C$2:$J$505,MATCH('LE UtilityData'!O$1,'LE Inputs'!$C$1:$J$1,0),0)</f>
        <v>#N/A</v>
      </c>
      <c r="P20" s="190" t="e">
        <f>VLOOKUP($A20&amp;$B20,'LE Inputs'!$C$2:$J$505,MATCH('LE UtilityData'!P$1,'LE Inputs'!$C$1:$J$1,0),0)</f>
        <v>#N/A</v>
      </c>
      <c r="Q20" s="182">
        <v>0</v>
      </c>
      <c r="R20" s="182">
        <v>466</v>
      </c>
      <c r="S20" s="166">
        <v>4124</v>
      </c>
      <c r="T20" s="166">
        <v>1696</v>
      </c>
      <c r="U20" s="166">
        <f t="shared" si="3"/>
        <v>1563.5848331480181</v>
      </c>
      <c r="V20" s="166">
        <f t="shared" si="1"/>
        <v>1563.573047905865</v>
      </c>
      <c r="W20" s="153" t="e">
        <f t="shared" si="4"/>
        <v>#REF!</v>
      </c>
      <c r="X20" s="157">
        <f t="shared" si="2"/>
        <v>0</v>
      </c>
    </row>
    <row r="21" spans="1:24" x14ac:dyDescent="0.2">
      <c r="A21" s="153">
        <v>2002</v>
      </c>
      <c r="B21" s="153">
        <v>8</v>
      </c>
      <c r="C21" s="164">
        <v>510080.17800000001</v>
      </c>
      <c r="D21" s="265">
        <v>510080.17800000001</v>
      </c>
      <c r="E21" s="173">
        <v>5.8</v>
      </c>
      <c r="F21" s="173">
        <v>5.8</v>
      </c>
      <c r="G21" s="173"/>
      <c r="H21" s="173">
        <v>29.48</v>
      </c>
      <c r="I21" s="154">
        <v>685441</v>
      </c>
      <c r="J21" s="190">
        <f>VLOOKUP($A21&amp;$B21,'LE Inputs'!$C$2:$J$505,MATCH('LE UtilityData'!J$1,'LE Inputs'!$C$1:$J$1,0),0)*1000</f>
        <v>1187469.2499999995</v>
      </c>
      <c r="K21" s="190">
        <v>474820.38433068863</v>
      </c>
      <c r="L21" s="164">
        <v>322423</v>
      </c>
      <c r="M21" s="291">
        <v>322421.34188799997</v>
      </c>
      <c r="N21" s="156">
        <v>35961.968120744699</v>
      </c>
      <c r="O21" s="190" t="e">
        <f>VLOOKUP($A21&amp;$B21,'LE Inputs'!$C$2:$J$505,MATCH('LE UtilityData'!O$1,'LE Inputs'!$C$1:$J$1,0),0)</f>
        <v>#N/A</v>
      </c>
      <c r="P21" s="190" t="e">
        <f>VLOOKUP($A21&amp;$B21,'LE Inputs'!$C$2:$J$505,MATCH('LE UtilityData'!P$1,'LE Inputs'!$C$1:$J$1,0),0)</f>
        <v>#N/A</v>
      </c>
      <c r="Q21" s="182">
        <v>0</v>
      </c>
      <c r="R21" s="182">
        <v>478</v>
      </c>
      <c r="S21" s="166">
        <v>4124</v>
      </c>
      <c r="T21" s="166">
        <v>1696</v>
      </c>
      <c r="U21" s="166">
        <f t="shared" si="3"/>
        <v>1582.0298216399938</v>
      </c>
      <c r="V21" s="166">
        <f t="shared" si="1"/>
        <v>1582.0216857978496</v>
      </c>
      <c r="W21" s="153" t="e">
        <f t="shared" si="4"/>
        <v>#REF!</v>
      </c>
      <c r="X21" s="157">
        <f t="shared" si="2"/>
        <v>0</v>
      </c>
    </row>
    <row r="22" spans="1:24" x14ac:dyDescent="0.2">
      <c r="A22" s="153">
        <v>2002</v>
      </c>
      <c r="B22" s="153">
        <v>9</v>
      </c>
      <c r="C22" s="164">
        <v>467652.859</v>
      </c>
      <c r="D22" s="265">
        <v>467652.859</v>
      </c>
      <c r="E22" s="173">
        <v>5.8</v>
      </c>
      <c r="F22" s="173">
        <v>5.8</v>
      </c>
      <c r="G22" s="173"/>
      <c r="H22" s="173">
        <v>30.76</v>
      </c>
      <c r="I22" s="154">
        <v>685519</v>
      </c>
      <c r="J22" s="190">
        <f>VLOOKUP($A22&amp;$B22,'LE Inputs'!$C$2:$J$505,MATCH('LE UtilityData'!J$1,'LE Inputs'!$C$1:$J$1,0),0)*1000</f>
        <v>1187469.2499999995</v>
      </c>
      <c r="K22" s="190">
        <v>474820.38433068863</v>
      </c>
      <c r="L22" s="164">
        <v>322407</v>
      </c>
      <c r="M22" s="291">
        <v>322404.99006399995</v>
      </c>
      <c r="N22" s="156">
        <v>35961.968120744699</v>
      </c>
      <c r="O22" s="190" t="e">
        <f>VLOOKUP($A22&amp;$B22,'LE Inputs'!$C$2:$J$505,MATCH('LE UtilityData'!O$1,'LE Inputs'!$C$1:$J$1,0),0)</f>
        <v>#N/A</v>
      </c>
      <c r="P22" s="190" t="e">
        <f>VLOOKUP($A22&amp;$B22,'LE Inputs'!$C$2:$J$505,MATCH('LE UtilityData'!P$1,'LE Inputs'!$C$1:$J$1,0),0)</f>
        <v>#N/A</v>
      </c>
      <c r="Q22" s="182">
        <v>3</v>
      </c>
      <c r="R22" s="182">
        <v>388</v>
      </c>
      <c r="S22" s="166">
        <v>4124</v>
      </c>
      <c r="T22" s="166">
        <v>1696</v>
      </c>
      <c r="U22" s="166">
        <f t="shared" si="3"/>
        <v>1450.5137122944877</v>
      </c>
      <c r="V22" s="166">
        <f t="shared" si="1"/>
        <v>1450.5046695636261</v>
      </c>
      <c r="W22" s="153" t="e">
        <f t="shared" si="4"/>
        <v>#REF!</v>
      </c>
      <c r="X22" s="157">
        <f t="shared" si="2"/>
        <v>0</v>
      </c>
    </row>
    <row r="23" spans="1:24" x14ac:dyDescent="0.2">
      <c r="A23" s="153">
        <v>2002</v>
      </c>
      <c r="B23" s="153">
        <v>10</v>
      </c>
      <c r="C23" s="164">
        <v>289474.06099999999</v>
      </c>
      <c r="D23" s="265">
        <v>289474.06099999999</v>
      </c>
      <c r="E23" s="173">
        <v>5.8</v>
      </c>
      <c r="F23" s="173">
        <v>5.8</v>
      </c>
      <c r="G23" s="173"/>
      <c r="H23" s="173">
        <v>29.52</v>
      </c>
      <c r="I23" s="154">
        <v>685597</v>
      </c>
      <c r="J23" s="190">
        <f>VLOOKUP($A23&amp;$B23,'LE Inputs'!$C$2:$J$505,MATCH('LE UtilityData'!J$1,'LE Inputs'!$C$1:$J$1,0),0)*1000</f>
        <v>1190427.5</v>
      </c>
      <c r="K23" s="190">
        <v>476307.88408565888</v>
      </c>
      <c r="L23" s="164">
        <v>321702</v>
      </c>
      <c r="M23" s="291">
        <v>321699.93788799999</v>
      </c>
      <c r="N23" s="156">
        <v>36053.047729909398</v>
      </c>
      <c r="O23" s="190" t="e">
        <f>VLOOKUP($A23&amp;$B23,'LE Inputs'!$C$2:$J$505,MATCH('LE UtilityData'!O$1,'LE Inputs'!$C$1:$J$1,0),0)</f>
        <v>#N/A</v>
      </c>
      <c r="P23" s="190" t="e">
        <f>VLOOKUP($A23&amp;$B23,'LE Inputs'!$C$2:$J$505,MATCH('LE UtilityData'!P$1,'LE Inputs'!$C$1:$J$1,0),0)</f>
        <v>#N/A</v>
      </c>
      <c r="Q23" s="182">
        <v>104</v>
      </c>
      <c r="R23" s="182">
        <v>125</v>
      </c>
      <c r="S23" s="166">
        <v>4124</v>
      </c>
      <c r="T23" s="166">
        <v>1696</v>
      </c>
      <c r="U23" s="166">
        <f t="shared" si="3"/>
        <v>899.82628812561518</v>
      </c>
      <c r="V23" s="166">
        <f t="shared" si="1"/>
        <v>899.8205202330106</v>
      </c>
      <c r="W23" s="153" t="e">
        <f t="shared" si="4"/>
        <v>#REF!</v>
      </c>
      <c r="X23" s="157">
        <f t="shared" si="2"/>
        <v>0</v>
      </c>
    </row>
    <row r="24" spans="1:24" x14ac:dyDescent="0.2">
      <c r="A24" s="153">
        <v>2002</v>
      </c>
      <c r="B24" s="153">
        <v>11</v>
      </c>
      <c r="C24" s="164">
        <v>234089.435</v>
      </c>
      <c r="D24" s="265">
        <v>234089.435</v>
      </c>
      <c r="E24" s="173">
        <v>5.8</v>
      </c>
      <c r="F24" s="173">
        <v>5.8</v>
      </c>
      <c r="G24" s="173"/>
      <c r="H24" s="173">
        <v>29.43</v>
      </c>
      <c r="I24" s="154">
        <v>685675</v>
      </c>
      <c r="J24" s="190">
        <f>VLOOKUP($A24&amp;$B24,'LE Inputs'!$C$2:$J$505,MATCH('LE UtilityData'!J$1,'LE Inputs'!$C$1:$J$1,0),0)*1000</f>
        <v>1190427.5</v>
      </c>
      <c r="K24" s="190">
        <v>476307.88408565888</v>
      </c>
      <c r="L24" s="164">
        <v>322633</v>
      </c>
      <c r="M24" s="291">
        <v>322631.02998399996</v>
      </c>
      <c r="N24" s="156">
        <v>36053.047729909398</v>
      </c>
      <c r="O24" s="190" t="e">
        <f>VLOOKUP($A24&amp;$B24,'LE Inputs'!$C$2:$J$505,MATCH('LE UtilityData'!O$1,'LE Inputs'!$C$1:$J$1,0),0)</f>
        <v>#N/A</v>
      </c>
      <c r="P24" s="190" t="e">
        <f>VLOOKUP($A24&amp;$B24,'LE Inputs'!$C$2:$J$505,MATCH('LE UtilityData'!P$1,'LE Inputs'!$C$1:$J$1,0),0)</f>
        <v>#N/A</v>
      </c>
      <c r="Q24" s="182">
        <v>443</v>
      </c>
      <c r="R24" s="182">
        <v>5</v>
      </c>
      <c r="S24" s="166">
        <v>4124</v>
      </c>
      <c r="T24" s="166">
        <v>1696</v>
      </c>
      <c r="U24" s="166">
        <f t="shared" si="3"/>
        <v>725.56392053054867</v>
      </c>
      <c r="V24" s="166">
        <f t="shared" si="1"/>
        <v>725.55949019474144</v>
      </c>
      <c r="W24" s="153" t="e">
        <f t="shared" si="4"/>
        <v>#REF!</v>
      </c>
      <c r="X24" s="157">
        <f t="shared" si="2"/>
        <v>0</v>
      </c>
    </row>
    <row r="25" spans="1:24" x14ac:dyDescent="0.2">
      <c r="A25" s="153">
        <v>2002</v>
      </c>
      <c r="B25" s="153">
        <v>12</v>
      </c>
      <c r="C25" s="164">
        <v>314236.15999999997</v>
      </c>
      <c r="D25" s="265">
        <v>314236.15999999997</v>
      </c>
      <c r="E25" s="173">
        <v>5.8</v>
      </c>
      <c r="F25" s="173">
        <v>5.8</v>
      </c>
      <c r="G25" s="173"/>
      <c r="H25" s="173">
        <v>32.049999999999997</v>
      </c>
      <c r="I25" s="154">
        <v>685753</v>
      </c>
      <c r="J25" s="190">
        <f>VLOOKUP($A25&amp;$B25,'LE Inputs'!$C$2:$J$505,MATCH('LE UtilityData'!J$1,'LE Inputs'!$C$1:$J$1,0),0)*1000</f>
        <v>1190427.5</v>
      </c>
      <c r="K25" s="190">
        <v>476307.88408565888</v>
      </c>
      <c r="L25" s="164">
        <v>321892</v>
      </c>
      <c r="M25" s="291">
        <v>321890.38854399999</v>
      </c>
      <c r="N25" s="156">
        <v>36053.047729909398</v>
      </c>
      <c r="O25" s="190" t="e">
        <f>VLOOKUP($A25&amp;$B25,'LE Inputs'!$C$2:$J$505,MATCH('LE UtilityData'!O$1,'LE Inputs'!$C$1:$J$1,0),0)</f>
        <v>#N/A</v>
      </c>
      <c r="P25" s="190" t="e">
        <f>VLOOKUP($A25&amp;$B25,'LE Inputs'!$C$2:$J$505,MATCH('LE UtilityData'!P$1,'LE Inputs'!$C$1:$J$1,0),0)</f>
        <v>#N/A</v>
      </c>
      <c r="Q25" s="182">
        <v>848</v>
      </c>
      <c r="R25" s="182">
        <v>1</v>
      </c>
      <c r="S25" s="166">
        <v>4124</v>
      </c>
      <c r="T25" s="166">
        <v>1696</v>
      </c>
      <c r="U25" s="166">
        <f t="shared" si="3"/>
        <v>976.22100933605941</v>
      </c>
      <c r="V25" s="166">
        <f t="shared" si="1"/>
        <v>976.21612217762481</v>
      </c>
      <c r="W25" s="153" t="e">
        <f t="shared" si="4"/>
        <v>#REF!</v>
      </c>
      <c r="X25" s="157">
        <f t="shared" si="2"/>
        <v>0</v>
      </c>
    </row>
    <row r="26" spans="1:24" x14ac:dyDescent="0.2">
      <c r="A26" s="153">
        <v>2003</v>
      </c>
      <c r="B26" s="153">
        <v>1</v>
      </c>
      <c r="C26" s="164">
        <v>342550.47899999999</v>
      </c>
      <c r="D26" s="265">
        <v>342550.47899999999</v>
      </c>
      <c r="E26" s="173">
        <v>5.9</v>
      </c>
      <c r="F26" s="173">
        <v>5.9</v>
      </c>
      <c r="G26" s="173"/>
      <c r="H26" s="173">
        <v>33.33</v>
      </c>
      <c r="I26" s="154">
        <v>685831</v>
      </c>
      <c r="J26" s="190">
        <f>VLOOKUP($A26&amp;$B26,'LE Inputs'!$C$2:$J$505,MATCH('LE UtilityData'!J$1,'LE Inputs'!$C$1:$J$1,0),0)*1000</f>
        <v>1193385.75</v>
      </c>
      <c r="K26" s="190">
        <v>477799.21559285937</v>
      </c>
      <c r="L26" s="164">
        <v>321792</v>
      </c>
      <c r="M26" s="291">
        <v>321790.353856</v>
      </c>
      <c r="N26" s="156">
        <v>35759.195811236503</v>
      </c>
      <c r="O26" s="190" t="e">
        <f>VLOOKUP($A26&amp;$B26,'LE Inputs'!$C$2:$J$505,MATCH('LE UtilityData'!O$1,'LE Inputs'!$C$1:$J$1,0),0)</f>
        <v>#N/A</v>
      </c>
      <c r="P26" s="190" t="e">
        <f>VLOOKUP($A26&amp;$B26,'LE Inputs'!$C$2:$J$505,MATCH('LE UtilityData'!P$1,'LE Inputs'!$C$1:$J$1,0),0)</f>
        <v>#N/A</v>
      </c>
      <c r="Q26" s="182">
        <v>994</v>
      </c>
      <c r="R26" s="182">
        <v>0</v>
      </c>
      <c r="S26" s="166">
        <v>4124</v>
      </c>
      <c r="T26" s="166">
        <v>1696</v>
      </c>
      <c r="U26" s="166">
        <f t="shared" si="3"/>
        <v>1064.5144420745753</v>
      </c>
      <c r="V26" s="166">
        <f t="shared" si="1"/>
        <v>1064.5089964946301</v>
      </c>
      <c r="W26" s="153" t="e">
        <f t="shared" si="4"/>
        <v>#REF!</v>
      </c>
      <c r="X26" s="157">
        <f t="shared" si="2"/>
        <v>0</v>
      </c>
    </row>
    <row r="27" spans="1:24" x14ac:dyDescent="0.2">
      <c r="A27" s="153">
        <v>2003</v>
      </c>
      <c r="B27" s="153">
        <v>2</v>
      </c>
      <c r="C27" s="164">
        <v>333820.06800000003</v>
      </c>
      <c r="D27" s="265">
        <v>333820.06800000003</v>
      </c>
      <c r="E27" s="173">
        <v>5.9</v>
      </c>
      <c r="F27" s="173">
        <v>5.9</v>
      </c>
      <c r="G27" s="173"/>
      <c r="H27" s="173">
        <v>31</v>
      </c>
      <c r="I27" s="154">
        <v>685909</v>
      </c>
      <c r="J27" s="190">
        <f>VLOOKUP($A27&amp;$B27,'LE Inputs'!$C$2:$J$505,MATCH('LE UtilityData'!J$1,'LE Inputs'!$C$1:$J$1,0),0)*1000</f>
        <v>1193385.75</v>
      </c>
      <c r="K27" s="190">
        <v>477799.21559285937</v>
      </c>
      <c r="L27" s="164">
        <v>324061</v>
      </c>
      <c r="M27" s="291">
        <v>324059.409904</v>
      </c>
      <c r="N27" s="156">
        <v>35759.195811236503</v>
      </c>
      <c r="O27" s="190" t="e">
        <f>VLOOKUP($A27&amp;$B27,'LE Inputs'!$C$2:$J$505,MATCH('LE UtilityData'!O$1,'LE Inputs'!$C$1:$J$1,0),0)</f>
        <v>#N/A</v>
      </c>
      <c r="P27" s="190" t="e">
        <f>VLOOKUP($A27&amp;$B27,'LE Inputs'!$C$2:$J$505,MATCH('LE UtilityData'!P$1,'LE Inputs'!$C$1:$J$1,0),0)</f>
        <v>#N/A</v>
      </c>
      <c r="Q27" s="182">
        <v>1113</v>
      </c>
      <c r="R27" s="182">
        <v>0</v>
      </c>
      <c r="S27" s="166">
        <v>4124</v>
      </c>
      <c r="T27" s="166">
        <v>1696</v>
      </c>
      <c r="U27" s="166">
        <f t="shared" si="3"/>
        <v>1030.1199650363233</v>
      </c>
      <c r="V27" s="166">
        <f t="shared" si="1"/>
        <v>1030.1149104643878</v>
      </c>
      <c r="W27" s="153" t="e">
        <f t="shared" si="4"/>
        <v>#REF!</v>
      </c>
      <c r="X27" s="157">
        <f t="shared" si="2"/>
        <v>0</v>
      </c>
    </row>
    <row r="28" spans="1:24" x14ac:dyDescent="0.2">
      <c r="A28" s="153">
        <v>2003</v>
      </c>
      <c r="B28" s="153">
        <v>3</v>
      </c>
      <c r="C28" s="164">
        <v>285438.69199999998</v>
      </c>
      <c r="D28" s="265">
        <v>285438.69199999998</v>
      </c>
      <c r="E28" s="173">
        <v>5.9</v>
      </c>
      <c r="F28" s="173">
        <v>5.9</v>
      </c>
      <c r="G28" s="173"/>
      <c r="H28" s="173">
        <v>31.19</v>
      </c>
      <c r="I28" s="154">
        <v>685987</v>
      </c>
      <c r="J28" s="190">
        <f>VLOOKUP($A28&amp;$B28,'LE Inputs'!$C$2:$J$505,MATCH('LE UtilityData'!J$1,'LE Inputs'!$C$1:$J$1,0),0)*1000</f>
        <v>1193385.75</v>
      </c>
      <c r="K28" s="190">
        <v>477799.21559285937</v>
      </c>
      <c r="L28" s="164">
        <v>323829</v>
      </c>
      <c r="M28" s="291">
        <v>323826.63688000001</v>
      </c>
      <c r="N28" s="156">
        <v>35759.195811236503</v>
      </c>
      <c r="O28" s="190" t="e">
        <f>VLOOKUP($A28&amp;$B28,'LE Inputs'!$C$2:$J$505,MATCH('LE UtilityData'!O$1,'LE Inputs'!$C$1:$J$1,0),0)</f>
        <v>#N/A</v>
      </c>
      <c r="P28" s="190" t="e">
        <f>VLOOKUP($A28&amp;$B28,'LE Inputs'!$C$2:$J$505,MATCH('LE UtilityData'!P$1,'LE Inputs'!$C$1:$J$1,0),0)</f>
        <v>#N/A</v>
      </c>
      <c r="Q28" s="182">
        <v>799</v>
      </c>
      <c r="R28" s="182">
        <v>0</v>
      </c>
      <c r="S28" s="166">
        <v>4124</v>
      </c>
      <c r="T28" s="166">
        <v>1696</v>
      </c>
      <c r="U28" s="166">
        <f t="shared" si="3"/>
        <v>881.45525874628595</v>
      </c>
      <c r="V28" s="166">
        <f t="shared" si="1"/>
        <v>881.44882638676586</v>
      </c>
      <c r="W28" s="153" t="e">
        <f t="shared" si="4"/>
        <v>#REF!</v>
      </c>
      <c r="X28" s="157">
        <f t="shared" si="2"/>
        <v>0</v>
      </c>
    </row>
    <row r="29" spans="1:24" x14ac:dyDescent="0.2">
      <c r="A29" s="153">
        <v>2003</v>
      </c>
      <c r="B29" s="153">
        <v>4</v>
      </c>
      <c r="C29" s="164">
        <v>229678.17</v>
      </c>
      <c r="D29" s="265">
        <v>229678.17</v>
      </c>
      <c r="E29" s="173">
        <v>5.9</v>
      </c>
      <c r="F29" s="173">
        <v>5.9</v>
      </c>
      <c r="G29" s="173"/>
      <c r="H29" s="173">
        <v>31</v>
      </c>
      <c r="I29" s="154">
        <v>686065</v>
      </c>
      <c r="J29" s="190">
        <f>VLOOKUP($A29&amp;$B29,'LE Inputs'!$C$2:$J$505,MATCH('LE UtilityData'!J$1,'LE Inputs'!$C$1:$J$1,0),0)*1000</f>
        <v>1196344</v>
      </c>
      <c r="K29" s="190">
        <v>479294.39124818373</v>
      </c>
      <c r="L29" s="164">
        <v>324062</v>
      </c>
      <c r="M29" s="291">
        <v>324060.37177599996</v>
      </c>
      <c r="N29" s="156">
        <v>35968.306955891698</v>
      </c>
      <c r="O29" s="190" t="e">
        <f>VLOOKUP($A29&amp;$B29,'LE Inputs'!$C$2:$J$505,MATCH('LE UtilityData'!O$1,'LE Inputs'!$C$1:$J$1,0),0)</f>
        <v>#N/A</v>
      </c>
      <c r="P29" s="190" t="e">
        <f>VLOOKUP($A29&amp;$B29,'LE Inputs'!$C$2:$J$505,MATCH('LE UtilityData'!P$1,'LE Inputs'!$C$1:$J$1,0),0)</f>
        <v>#N/A</v>
      </c>
      <c r="Q29" s="182">
        <v>330</v>
      </c>
      <c r="R29" s="182">
        <v>14</v>
      </c>
      <c r="S29" s="166">
        <v>4124</v>
      </c>
      <c r="T29" s="166">
        <v>1696</v>
      </c>
      <c r="U29" s="166">
        <f t="shared" si="3"/>
        <v>708.75117726137876</v>
      </c>
      <c r="V29" s="166">
        <f t="shared" si="1"/>
        <v>708.74761619690059</v>
      </c>
      <c r="W29" s="153" t="e">
        <f t="shared" si="4"/>
        <v>#REF!</v>
      </c>
      <c r="X29" s="157">
        <f t="shared" si="2"/>
        <v>0</v>
      </c>
    </row>
    <row r="30" spans="1:24" x14ac:dyDescent="0.2">
      <c r="A30" s="153">
        <v>2003</v>
      </c>
      <c r="B30" s="153">
        <v>5</v>
      </c>
      <c r="C30" s="164">
        <v>251815.98199999999</v>
      </c>
      <c r="D30" s="265">
        <v>251815.98199999999</v>
      </c>
      <c r="E30" s="173">
        <v>5.9</v>
      </c>
      <c r="F30" s="173">
        <v>5.9</v>
      </c>
      <c r="G30" s="173"/>
      <c r="H30" s="173">
        <v>31.48</v>
      </c>
      <c r="I30" s="154">
        <v>686143</v>
      </c>
      <c r="J30" s="190">
        <f>VLOOKUP($A30&amp;$B30,'LE Inputs'!$C$2:$J$505,MATCH('LE UtilityData'!J$1,'LE Inputs'!$C$1:$J$1,0),0)*1000</f>
        <v>1196344</v>
      </c>
      <c r="K30" s="190">
        <v>479294.39124818373</v>
      </c>
      <c r="L30" s="164">
        <v>325253</v>
      </c>
      <c r="M30" s="291">
        <v>325251.16931199998</v>
      </c>
      <c r="N30" s="156">
        <v>35968.306955891698</v>
      </c>
      <c r="O30" s="190" t="e">
        <f>VLOOKUP($A30&amp;$B30,'LE Inputs'!$C$2:$J$505,MATCH('LE UtilityData'!O$1,'LE Inputs'!$C$1:$J$1,0),0)</f>
        <v>#N/A</v>
      </c>
      <c r="P30" s="190" t="e">
        <f>VLOOKUP($A30&amp;$B30,'LE Inputs'!$C$2:$J$505,MATCH('LE UtilityData'!P$1,'LE Inputs'!$C$1:$J$1,0),0)</f>
        <v>#N/A</v>
      </c>
      <c r="Q30" s="182">
        <v>130</v>
      </c>
      <c r="R30" s="182">
        <v>73</v>
      </c>
      <c r="S30" s="166">
        <v>4124</v>
      </c>
      <c r="T30" s="166">
        <v>1696</v>
      </c>
      <c r="U30" s="166">
        <f t="shared" si="3"/>
        <v>774.22006670310634</v>
      </c>
      <c r="V30" s="166">
        <f t="shared" si="1"/>
        <v>774.21570900191534</v>
      </c>
      <c r="W30" s="153" t="e">
        <f t="shared" si="4"/>
        <v>#REF!</v>
      </c>
      <c r="X30" s="157">
        <f t="shared" si="2"/>
        <v>0</v>
      </c>
    </row>
    <row r="31" spans="1:24" x14ac:dyDescent="0.2">
      <c r="A31" s="153">
        <v>2003</v>
      </c>
      <c r="B31" s="153">
        <v>6</v>
      </c>
      <c r="C31" s="164">
        <v>284019.36300000001</v>
      </c>
      <c r="D31" s="265">
        <v>284019.36300000001</v>
      </c>
      <c r="E31" s="173">
        <v>5.9</v>
      </c>
      <c r="F31" s="173">
        <v>5.9</v>
      </c>
      <c r="G31" s="173"/>
      <c r="H31" s="173">
        <v>31.52</v>
      </c>
      <c r="I31" s="154">
        <v>686222</v>
      </c>
      <c r="J31" s="190">
        <f>VLOOKUP($A31&amp;$B31,'LE Inputs'!$C$2:$J$505,MATCH('LE UtilityData'!J$1,'LE Inputs'!$C$1:$J$1,0),0)*1000</f>
        <v>1196344</v>
      </c>
      <c r="K31" s="190">
        <v>479294.39124818373</v>
      </c>
      <c r="L31" s="164">
        <v>325679</v>
      </c>
      <c r="M31" s="291">
        <v>325677.27860799996</v>
      </c>
      <c r="N31" s="156">
        <v>35968.306955891698</v>
      </c>
      <c r="O31" s="190" t="e">
        <f>VLOOKUP($A31&amp;$B31,'LE Inputs'!$C$2:$J$505,MATCH('LE UtilityData'!O$1,'LE Inputs'!$C$1:$J$1,0),0)</f>
        <v>#N/A</v>
      </c>
      <c r="P31" s="190" t="e">
        <f>VLOOKUP($A31&amp;$B31,'LE Inputs'!$C$2:$J$505,MATCH('LE UtilityData'!P$1,'LE Inputs'!$C$1:$J$1,0),0)</f>
        <v>#N/A</v>
      </c>
      <c r="Q31" s="182">
        <v>39</v>
      </c>
      <c r="R31" s="182">
        <v>110</v>
      </c>
      <c r="S31" s="166">
        <v>4124</v>
      </c>
      <c r="T31" s="166">
        <v>1696</v>
      </c>
      <c r="U31" s="166">
        <f t="shared" si="3"/>
        <v>872.08835757270833</v>
      </c>
      <c r="V31" s="166">
        <f t="shared" si="1"/>
        <v>872.08374810779947</v>
      </c>
      <c r="W31" s="153" t="e">
        <f t="shared" si="4"/>
        <v>#REF!</v>
      </c>
      <c r="X31" s="157">
        <f t="shared" si="2"/>
        <v>0</v>
      </c>
    </row>
    <row r="32" spans="1:24" x14ac:dyDescent="0.2">
      <c r="A32" s="153">
        <v>2003</v>
      </c>
      <c r="B32" s="153">
        <v>7</v>
      </c>
      <c r="C32" s="164">
        <v>447363.56900000002</v>
      </c>
      <c r="D32" s="265">
        <v>447363.56900000002</v>
      </c>
      <c r="E32" s="173">
        <v>5.9</v>
      </c>
      <c r="F32" s="173">
        <v>5.9</v>
      </c>
      <c r="G32" s="173"/>
      <c r="H32" s="173">
        <v>31.67</v>
      </c>
      <c r="I32" s="154">
        <v>686306.41666666663</v>
      </c>
      <c r="J32" s="190">
        <f>VLOOKUP($A32&amp;$B32,'LE Inputs'!$C$2:$J$505,MATCH('LE UtilityData'!J$1,'LE Inputs'!$C$1:$J$1,0),0)*1000</f>
        <v>1199218.5</v>
      </c>
      <c r="K32" s="190">
        <v>480789.07780993736</v>
      </c>
      <c r="L32" s="164">
        <v>325620</v>
      </c>
      <c r="M32" s="291">
        <v>325617.642544</v>
      </c>
      <c r="N32" s="156">
        <v>36000.172123749799</v>
      </c>
      <c r="O32" s="190" t="e">
        <f>VLOOKUP($A32&amp;$B32,'LE Inputs'!$C$2:$J$505,MATCH('LE UtilityData'!O$1,'LE Inputs'!$C$1:$J$1,0),0)</f>
        <v>#N/A</v>
      </c>
      <c r="P32" s="190" t="e">
        <f>VLOOKUP($A32&amp;$B32,'LE Inputs'!$C$2:$J$505,MATCH('LE UtilityData'!P$1,'LE Inputs'!$C$1:$J$1,0),0)</f>
        <v>#N/A</v>
      </c>
      <c r="Q32" s="182">
        <v>1</v>
      </c>
      <c r="R32" s="182">
        <v>335</v>
      </c>
      <c r="S32" s="166">
        <v>4124</v>
      </c>
      <c r="T32" s="166">
        <v>1696</v>
      </c>
      <c r="U32" s="166">
        <f t="shared" si="3"/>
        <v>1373.8922912923822</v>
      </c>
      <c r="V32" s="166">
        <f t="shared" si="1"/>
        <v>1373.8823444505865</v>
      </c>
      <c r="W32" s="153" t="e">
        <f t="shared" si="4"/>
        <v>#REF!</v>
      </c>
      <c r="X32" s="157">
        <f t="shared" si="2"/>
        <v>0</v>
      </c>
    </row>
    <row r="33" spans="1:22" x14ac:dyDescent="0.2">
      <c r="A33" s="153">
        <v>2003</v>
      </c>
      <c r="B33" s="153">
        <v>8</v>
      </c>
      <c r="C33" s="164">
        <v>440168.22200000001</v>
      </c>
      <c r="D33" s="265">
        <v>440168.22200000001</v>
      </c>
      <c r="E33" s="173">
        <v>5.9</v>
      </c>
      <c r="F33" s="173">
        <v>5.9</v>
      </c>
      <c r="G33" s="173"/>
      <c r="H33" s="173">
        <v>30.48</v>
      </c>
      <c r="I33" s="154">
        <v>686390.83333333326</v>
      </c>
      <c r="J33" s="190">
        <f>VLOOKUP($A33&amp;$B33,'LE Inputs'!$C$2:$J$505,MATCH('LE UtilityData'!J$1,'LE Inputs'!$C$1:$J$1,0),0)*1000</f>
        <v>1199218.5</v>
      </c>
      <c r="K33" s="190">
        <v>480789.07780993736</v>
      </c>
      <c r="L33" s="164">
        <v>326151</v>
      </c>
      <c r="M33" s="291">
        <v>326148.59588799998</v>
      </c>
      <c r="N33" s="156">
        <v>36000.172123749799</v>
      </c>
      <c r="O33" s="190" t="e">
        <f>VLOOKUP($A33&amp;$B33,'LE Inputs'!$C$2:$J$505,MATCH('LE UtilityData'!O$1,'LE Inputs'!$C$1:$J$1,0),0)</f>
        <v>#N/A</v>
      </c>
      <c r="P33" s="190" t="e">
        <f>VLOOKUP($A33&amp;$B33,'LE Inputs'!$C$2:$J$505,MATCH('LE UtilityData'!P$1,'LE Inputs'!$C$1:$J$1,0),0)</f>
        <v>#N/A</v>
      </c>
      <c r="Q33" s="182">
        <v>0</v>
      </c>
      <c r="R33" s="182">
        <v>340</v>
      </c>
      <c r="S33" s="166">
        <v>4124</v>
      </c>
      <c r="T33" s="166">
        <v>1696</v>
      </c>
      <c r="U33" s="166">
        <f t="shared" si="3"/>
        <v>1349.5941038824969</v>
      </c>
      <c r="V33" s="166">
        <f t="shared" si="1"/>
        <v>1349.5841558051332</v>
      </c>
    </row>
    <row r="34" spans="1:22" x14ac:dyDescent="0.2">
      <c r="A34" s="153">
        <v>2003</v>
      </c>
      <c r="B34" s="153">
        <v>9</v>
      </c>
      <c r="C34" s="164">
        <v>418421.82400000002</v>
      </c>
      <c r="D34" s="265">
        <v>418421.82400000002</v>
      </c>
      <c r="E34" s="173">
        <v>5.9</v>
      </c>
      <c r="F34" s="173">
        <v>5.9</v>
      </c>
      <c r="G34" s="173"/>
      <c r="H34" s="173">
        <v>31.86</v>
      </c>
      <c r="I34" s="154">
        <v>686475.24999999988</v>
      </c>
      <c r="J34" s="190">
        <f>VLOOKUP($A34&amp;$B34,'LE Inputs'!$C$2:$J$505,MATCH('LE UtilityData'!J$1,'LE Inputs'!$C$1:$J$1,0),0)*1000</f>
        <v>1199218.5</v>
      </c>
      <c r="K34" s="190">
        <v>480789.07780993736</v>
      </c>
      <c r="L34" s="164">
        <v>325855</v>
      </c>
      <c r="M34" s="291">
        <v>325853.30118399998</v>
      </c>
      <c r="N34" s="156">
        <v>36000.172123749799</v>
      </c>
      <c r="O34" s="190" t="e">
        <f>VLOOKUP($A34&amp;$B34,'LE Inputs'!$C$2:$J$505,MATCH('LE UtilityData'!O$1,'LE Inputs'!$C$1:$J$1,0),0)</f>
        <v>#N/A</v>
      </c>
      <c r="P34" s="190" t="e">
        <f>VLOOKUP($A34&amp;$B34,'LE Inputs'!$C$2:$J$505,MATCH('LE UtilityData'!P$1,'LE Inputs'!$C$1:$J$1,0),0)</f>
        <v>#N/A</v>
      </c>
      <c r="Q34" s="182">
        <v>6</v>
      </c>
      <c r="R34" s="182">
        <v>295</v>
      </c>
      <c r="S34" s="166">
        <v>4124</v>
      </c>
      <c r="T34" s="166">
        <v>1696</v>
      </c>
      <c r="U34" s="166">
        <f t="shared" si="3"/>
        <v>1284.0803591053057</v>
      </c>
      <c r="V34" s="166">
        <f t="shared" si="1"/>
        <v>1284.0736646667997</v>
      </c>
    </row>
    <row r="35" spans="1:22" x14ac:dyDescent="0.2">
      <c r="A35" s="153">
        <v>2003</v>
      </c>
      <c r="B35" s="153">
        <v>10</v>
      </c>
      <c r="C35" s="164">
        <v>244103.011</v>
      </c>
      <c r="D35" s="265">
        <v>244103.011</v>
      </c>
      <c r="E35" s="173">
        <v>5.9</v>
      </c>
      <c r="F35" s="173">
        <v>5.9</v>
      </c>
      <c r="G35" s="173"/>
      <c r="H35" s="173">
        <v>30.38</v>
      </c>
      <c r="I35" s="154">
        <v>686559.66666666651</v>
      </c>
      <c r="J35" s="190">
        <f>VLOOKUP($A35&amp;$B35,'LE Inputs'!$C$2:$J$505,MATCH('LE UtilityData'!J$1,'LE Inputs'!$C$1:$J$1,0),0)*1000</f>
        <v>1202092.9999999998</v>
      </c>
      <c r="K35" s="190">
        <v>482287.79444709991</v>
      </c>
      <c r="L35" s="164">
        <v>324893</v>
      </c>
      <c r="M35" s="291">
        <v>324891.42918400001</v>
      </c>
      <c r="N35" s="156">
        <v>36510.954748367199</v>
      </c>
      <c r="O35" s="190" t="e">
        <f>VLOOKUP($A35&amp;$B35,'LE Inputs'!$C$2:$J$505,MATCH('LE UtilityData'!O$1,'LE Inputs'!$C$1:$J$1,0),0)</f>
        <v>#N/A</v>
      </c>
      <c r="P35" s="190" t="e">
        <f>VLOOKUP($A35&amp;$B35,'LE Inputs'!$C$2:$J$505,MATCH('LE UtilityData'!P$1,'LE Inputs'!$C$1:$J$1,0),0)</f>
        <v>#N/A</v>
      </c>
      <c r="Q35" s="182">
        <v>147</v>
      </c>
      <c r="R35" s="182">
        <v>34</v>
      </c>
      <c r="S35" s="166">
        <v>4124</v>
      </c>
      <c r="T35" s="166">
        <v>1696</v>
      </c>
      <c r="U35" s="166">
        <f t="shared" si="3"/>
        <v>751.33718243380906</v>
      </c>
      <c r="V35" s="166">
        <f t="shared" si="1"/>
        <v>751.33354981486207</v>
      </c>
    </row>
    <row r="36" spans="1:22" x14ac:dyDescent="0.2">
      <c r="A36" s="153">
        <v>2003</v>
      </c>
      <c r="B36" s="153">
        <v>11</v>
      </c>
      <c r="C36" s="164">
        <v>233641.92300000001</v>
      </c>
      <c r="D36" s="265">
        <v>233641.92300000004</v>
      </c>
      <c r="E36" s="173">
        <v>5.9</v>
      </c>
      <c r="F36" s="173">
        <v>5.9</v>
      </c>
      <c r="G36" s="173"/>
      <c r="H36" s="173">
        <v>30.62</v>
      </c>
      <c r="I36" s="154">
        <v>686644.08333333314</v>
      </c>
      <c r="J36" s="190">
        <f>VLOOKUP($A36&amp;$B36,'LE Inputs'!$C$2:$J$505,MATCH('LE UtilityData'!J$1,'LE Inputs'!$C$1:$J$1,0),0)*1000</f>
        <v>1202092.9999999998</v>
      </c>
      <c r="K36" s="190">
        <v>482287.79444709991</v>
      </c>
      <c r="L36" s="164">
        <v>327232</v>
      </c>
      <c r="M36" s="291">
        <v>327229.740016</v>
      </c>
      <c r="N36" s="156">
        <v>36510.954748367199</v>
      </c>
      <c r="O36" s="190" t="e">
        <f>VLOOKUP($A36&amp;$B36,'LE Inputs'!$C$2:$J$505,MATCH('LE UtilityData'!O$1,'LE Inputs'!$C$1:$J$1,0),0)</f>
        <v>#N/A</v>
      </c>
      <c r="P36" s="190" t="e">
        <f>VLOOKUP($A36&amp;$B36,'LE Inputs'!$C$2:$J$505,MATCH('LE UtilityData'!P$1,'LE Inputs'!$C$1:$J$1,0),0)</f>
        <v>#N/A</v>
      </c>
      <c r="Q36" s="182">
        <v>298</v>
      </c>
      <c r="R36" s="182">
        <v>16</v>
      </c>
      <c r="S36" s="166">
        <v>4124</v>
      </c>
      <c r="T36" s="166">
        <v>1696</v>
      </c>
      <c r="U36" s="166">
        <f t="shared" si="3"/>
        <v>713.99965965372235</v>
      </c>
      <c r="V36" s="166">
        <f t="shared" si="1"/>
        <v>713.99472851065912</v>
      </c>
    </row>
    <row r="37" spans="1:22" x14ac:dyDescent="0.2">
      <c r="A37" s="153">
        <v>2003</v>
      </c>
      <c r="B37" s="153">
        <v>12</v>
      </c>
      <c r="C37" s="164">
        <v>304782.16700000002</v>
      </c>
      <c r="D37" s="265">
        <v>304782.16499999998</v>
      </c>
      <c r="E37" s="173">
        <v>5.9</v>
      </c>
      <c r="F37" s="173">
        <v>5.9</v>
      </c>
      <c r="G37" s="173"/>
      <c r="H37" s="173">
        <v>32.81</v>
      </c>
      <c r="I37" s="154">
        <v>686728.49999999977</v>
      </c>
      <c r="J37" s="190">
        <f>VLOOKUP($A37&amp;$B37,'LE Inputs'!$C$2:$J$505,MATCH('LE UtilityData'!J$1,'LE Inputs'!$C$1:$J$1,0),0)*1000</f>
        <v>1202092.9999999998</v>
      </c>
      <c r="K37" s="190">
        <v>482287.79444709991</v>
      </c>
      <c r="L37" s="164">
        <v>324249</v>
      </c>
      <c r="M37" s="291">
        <v>324246.97494399996</v>
      </c>
      <c r="N37" s="156">
        <v>36510.954748367199</v>
      </c>
      <c r="O37" s="190" t="e">
        <f>VLOOKUP($A37&amp;$B37,'LE Inputs'!$C$2:$J$505,MATCH('LE UtilityData'!O$1,'LE Inputs'!$C$1:$J$1,0),0)</f>
        <v>#N/A</v>
      </c>
      <c r="P37" s="190" t="e">
        <f>VLOOKUP($A37&amp;$B37,'LE Inputs'!$C$2:$J$505,MATCH('LE UtilityData'!P$1,'LE Inputs'!$C$1:$J$1,0),0)</f>
        <v>#N/A</v>
      </c>
      <c r="Q37" s="182">
        <v>692</v>
      </c>
      <c r="R37" s="182">
        <v>2</v>
      </c>
      <c r="S37" s="166">
        <v>4124</v>
      </c>
      <c r="T37" s="166">
        <v>1696</v>
      </c>
      <c r="U37" s="166">
        <f t="shared" si="3"/>
        <v>939.96918568828073</v>
      </c>
      <c r="V37" s="166">
        <f t="shared" si="1"/>
        <v>939.96332139806134</v>
      </c>
    </row>
    <row r="38" spans="1:22" x14ac:dyDescent="0.2">
      <c r="A38" s="153">
        <v>2004</v>
      </c>
      <c r="B38" s="153">
        <v>1</v>
      </c>
      <c r="C38" s="164">
        <v>348337.652</v>
      </c>
      <c r="D38" s="265">
        <v>348337.652</v>
      </c>
      <c r="E38" s="173">
        <v>6</v>
      </c>
      <c r="F38" s="173">
        <v>6</v>
      </c>
      <c r="G38" s="173"/>
      <c r="H38" s="173">
        <v>32.450000000000003</v>
      </c>
      <c r="I38" s="154">
        <v>686812.9166666664</v>
      </c>
      <c r="J38" s="190">
        <f>VLOOKUP($A38&amp;$B38,'LE Inputs'!$C$2:$J$505,MATCH('LE UtilityData'!J$1,'LE Inputs'!$C$1:$J$1,0),0)*1000</f>
        <v>1204967.5</v>
      </c>
      <c r="K38" s="190">
        <v>483790.55407003406</v>
      </c>
      <c r="L38" s="164">
        <v>325724</v>
      </c>
      <c r="M38" s="291">
        <v>325722.486592</v>
      </c>
      <c r="N38" s="156">
        <v>36638.131098169601</v>
      </c>
      <c r="O38" s="190" t="e">
        <f>VLOOKUP($A38&amp;$B38,'LE Inputs'!$C$2:$J$505,MATCH('LE UtilityData'!O$1,'LE Inputs'!$C$1:$J$1,0),0)</f>
        <v>#N/A</v>
      </c>
      <c r="P38" s="190" t="e">
        <f>VLOOKUP($A38&amp;$B38,'LE Inputs'!$C$2:$J$505,MATCH('LE UtilityData'!P$1,'LE Inputs'!$C$1:$J$1,0),0)</f>
        <v>#N/A</v>
      </c>
      <c r="Q38" s="182">
        <v>932</v>
      </c>
      <c r="R38" s="182">
        <v>0</v>
      </c>
      <c r="S38" s="166">
        <v>4124</v>
      </c>
      <c r="T38" s="166">
        <v>1696</v>
      </c>
      <c r="U38" s="166">
        <f t="shared" si="3"/>
        <v>1069.4307772380719</v>
      </c>
      <c r="V38" s="166">
        <f t="shared" si="1"/>
        <v>1069.4258083530842</v>
      </c>
    </row>
    <row r="39" spans="1:22" x14ac:dyDescent="0.2">
      <c r="A39" s="153">
        <v>2004</v>
      </c>
      <c r="B39" s="153">
        <v>2</v>
      </c>
      <c r="C39" s="164">
        <v>334621.136</v>
      </c>
      <c r="D39" s="265">
        <v>334621.136</v>
      </c>
      <c r="E39" s="173">
        <v>6</v>
      </c>
      <c r="F39" s="173">
        <v>6</v>
      </c>
      <c r="G39" s="173"/>
      <c r="H39" s="173">
        <v>30.15</v>
      </c>
      <c r="I39" s="154">
        <v>686897.33333333302</v>
      </c>
      <c r="J39" s="190">
        <f>VLOOKUP($A39&amp;$B39,'LE Inputs'!$C$2:$J$505,MATCH('LE UtilityData'!J$1,'LE Inputs'!$C$1:$J$1,0),0)*1000</f>
        <v>1204967.5</v>
      </c>
      <c r="K39" s="190">
        <v>483790.55407003406</v>
      </c>
      <c r="L39" s="164">
        <v>327545</v>
      </c>
      <c r="M39" s="291">
        <v>327543.31028799998</v>
      </c>
      <c r="N39" s="156">
        <v>36638.131098169601</v>
      </c>
      <c r="O39" s="190" t="e">
        <f>VLOOKUP($A39&amp;$B39,'LE Inputs'!$C$2:$J$505,MATCH('LE UtilityData'!O$1,'LE Inputs'!$C$1:$J$1,0),0)</f>
        <v>#N/A</v>
      </c>
      <c r="P39" s="190" t="e">
        <f>VLOOKUP($A39&amp;$B39,'LE Inputs'!$C$2:$J$505,MATCH('LE UtilityData'!P$1,'LE Inputs'!$C$1:$J$1,0),0)</f>
        <v>#N/A</v>
      </c>
      <c r="Q39" s="182">
        <v>1021</v>
      </c>
      <c r="R39" s="182">
        <v>0</v>
      </c>
      <c r="S39" s="166">
        <v>4124</v>
      </c>
      <c r="T39" s="166">
        <v>1696</v>
      </c>
      <c r="U39" s="166">
        <f t="shared" si="3"/>
        <v>1021.6088239011101</v>
      </c>
      <c r="V39" s="166">
        <f t="shared" si="1"/>
        <v>1021.6035537101773</v>
      </c>
    </row>
    <row r="40" spans="1:22" x14ac:dyDescent="0.2">
      <c r="A40" s="153">
        <v>2004</v>
      </c>
      <c r="B40" s="153">
        <v>3</v>
      </c>
      <c r="C40" s="164">
        <v>268364.75099999999</v>
      </c>
      <c r="D40" s="265">
        <v>268364.75099999999</v>
      </c>
      <c r="E40" s="173">
        <v>6</v>
      </c>
      <c r="F40" s="173">
        <v>6</v>
      </c>
      <c r="G40" s="173"/>
      <c r="H40" s="173">
        <v>30.05</v>
      </c>
      <c r="I40" s="154">
        <v>686981.74999999965</v>
      </c>
      <c r="J40" s="190">
        <f>VLOOKUP($A40&amp;$B40,'LE Inputs'!$C$2:$J$505,MATCH('LE UtilityData'!J$1,'LE Inputs'!$C$1:$J$1,0),0)*1000</f>
        <v>1204967.5</v>
      </c>
      <c r="K40" s="190">
        <v>483790.55407003406</v>
      </c>
      <c r="L40" s="164">
        <v>327288</v>
      </c>
      <c r="M40" s="291">
        <v>327285.52859199996</v>
      </c>
      <c r="N40" s="156">
        <v>36638.131098169601</v>
      </c>
      <c r="O40" s="190" t="e">
        <f>VLOOKUP($A40&amp;$B40,'LE Inputs'!$C$2:$J$505,MATCH('LE UtilityData'!O$1,'LE Inputs'!$C$1:$J$1,0),0)</f>
        <v>#N/A</v>
      </c>
      <c r="P40" s="190" t="e">
        <f>VLOOKUP($A40&amp;$B40,'LE Inputs'!$C$2:$J$505,MATCH('LE UtilityData'!P$1,'LE Inputs'!$C$1:$J$1,0),0)</f>
        <v>#N/A</v>
      </c>
      <c r="Q40" s="182">
        <v>616</v>
      </c>
      <c r="R40" s="182">
        <v>2</v>
      </c>
      <c r="S40" s="166">
        <v>4124</v>
      </c>
      <c r="T40" s="166">
        <v>1696</v>
      </c>
      <c r="U40" s="166">
        <f t="shared" si="3"/>
        <v>819.97133253804304</v>
      </c>
      <c r="V40" s="166">
        <f t="shared" si="1"/>
        <v>819.96514079342967</v>
      </c>
    </row>
    <row r="41" spans="1:22" x14ac:dyDescent="0.2">
      <c r="A41" s="153">
        <v>2004</v>
      </c>
      <c r="B41" s="153">
        <v>4</v>
      </c>
      <c r="C41" s="164">
        <v>242512.565</v>
      </c>
      <c r="D41" s="265">
        <v>242512.56500000003</v>
      </c>
      <c r="E41" s="173">
        <v>6</v>
      </c>
      <c r="F41" s="173">
        <v>6</v>
      </c>
      <c r="G41" s="173"/>
      <c r="H41" s="173">
        <v>30.45</v>
      </c>
      <c r="I41" s="154">
        <v>687066.16666666628</v>
      </c>
      <c r="J41" s="190">
        <f>VLOOKUP($A41&amp;$B41,'LE Inputs'!$C$2:$J$505,MATCH('LE UtilityData'!J$1,'LE Inputs'!$C$1:$J$1,0),0)*1000</f>
        <v>1207842</v>
      </c>
      <c r="K41" s="190">
        <v>485297.3696242302</v>
      </c>
      <c r="L41" s="164">
        <v>328226</v>
      </c>
      <c r="M41" s="291">
        <v>328224.31566399999</v>
      </c>
      <c r="N41" s="156">
        <v>36764.454945712103</v>
      </c>
      <c r="O41" s="190" t="e">
        <f>VLOOKUP($A41&amp;$B41,'LE Inputs'!$C$2:$J$505,MATCH('LE UtilityData'!O$1,'LE Inputs'!$C$1:$J$1,0),0)</f>
        <v>#N/A</v>
      </c>
      <c r="P41" s="190" t="e">
        <f>VLOOKUP($A41&amp;$B41,'LE Inputs'!$C$2:$J$505,MATCH('LE UtilityData'!P$1,'LE Inputs'!$C$1:$J$1,0),0)</f>
        <v>#N/A</v>
      </c>
      <c r="Q41" s="182">
        <v>376</v>
      </c>
      <c r="R41" s="182">
        <v>15</v>
      </c>
      <c r="S41" s="166">
        <v>4124</v>
      </c>
      <c r="T41" s="166">
        <v>1696</v>
      </c>
      <c r="U41" s="166">
        <f t="shared" si="3"/>
        <v>738.86227627406424</v>
      </c>
      <c r="V41" s="166">
        <f t="shared" si="1"/>
        <v>738.85848470261351</v>
      </c>
    </row>
    <row r="42" spans="1:22" x14ac:dyDescent="0.2">
      <c r="A42" s="153">
        <v>2004</v>
      </c>
      <c r="B42" s="153">
        <v>5</v>
      </c>
      <c r="C42" s="164">
        <v>281369.45199999999</v>
      </c>
      <c r="D42" s="265">
        <v>281369.45199999999</v>
      </c>
      <c r="E42" s="173">
        <v>6</v>
      </c>
      <c r="F42" s="173">
        <v>6</v>
      </c>
      <c r="G42" s="173"/>
      <c r="H42" s="173">
        <v>29.8</v>
      </c>
      <c r="I42" s="154">
        <v>687150.58333333291</v>
      </c>
      <c r="J42" s="190">
        <f>VLOOKUP($A42&amp;$B42,'LE Inputs'!$C$2:$J$505,MATCH('LE UtilityData'!J$1,'LE Inputs'!$C$1:$J$1,0),0)*1000</f>
        <v>1207842</v>
      </c>
      <c r="K42" s="190">
        <v>485297.3696242302</v>
      </c>
      <c r="L42" s="164">
        <v>328787</v>
      </c>
      <c r="M42" s="291">
        <v>328785.08703999995</v>
      </c>
      <c r="N42" s="156">
        <v>36764.454945712103</v>
      </c>
      <c r="O42" s="190" t="e">
        <f>VLOOKUP($A42&amp;$B42,'LE Inputs'!$C$2:$J$505,MATCH('LE UtilityData'!O$1,'LE Inputs'!$C$1:$J$1,0),0)</f>
        <v>#N/A</v>
      </c>
      <c r="P42" s="190" t="e">
        <f>VLOOKUP($A42&amp;$B42,'LE Inputs'!$C$2:$J$505,MATCH('LE UtilityData'!P$1,'LE Inputs'!$C$1:$J$1,0),0)</f>
        <v>#N/A</v>
      </c>
      <c r="Q42" s="182">
        <v>117</v>
      </c>
      <c r="R42" s="182">
        <v>103</v>
      </c>
      <c r="S42" s="166">
        <v>4124</v>
      </c>
      <c r="T42" s="166">
        <v>1696</v>
      </c>
      <c r="U42" s="166">
        <f t="shared" si="3"/>
        <v>855.78532327340201</v>
      </c>
      <c r="V42" s="166">
        <f t="shared" si="1"/>
        <v>855.78034411336216</v>
      </c>
    </row>
    <row r="43" spans="1:22" x14ac:dyDescent="0.2">
      <c r="A43" s="153">
        <v>2004</v>
      </c>
      <c r="B43" s="153">
        <v>6</v>
      </c>
      <c r="C43" s="164">
        <v>403194.533</v>
      </c>
      <c r="D43" s="265">
        <v>403194.533</v>
      </c>
      <c r="E43" s="173">
        <v>6</v>
      </c>
      <c r="F43" s="173">
        <v>6</v>
      </c>
      <c r="G43" s="173"/>
      <c r="H43" s="173">
        <v>30.75</v>
      </c>
      <c r="I43" s="154">
        <v>687235</v>
      </c>
      <c r="J43" s="190">
        <f>VLOOKUP($A43&amp;$B43,'LE Inputs'!$C$2:$J$505,MATCH('LE UtilityData'!J$1,'LE Inputs'!$C$1:$J$1,0),0)*1000</f>
        <v>1207842</v>
      </c>
      <c r="K43" s="190">
        <v>485297.3696242302</v>
      </c>
      <c r="L43" s="164">
        <v>329941</v>
      </c>
      <c r="M43" s="291">
        <v>329939.33343999996</v>
      </c>
      <c r="N43" s="156">
        <v>36764.454945712103</v>
      </c>
      <c r="O43" s="190" t="e">
        <f>VLOOKUP($A43&amp;$B43,'LE Inputs'!$C$2:$J$505,MATCH('LE UtilityData'!O$1,'LE Inputs'!$C$1:$J$1,0),0)</f>
        <v>#N/A</v>
      </c>
      <c r="P43" s="190" t="e">
        <f>VLOOKUP($A43&amp;$B43,'LE Inputs'!$C$2:$J$505,MATCH('LE UtilityData'!P$1,'LE Inputs'!$C$1:$J$1,0),0)</f>
        <v>#N/A</v>
      </c>
      <c r="Q43" s="182">
        <v>2</v>
      </c>
      <c r="R43" s="182">
        <v>263</v>
      </c>
      <c r="S43" s="166">
        <v>4124</v>
      </c>
      <c r="T43" s="166">
        <v>1696</v>
      </c>
      <c r="U43" s="166">
        <f t="shared" si="3"/>
        <v>1222.0262700910184</v>
      </c>
      <c r="V43" s="166">
        <f t="shared" si="1"/>
        <v>1222.0200975325893</v>
      </c>
    </row>
    <row r="44" spans="1:22" x14ac:dyDescent="0.2">
      <c r="A44" s="153">
        <v>2004</v>
      </c>
      <c r="B44" s="153">
        <v>7</v>
      </c>
      <c r="C44" s="164">
        <v>440997.08600000001</v>
      </c>
      <c r="D44" s="265">
        <v>440997.08600000001</v>
      </c>
      <c r="E44" s="173">
        <v>6</v>
      </c>
      <c r="F44" s="173">
        <v>6</v>
      </c>
      <c r="G44" s="173"/>
      <c r="H44" s="173">
        <v>30.65</v>
      </c>
      <c r="I44" s="154">
        <v>687032</v>
      </c>
      <c r="J44" s="190">
        <f>VLOOKUP($A44&amp;$B44,'LE Inputs'!$C$2:$J$505,MATCH('LE UtilityData'!J$1,'LE Inputs'!$C$1:$J$1,0),0)*1000</f>
        <v>1210640.5</v>
      </c>
      <c r="K44" s="190">
        <v>486749.8026609908</v>
      </c>
      <c r="L44" s="164">
        <v>329952</v>
      </c>
      <c r="M44" s="291">
        <v>329949.914032</v>
      </c>
      <c r="N44" s="156">
        <v>36957.023266870303</v>
      </c>
      <c r="O44" s="190" t="e">
        <f>VLOOKUP($A44&amp;$B44,'LE Inputs'!$C$2:$J$505,MATCH('LE UtilityData'!O$1,'LE Inputs'!$C$1:$J$1,0),0)</f>
        <v>#N/A</v>
      </c>
      <c r="P44" s="190" t="e">
        <f>VLOOKUP($A44&amp;$B44,'LE Inputs'!$C$2:$J$505,MATCH('LE UtilityData'!P$1,'LE Inputs'!$C$1:$J$1,0),0)</f>
        <v>#N/A</v>
      </c>
      <c r="Q44" s="182">
        <v>0</v>
      </c>
      <c r="R44" s="182">
        <v>319</v>
      </c>
      <c r="S44" s="166">
        <v>4124</v>
      </c>
      <c r="T44" s="166">
        <v>1696</v>
      </c>
      <c r="U44" s="166">
        <f t="shared" si="3"/>
        <v>1336.5576629828436</v>
      </c>
      <c r="V44" s="166">
        <f t="shared" si="1"/>
        <v>1336.5492132188924</v>
      </c>
    </row>
    <row r="45" spans="1:22" x14ac:dyDescent="0.2">
      <c r="A45" s="153">
        <v>2004</v>
      </c>
      <c r="B45" s="153">
        <v>8</v>
      </c>
      <c r="C45" s="164">
        <v>398944.49699999997</v>
      </c>
      <c r="D45" s="265">
        <v>398944.49699999997</v>
      </c>
      <c r="E45" s="173">
        <v>6</v>
      </c>
      <c r="F45" s="173">
        <v>6</v>
      </c>
      <c r="G45" s="173"/>
      <c r="H45" s="173">
        <v>29.55</v>
      </c>
      <c r="I45" s="154">
        <v>688221</v>
      </c>
      <c r="J45" s="190">
        <f>VLOOKUP($A45&amp;$B45,'LE Inputs'!$C$2:$J$505,MATCH('LE UtilityData'!J$1,'LE Inputs'!$C$1:$J$1,0),0)*1000</f>
        <v>1210640.5</v>
      </c>
      <c r="K45" s="190">
        <v>486749.8026609908</v>
      </c>
      <c r="L45" s="164">
        <v>331334</v>
      </c>
      <c r="M45" s="291">
        <v>331332.12409599999</v>
      </c>
      <c r="N45" s="156">
        <v>36957.023266870303</v>
      </c>
      <c r="O45" s="190" t="e">
        <f>VLOOKUP($A45&amp;$B45,'LE Inputs'!$C$2:$J$505,MATCH('LE UtilityData'!O$1,'LE Inputs'!$C$1:$J$1,0),0)</f>
        <v>#N/A</v>
      </c>
      <c r="P45" s="190" t="e">
        <f>VLOOKUP($A45&amp;$B45,'LE Inputs'!$C$2:$J$505,MATCH('LE UtilityData'!P$1,'LE Inputs'!$C$1:$J$1,0),0)</f>
        <v>#N/A</v>
      </c>
      <c r="Q45" s="182">
        <v>2</v>
      </c>
      <c r="R45" s="182">
        <v>253</v>
      </c>
      <c r="S45" s="166">
        <v>4124</v>
      </c>
      <c r="T45" s="166">
        <v>1696</v>
      </c>
      <c r="U45" s="166">
        <f t="shared" si="3"/>
        <v>1204.0622323853211</v>
      </c>
      <c r="V45" s="166">
        <f t="shared" si="1"/>
        <v>1204.055415381458</v>
      </c>
    </row>
    <row r="46" spans="1:22" x14ac:dyDescent="0.2">
      <c r="A46" s="153">
        <v>2004</v>
      </c>
      <c r="B46" s="153">
        <v>9</v>
      </c>
      <c r="C46" s="164">
        <v>397391.65299999999</v>
      </c>
      <c r="D46" s="265">
        <v>397391.65300000005</v>
      </c>
      <c r="E46" s="173">
        <v>6</v>
      </c>
      <c r="F46" s="173">
        <v>6</v>
      </c>
      <c r="G46" s="173"/>
      <c r="H46" s="173">
        <v>30.55</v>
      </c>
      <c r="I46" s="154">
        <v>689410</v>
      </c>
      <c r="J46" s="190">
        <f>VLOOKUP($A46&amp;$B46,'LE Inputs'!$C$2:$J$505,MATCH('LE UtilityData'!J$1,'LE Inputs'!$C$1:$J$1,0),0)*1000</f>
        <v>1210640.5</v>
      </c>
      <c r="K46" s="190">
        <v>486749.8026609908</v>
      </c>
      <c r="L46" s="164">
        <v>330190</v>
      </c>
      <c r="M46" s="291">
        <v>330188.45828799997</v>
      </c>
      <c r="N46" s="156">
        <v>36957.023266870303</v>
      </c>
      <c r="O46" s="190" t="e">
        <f>VLOOKUP($A46&amp;$B46,'LE Inputs'!$C$2:$J$505,MATCH('LE UtilityData'!O$1,'LE Inputs'!$C$1:$J$1,0),0)</f>
        <v>#N/A</v>
      </c>
      <c r="P46" s="190" t="e">
        <f>VLOOKUP($A46&amp;$B46,'LE Inputs'!$C$2:$J$505,MATCH('LE UtilityData'!P$1,'LE Inputs'!$C$1:$J$1,0),0)</f>
        <v>#N/A</v>
      </c>
      <c r="Q46" s="182">
        <v>2</v>
      </c>
      <c r="R46" s="182">
        <v>259</v>
      </c>
      <c r="S46" s="166">
        <v>4124</v>
      </c>
      <c r="T46" s="166">
        <v>1696</v>
      </c>
      <c r="U46" s="166">
        <f t="shared" si="3"/>
        <v>1203.5298116125655</v>
      </c>
      <c r="V46" s="166">
        <f t="shared" si="1"/>
        <v>1203.5241921318029</v>
      </c>
    </row>
    <row r="47" spans="1:22" x14ac:dyDescent="0.2">
      <c r="A47" s="153">
        <v>2004</v>
      </c>
      <c r="B47" s="153">
        <v>10</v>
      </c>
      <c r="C47" s="164">
        <v>270269.25</v>
      </c>
      <c r="D47" s="265">
        <v>270269.25</v>
      </c>
      <c r="E47" s="173">
        <v>6</v>
      </c>
      <c r="F47" s="173">
        <v>6</v>
      </c>
      <c r="G47" s="173"/>
      <c r="H47" s="173">
        <v>29.65</v>
      </c>
      <c r="I47" s="154">
        <v>690599</v>
      </c>
      <c r="J47" s="190">
        <f>VLOOKUP($A47&amp;$B47,'LE Inputs'!$C$2:$J$505,MATCH('LE UtilityData'!J$1,'LE Inputs'!$C$1:$J$1,0),0)*1000</f>
        <v>1213439</v>
      </c>
      <c r="K47" s="190">
        <v>488206.69794066739</v>
      </c>
      <c r="L47" s="164">
        <v>330011</v>
      </c>
      <c r="M47" s="291">
        <v>330008.58822400001</v>
      </c>
      <c r="N47" s="156">
        <v>37300.016897910602</v>
      </c>
      <c r="O47" s="190" t="e">
        <f>VLOOKUP($A47&amp;$B47,'LE Inputs'!$C$2:$J$505,MATCH('LE UtilityData'!O$1,'LE Inputs'!$C$1:$J$1,0),0)</f>
        <v>#N/A</v>
      </c>
      <c r="P47" s="190" t="e">
        <f>VLOOKUP($A47&amp;$B47,'LE Inputs'!$C$2:$J$505,MATCH('LE UtilityData'!P$1,'LE Inputs'!$C$1:$J$1,0),0)</f>
        <v>#N/A</v>
      </c>
      <c r="Q47" s="182">
        <v>93</v>
      </c>
      <c r="R47" s="182">
        <v>74</v>
      </c>
      <c r="S47" s="166">
        <v>4124</v>
      </c>
      <c r="T47" s="166">
        <v>1696</v>
      </c>
      <c r="U47" s="166">
        <f t="shared" si="3"/>
        <v>818.97641347609192</v>
      </c>
      <c r="V47" s="166">
        <f t="shared" si="1"/>
        <v>818.97042825845199</v>
      </c>
    </row>
    <row r="48" spans="1:22" x14ac:dyDescent="0.2">
      <c r="A48" s="153">
        <v>2004</v>
      </c>
      <c r="B48" s="153">
        <v>11</v>
      </c>
      <c r="C48" s="164">
        <v>235611.85399999999</v>
      </c>
      <c r="D48" s="265">
        <v>235611.85399999999</v>
      </c>
      <c r="E48" s="173">
        <v>6</v>
      </c>
      <c r="F48" s="173">
        <v>6</v>
      </c>
      <c r="G48" s="173"/>
      <c r="H48" s="173">
        <v>29.8</v>
      </c>
      <c r="I48" s="154">
        <v>691788</v>
      </c>
      <c r="J48" s="190">
        <f>VLOOKUP($A48&amp;$B48,'LE Inputs'!$C$2:$J$505,MATCH('LE UtilityData'!J$1,'LE Inputs'!$C$1:$J$1,0),0)*1000</f>
        <v>1213439</v>
      </c>
      <c r="K48" s="190">
        <v>488206.69794066739</v>
      </c>
      <c r="L48" s="164">
        <v>330750</v>
      </c>
      <c r="M48" s="291">
        <v>330748.26779199997</v>
      </c>
      <c r="N48" s="156">
        <v>37300.016897910602</v>
      </c>
      <c r="O48" s="190" t="e">
        <f>VLOOKUP($A48&amp;$B48,'LE Inputs'!$C$2:$J$505,MATCH('LE UtilityData'!O$1,'LE Inputs'!$C$1:$J$1,0),0)</f>
        <v>#N/A</v>
      </c>
      <c r="P48" s="190" t="e">
        <f>VLOOKUP($A48&amp;$B48,'LE Inputs'!$C$2:$J$505,MATCH('LE UtilityData'!P$1,'LE Inputs'!$C$1:$J$1,0),0)</f>
        <v>#N/A</v>
      </c>
      <c r="Q48" s="182">
        <v>235</v>
      </c>
      <c r="R48" s="182">
        <v>20</v>
      </c>
      <c r="S48" s="166">
        <v>4124</v>
      </c>
      <c r="T48" s="166">
        <v>1696</v>
      </c>
      <c r="U48" s="166">
        <f t="shared" si="3"/>
        <v>712.36005428808744</v>
      </c>
      <c r="V48" s="166">
        <f t="shared" si="1"/>
        <v>712.3563235071806</v>
      </c>
    </row>
    <row r="49" spans="1:22" x14ac:dyDescent="0.2">
      <c r="A49" s="153">
        <v>2004</v>
      </c>
      <c r="B49" s="153">
        <v>12</v>
      </c>
      <c r="C49" s="164">
        <v>295532.299</v>
      </c>
      <c r="D49" s="265">
        <v>295532.299</v>
      </c>
      <c r="E49" s="173">
        <v>6</v>
      </c>
      <c r="F49" s="173">
        <v>6</v>
      </c>
      <c r="G49" s="173"/>
      <c r="H49" s="173">
        <v>31.5</v>
      </c>
      <c r="I49" s="154">
        <v>692977</v>
      </c>
      <c r="J49" s="190">
        <f>VLOOKUP($A49&amp;$B49,'LE Inputs'!$C$2:$J$505,MATCH('LE UtilityData'!J$1,'LE Inputs'!$C$1:$J$1,0),0)*1000</f>
        <v>1213439</v>
      </c>
      <c r="K49" s="190">
        <v>488206.69794066739</v>
      </c>
      <c r="L49" s="164">
        <v>329946</v>
      </c>
      <c r="M49" s="291">
        <v>329944.14279999997</v>
      </c>
      <c r="N49" s="156">
        <v>37300.016897910602</v>
      </c>
      <c r="O49" s="190" t="e">
        <f>VLOOKUP($A49&amp;$B49,'LE Inputs'!$C$2:$J$505,MATCH('LE UtilityData'!O$1,'LE Inputs'!$C$1:$J$1,0),0)</f>
        <v>#N/A</v>
      </c>
      <c r="P49" s="190" t="e">
        <f>VLOOKUP($A49&amp;$B49,'LE Inputs'!$C$2:$J$505,MATCH('LE UtilityData'!P$1,'LE Inputs'!$C$1:$J$1,0),0)</f>
        <v>#N/A</v>
      </c>
      <c r="Q49" s="182">
        <v>634</v>
      </c>
      <c r="R49" s="182">
        <v>0</v>
      </c>
      <c r="S49" s="166">
        <v>4124</v>
      </c>
      <c r="T49" s="166">
        <v>1696</v>
      </c>
      <c r="U49" s="166">
        <f t="shared" si="3"/>
        <v>895.70403187651311</v>
      </c>
      <c r="V49" s="166">
        <f t="shared" si="1"/>
        <v>895.69899013778013</v>
      </c>
    </row>
    <row r="50" spans="1:22" x14ac:dyDescent="0.2">
      <c r="A50" s="153">
        <v>2005</v>
      </c>
      <c r="B50" s="153">
        <v>1</v>
      </c>
      <c r="C50" s="164">
        <v>355374.79599999997</v>
      </c>
      <c r="D50" s="265">
        <v>355374.79599999997</v>
      </c>
      <c r="E50" s="173">
        <v>6.4065135612233277</v>
      </c>
      <c r="F50" s="173">
        <v>6.4065135612233277</v>
      </c>
      <c r="G50" s="173"/>
      <c r="H50" s="173">
        <v>32.5</v>
      </c>
      <c r="I50" s="154">
        <v>694166</v>
      </c>
      <c r="J50" s="190">
        <f>VLOOKUP($A50&amp;$B50,'LE Inputs'!$C$2:$J$505,MATCH('LE UtilityData'!J$1,'LE Inputs'!$C$1:$J$1,0),0)*1000</f>
        <v>1216237.5</v>
      </c>
      <c r="K50" s="190">
        <v>489668.06935047486</v>
      </c>
      <c r="L50" s="164">
        <v>329945</v>
      </c>
      <c r="M50" s="291">
        <v>329943.18092799996</v>
      </c>
      <c r="N50" s="156">
        <v>36764.479129179497</v>
      </c>
      <c r="O50" s="190" t="e">
        <f>VLOOKUP($A50&amp;$B50,'LE Inputs'!$C$2:$J$505,MATCH('LE UtilityData'!O$1,'LE Inputs'!$C$1:$J$1,0),0)</f>
        <v>#N/A</v>
      </c>
      <c r="P50" s="190" t="e">
        <f>VLOOKUP($A50&amp;$B50,'LE Inputs'!$C$2:$J$505,MATCH('LE UtilityData'!P$1,'LE Inputs'!$C$1:$J$1,0),0)</f>
        <v>#N/A</v>
      </c>
      <c r="Q50" s="182">
        <v>860</v>
      </c>
      <c r="R50" s="182">
        <v>1</v>
      </c>
      <c r="S50" s="166">
        <v>4124</v>
      </c>
      <c r="T50" s="166">
        <v>1696</v>
      </c>
      <c r="U50" s="166">
        <f t="shared" si="3"/>
        <v>1077.0787715644583</v>
      </c>
      <c r="V50" s="166">
        <f t="shared" si="1"/>
        <v>1077.0728333510128</v>
      </c>
    </row>
    <row r="51" spans="1:22" x14ac:dyDescent="0.2">
      <c r="A51" s="153">
        <v>2005</v>
      </c>
      <c r="B51" s="153">
        <v>2</v>
      </c>
      <c r="C51" s="164">
        <v>304253.43800000002</v>
      </c>
      <c r="D51" s="265">
        <v>304253.43800000002</v>
      </c>
      <c r="E51" s="173">
        <v>6.4065135612233277</v>
      </c>
      <c r="F51" s="173">
        <v>6.4065135612233277</v>
      </c>
      <c r="G51" s="173"/>
      <c r="H51" s="173">
        <v>29.4</v>
      </c>
      <c r="I51" s="154">
        <v>695355</v>
      </c>
      <c r="J51" s="190">
        <f>VLOOKUP($A51&amp;$B51,'LE Inputs'!$C$2:$J$505,MATCH('LE UtilityData'!J$1,'LE Inputs'!$C$1:$J$1,0),0)*1000</f>
        <v>1216237.5</v>
      </c>
      <c r="K51" s="190">
        <v>489668.06935047486</v>
      </c>
      <c r="L51" s="164">
        <v>331843</v>
      </c>
      <c r="M51" s="291">
        <v>331840.95438399998</v>
      </c>
      <c r="N51" s="156">
        <v>36764.479129179497</v>
      </c>
      <c r="O51" s="190" t="e">
        <f>VLOOKUP($A51&amp;$B51,'LE Inputs'!$C$2:$J$505,MATCH('LE UtilityData'!O$1,'LE Inputs'!$C$1:$J$1,0),0)</f>
        <v>#N/A</v>
      </c>
      <c r="P51" s="190" t="e">
        <f>VLOOKUP($A51&amp;$B51,'LE Inputs'!$C$2:$J$505,MATCH('LE UtilityData'!P$1,'LE Inputs'!$C$1:$J$1,0),0)</f>
        <v>#N/A</v>
      </c>
      <c r="Q51" s="182">
        <v>796</v>
      </c>
      <c r="R51" s="182">
        <v>0</v>
      </c>
      <c r="S51" s="166">
        <v>4124</v>
      </c>
      <c r="T51" s="166">
        <v>1696</v>
      </c>
      <c r="U51" s="166">
        <f t="shared" si="3"/>
        <v>916.86524517381838</v>
      </c>
      <c r="V51" s="166">
        <f t="shared" si="1"/>
        <v>916.8595932413823</v>
      </c>
    </row>
    <row r="52" spans="1:22" x14ac:dyDescent="0.2">
      <c r="A52" s="153">
        <v>2005</v>
      </c>
      <c r="B52" s="153">
        <v>3</v>
      </c>
      <c r="C52" s="164">
        <v>285168.32900000003</v>
      </c>
      <c r="D52" s="265">
        <v>285168.32900000003</v>
      </c>
      <c r="E52" s="173">
        <v>6.4065135612233277</v>
      </c>
      <c r="F52" s="173">
        <v>6.4065135612233277</v>
      </c>
      <c r="G52" s="173"/>
      <c r="H52" s="173">
        <v>29.7</v>
      </c>
      <c r="I52" s="154">
        <v>696544</v>
      </c>
      <c r="J52" s="190">
        <f>VLOOKUP($A52&amp;$B52,'LE Inputs'!$C$2:$J$505,MATCH('LE UtilityData'!J$1,'LE Inputs'!$C$1:$J$1,0),0)*1000</f>
        <v>1216237.5</v>
      </c>
      <c r="K52" s="190">
        <v>489668.06935047486</v>
      </c>
      <c r="L52" s="164">
        <v>331853</v>
      </c>
      <c r="M52" s="291">
        <v>331850.57310400001</v>
      </c>
      <c r="N52" s="156">
        <v>36764.479129179497</v>
      </c>
      <c r="O52" s="190" t="e">
        <f>VLOOKUP($A52&amp;$B52,'LE Inputs'!$C$2:$J$505,MATCH('LE UtilityData'!O$1,'LE Inputs'!$C$1:$J$1,0),0)</f>
        <v>#N/A</v>
      </c>
      <c r="P52" s="190" t="e">
        <f>VLOOKUP($A52&amp;$B52,'LE Inputs'!$C$2:$J$505,MATCH('LE UtilityData'!P$1,'LE Inputs'!$C$1:$J$1,0),0)</f>
        <v>#N/A</v>
      </c>
      <c r="Q52" s="182">
        <v>712</v>
      </c>
      <c r="R52" s="182">
        <v>0</v>
      </c>
      <c r="S52" s="166">
        <v>4124</v>
      </c>
      <c r="T52" s="166">
        <v>1696</v>
      </c>
      <c r="U52" s="166">
        <f t="shared" si="3"/>
        <v>859.32751699853156</v>
      </c>
      <c r="V52" s="166">
        <f t="shared" si="1"/>
        <v>859.32123259394973</v>
      </c>
    </row>
    <row r="53" spans="1:22" x14ac:dyDescent="0.2">
      <c r="A53" s="153">
        <v>2005</v>
      </c>
      <c r="B53" s="153">
        <v>4</v>
      </c>
      <c r="C53" s="164">
        <v>247850.07199999999</v>
      </c>
      <c r="D53" s="265">
        <v>247850.07199999999</v>
      </c>
      <c r="E53" s="173">
        <v>6.4065135612233277</v>
      </c>
      <c r="F53" s="173">
        <v>6.4065135612233277</v>
      </c>
      <c r="G53" s="173"/>
      <c r="H53" s="173">
        <v>30.5</v>
      </c>
      <c r="I53" s="154">
        <v>697733</v>
      </c>
      <c r="J53" s="190">
        <f>VLOOKUP($A53&amp;$B53,'LE Inputs'!$C$2:$J$505,MATCH('LE UtilityData'!J$1,'LE Inputs'!$C$1:$J$1,0),0)*1000</f>
        <v>1219036</v>
      </c>
      <c r="K53" s="190">
        <v>491133.93082732341</v>
      </c>
      <c r="L53" s="164">
        <v>331308</v>
      </c>
      <c r="M53" s="291">
        <v>331306.153552</v>
      </c>
      <c r="N53" s="156">
        <v>37187.197449630999</v>
      </c>
      <c r="O53" s="190" t="e">
        <f>VLOOKUP($A53&amp;$B53,'LE Inputs'!$C$2:$J$505,MATCH('LE UtilityData'!O$1,'LE Inputs'!$C$1:$J$1,0),0)</f>
        <v>#N/A</v>
      </c>
      <c r="P53" s="190" t="e">
        <f>VLOOKUP($A53&amp;$B53,'LE Inputs'!$C$2:$J$505,MATCH('LE UtilityData'!P$1,'LE Inputs'!$C$1:$J$1,0),0)</f>
        <v>#N/A</v>
      </c>
      <c r="Q53" s="182">
        <v>340</v>
      </c>
      <c r="R53" s="182">
        <v>15</v>
      </c>
      <c r="S53" s="166">
        <v>4124</v>
      </c>
      <c r="T53" s="166">
        <v>1696</v>
      </c>
      <c r="U53" s="166">
        <f t="shared" si="3"/>
        <v>748.09981445484618</v>
      </c>
      <c r="V53" s="166">
        <f t="shared" si="1"/>
        <v>748.09564513986982</v>
      </c>
    </row>
    <row r="54" spans="1:22" x14ac:dyDescent="0.2">
      <c r="A54" s="153">
        <v>2005</v>
      </c>
      <c r="B54" s="153">
        <v>5</v>
      </c>
      <c r="C54" s="164">
        <v>241191.90100000001</v>
      </c>
      <c r="D54" s="265">
        <v>241191.90100000001</v>
      </c>
      <c r="E54" s="173">
        <v>6.4065135612233277</v>
      </c>
      <c r="F54" s="173">
        <v>6.4065135612233277</v>
      </c>
      <c r="G54" s="173"/>
      <c r="H54" s="173">
        <v>28</v>
      </c>
      <c r="I54" s="154">
        <v>698922</v>
      </c>
      <c r="J54" s="190">
        <f>VLOOKUP($A54&amp;$B54,'LE Inputs'!$C$2:$J$505,MATCH('LE UtilityData'!J$1,'LE Inputs'!$C$1:$J$1,0),0)*1000</f>
        <v>1219036</v>
      </c>
      <c r="K54" s="190">
        <v>491133.93082732341</v>
      </c>
      <c r="L54" s="164">
        <v>332951</v>
      </c>
      <c r="M54" s="291">
        <v>332949.03092799999</v>
      </c>
      <c r="N54" s="156">
        <v>37187.197449630999</v>
      </c>
      <c r="O54" s="190" t="e">
        <f>VLOOKUP($A54&amp;$B54,'LE Inputs'!$C$2:$J$505,MATCH('LE UtilityData'!O$1,'LE Inputs'!$C$1:$J$1,0),0)</f>
        <v>#N/A</v>
      </c>
      <c r="P54" s="190" t="e">
        <f>VLOOKUP($A54&amp;$B54,'LE Inputs'!$C$2:$J$505,MATCH('LE UtilityData'!P$1,'LE Inputs'!$C$1:$J$1,0),0)</f>
        <v>#N/A</v>
      </c>
      <c r="Q54" s="182">
        <v>204</v>
      </c>
      <c r="R54" s="182">
        <v>45</v>
      </c>
      <c r="S54" s="166">
        <v>4124</v>
      </c>
      <c r="T54" s="166">
        <v>1696</v>
      </c>
      <c r="U54" s="166">
        <f t="shared" si="3"/>
        <v>724.41088153266799</v>
      </c>
      <c r="V54" s="166">
        <f t="shared" si="1"/>
        <v>724.40659736718021</v>
      </c>
    </row>
    <row r="55" spans="1:22" x14ac:dyDescent="0.2">
      <c r="A55" s="153">
        <v>2005</v>
      </c>
      <c r="B55" s="153">
        <v>6</v>
      </c>
      <c r="C55" s="164">
        <v>355723.86</v>
      </c>
      <c r="D55" s="265">
        <v>355723.86</v>
      </c>
      <c r="E55" s="173">
        <v>6.4065135612233277</v>
      </c>
      <c r="F55" s="173">
        <v>6.4065135612233277</v>
      </c>
      <c r="G55" s="173"/>
      <c r="H55" s="173">
        <v>30.8</v>
      </c>
      <c r="I55" s="154">
        <v>701500</v>
      </c>
      <c r="J55" s="190">
        <f>VLOOKUP($A55&amp;$B55,'LE Inputs'!$C$2:$J$505,MATCH('LE UtilityData'!J$1,'LE Inputs'!$C$1:$J$1,0),0)*1000</f>
        <v>1219036</v>
      </c>
      <c r="K55" s="190">
        <v>491133.93082732341</v>
      </c>
      <c r="L55" s="164">
        <v>333772</v>
      </c>
      <c r="M55" s="291">
        <v>333770.46961599996</v>
      </c>
      <c r="N55" s="156">
        <v>37187.197449630999</v>
      </c>
      <c r="O55" s="190" t="e">
        <f>VLOOKUP($A55&amp;$B55,'LE Inputs'!$C$2:$J$505,MATCH('LE UtilityData'!O$1,'LE Inputs'!$C$1:$J$1,0),0)</f>
        <v>#N/A</v>
      </c>
      <c r="P55" s="190" t="e">
        <f>VLOOKUP($A55&amp;$B55,'LE Inputs'!$C$2:$J$505,MATCH('LE UtilityData'!P$1,'LE Inputs'!$C$1:$J$1,0),0)</f>
        <v>#N/A</v>
      </c>
      <c r="Q55" s="182">
        <v>19</v>
      </c>
      <c r="R55" s="182">
        <v>189</v>
      </c>
      <c r="S55" s="166">
        <v>4124</v>
      </c>
      <c r="T55" s="166">
        <v>1696</v>
      </c>
      <c r="U55" s="166">
        <f t="shared" si="3"/>
        <v>1065.7739146583497</v>
      </c>
      <c r="V55" s="166">
        <f t="shared" si="1"/>
        <v>1065.7690279592057</v>
      </c>
    </row>
    <row r="56" spans="1:22" x14ac:dyDescent="0.2">
      <c r="A56" s="153">
        <v>2005</v>
      </c>
      <c r="B56" s="153">
        <v>7</v>
      </c>
      <c r="C56" s="164">
        <v>500098.848</v>
      </c>
      <c r="D56" s="265">
        <v>500098.848</v>
      </c>
      <c r="E56" s="173">
        <v>6.4065135612233277</v>
      </c>
      <c r="F56" s="173">
        <v>6.4065135612233277</v>
      </c>
      <c r="G56" s="173"/>
      <c r="H56" s="173">
        <v>30.6</v>
      </c>
      <c r="I56" s="154">
        <v>702147</v>
      </c>
      <c r="J56" s="190">
        <f>VLOOKUP($A56&amp;$B56,'LE Inputs'!$C$2:$J$505,MATCH('LE UtilityData'!J$1,'LE Inputs'!$C$1:$J$1,0),0)*1000</f>
        <v>1222784.2499999998</v>
      </c>
      <c r="K56" s="190">
        <v>491921.43505393527</v>
      </c>
      <c r="L56" s="164">
        <v>333883</v>
      </c>
      <c r="M56" s="291">
        <v>333881.08489599999</v>
      </c>
      <c r="N56" s="156">
        <v>37317.042595279701</v>
      </c>
      <c r="O56" s="190" t="e">
        <f>VLOOKUP($A56&amp;$B56,'LE Inputs'!$C$2:$J$505,MATCH('LE UtilityData'!O$1,'LE Inputs'!$C$1:$J$1,0),0)</f>
        <v>#N/A</v>
      </c>
      <c r="P56" s="190" t="e">
        <f>VLOOKUP($A56&amp;$B56,'LE Inputs'!$C$2:$J$505,MATCH('LE UtilityData'!P$1,'LE Inputs'!$C$1:$J$1,0),0)</f>
        <v>#N/A</v>
      </c>
      <c r="Q56" s="182">
        <v>0</v>
      </c>
      <c r="R56" s="182">
        <v>408</v>
      </c>
      <c r="S56" s="166">
        <v>4124</v>
      </c>
      <c r="T56" s="166">
        <v>1696</v>
      </c>
      <c r="U56" s="166">
        <f t="shared" si="3"/>
        <v>1497.8352192541092</v>
      </c>
      <c r="V56" s="166">
        <f t="shared" si="1"/>
        <v>1497.8266278906083</v>
      </c>
    </row>
    <row r="57" spans="1:22" x14ac:dyDescent="0.2">
      <c r="A57" s="153">
        <v>2005</v>
      </c>
      <c r="B57" s="153">
        <v>8</v>
      </c>
      <c r="C57" s="164">
        <v>533566.43099999998</v>
      </c>
      <c r="D57" s="265">
        <v>533566.43099999998</v>
      </c>
      <c r="E57" s="173">
        <v>6.4065135612233277</v>
      </c>
      <c r="F57" s="173">
        <v>6.4065135612233277</v>
      </c>
      <c r="G57" s="173"/>
      <c r="H57" s="173">
        <v>29.6</v>
      </c>
      <c r="I57" s="154">
        <v>702794</v>
      </c>
      <c r="J57" s="190">
        <f>VLOOKUP($A57&amp;$B57,'LE Inputs'!$C$2:$J$505,MATCH('LE UtilityData'!J$1,'LE Inputs'!$C$1:$J$1,0),0)*1000</f>
        <v>1222784.2499999998</v>
      </c>
      <c r="K57" s="190">
        <v>491921.43505393527</v>
      </c>
      <c r="L57" s="164">
        <v>334406</v>
      </c>
      <c r="M57" s="291">
        <v>334404.34326399997</v>
      </c>
      <c r="N57" s="156">
        <v>37317.042595279701</v>
      </c>
      <c r="O57" s="190" t="e">
        <f>VLOOKUP($A57&amp;$B57,'LE Inputs'!$C$2:$J$505,MATCH('LE UtilityData'!O$1,'LE Inputs'!$C$1:$J$1,0),0)</f>
        <v>#N/A</v>
      </c>
      <c r="P57" s="190" t="e">
        <f>VLOOKUP($A57&amp;$B57,'LE Inputs'!$C$2:$J$505,MATCH('LE UtilityData'!P$1,'LE Inputs'!$C$1:$J$1,0),0)</f>
        <v>#N/A</v>
      </c>
      <c r="Q57" s="182">
        <v>0</v>
      </c>
      <c r="R57" s="182">
        <v>471</v>
      </c>
      <c r="S57" s="166">
        <v>4124</v>
      </c>
      <c r="T57" s="166">
        <v>1696</v>
      </c>
      <c r="U57" s="166">
        <f t="shared" si="3"/>
        <v>1595.5726704744645</v>
      </c>
      <c r="V57" s="166">
        <f t="shared" si="1"/>
        <v>1595.5647655843495</v>
      </c>
    </row>
    <row r="58" spans="1:22" x14ac:dyDescent="0.2">
      <c r="A58" s="153">
        <v>2005</v>
      </c>
      <c r="B58" s="153">
        <v>9</v>
      </c>
      <c r="C58" s="164">
        <v>474347.99900000001</v>
      </c>
      <c r="D58" s="265">
        <v>474347.99900000001</v>
      </c>
      <c r="E58" s="173">
        <v>6.4065135612233277</v>
      </c>
      <c r="F58" s="173">
        <v>6.4065135612233277</v>
      </c>
      <c r="G58" s="173"/>
      <c r="H58" s="173">
        <v>30.55</v>
      </c>
      <c r="I58" s="154">
        <v>703441</v>
      </c>
      <c r="J58" s="190">
        <f>VLOOKUP($A58&amp;$B58,'LE Inputs'!$C$2:$J$505,MATCH('LE UtilityData'!J$1,'LE Inputs'!$C$1:$J$1,0),0)*1000</f>
        <v>1222784.2499999998</v>
      </c>
      <c r="K58" s="190">
        <v>491921.43505393527</v>
      </c>
      <c r="L58" s="164">
        <v>334355</v>
      </c>
      <c r="M58" s="291">
        <v>334353.36404799996</v>
      </c>
      <c r="N58" s="156">
        <v>37317.042595279701</v>
      </c>
      <c r="O58" s="190" t="e">
        <f>VLOOKUP($A58&amp;$B58,'LE Inputs'!$C$2:$J$505,MATCH('LE UtilityData'!O$1,'LE Inputs'!$C$1:$J$1,0),0)</f>
        <v>#N/A</v>
      </c>
      <c r="P58" s="190" t="e">
        <f>VLOOKUP($A58&amp;$B58,'LE Inputs'!$C$2:$J$505,MATCH('LE UtilityData'!P$1,'LE Inputs'!$C$1:$J$1,0),0)</f>
        <v>#N/A</v>
      </c>
      <c r="Q58" s="182">
        <v>0</v>
      </c>
      <c r="R58" s="182">
        <v>374</v>
      </c>
      <c r="S58" s="166">
        <v>4124</v>
      </c>
      <c r="T58" s="166">
        <v>1696</v>
      </c>
      <c r="U58" s="166">
        <f t="shared" si="3"/>
        <v>1418.702636208267</v>
      </c>
      <c r="V58" s="166">
        <f t="shared" si="1"/>
        <v>1418.6956946957575</v>
      </c>
    </row>
    <row r="59" spans="1:22" x14ac:dyDescent="0.2">
      <c r="A59" s="153">
        <v>2005</v>
      </c>
      <c r="B59" s="153">
        <v>10</v>
      </c>
      <c r="C59" s="164">
        <v>337373.41100000002</v>
      </c>
      <c r="D59" s="265">
        <v>337373.41100000002</v>
      </c>
      <c r="E59" s="173">
        <v>6.4065135612233277</v>
      </c>
      <c r="F59" s="173">
        <v>6.4065135612233277</v>
      </c>
      <c r="G59" s="173"/>
      <c r="H59" s="173">
        <v>29.75</v>
      </c>
      <c r="I59" s="154">
        <v>704088</v>
      </c>
      <c r="J59" s="190">
        <f>VLOOKUP($A59&amp;$B59,'LE Inputs'!$C$2:$J$505,MATCH('LE UtilityData'!J$1,'LE Inputs'!$C$1:$J$1,0),0)*1000</f>
        <v>1226532.5</v>
      </c>
      <c r="K59" s="190">
        <v>492709.98243133829</v>
      </c>
      <c r="L59" s="164">
        <v>333864</v>
      </c>
      <c r="M59" s="291">
        <v>333861.84745599999</v>
      </c>
      <c r="N59" s="156">
        <v>37479.709452074501</v>
      </c>
      <c r="O59" s="190" t="e">
        <f>VLOOKUP($A59&amp;$B59,'LE Inputs'!$C$2:$J$505,MATCH('LE UtilityData'!O$1,'LE Inputs'!$C$1:$J$1,0),0)</f>
        <v>#N/A</v>
      </c>
      <c r="P59" s="190" t="e">
        <f>VLOOKUP($A59&amp;$B59,'LE Inputs'!$C$2:$J$505,MATCH('LE UtilityData'!P$1,'LE Inputs'!$C$1:$J$1,0),0)</f>
        <v>#N/A</v>
      </c>
      <c r="Q59" s="182">
        <v>53</v>
      </c>
      <c r="R59" s="182">
        <v>177</v>
      </c>
      <c r="S59" s="166">
        <v>4124</v>
      </c>
      <c r="T59" s="166">
        <v>1696</v>
      </c>
      <c r="U59" s="166">
        <f t="shared" si="3"/>
        <v>1010.5180138753735</v>
      </c>
      <c r="V59" s="166">
        <f t="shared" si="1"/>
        <v>1010.5114986940791</v>
      </c>
    </row>
    <row r="60" spans="1:22" x14ac:dyDescent="0.2">
      <c r="A60" s="153">
        <v>2005</v>
      </c>
      <c r="B60" s="153">
        <v>11</v>
      </c>
      <c r="C60" s="164">
        <v>243130.55499999999</v>
      </c>
      <c r="D60" s="265">
        <v>243130.55499999999</v>
      </c>
      <c r="E60" s="173">
        <v>6.4065135612233277</v>
      </c>
      <c r="F60" s="173">
        <v>6.4065135612233277</v>
      </c>
      <c r="G60" s="173"/>
      <c r="H60" s="173">
        <v>29.75</v>
      </c>
      <c r="I60" s="154">
        <v>704735</v>
      </c>
      <c r="J60" s="190">
        <f>VLOOKUP($A60&amp;$B60,'LE Inputs'!$C$2:$J$505,MATCH('LE UtilityData'!J$1,'LE Inputs'!$C$1:$J$1,0),0)*1000</f>
        <v>1226532.5</v>
      </c>
      <c r="K60" s="190">
        <v>492709.98243133829</v>
      </c>
      <c r="L60" s="164">
        <v>334166</v>
      </c>
      <c r="M60" s="291">
        <v>334163.87526399997</v>
      </c>
      <c r="N60" s="156">
        <v>37479.709452074501</v>
      </c>
      <c r="O60" s="190" t="e">
        <f>VLOOKUP($A60&amp;$B60,'LE Inputs'!$C$2:$J$505,MATCH('LE UtilityData'!O$1,'LE Inputs'!$C$1:$J$1,0),0)</f>
        <v>#N/A</v>
      </c>
      <c r="P60" s="190" t="e">
        <f>VLOOKUP($A60&amp;$B60,'LE Inputs'!$C$2:$J$505,MATCH('LE UtilityData'!P$1,'LE Inputs'!$C$1:$J$1,0),0)</f>
        <v>#N/A</v>
      </c>
      <c r="Q60" s="182">
        <v>317</v>
      </c>
      <c r="R60" s="182">
        <v>15</v>
      </c>
      <c r="S60" s="166">
        <v>4124</v>
      </c>
      <c r="T60" s="166">
        <v>1696</v>
      </c>
      <c r="U60" s="166">
        <f t="shared" si="3"/>
        <v>727.57881086912585</v>
      </c>
      <c r="V60" s="166">
        <f t="shared" si="1"/>
        <v>727.57418468665264</v>
      </c>
    </row>
    <row r="61" spans="1:22" x14ac:dyDescent="0.2">
      <c r="A61" s="153">
        <v>2005</v>
      </c>
      <c r="B61" s="153">
        <v>12</v>
      </c>
      <c r="C61" s="164">
        <v>343550.51799999998</v>
      </c>
      <c r="D61" s="265">
        <v>343550.51799999998</v>
      </c>
      <c r="E61" s="173">
        <v>6.4065135612233277</v>
      </c>
      <c r="F61" s="173">
        <v>6.4065135612233277</v>
      </c>
      <c r="G61" s="173"/>
      <c r="H61" s="173">
        <v>32.4</v>
      </c>
      <c r="I61" s="154">
        <v>705382</v>
      </c>
      <c r="J61" s="190">
        <f>VLOOKUP($A61&amp;$B61,'LE Inputs'!$C$2:$J$505,MATCH('LE UtilityData'!J$1,'LE Inputs'!$C$1:$J$1,0),0)*1000</f>
        <v>1226532.5</v>
      </c>
      <c r="K61" s="190">
        <v>492709.98243133829</v>
      </c>
      <c r="L61" s="164">
        <v>333237</v>
      </c>
      <c r="M61" s="291">
        <v>333234.70691199997</v>
      </c>
      <c r="N61" s="156">
        <v>37479.709452074501</v>
      </c>
      <c r="O61" s="190" t="e">
        <f>VLOOKUP($A61&amp;$B61,'LE Inputs'!$C$2:$J$505,MATCH('LE UtilityData'!O$1,'LE Inputs'!$C$1:$J$1,0),0)</f>
        <v>#N/A</v>
      </c>
      <c r="P61" s="190" t="e">
        <f>VLOOKUP($A61&amp;$B61,'LE Inputs'!$C$2:$J$505,MATCH('LE UtilityData'!P$1,'LE Inputs'!$C$1:$J$1,0),0)</f>
        <v>#N/A</v>
      </c>
      <c r="Q61" s="182">
        <v>823</v>
      </c>
      <c r="R61" s="182">
        <v>1</v>
      </c>
      <c r="S61" s="166">
        <v>4124</v>
      </c>
      <c r="T61" s="166">
        <v>1696</v>
      </c>
      <c r="U61" s="166">
        <f t="shared" si="3"/>
        <v>1030.9565926778575</v>
      </c>
      <c r="V61" s="166">
        <f t="shared" si="1"/>
        <v>1030.9494984050389</v>
      </c>
    </row>
    <row r="62" spans="1:22" x14ac:dyDescent="0.2">
      <c r="A62" s="153">
        <v>2006</v>
      </c>
      <c r="B62" s="153">
        <v>1</v>
      </c>
      <c r="C62" s="164">
        <v>360831.30099999998</v>
      </c>
      <c r="D62" s="265">
        <v>360831.30099999998</v>
      </c>
      <c r="E62" s="173">
        <v>6.6378619567564607</v>
      </c>
      <c r="F62" s="173">
        <v>6.6378619567564607</v>
      </c>
      <c r="G62" s="173"/>
      <c r="H62" s="173">
        <v>33.25</v>
      </c>
      <c r="I62" s="154">
        <v>706029</v>
      </c>
      <c r="J62" s="190">
        <f>VLOOKUP($A62&amp;$B62,'LE Inputs'!$C$2:$J$505,MATCH('LE UtilityData'!J$1,'LE Inputs'!$C$1:$J$1,0),0)*1000</f>
        <v>1230280.75</v>
      </c>
      <c r="K62" s="190">
        <v>493499.57934292714</v>
      </c>
      <c r="L62" s="164">
        <v>334637</v>
      </c>
      <c r="M62" s="291">
        <v>347900</v>
      </c>
      <c r="N62" s="156">
        <v>38464.331832340198</v>
      </c>
      <c r="O62" s="190" t="e">
        <f>VLOOKUP($A62&amp;$B62,'LE Inputs'!$C$2:$J$505,MATCH('LE UtilityData'!O$1,'LE Inputs'!$C$1:$J$1,0),0)</f>
        <v>#N/A</v>
      </c>
      <c r="P62" s="190" t="e">
        <f>VLOOKUP($A62&amp;$B62,'LE Inputs'!$C$2:$J$505,MATCH('LE UtilityData'!P$1,'LE Inputs'!$C$1:$J$1,0),0)</f>
        <v>#N/A</v>
      </c>
      <c r="Q62" s="182">
        <v>820</v>
      </c>
      <c r="R62" s="182">
        <v>0</v>
      </c>
      <c r="S62" s="166">
        <v>4124</v>
      </c>
      <c r="T62" s="166">
        <v>1696</v>
      </c>
      <c r="U62" s="166">
        <f t="shared" si="3"/>
        <v>1037.1695918367348</v>
      </c>
      <c r="V62" s="166">
        <f t="shared" si="1"/>
        <v>1078.2767625815434</v>
      </c>
    </row>
    <row r="63" spans="1:22" x14ac:dyDescent="0.2">
      <c r="A63" s="153">
        <v>2006</v>
      </c>
      <c r="B63" s="153">
        <v>2</v>
      </c>
      <c r="C63" s="164">
        <v>305128.41800000001</v>
      </c>
      <c r="D63" s="265">
        <v>305128.41800000001</v>
      </c>
      <c r="E63" s="173">
        <v>6.6378619567564607</v>
      </c>
      <c r="F63" s="173">
        <v>6.6378619567564607</v>
      </c>
      <c r="G63" s="173"/>
      <c r="H63" s="173">
        <v>29.35</v>
      </c>
      <c r="I63" s="154">
        <v>706676</v>
      </c>
      <c r="J63" s="190">
        <f>VLOOKUP($A63&amp;$B63,'LE Inputs'!$C$2:$J$505,MATCH('LE UtilityData'!J$1,'LE Inputs'!$C$1:$J$1,0),0)*1000</f>
        <v>1230280.75</v>
      </c>
      <c r="K63" s="190">
        <v>493499.57934292714</v>
      </c>
      <c r="L63" s="164">
        <v>334794</v>
      </c>
      <c r="M63" s="291">
        <v>348063</v>
      </c>
      <c r="N63" s="156">
        <v>38464.331832340198</v>
      </c>
      <c r="O63" s="190" t="e">
        <f>VLOOKUP($A63&amp;$B63,'LE Inputs'!$C$2:$J$505,MATCH('LE UtilityData'!O$1,'LE Inputs'!$C$1:$J$1,0),0)</f>
        <v>#N/A</v>
      </c>
      <c r="P63" s="190" t="e">
        <f>VLOOKUP($A63&amp;$B63,'LE Inputs'!$C$2:$J$505,MATCH('LE UtilityData'!P$1,'LE Inputs'!$C$1:$J$1,0),0)</f>
        <v>#N/A</v>
      </c>
      <c r="Q63" s="182">
        <v>721</v>
      </c>
      <c r="R63" s="182">
        <v>0</v>
      </c>
      <c r="S63" s="166">
        <v>4124</v>
      </c>
      <c r="T63" s="166">
        <v>1696</v>
      </c>
      <c r="U63" s="166">
        <f t="shared" si="3"/>
        <v>876.64709549707948</v>
      </c>
      <c r="V63" s="166">
        <f t="shared" si="1"/>
        <v>911.39153628798613</v>
      </c>
    </row>
    <row r="64" spans="1:22" x14ac:dyDescent="0.2">
      <c r="A64" s="153">
        <v>2006</v>
      </c>
      <c r="B64" s="153">
        <v>3</v>
      </c>
      <c r="C64" s="164">
        <v>287521.62</v>
      </c>
      <c r="D64" s="265">
        <v>287521.62</v>
      </c>
      <c r="E64" s="173">
        <v>6.6378619567564607</v>
      </c>
      <c r="F64" s="173">
        <v>6.6378619567564607</v>
      </c>
      <c r="G64" s="173"/>
      <c r="H64" s="173">
        <v>29.45</v>
      </c>
      <c r="I64" s="154">
        <v>707323</v>
      </c>
      <c r="J64" s="190">
        <f>VLOOKUP($A64&amp;$B64,'LE Inputs'!$C$2:$J$505,MATCH('LE UtilityData'!J$1,'LE Inputs'!$C$1:$J$1,0),0)*1000</f>
        <v>1230280.75</v>
      </c>
      <c r="K64" s="190">
        <v>493499.57934292714</v>
      </c>
      <c r="L64" s="164">
        <v>335586</v>
      </c>
      <c r="M64" s="291">
        <v>348885.99433173711</v>
      </c>
      <c r="N64" s="156">
        <v>38464.331832340198</v>
      </c>
      <c r="O64" s="190" t="e">
        <f>VLOOKUP($A64&amp;$B64,'LE Inputs'!$C$2:$J$505,MATCH('LE UtilityData'!O$1,'LE Inputs'!$C$1:$J$1,0),0)</f>
        <v>#N/A</v>
      </c>
      <c r="P64" s="190" t="e">
        <f>VLOOKUP($A64&amp;$B64,'LE Inputs'!$C$2:$J$505,MATCH('LE UtilityData'!P$1,'LE Inputs'!$C$1:$J$1,0),0)</f>
        <v>#N/A</v>
      </c>
      <c r="Q64" s="182">
        <v>650</v>
      </c>
      <c r="R64" s="182">
        <v>0</v>
      </c>
      <c r="S64" s="166">
        <v>4124</v>
      </c>
      <c r="T64" s="166">
        <v>1696</v>
      </c>
      <c r="U64" s="166">
        <f t="shared" si="3"/>
        <v>824.11339139802499</v>
      </c>
      <c r="V64" s="166">
        <f t="shared" si="1"/>
        <v>856.77477606336367</v>
      </c>
    </row>
    <row r="65" spans="1:22" x14ac:dyDescent="0.2">
      <c r="A65" s="153">
        <v>2006</v>
      </c>
      <c r="B65" s="153">
        <v>4</v>
      </c>
      <c r="C65" s="164">
        <v>261930.731</v>
      </c>
      <c r="D65" s="265">
        <v>261930.731</v>
      </c>
      <c r="E65" s="173">
        <v>6.6378619567564607</v>
      </c>
      <c r="F65" s="173">
        <v>6.6378619567564607</v>
      </c>
      <c r="G65" s="173"/>
      <c r="H65" s="173">
        <v>30</v>
      </c>
      <c r="I65" s="154">
        <v>707970</v>
      </c>
      <c r="J65" s="190">
        <f>VLOOKUP($A65&amp;$B65,'LE Inputs'!$C$2:$J$505,MATCH('LE UtilityData'!J$1,'LE Inputs'!$C$1:$J$1,0),0)*1000</f>
        <v>1234029</v>
      </c>
      <c r="K65" s="190">
        <v>494290.23214036977</v>
      </c>
      <c r="L65" s="164">
        <v>335830</v>
      </c>
      <c r="M65" s="291">
        <v>349139.99287155579</v>
      </c>
      <c r="N65" s="156">
        <v>38834.416095954097</v>
      </c>
      <c r="O65" s="190" t="e">
        <f>VLOOKUP($A65&amp;$B65,'LE Inputs'!$C$2:$J$505,MATCH('LE UtilityData'!O$1,'LE Inputs'!$C$1:$J$1,0),0)</f>
        <v>#N/A</v>
      </c>
      <c r="P65" s="190" t="e">
        <f>VLOOKUP($A65&amp;$B65,'LE Inputs'!$C$2:$J$505,MATCH('LE UtilityData'!P$1,'LE Inputs'!$C$1:$J$1,0),0)</f>
        <v>#N/A</v>
      </c>
      <c r="Q65" s="182">
        <v>389</v>
      </c>
      <c r="R65" s="182">
        <v>24</v>
      </c>
      <c r="S65" s="166">
        <v>4124</v>
      </c>
      <c r="T65" s="166">
        <v>1696</v>
      </c>
      <c r="U65" s="166">
        <f t="shared" si="3"/>
        <v>750.21692257512598</v>
      </c>
      <c r="V65" s="166">
        <f t="shared" si="1"/>
        <v>779.95036476788846</v>
      </c>
    </row>
    <row r="66" spans="1:22" x14ac:dyDescent="0.2">
      <c r="A66" s="153">
        <v>2006</v>
      </c>
      <c r="B66" s="153">
        <v>5</v>
      </c>
      <c r="C66" s="164">
        <v>251222.03</v>
      </c>
      <c r="D66" s="265">
        <v>251222.03</v>
      </c>
      <c r="E66" s="173">
        <v>6.6378619567564607</v>
      </c>
      <c r="F66" s="173">
        <v>6.6378619567564607</v>
      </c>
      <c r="G66" s="173"/>
      <c r="H66" s="173">
        <v>30.95</v>
      </c>
      <c r="I66" s="154">
        <v>708617</v>
      </c>
      <c r="J66" s="190">
        <f>VLOOKUP($A66&amp;$B66,'LE Inputs'!$C$2:$J$505,MATCH('LE UtilityData'!J$1,'LE Inputs'!$C$1:$J$1,0),0)*1000</f>
        <v>1234029</v>
      </c>
      <c r="K66" s="190">
        <v>494290.23214036977</v>
      </c>
      <c r="L66" s="164">
        <v>336739</v>
      </c>
      <c r="M66" s="291">
        <v>350085</v>
      </c>
      <c r="N66" s="156">
        <v>38834.416095954097</v>
      </c>
      <c r="O66" s="190" t="e">
        <f>VLOOKUP($A66&amp;$B66,'LE Inputs'!$C$2:$J$505,MATCH('LE UtilityData'!O$1,'LE Inputs'!$C$1:$J$1,0),0)</f>
        <v>#N/A</v>
      </c>
      <c r="P66" s="190" t="e">
        <f>VLOOKUP($A66&amp;$B66,'LE Inputs'!$C$2:$J$505,MATCH('LE UtilityData'!P$1,'LE Inputs'!$C$1:$J$1,0),0)</f>
        <v>#N/A</v>
      </c>
      <c r="Q66" s="182">
        <v>131</v>
      </c>
      <c r="R66" s="182">
        <v>34</v>
      </c>
      <c r="S66" s="166">
        <v>4124</v>
      </c>
      <c r="T66" s="166">
        <v>1696</v>
      </c>
      <c r="U66" s="166">
        <f t="shared" si="3"/>
        <v>717.60295356841903</v>
      </c>
      <c r="V66" s="166">
        <f t="shared" ref="V66:V129" si="5">C66/L66*1000</f>
        <v>746.04376089493644</v>
      </c>
    </row>
    <row r="67" spans="1:22" x14ac:dyDescent="0.2">
      <c r="A67" s="153">
        <v>2006</v>
      </c>
      <c r="B67" s="153">
        <v>6</v>
      </c>
      <c r="C67" s="164">
        <v>350937.63</v>
      </c>
      <c r="D67" s="265">
        <v>350937.63</v>
      </c>
      <c r="E67" s="173">
        <v>6.6378619567564607</v>
      </c>
      <c r="F67" s="173">
        <v>6.6378619567564607</v>
      </c>
      <c r="G67" s="173"/>
      <c r="H67" s="173">
        <v>31.35</v>
      </c>
      <c r="I67" s="154">
        <v>709264</v>
      </c>
      <c r="J67" s="190">
        <f>VLOOKUP($A67&amp;$B67,'LE Inputs'!$C$2:$J$505,MATCH('LE UtilityData'!J$1,'LE Inputs'!$C$1:$J$1,0),0)*1000</f>
        <v>1234029</v>
      </c>
      <c r="K67" s="190">
        <v>494290.23214036977</v>
      </c>
      <c r="L67" s="164">
        <v>336686</v>
      </c>
      <c r="M67" s="291">
        <v>350030</v>
      </c>
      <c r="N67" s="156">
        <v>38834.416095954097</v>
      </c>
      <c r="O67" s="190" t="e">
        <f>VLOOKUP($A67&amp;$B67,'LE Inputs'!$C$2:$J$505,MATCH('LE UtilityData'!O$1,'LE Inputs'!$C$1:$J$1,0),0)</f>
        <v>#N/A</v>
      </c>
      <c r="P67" s="190" t="e">
        <f>VLOOKUP($A67&amp;$B67,'LE Inputs'!$C$2:$J$505,MATCH('LE UtilityData'!P$1,'LE Inputs'!$C$1:$J$1,0),0)</f>
        <v>#N/A</v>
      </c>
      <c r="Q67" s="182">
        <v>46</v>
      </c>
      <c r="R67" s="182">
        <v>196</v>
      </c>
      <c r="S67" s="166">
        <v>4124</v>
      </c>
      <c r="T67" s="166">
        <v>1696</v>
      </c>
      <c r="U67" s="166">
        <f t="shared" ref="U67:U130" si="6">D67/M67*1000</f>
        <v>1002.5930063137445</v>
      </c>
      <c r="V67" s="166">
        <f t="shared" si="5"/>
        <v>1042.3291434749292</v>
      </c>
    </row>
    <row r="68" spans="1:22" x14ac:dyDescent="0.2">
      <c r="A68" s="153">
        <v>2006</v>
      </c>
      <c r="B68" s="153">
        <v>7</v>
      </c>
      <c r="C68" s="164">
        <v>463453.03700000001</v>
      </c>
      <c r="D68" s="265">
        <v>463453.03700000001</v>
      </c>
      <c r="E68" s="173">
        <v>6.6378619567564607</v>
      </c>
      <c r="F68" s="173">
        <v>6.6378619567564607</v>
      </c>
      <c r="G68" s="173"/>
      <c r="H68" s="173">
        <v>30.75</v>
      </c>
      <c r="I68" s="154">
        <v>709648</v>
      </c>
      <c r="J68" s="190">
        <f>VLOOKUP($A68&amp;$B68,'LE Inputs'!$C$2:$J$505,MATCH('LE UtilityData'!J$1,'LE Inputs'!$C$1:$J$1,0),0)*1000</f>
        <v>1237949.5000000002</v>
      </c>
      <c r="K68" s="190">
        <v>494798.99603239028</v>
      </c>
      <c r="L68" s="164">
        <v>337480</v>
      </c>
      <c r="M68" s="291">
        <v>350855</v>
      </c>
      <c r="N68" s="156">
        <v>39025.061143637598</v>
      </c>
      <c r="O68" s="190" t="e">
        <f>VLOOKUP($A68&amp;$B68,'LE Inputs'!$C$2:$J$505,MATCH('LE UtilityData'!O$1,'LE Inputs'!$C$1:$J$1,0),0)</f>
        <v>#N/A</v>
      </c>
      <c r="P68" s="190" t="e">
        <f>VLOOKUP($A68&amp;$B68,'LE Inputs'!$C$2:$J$505,MATCH('LE UtilityData'!P$1,'LE Inputs'!$C$1:$J$1,0),0)</f>
        <v>#N/A</v>
      </c>
      <c r="Q68" s="182">
        <v>0</v>
      </c>
      <c r="R68" s="182">
        <v>363</v>
      </c>
      <c r="S68" s="166">
        <v>4124</v>
      </c>
      <c r="T68" s="166">
        <v>1696</v>
      </c>
      <c r="U68" s="166">
        <f t="shared" si="6"/>
        <v>1320.9247039375241</v>
      </c>
      <c r="V68" s="166">
        <f t="shared" si="5"/>
        <v>1373.2755629963258</v>
      </c>
    </row>
    <row r="69" spans="1:22" x14ac:dyDescent="0.2">
      <c r="A69" s="153">
        <v>2006</v>
      </c>
      <c r="B69" s="153">
        <v>8</v>
      </c>
      <c r="C69" s="164">
        <v>517544.28100000002</v>
      </c>
      <c r="D69" s="265">
        <v>517544.28100000002</v>
      </c>
      <c r="E69" s="173">
        <v>6.6378619567564607</v>
      </c>
      <c r="F69" s="173">
        <v>6.6378619567564607</v>
      </c>
      <c r="G69" s="173"/>
      <c r="H69" s="173">
        <v>29.5</v>
      </c>
      <c r="I69" s="154">
        <v>710032</v>
      </c>
      <c r="J69" s="190">
        <f>VLOOKUP($A69&amp;$B69,'LE Inputs'!$C$2:$J$505,MATCH('LE UtilityData'!J$1,'LE Inputs'!$C$1:$J$1,0),0)*1000</f>
        <v>1237949.5000000002</v>
      </c>
      <c r="K69" s="190">
        <v>494798.99603239028</v>
      </c>
      <c r="L69" s="164">
        <v>337905</v>
      </c>
      <c r="M69" s="291">
        <v>351297</v>
      </c>
      <c r="N69" s="156">
        <v>39025.061143637598</v>
      </c>
      <c r="O69" s="190" t="e">
        <f>VLOOKUP($A69&amp;$B69,'LE Inputs'!$C$2:$J$505,MATCH('LE UtilityData'!O$1,'LE Inputs'!$C$1:$J$1,0),0)</f>
        <v>#N/A</v>
      </c>
      <c r="P69" s="190" t="e">
        <f>VLOOKUP($A69&amp;$B69,'LE Inputs'!$C$2:$J$505,MATCH('LE UtilityData'!P$1,'LE Inputs'!$C$1:$J$1,0),0)</f>
        <v>#N/A</v>
      </c>
      <c r="Q69" s="182">
        <v>0</v>
      </c>
      <c r="R69" s="182">
        <v>451</v>
      </c>
      <c r="S69" s="166">
        <v>4124</v>
      </c>
      <c r="T69" s="166">
        <v>1696</v>
      </c>
      <c r="U69" s="166">
        <f t="shared" si="6"/>
        <v>1473.2385445933214</v>
      </c>
      <c r="V69" s="166">
        <f t="shared" si="5"/>
        <v>1531.6265843950223</v>
      </c>
    </row>
    <row r="70" spans="1:22" x14ac:dyDescent="0.2">
      <c r="A70" s="153">
        <v>2006</v>
      </c>
      <c r="B70" s="153">
        <v>9</v>
      </c>
      <c r="C70" s="164">
        <v>402950.61300000001</v>
      </c>
      <c r="D70" s="265">
        <v>402950.61300000001</v>
      </c>
      <c r="E70" s="173">
        <v>6.6378619567564607</v>
      </c>
      <c r="F70" s="173">
        <v>6.6378619567564607</v>
      </c>
      <c r="G70" s="173"/>
      <c r="H70" s="173">
        <v>30.55</v>
      </c>
      <c r="I70" s="154">
        <v>710416</v>
      </c>
      <c r="J70" s="190">
        <f>VLOOKUP($A70&amp;$B70,'LE Inputs'!$C$2:$J$505,MATCH('LE UtilityData'!J$1,'LE Inputs'!$C$1:$J$1,0),0)*1000</f>
        <v>1237949.5000000002</v>
      </c>
      <c r="K70" s="190">
        <v>494798.99603239028</v>
      </c>
      <c r="L70" s="164">
        <v>336486</v>
      </c>
      <c r="M70" s="291">
        <v>349822.00839740509</v>
      </c>
      <c r="N70" s="156">
        <v>39025.061143637598</v>
      </c>
      <c r="O70" s="190" t="e">
        <f>VLOOKUP($A70&amp;$B70,'LE Inputs'!$C$2:$J$505,MATCH('LE UtilityData'!O$1,'LE Inputs'!$C$1:$J$1,0),0)</f>
        <v>#N/A</v>
      </c>
      <c r="P70" s="190" t="e">
        <f>VLOOKUP($A70&amp;$B70,'LE Inputs'!$C$2:$J$505,MATCH('LE UtilityData'!P$1,'LE Inputs'!$C$1:$J$1,0),0)</f>
        <v>#N/A</v>
      </c>
      <c r="Q70" s="182">
        <v>9</v>
      </c>
      <c r="R70" s="182">
        <v>254</v>
      </c>
      <c r="S70" s="166">
        <v>4124</v>
      </c>
      <c r="T70" s="166">
        <v>1696</v>
      </c>
      <c r="U70" s="166">
        <f t="shared" si="6"/>
        <v>1151.873247901086</v>
      </c>
      <c r="V70" s="166">
        <f t="shared" si="5"/>
        <v>1197.5256414828552</v>
      </c>
    </row>
    <row r="71" spans="1:22" x14ac:dyDescent="0.2">
      <c r="A71" s="153">
        <v>2006</v>
      </c>
      <c r="B71" s="153">
        <v>10</v>
      </c>
      <c r="C71" s="164">
        <v>262830.321</v>
      </c>
      <c r="D71" s="265">
        <v>262830.321</v>
      </c>
      <c r="E71" s="173">
        <v>6.6378619567564607</v>
      </c>
      <c r="F71" s="173">
        <v>6.6378619567564607</v>
      </c>
      <c r="G71" s="173"/>
      <c r="H71" s="173">
        <v>29.75</v>
      </c>
      <c r="I71" s="154">
        <v>710800</v>
      </c>
      <c r="J71" s="190">
        <f>VLOOKUP($A71&amp;$B71,'LE Inputs'!$C$2:$J$505,MATCH('LE UtilityData'!J$1,'LE Inputs'!$C$1:$J$1,0),0)*1000</f>
        <v>1241870</v>
      </c>
      <c r="K71" s="190">
        <v>495308.73724023561</v>
      </c>
      <c r="L71" s="164">
        <v>337809</v>
      </c>
      <c r="M71" s="291">
        <v>351198</v>
      </c>
      <c r="N71" s="156">
        <v>39497.007278844998</v>
      </c>
      <c r="O71" s="190" t="e">
        <f>VLOOKUP($A71&amp;$B71,'LE Inputs'!$C$2:$J$505,MATCH('LE UtilityData'!O$1,'LE Inputs'!$C$1:$J$1,0),0)</f>
        <v>#N/A</v>
      </c>
      <c r="P71" s="190" t="e">
        <f>VLOOKUP($A71&amp;$B71,'LE Inputs'!$C$2:$J$505,MATCH('LE UtilityData'!P$1,'LE Inputs'!$C$1:$J$1,0),0)</f>
        <v>#N/A</v>
      </c>
      <c r="Q71" s="182">
        <v>142</v>
      </c>
      <c r="R71" s="182">
        <v>53</v>
      </c>
      <c r="S71" s="166">
        <v>4124</v>
      </c>
      <c r="T71" s="166">
        <v>1696</v>
      </c>
      <c r="U71" s="166">
        <f t="shared" si="6"/>
        <v>748.38216903285331</v>
      </c>
      <c r="V71" s="166">
        <f t="shared" si="5"/>
        <v>778.04416400983985</v>
      </c>
    </row>
    <row r="72" spans="1:22" x14ac:dyDescent="0.2">
      <c r="A72" s="153">
        <v>2006</v>
      </c>
      <c r="B72" s="153">
        <v>11</v>
      </c>
      <c r="C72" s="164">
        <v>266028.12599999999</v>
      </c>
      <c r="D72" s="265">
        <v>266028.12599999999</v>
      </c>
      <c r="E72" s="173">
        <v>6.6378619567564607</v>
      </c>
      <c r="F72" s="173">
        <v>6.6378619567564607</v>
      </c>
      <c r="G72" s="173"/>
      <c r="H72" s="173">
        <v>29.75</v>
      </c>
      <c r="I72" s="154">
        <v>711184</v>
      </c>
      <c r="J72" s="190">
        <f>VLOOKUP($A72&amp;$B72,'LE Inputs'!$C$2:$J$505,MATCH('LE UtilityData'!J$1,'LE Inputs'!$C$1:$J$1,0),0)*1000</f>
        <v>1241870</v>
      </c>
      <c r="K72" s="190">
        <v>495308.73724023561</v>
      </c>
      <c r="L72" s="164">
        <v>336857</v>
      </c>
      <c r="M72" s="291">
        <v>350208</v>
      </c>
      <c r="N72" s="156">
        <v>39497.007278844998</v>
      </c>
      <c r="O72" s="190" t="e">
        <f>VLOOKUP($A72&amp;$B72,'LE Inputs'!$C$2:$J$505,MATCH('LE UtilityData'!O$1,'LE Inputs'!$C$1:$J$1,0),0)</f>
        <v>#N/A</v>
      </c>
      <c r="P72" s="190" t="e">
        <f>VLOOKUP($A72&amp;$B72,'LE Inputs'!$C$2:$J$505,MATCH('LE UtilityData'!P$1,'LE Inputs'!$C$1:$J$1,0),0)</f>
        <v>#N/A</v>
      </c>
      <c r="Q72" s="182">
        <v>455</v>
      </c>
      <c r="R72" s="182">
        <v>3</v>
      </c>
      <c r="S72" s="166">
        <v>4124</v>
      </c>
      <c r="T72" s="166">
        <v>1696</v>
      </c>
      <c r="U72" s="166">
        <f t="shared" si="6"/>
        <v>759.62892338267545</v>
      </c>
      <c r="V72" s="166">
        <f t="shared" si="5"/>
        <v>789.73607792030441</v>
      </c>
    </row>
    <row r="73" spans="1:22" x14ac:dyDescent="0.2">
      <c r="A73" s="153">
        <v>2006</v>
      </c>
      <c r="B73" s="153">
        <v>12</v>
      </c>
      <c r="C73" s="164">
        <v>316766.89</v>
      </c>
      <c r="D73" s="265">
        <v>316766.89</v>
      </c>
      <c r="E73" s="173">
        <v>6.6378619567564607</v>
      </c>
      <c r="F73" s="173">
        <v>6.6378619567564607</v>
      </c>
      <c r="G73" s="173"/>
      <c r="H73" s="173">
        <v>30.6</v>
      </c>
      <c r="I73" s="154">
        <v>711568</v>
      </c>
      <c r="J73" s="190">
        <f>VLOOKUP($A73&amp;$B73,'LE Inputs'!$C$2:$J$505,MATCH('LE UtilityData'!J$1,'LE Inputs'!$C$1:$J$1,0),0)*1000</f>
        <v>1241870</v>
      </c>
      <c r="K73" s="190">
        <v>495308.73724023561</v>
      </c>
      <c r="L73" s="164">
        <v>336990</v>
      </c>
      <c r="M73" s="291">
        <v>350346</v>
      </c>
      <c r="N73" s="156">
        <v>39497.007278844998</v>
      </c>
      <c r="O73" s="190" t="e">
        <f>VLOOKUP($A73&amp;$B73,'LE Inputs'!$C$2:$J$505,MATCH('LE UtilityData'!O$1,'LE Inputs'!$C$1:$J$1,0),0)</f>
        <v>#N/A</v>
      </c>
      <c r="P73" s="190" t="e">
        <f>VLOOKUP($A73&amp;$B73,'LE Inputs'!$C$2:$J$505,MATCH('LE UtilityData'!P$1,'LE Inputs'!$C$1:$J$1,0),0)</f>
        <v>#N/A</v>
      </c>
      <c r="Q73" s="182">
        <v>602</v>
      </c>
      <c r="R73" s="182">
        <v>2</v>
      </c>
      <c r="S73" s="166">
        <v>4124</v>
      </c>
      <c r="T73" s="166">
        <v>1696</v>
      </c>
      <c r="U73" s="166">
        <f t="shared" si="6"/>
        <v>904.15443590050984</v>
      </c>
      <c r="V73" s="166">
        <f t="shared" si="5"/>
        <v>939.98899077123951</v>
      </c>
    </row>
    <row r="74" spans="1:22" x14ac:dyDescent="0.2">
      <c r="A74" s="153">
        <v>2007</v>
      </c>
      <c r="B74" s="153">
        <v>1</v>
      </c>
      <c r="C74" s="164">
        <v>347827.55800000002</v>
      </c>
      <c r="D74" s="265">
        <v>347827.55800000002</v>
      </c>
      <c r="E74" s="173">
        <v>6.8778619567564609</v>
      </c>
      <c r="F74" s="173">
        <v>6.8778619567564609</v>
      </c>
      <c r="G74" s="173"/>
      <c r="H74" s="173">
        <v>33.35</v>
      </c>
      <c r="I74" s="154">
        <v>711952</v>
      </c>
      <c r="J74" s="190">
        <f>VLOOKUP($A74&amp;$B74,'LE Inputs'!$C$2:$J$505,MATCH('LE UtilityData'!J$1,'LE Inputs'!$C$1:$J$1,0),0)*1000</f>
        <v>1245790.4999999998</v>
      </c>
      <c r="K74" s="190">
        <v>495819.46182717162</v>
      </c>
      <c r="L74" s="164">
        <v>337639</v>
      </c>
      <c r="M74" s="291">
        <v>351021</v>
      </c>
      <c r="N74" s="156">
        <v>39784.142702366</v>
      </c>
      <c r="O74" s="190" t="e">
        <f>VLOOKUP($A74&amp;$B74,'LE Inputs'!$C$2:$J$505,MATCH('LE UtilityData'!O$1,'LE Inputs'!$C$1:$J$1,0),0)</f>
        <v>#N/A</v>
      </c>
      <c r="P74" s="190" t="e">
        <f>VLOOKUP($A74&amp;$B74,'LE Inputs'!$C$2:$J$505,MATCH('LE UtilityData'!P$1,'LE Inputs'!$C$1:$J$1,0),0)</f>
        <v>#N/A</v>
      </c>
      <c r="Q74" s="182">
        <v>699</v>
      </c>
      <c r="R74" s="182">
        <v>0</v>
      </c>
      <c r="S74" s="166">
        <v>4124</v>
      </c>
      <c r="T74" s="166">
        <v>1696</v>
      </c>
      <c r="U74" s="166">
        <f t="shared" si="6"/>
        <v>990.90241894359599</v>
      </c>
      <c r="V74" s="166">
        <f t="shared" si="5"/>
        <v>1030.1758920029972</v>
      </c>
    </row>
    <row r="75" spans="1:22" x14ac:dyDescent="0.2">
      <c r="A75" s="153">
        <v>2007</v>
      </c>
      <c r="B75" s="153">
        <v>2</v>
      </c>
      <c r="C75" s="164">
        <v>366931.35100000002</v>
      </c>
      <c r="D75" s="265">
        <v>366931.35100000002</v>
      </c>
      <c r="E75" s="173">
        <v>6.8778619567564609</v>
      </c>
      <c r="F75" s="173">
        <v>6.8778619567564609</v>
      </c>
      <c r="G75" s="173"/>
      <c r="H75" s="173">
        <v>29.35</v>
      </c>
      <c r="I75" s="154">
        <v>712336</v>
      </c>
      <c r="J75" s="190">
        <f>VLOOKUP($A75&amp;$B75,'LE Inputs'!$C$2:$J$505,MATCH('LE UtilityData'!J$1,'LE Inputs'!$C$1:$J$1,0),0)*1000</f>
        <v>1245790.4999999998</v>
      </c>
      <c r="K75" s="190">
        <v>495819.46182717162</v>
      </c>
      <c r="L75" s="164">
        <v>337986</v>
      </c>
      <c r="M75" s="292">
        <v>351380</v>
      </c>
      <c r="N75" s="156">
        <v>39784.142702366</v>
      </c>
      <c r="O75" s="190" t="e">
        <f>VLOOKUP($A75&amp;$B75,'LE Inputs'!$C$2:$J$505,MATCH('LE UtilityData'!O$1,'LE Inputs'!$C$1:$J$1,0),0)</f>
        <v>#N/A</v>
      </c>
      <c r="P75" s="190" t="e">
        <f>VLOOKUP($A75&amp;$B75,'LE Inputs'!$C$2:$J$505,MATCH('LE UtilityData'!P$1,'LE Inputs'!$C$1:$J$1,0),0)</f>
        <v>#N/A</v>
      </c>
      <c r="Q75" s="182">
        <v>1026</v>
      </c>
      <c r="R75" s="182">
        <v>0</v>
      </c>
      <c r="S75" s="166">
        <v>4124</v>
      </c>
      <c r="T75" s="166">
        <v>1696</v>
      </c>
      <c r="U75" s="166">
        <f t="shared" si="6"/>
        <v>1044.2579287381184</v>
      </c>
      <c r="V75" s="166">
        <f t="shared" si="5"/>
        <v>1085.6406803832112</v>
      </c>
    </row>
    <row r="76" spans="1:22" x14ac:dyDescent="0.2">
      <c r="A76" s="153">
        <v>2007</v>
      </c>
      <c r="B76" s="153">
        <v>3</v>
      </c>
      <c r="C76" s="164">
        <v>310012.95</v>
      </c>
      <c r="D76" s="265">
        <v>310012.95</v>
      </c>
      <c r="E76" s="173">
        <v>6.8778619567564609</v>
      </c>
      <c r="F76" s="173">
        <v>6.8778619567564609</v>
      </c>
      <c r="G76" s="173"/>
      <c r="H76" s="173">
        <v>29.45</v>
      </c>
      <c r="I76" s="154">
        <v>712720</v>
      </c>
      <c r="J76" s="190">
        <f>VLOOKUP($A76&amp;$B76,'LE Inputs'!$C$2:$J$505,MATCH('LE UtilityData'!J$1,'LE Inputs'!$C$1:$J$1,0),0)*1000</f>
        <v>1245790.4999999998</v>
      </c>
      <c r="K76" s="190">
        <v>495819.46182717162</v>
      </c>
      <c r="L76" s="164">
        <v>338862</v>
      </c>
      <c r="M76" s="291">
        <v>352289.98964096262</v>
      </c>
      <c r="N76" s="156">
        <v>39784.142702366</v>
      </c>
      <c r="O76" s="190" t="e">
        <f>VLOOKUP($A76&amp;$B76,'LE Inputs'!$C$2:$J$505,MATCH('LE UtilityData'!O$1,'LE Inputs'!$C$1:$J$1,0),0)</f>
        <v>#N/A</v>
      </c>
      <c r="P76" s="190" t="e">
        <f>VLOOKUP($A76&amp;$B76,'LE Inputs'!$C$2:$J$505,MATCH('LE UtilityData'!P$1,'LE Inputs'!$C$1:$J$1,0),0)</f>
        <v>#N/A</v>
      </c>
      <c r="Q76" s="182">
        <v>677</v>
      </c>
      <c r="R76" s="182">
        <v>6</v>
      </c>
      <c r="S76" s="166">
        <v>4124</v>
      </c>
      <c r="T76" s="166">
        <v>1696</v>
      </c>
      <c r="U76" s="166">
        <f t="shared" si="6"/>
        <v>879.99363909247222</v>
      </c>
      <c r="V76" s="166">
        <f t="shared" si="5"/>
        <v>914.86490075606002</v>
      </c>
    </row>
    <row r="77" spans="1:22" x14ac:dyDescent="0.2">
      <c r="A77" s="153">
        <v>2007</v>
      </c>
      <c r="B77" s="153">
        <v>4</v>
      </c>
      <c r="C77" s="164">
        <v>270936.31900000002</v>
      </c>
      <c r="D77" s="265">
        <v>270936.31900000002</v>
      </c>
      <c r="E77" s="173">
        <v>6.8778619567564609</v>
      </c>
      <c r="F77" s="173">
        <v>6.8778619567564609</v>
      </c>
      <c r="G77" s="173"/>
      <c r="H77" s="173">
        <v>30.55</v>
      </c>
      <c r="I77" s="154">
        <v>713104</v>
      </c>
      <c r="J77" s="190">
        <f>VLOOKUP($A77&amp;$B77,'LE Inputs'!$C$2:$J$505,MATCH('LE UtilityData'!J$1,'LE Inputs'!$C$1:$J$1,0),0)*1000</f>
        <v>1249710.9999999998</v>
      </c>
      <c r="K77" s="190">
        <v>496331.17579403974</v>
      </c>
      <c r="L77" s="164">
        <v>338655</v>
      </c>
      <c r="M77" s="291">
        <v>352074</v>
      </c>
      <c r="N77" s="156">
        <v>39796.630801948901</v>
      </c>
      <c r="O77" s="190" t="e">
        <f>VLOOKUP($A77&amp;$B77,'LE Inputs'!$C$2:$J$505,MATCH('LE UtilityData'!O$1,'LE Inputs'!$C$1:$J$1,0),0)</f>
        <v>#N/A</v>
      </c>
      <c r="P77" s="190" t="e">
        <f>VLOOKUP($A77&amp;$B77,'LE Inputs'!$C$2:$J$505,MATCH('LE UtilityData'!P$1,'LE Inputs'!$C$1:$J$1,0),0)</f>
        <v>#N/A</v>
      </c>
      <c r="Q77" s="182">
        <v>321</v>
      </c>
      <c r="R77" s="182">
        <v>44</v>
      </c>
      <c r="S77" s="166">
        <v>4124</v>
      </c>
      <c r="T77" s="166">
        <v>1696</v>
      </c>
      <c r="U77" s="166">
        <f t="shared" si="6"/>
        <v>769.54367263700249</v>
      </c>
      <c r="V77" s="166">
        <f t="shared" si="5"/>
        <v>800.03637625311899</v>
      </c>
    </row>
    <row r="78" spans="1:22" x14ac:dyDescent="0.2">
      <c r="A78" s="153">
        <v>2007</v>
      </c>
      <c r="B78" s="153">
        <v>5</v>
      </c>
      <c r="C78" s="164">
        <v>289411.48700000002</v>
      </c>
      <c r="D78" s="265">
        <v>289411.48700000002</v>
      </c>
      <c r="E78" s="173">
        <v>6.8778619567564609</v>
      </c>
      <c r="F78" s="173">
        <v>6.8778619567564609</v>
      </c>
      <c r="G78" s="173"/>
      <c r="H78" s="173">
        <v>29.75</v>
      </c>
      <c r="I78" s="154">
        <v>713488</v>
      </c>
      <c r="J78" s="190">
        <f>VLOOKUP($A78&amp;$B78,'LE Inputs'!$C$2:$J$505,MATCH('LE UtilityData'!J$1,'LE Inputs'!$C$1:$J$1,0),0)*1000</f>
        <v>1249710.9999999998</v>
      </c>
      <c r="K78" s="190">
        <v>496331.17579403974</v>
      </c>
      <c r="L78" s="164">
        <v>339857</v>
      </c>
      <c r="M78" s="291">
        <v>353325</v>
      </c>
      <c r="N78" s="156">
        <v>39796.630801948901</v>
      </c>
      <c r="O78" s="190" t="e">
        <f>VLOOKUP($A78&amp;$B78,'LE Inputs'!$C$2:$J$505,MATCH('LE UtilityData'!O$1,'LE Inputs'!$C$1:$J$1,0),0)</f>
        <v>#N/A</v>
      </c>
      <c r="P78" s="190" t="e">
        <f>VLOOKUP($A78&amp;$B78,'LE Inputs'!$C$2:$J$505,MATCH('LE UtilityData'!P$1,'LE Inputs'!$C$1:$J$1,0),0)</f>
        <v>#N/A</v>
      </c>
      <c r="Q78" s="182">
        <v>126</v>
      </c>
      <c r="R78" s="182">
        <v>94</v>
      </c>
      <c r="S78" s="166">
        <v>4124</v>
      </c>
      <c r="T78" s="166">
        <v>1696</v>
      </c>
      <c r="U78" s="166">
        <f t="shared" si="6"/>
        <v>819.10843274605543</v>
      </c>
      <c r="V78" s="166">
        <f t="shared" si="5"/>
        <v>851.56841553947697</v>
      </c>
    </row>
    <row r="79" spans="1:22" x14ac:dyDescent="0.2">
      <c r="A79" s="153">
        <v>2007</v>
      </c>
      <c r="B79" s="153">
        <v>6</v>
      </c>
      <c r="C79" s="164">
        <v>409539.29599999997</v>
      </c>
      <c r="D79" s="265">
        <v>409539.29599999997</v>
      </c>
      <c r="E79" s="173">
        <v>6.8778619567564609</v>
      </c>
      <c r="F79" s="173">
        <v>6.8778619567564609</v>
      </c>
      <c r="G79" s="173"/>
      <c r="H79" s="173">
        <v>30.7</v>
      </c>
      <c r="I79" s="154">
        <v>713877</v>
      </c>
      <c r="J79" s="190">
        <f>VLOOKUP($A79&amp;$B79,'LE Inputs'!$C$2:$J$505,MATCH('LE UtilityData'!J$1,'LE Inputs'!$C$1:$J$1,0),0)*1000</f>
        <v>1249710.9999999998</v>
      </c>
      <c r="K79" s="190">
        <v>496331.17579403974</v>
      </c>
      <c r="L79" s="164">
        <v>339927</v>
      </c>
      <c r="M79" s="291">
        <v>353397</v>
      </c>
      <c r="N79" s="156">
        <v>39796.630801948901</v>
      </c>
      <c r="O79" s="190" t="e">
        <f>VLOOKUP($A79&amp;$B79,'LE Inputs'!$C$2:$J$505,MATCH('LE UtilityData'!O$1,'LE Inputs'!$C$1:$J$1,0),0)</f>
        <v>#N/A</v>
      </c>
      <c r="P79" s="190" t="e">
        <f>VLOOKUP($A79&amp;$B79,'LE Inputs'!$C$2:$J$505,MATCH('LE UtilityData'!P$1,'LE Inputs'!$C$1:$J$1,0),0)</f>
        <v>#N/A</v>
      </c>
      <c r="Q79" s="182">
        <v>16</v>
      </c>
      <c r="R79" s="182">
        <v>268</v>
      </c>
      <c r="S79" s="166">
        <v>4124</v>
      </c>
      <c r="T79" s="166">
        <v>1696</v>
      </c>
      <c r="U79" s="166">
        <f t="shared" si="6"/>
        <v>1158.8646649518812</v>
      </c>
      <c r="V79" s="166">
        <f t="shared" si="5"/>
        <v>1204.786015821044</v>
      </c>
    </row>
    <row r="80" spans="1:22" x14ac:dyDescent="0.2">
      <c r="A80" s="153">
        <v>2007</v>
      </c>
      <c r="B80" s="153">
        <v>7</v>
      </c>
      <c r="C80" s="164">
        <v>477374.40299999999</v>
      </c>
      <c r="D80" s="265">
        <v>477374.40299999999</v>
      </c>
      <c r="E80" s="173">
        <v>6.8778619567564609</v>
      </c>
      <c r="F80" s="173">
        <v>6.8778619567564609</v>
      </c>
      <c r="G80" s="173"/>
      <c r="H80" s="173">
        <v>30.7</v>
      </c>
      <c r="I80" s="154">
        <v>714520</v>
      </c>
      <c r="J80" s="190">
        <f>VLOOKUP($A80&amp;$B80,'LE Inputs'!$C$2:$J$505,MATCH('LE UtilityData'!J$1,'LE Inputs'!$C$1:$J$1,0),0)*1000</f>
        <v>1253361.7500000002</v>
      </c>
      <c r="K80" s="190">
        <v>498320.41076592548</v>
      </c>
      <c r="L80" s="164">
        <v>340356</v>
      </c>
      <c r="M80" s="291">
        <v>353844</v>
      </c>
      <c r="N80" s="156">
        <v>39731.309883656999</v>
      </c>
      <c r="O80" s="190" t="e">
        <f>VLOOKUP($A80&amp;$B80,'LE Inputs'!$C$2:$J$505,MATCH('LE UtilityData'!O$1,'LE Inputs'!$C$1:$J$1,0),0)</f>
        <v>#N/A</v>
      </c>
      <c r="P80" s="190" t="e">
        <f>VLOOKUP($A80&amp;$B80,'LE Inputs'!$C$2:$J$505,MATCH('LE UtilityData'!P$1,'LE Inputs'!$C$1:$J$1,0),0)</f>
        <v>#N/A</v>
      </c>
      <c r="Q80" s="182">
        <v>0</v>
      </c>
      <c r="R80" s="182">
        <v>369</v>
      </c>
      <c r="S80" s="166">
        <v>4124</v>
      </c>
      <c r="T80" s="166">
        <v>1696</v>
      </c>
      <c r="U80" s="166">
        <f t="shared" si="6"/>
        <v>1349.1097856682607</v>
      </c>
      <c r="V80" s="166">
        <f t="shared" si="5"/>
        <v>1402.5737845079857</v>
      </c>
    </row>
    <row r="81" spans="1:22" x14ac:dyDescent="0.2">
      <c r="A81" s="153">
        <v>2007</v>
      </c>
      <c r="B81" s="153">
        <v>8</v>
      </c>
      <c r="C81" s="164">
        <v>536804.66</v>
      </c>
      <c r="D81" s="265">
        <v>536804.66</v>
      </c>
      <c r="E81" s="173">
        <v>6.8778619567564609</v>
      </c>
      <c r="F81" s="173">
        <v>6.8778619567564609</v>
      </c>
      <c r="G81" s="173"/>
      <c r="H81" s="173">
        <v>30.2</v>
      </c>
      <c r="I81" s="154">
        <v>715163</v>
      </c>
      <c r="J81" s="190">
        <f>VLOOKUP($A81&amp;$B81,'LE Inputs'!$C$2:$J$505,MATCH('LE UtilityData'!J$1,'LE Inputs'!$C$1:$J$1,0),0)*1000</f>
        <v>1253361.7500000002</v>
      </c>
      <c r="K81" s="190">
        <v>498320.41076592548</v>
      </c>
      <c r="L81" s="164">
        <v>340511</v>
      </c>
      <c r="M81" s="292">
        <v>354004</v>
      </c>
      <c r="N81" s="156">
        <v>39731.309883656999</v>
      </c>
      <c r="O81" s="190" t="e">
        <f>VLOOKUP($A81&amp;$B81,'LE Inputs'!$C$2:$J$505,MATCH('LE UtilityData'!O$1,'LE Inputs'!$C$1:$J$1,0),0)</f>
        <v>#N/A</v>
      </c>
      <c r="P81" s="190" t="e">
        <f>VLOOKUP($A81&amp;$B81,'LE Inputs'!$C$2:$J$505,MATCH('LE UtilityData'!P$1,'LE Inputs'!$C$1:$J$1,0),0)</f>
        <v>#N/A</v>
      </c>
      <c r="Q81" s="182">
        <v>0</v>
      </c>
      <c r="R81" s="182">
        <v>473</v>
      </c>
      <c r="S81" s="166">
        <v>4124</v>
      </c>
      <c r="T81" s="166">
        <v>1696</v>
      </c>
      <c r="U81" s="166">
        <f t="shared" si="6"/>
        <v>1516.380210393103</v>
      </c>
      <c r="V81" s="166">
        <f t="shared" si="5"/>
        <v>1576.4678967786651</v>
      </c>
    </row>
    <row r="82" spans="1:22" x14ac:dyDescent="0.2">
      <c r="A82" s="153">
        <v>2007</v>
      </c>
      <c r="B82" s="153">
        <v>9</v>
      </c>
      <c r="C82" s="164">
        <v>531203.08100000001</v>
      </c>
      <c r="D82" s="265">
        <v>531203.08100000001</v>
      </c>
      <c r="E82" s="173">
        <v>6.8778619567564609</v>
      </c>
      <c r="F82" s="173">
        <v>6.8778619567564609</v>
      </c>
      <c r="G82" s="173"/>
      <c r="H82" s="173">
        <v>31.3</v>
      </c>
      <c r="I82" s="154">
        <v>715806</v>
      </c>
      <c r="J82" s="190">
        <f>VLOOKUP($A82&amp;$B82,'LE Inputs'!$C$2:$J$505,MATCH('LE UtilityData'!J$1,'LE Inputs'!$C$1:$J$1,0),0)*1000</f>
        <v>1253361.7500000002</v>
      </c>
      <c r="K82" s="190">
        <v>498320.41076592548</v>
      </c>
      <c r="L82" s="164">
        <v>339470</v>
      </c>
      <c r="M82" s="292">
        <v>352921</v>
      </c>
      <c r="N82" s="156">
        <v>39731.309883656999</v>
      </c>
      <c r="O82" s="190" t="e">
        <f>VLOOKUP($A82&amp;$B82,'LE Inputs'!$C$2:$J$505,MATCH('LE UtilityData'!O$1,'LE Inputs'!$C$1:$J$1,0),0)</f>
        <v>#N/A</v>
      </c>
      <c r="P82" s="190" t="e">
        <f>VLOOKUP($A82&amp;$B82,'LE Inputs'!$C$2:$J$505,MATCH('LE UtilityData'!P$1,'LE Inputs'!$C$1:$J$1,0),0)</f>
        <v>#N/A</v>
      </c>
      <c r="Q82" s="182">
        <v>3</v>
      </c>
      <c r="R82" s="182">
        <v>457</v>
      </c>
      <c r="S82" s="166">
        <v>4124</v>
      </c>
      <c r="T82" s="166">
        <v>1696</v>
      </c>
      <c r="U82" s="166">
        <f t="shared" si="6"/>
        <v>1505.1614412290571</v>
      </c>
      <c r="V82" s="166">
        <f t="shared" si="5"/>
        <v>1564.8012519515714</v>
      </c>
    </row>
    <row r="83" spans="1:22" x14ac:dyDescent="0.2">
      <c r="A83" s="153">
        <v>2007</v>
      </c>
      <c r="B83" s="153">
        <v>10</v>
      </c>
      <c r="C83" s="164">
        <v>356757.32299999997</v>
      </c>
      <c r="D83" s="265">
        <v>356757.32299999997</v>
      </c>
      <c r="E83" s="173">
        <v>6.8778619567564609</v>
      </c>
      <c r="F83" s="173">
        <v>6.8778619567564609</v>
      </c>
      <c r="G83" s="173"/>
      <c r="H83" s="173">
        <v>29.6</v>
      </c>
      <c r="I83" s="154">
        <v>716449</v>
      </c>
      <c r="J83" s="190">
        <f>VLOOKUP($A83&amp;$B83,'LE Inputs'!$C$2:$J$505,MATCH('LE UtilityData'!J$1,'LE Inputs'!$C$1:$J$1,0),0)*1000</f>
        <v>1257012.5</v>
      </c>
      <c r="K83" s="190">
        <v>500316.45665447216</v>
      </c>
      <c r="L83" s="164">
        <v>339135</v>
      </c>
      <c r="M83" s="292">
        <v>352578</v>
      </c>
      <c r="N83" s="156">
        <v>39688.077221099498</v>
      </c>
      <c r="O83" s="190" t="e">
        <f>VLOOKUP($A83&amp;$B83,'LE Inputs'!$C$2:$J$505,MATCH('LE UtilityData'!O$1,'LE Inputs'!$C$1:$J$1,0),0)</f>
        <v>#N/A</v>
      </c>
      <c r="P83" s="190" t="e">
        <f>VLOOKUP($A83&amp;$B83,'LE Inputs'!$C$2:$J$505,MATCH('LE UtilityData'!P$1,'LE Inputs'!$C$1:$J$1,0),0)</f>
        <v>#N/A</v>
      </c>
      <c r="Q83" s="182">
        <v>36</v>
      </c>
      <c r="R83" s="182">
        <v>217</v>
      </c>
      <c r="S83" s="166">
        <v>4124</v>
      </c>
      <c r="T83" s="171">
        <v>1696</v>
      </c>
      <c r="U83" s="166">
        <f t="shared" si="6"/>
        <v>1011.8536125339641</v>
      </c>
      <c r="V83" s="166">
        <f t="shared" si="5"/>
        <v>1051.9625606321965</v>
      </c>
    </row>
    <row r="84" spans="1:22" x14ac:dyDescent="0.2">
      <c r="A84" s="153">
        <v>2007</v>
      </c>
      <c r="B84" s="153">
        <v>11</v>
      </c>
      <c r="C84" s="164">
        <v>267318.96799999999</v>
      </c>
      <c r="D84" s="265">
        <v>267318.96799999999</v>
      </c>
      <c r="E84" s="173">
        <v>6.8778619567564609</v>
      </c>
      <c r="F84" s="173">
        <v>6.8778619567564609</v>
      </c>
      <c r="G84" s="173"/>
      <c r="H84" s="173">
        <v>29.95</v>
      </c>
      <c r="I84" s="154">
        <v>717092</v>
      </c>
      <c r="J84" s="190">
        <f>VLOOKUP($A84&amp;$B84,'LE Inputs'!$C$2:$J$505,MATCH('LE UtilityData'!J$1,'LE Inputs'!$C$1:$J$1,0),0)*1000</f>
        <v>1257012.5</v>
      </c>
      <c r="K84" s="190">
        <v>500316.45665447216</v>
      </c>
      <c r="L84" s="164">
        <v>339429</v>
      </c>
      <c r="M84" s="291">
        <v>352884</v>
      </c>
      <c r="N84" s="156">
        <v>39688.077221099498</v>
      </c>
      <c r="O84" s="190" t="e">
        <f>VLOOKUP($A84&amp;$B84,'LE Inputs'!$C$2:$J$505,MATCH('LE UtilityData'!O$1,'LE Inputs'!$C$1:$J$1,0),0)</f>
        <v>#N/A</v>
      </c>
      <c r="P84" s="190" t="e">
        <f>VLOOKUP($A84&amp;$B84,'LE Inputs'!$C$2:$J$505,MATCH('LE UtilityData'!P$1,'LE Inputs'!$C$1:$J$1,0),0)</f>
        <v>#N/A</v>
      </c>
      <c r="Q84" s="182">
        <v>337</v>
      </c>
      <c r="R84" s="182">
        <v>26</v>
      </c>
      <c r="S84" s="166">
        <v>4124</v>
      </c>
      <c r="T84" s="166">
        <v>1696</v>
      </c>
      <c r="U84" s="166">
        <f t="shared" si="6"/>
        <v>757.52646195350314</v>
      </c>
      <c r="V84" s="166">
        <f t="shared" si="5"/>
        <v>787.55488776739753</v>
      </c>
    </row>
    <row r="85" spans="1:22" x14ac:dyDescent="0.2">
      <c r="A85" s="153">
        <v>2007</v>
      </c>
      <c r="B85" s="153">
        <v>12</v>
      </c>
      <c r="C85" s="164">
        <v>319514.77500000002</v>
      </c>
      <c r="D85" s="265">
        <v>319514.77500000002</v>
      </c>
      <c r="E85" s="173">
        <v>6.8778619567564609</v>
      </c>
      <c r="F85" s="173">
        <v>6.8778619567564609</v>
      </c>
      <c r="G85" s="173"/>
      <c r="H85" s="173">
        <v>30.7</v>
      </c>
      <c r="I85" s="154">
        <v>717735</v>
      </c>
      <c r="J85" s="190">
        <f>VLOOKUP($A85&amp;$B85,'LE Inputs'!$C$2:$J$505,MATCH('LE UtilityData'!J$1,'LE Inputs'!$C$1:$J$1,0),0)*1000</f>
        <v>1257012.5</v>
      </c>
      <c r="K85" s="190">
        <v>500316.45665447216</v>
      </c>
      <c r="L85" s="164">
        <v>339192</v>
      </c>
      <c r="M85" s="292">
        <v>352637</v>
      </c>
      <c r="N85" s="156">
        <v>39688.077221099498</v>
      </c>
      <c r="O85" s="190" t="e">
        <f>VLOOKUP($A85&amp;$B85,'LE Inputs'!$C$2:$J$505,MATCH('LE UtilityData'!O$1,'LE Inputs'!$C$1:$J$1,0),0)</f>
        <v>#N/A</v>
      </c>
      <c r="P85" s="190" t="e">
        <f>VLOOKUP($A85&amp;$B85,'LE Inputs'!$C$2:$J$505,MATCH('LE UtilityData'!P$1,'LE Inputs'!$C$1:$J$1,0),0)</f>
        <v>#N/A</v>
      </c>
      <c r="Q85" s="182">
        <v>654</v>
      </c>
      <c r="R85" s="182">
        <v>0</v>
      </c>
      <c r="S85" s="166">
        <v>4124</v>
      </c>
      <c r="T85" s="166">
        <v>1696</v>
      </c>
      <c r="U85" s="166">
        <f t="shared" si="6"/>
        <v>906.07274619509587</v>
      </c>
      <c r="V85" s="166">
        <f t="shared" si="5"/>
        <v>941.98794488077556</v>
      </c>
    </row>
    <row r="86" spans="1:22" x14ac:dyDescent="0.2">
      <c r="A86" s="153">
        <v>2008</v>
      </c>
      <c r="B86" s="153">
        <v>1</v>
      </c>
      <c r="C86" s="164">
        <v>387901.87599999999</v>
      </c>
      <c r="D86" s="265">
        <v>387901.87599999999</v>
      </c>
      <c r="E86" s="173">
        <v>7.1562642176594835</v>
      </c>
      <c r="F86" s="173">
        <v>7.1562642176594835</v>
      </c>
      <c r="G86" s="173"/>
      <c r="H86" s="173">
        <v>33.15</v>
      </c>
      <c r="I86" s="154">
        <v>718378</v>
      </c>
      <c r="J86" s="190">
        <f>VLOOKUP($A86&amp;$B86,'LE Inputs'!$C$2:$J$505,MATCH('LE UtilityData'!J$1,'LE Inputs'!$C$1:$J$1,0),0)*1000</f>
        <v>1260663.25</v>
      </c>
      <c r="K86" s="190">
        <v>502319.34308818664</v>
      </c>
      <c r="L86" s="164">
        <v>339515</v>
      </c>
      <c r="M86" s="292">
        <v>352968</v>
      </c>
      <c r="N86" s="156">
        <v>39684.398513436703</v>
      </c>
      <c r="O86" s="190" t="e">
        <f>VLOOKUP($A86&amp;$B86,'LE Inputs'!$C$2:$J$505,MATCH('LE UtilityData'!O$1,'LE Inputs'!$C$1:$J$1,0),0)</f>
        <v>#N/A</v>
      </c>
      <c r="P86" s="190" t="e">
        <f>VLOOKUP($A86&amp;$B86,'LE Inputs'!$C$2:$J$505,MATCH('LE UtilityData'!P$1,'LE Inputs'!$C$1:$J$1,0),0)</f>
        <v>#N/A</v>
      </c>
      <c r="Q86" s="182">
        <v>873</v>
      </c>
      <c r="R86" s="182">
        <v>4</v>
      </c>
      <c r="S86" s="166">
        <v>4124</v>
      </c>
      <c r="T86" s="166">
        <v>1696</v>
      </c>
      <c r="U86" s="166">
        <f t="shared" si="6"/>
        <v>1098.9717934770292</v>
      </c>
      <c r="V86" s="166">
        <f t="shared" si="5"/>
        <v>1142.5176383959472</v>
      </c>
    </row>
    <row r="87" spans="1:22" x14ac:dyDescent="0.2">
      <c r="A87" s="153">
        <v>2008</v>
      </c>
      <c r="B87" s="153">
        <v>2</v>
      </c>
      <c r="C87" s="164">
        <v>348271.755</v>
      </c>
      <c r="D87" s="265">
        <v>348271.755</v>
      </c>
      <c r="E87" s="173">
        <v>7.1562642176594835</v>
      </c>
      <c r="F87" s="173">
        <v>7.1562642176594835</v>
      </c>
      <c r="G87" s="173"/>
      <c r="H87" s="173">
        <v>29.35</v>
      </c>
      <c r="I87" s="154">
        <v>719021</v>
      </c>
      <c r="J87" s="190">
        <f>VLOOKUP($A87&amp;$B87,'LE Inputs'!$C$2:$J$505,MATCH('LE UtilityData'!J$1,'LE Inputs'!$C$1:$J$1,0),0)*1000</f>
        <v>1260663.25</v>
      </c>
      <c r="K87" s="190">
        <v>502319.34308818664</v>
      </c>
      <c r="L87" s="164">
        <v>339229</v>
      </c>
      <c r="M87" s="292">
        <v>352671</v>
      </c>
      <c r="N87" s="156">
        <v>39684.398513436703</v>
      </c>
      <c r="O87" s="190" t="e">
        <f>VLOOKUP($A87&amp;$B87,'LE Inputs'!$C$2:$J$505,MATCH('LE UtilityData'!O$1,'LE Inputs'!$C$1:$J$1,0),0)</f>
        <v>#N/A</v>
      </c>
      <c r="P87" s="190" t="e">
        <f>VLOOKUP($A87&amp;$B87,'LE Inputs'!$C$2:$J$505,MATCH('LE UtilityData'!P$1,'LE Inputs'!$C$1:$J$1,0),0)</f>
        <v>#N/A</v>
      </c>
      <c r="Q87" s="182">
        <v>877</v>
      </c>
      <c r="R87" s="182">
        <v>1</v>
      </c>
      <c r="S87" s="166">
        <v>4124</v>
      </c>
      <c r="T87" s="166">
        <v>1696</v>
      </c>
      <c r="U87" s="166">
        <f t="shared" si="6"/>
        <v>987.5259235945116</v>
      </c>
      <c r="V87" s="166">
        <f t="shared" si="5"/>
        <v>1026.656786418614</v>
      </c>
    </row>
    <row r="88" spans="1:22" x14ac:dyDescent="0.2">
      <c r="A88" s="153">
        <v>2008</v>
      </c>
      <c r="B88" s="153">
        <v>3</v>
      </c>
      <c r="C88" s="164">
        <v>329363.83299999998</v>
      </c>
      <c r="D88" s="265">
        <v>329363.83299999998</v>
      </c>
      <c r="E88" s="173">
        <v>7.1562642176594835</v>
      </c>
      <c r="F88" s="173">
        <v>7.1562642176594835</v>
      </c>
      <c r="G88" s="173"/>
      <c r="H88" s="173">
        <v>29.9</v>
      </c>
      <c r="I88" s="154">
        <v>719664</v>
      </c>
      <c r="J88" s="190">
        <f>VLOOKUP($A88&amp;$B88,'LE Inputs'!$C$2:$J$505,MATCH('LE UtilityData'!J$1,'LE Inputs'!$C$1:$J$1,0),0)*1000</f>
        <v>1260663.25</v>
      </c>
      <c r="K88" s="190">
        <v>502319.34308818664</v>
      </c>
      <c r="L88" s="164">
        <v>340763</v>
      </c>
      <c r="M88" s="292">
        <v>354266</v>
      </c>
      <c r="N88" s="156">
        <v>39684.398513436703</v>
      </c>
      <c r="O88" s="190" t="e">
        <f>VLOOKUP($A88&amp;$B88,'LE Inputs'!$C$2:$J$505,MATCH('LE UtilityData'!O$1,'LE Inputs'!$C$1:$J$1,0),0)</f>
        <v>#N/A</v>
      </c>
      <c r="P88" s="190" t="e">
        <f>VLOOKUP($A88&amp;$B88,'LE Inputs'!$C$2:$J$505,MATCH('LE UtilityData'!P$1,'LE Inputs'!$C$1:$J$1,0),0)</f>
        <v>#N/A</v>
      </c>
      <c r="Q88" s="182">
        <v>776</v>
      </c>
      <c r="R88" s="182">
        <v>0</v>
      </c>
      <c r="S88" s="166">
        <v>4124</v>
      </c>
      <c r="T88" s="166">
        <v>1696</v>
      </c>
      <c r="U88" s="166">
        <f t="shared" si="6"/>
        <v>929.70771397763258</v>
      </c>
      <c r="V88" s="166">
        <f t="shared" si="5"/>
        <v>966.54810821597414</v>
      </c>
    </row>
    <row r="89" spans="1:22" s="158" customFormat="1" x14ac:dyDescent="0.2">
      <c r="A89" s="158">
        <v>2008</v>
      </c>
      <c r="B89" s="158">
        <v>4</v>
      </c>
      <c r="C89" s="164">
        <v>270588.95</v>
      </c>
      <c r="D89" s="265">
        <v>270588.95</v>
      </c>
      <c r="E89" s="173">
        <v>7.1562642176594835</v>
      </c>
      <c r="F89" s="173">
        <v>7.1562642176594835</v>
      </c>
      <c r="G89" s="173"/>
      <c r="H89" s="173">
        <v>30.3</v>
      </c>
      <c r="I89" s="154">
        <v>720307</v>
      </c>
      <c r="J89" s="190">
        <f>VLOOKUP($A89&amp;$B89,'LE Inputs'!$C$2:$J$505,MATCH('LE UtilityData'!J$1,'LE Inputs'!$C$1:$J$1,0),0)*1000</f>
        <v>1264314</v>
      </c>
      <c r="K89" s="190">
        <v>504329.09981755581</v>
      </c>
      <c r="L89" s="164">
        <v>339986</v>
      </c>
      <c r="M89" s="161">
        <v>353458</v>
      </c>
      <c r="N89" s="156">
        <v>39930.116148171197</v>
      </c>
      <c r="O89" s="190" t="e">
        <f>VLOOKUP($A89&amp;$B89,'LE Inputs'!$C$2:$J$505,MATCH('LE UtilityData'!O$1,'LE Inputs'!$C$1:$J$1,0),0)</f>
        <v>#N/A</v>
      </c>
      <c r="P89" s="190" t="e">
        <f>VLOOKUP($A89&amp;$B89,'LE Inputs'!$C$2:$J$505,MATCH('LE UtilityData'!P$1,'LE Inputs'!$C$1:$J$1,0),0)</f>
        <v>#N/A</v>
      </c>
      <c r="Q89" s="293">
        <v>417</v>
      </c>
      <c r="R89" s="293">
        <v>6</v>
      </c>
      <c r="S89" s="166">
        <v>4124</v>
      </c>
      <c r="T89" s="167">
        <v>1696</v>
      </c>
      <c r="U89" s="166">
        <f t="shared" si="6"/>
        <v>765.54767468836474</v>
      </c>
      <c r="V89" s="166">
        <f t="shared" si="5"/>
        <v>795.88262457865915</v>
      </c>
    </row>
    <row r="90" spans="1:22" x14ac:dyDescent="0.2">
      <c r="A90" s="153">
        <v>2008</v>
      </c>
      <c r="B90" s="153">
        <v>5</v>
      </c>
      <c r="C90" s="164">
        <v>240504.75</v>
      </c>
      <c r="D90" s="265">
        <v>240504.75</v>
      </c>
      <c r="E90" s="173">
        <v>7.1562642176594835</v>
      </c>
      <c r="F90" s="173">
        <v>7.1562642176594835</v>
      </c>
      <c r="G90" s="173"/>
      <c r="H90" s="173">
        <v>29.57</v>
      </c>
      <c r="I90" s="154">
        <v>720950</v>
      </c>
      <c r="J90" s="190">
        <f>VLOOKUP($A90&amp;$B90,'LE Inputs'!$C$2:$J$505,MATCH('LE UtilityData'!J$1,'LE Inputs'!$C$1:$J$1,0),0)*1000</f>
        <v>1264314</v>
      </c>
      <c r="K90" s="190">
        <v>504329.09981755581</v>
      </c>
      <c r="L90" s="164">
        <v>340888</v>
      </c>
      <c r="M90" s="292">
        <v>354396</v>
      </c>
      <c r="N90" s="156">
        <v>39930.116148171197</v>
      </c>
      <c r="O90" s="190" t="e">
        <f>VLOOKUP($A90&amp;$B90,'LE Inputs'!$C$2:$J$505,MATCH('LE UtilityData'!O$1,'LE Inputs'!$C$1:$J$1,0),0)</f>
        <v>#N/A</v>
      </c>
      <c r="P90" s="190" t="e">
        <f>VLOOKUP($A90&amp;$B90,'LE Inputs'!$C$2:$J$505,MATCH('LE UtilityData'!P$1,'LE Inputs'!$C$1:$J$1,0),0)</f>
        <v>#N/A</v>
      </c>
      <c r="Q90" s="182">
        <v>168</v>
      </c>
      <c r="R90" s="182">
        <v>27</v>
      </c>
      <c r="S90" s="166">
        <v>4124</v>
      </c>
      <c r="T90" s="166">
        <v>1696</v>
      </c>
      <c r="U90" s="166">
        <f t="shared" si="6"/>
        <v>678.63280059594354</v>
      </c>
      <c r="V90" s="166">
        <f t="shared" si="5"/>
        <v>705.52424843350298</v>
      </c>
    </row>
    <row r="91" spans="1:22" x14ac:dyDescent="0.2">
      <c r="A91" s="153">
        <v>2008</v>
      </c>
      <c r="B91" s="153">
        <v>6</v>
      </c>
      <c r="C91" s="164">
        <v>364421.59700000001</v>
      </c>
      <c r="D91" s="265">
        <v>364421.59700000001</v>
      </c>
      <c r="E91" s="173">
        <v>7.1562642176594835</v>
      </c>
      <c r="F91" s="173">
        <v>7.1562642176594835</v>
      </c>
      <c r="G91" s="173"/>
      <c r="H91" s="173">
        <v>30.67</v>
      </c>
      <c r="I91" s="154">
        <v>721594</v>
      </c>
      <c r="J91" s="190">
        <f>VLOOKUP($A91&amp;$B91,'LE Inputs'!$C$2:$J$505,MATCH('LE UtilityData'!J$1,'LE Inputs'!$C$1:$J$1,0),0)*1000</f>
        <v>1264314</v>
      </c>
      <c r="K91" s="190">
        <v>504329.09981755581</v>
      </c>
      <c r="L91" s="164">
        <v>342261</v>
      </c>
      <c r="M91" s="291">
        <v>355823</v>
      </c>
      <c r="N91" s="156">
        <v>39930.116148171197</v>
      </c>
      <c r="O91" s="190" t="e">
        <f>VLOOKUP($A91&amp;$B91,'LE Inputs'!$C$2:$J$505,MATCH('LE UtilityData'!O$1,'LE Inputs'!$C$1:$J$1,0),0)</f>
        <v>#N/A</v>
      </c>
      <c r="P91" s="190" t="e">
        <f>VLOOKUP($A91&amp;$B91,'LE Inputs'!$C$2:$J$505,MATCH('LE UtilityData'!P$1,'LE Inputs'!$C$1:$J$1,0),0)</f>
        <v>#N/A</v>
      </c>
      <c r="Q91" s="182">
        <v>38</v>
      </c>
      <c r="R91" s="182">
        <v>233</v>
      </c>
      <c r="S91" s="166">
        <v>4124</v>
      </c>
      <c r="T91" s="166">
        <v>1696</v>
      </c>
      <c r="U91" s="166">
        <f t="shared" si="6"/>
        <v>1024.1653771678616</v>
      </c>
      <c r="V91" s="166">
        <f t="shared" si="5"/>
        <v>1064.747654567713</v>
      </c>
    </row>
    <row r="92" spans="1:22" x14ac:dyDescent="0.2">
      <c r="A92" s="153">
        <v>2008</v>
      </c>
      <c r="B92" s="153">
        <v>7</v>
      </c>
      <c r="C92" s="164">
        <v>469022.46399999998</v>
      </c>
      <c r="D92" s="265">
        <v>469022.46399999998</v>
      </c>
      <c r="E92" s="173">
        <v>7.1562642176594835</v>
      </c>
      <c r="F92" s="173">
        <v>7.1562642176594835</v>
      </c>
      <c r="G92" s="173"/>
      <c r="H92" s="173">
        <v>30.62</v>
      </c>
      <c r="I92" s="154">
        <v>721823</v>
      </c>
      <c r="J92" s="190">
        <f>VLOOKUP($A92&amp;$B92,'LE Inputs'!$C$2:$J$505,MATCH('LE UtilityData'!J$1,'LE Inputs'!$C$1:$J$1,0),0)*1000</f>
        <v>1267029.75</v>
      </c>
      <c r="K92" s="190">
        <v>505252.56082777889</v>
      </c>
      <c r="L92" s="164">
        <v>341744</v>
      </c>
      <c r="M92" s="292">
        <v>355286</v>
      </c>
      <c r="N92" s="156">
        <v>39252.864428574401</v>
      </c>
      <c r="O92" s="190" t="e">
        <f>VLOOKUP($A92&amp;$B92,'LE Inputs'!$C$2:$J$505,MATCH('LE UtilityData'!O$1,'LE Inputs'!$C$1:$J$1,0),0)</f>
        <v>#N/A</v>
      </c>
      <c r="P92" s="190" t="e">
        <f>VLOOKUP($A92&amp;$B92,'LE Inputs'!$C$2:$J$505,MATCH('LE UtilityData'!P$1,'LE Inputs'!$C$1:$J$1,0),0)</f>
        <v>#N/A</v>
      </c>
      <c r="Q92" s="182">
        <v>0</v>
      </c>
      <c r="R92" s="182">
        <v>362</v>
      </c>
      <c r="S92" s="166">
        <v>4124</v>
      </c>
      <c r="T92" s="166">
        <v>1696</v>
      </c>
      <c r="U92" s="166">
        <f t="shared" si="6"/>
        <v>1320.1265009034976</v>
      </c>
      <c r="V92" s="166">
        <f t="shared" si="5"/>
        <v>1372.4380354885527</v>
      </c>
    </row>
    <row r="93" spans="1:22" x14ac:dyDescent="0.2">
      <c r="A93" s="153">
        <v>2008</v>
      </c>
      <c r="B93" s="153">
        <v>8</v>
      </c>
      <c r="C93" s="164">
        <v>484155.68400000001</v>
      </c>
      <c r="D93" s="265">
        <v>484155.68400000001</v>
      </c>
      <c r="E93" s="173">
        <v>7.1562642176594835</v>
      </c>
      <c r="F93" s="173">
        <v>7.1562642176594835</v>
      </c>
      <c r="G93" s="173"/>
      <c r="H93" s="173">
        <v>29.52</v>
      </c>
      <c r="I93" s="154">
        <v>722052</v>
      </c>
      <c r="J93" s="190">
        <f>VLOOKUP($A93&amp;$B93,'LE Inputs'!$C$2:$J$505,MATCH('LE UtilityData'!J$1,'LE Inputs'!$C$1:$J$1,0),0)*1000</f>
        <v>1267029.75</v>
      </c>
      <c r="K93" s="190">
        <v>505252.56082777889</v>
      </c>
      <c r="L93" s="164">
        <v>341873</v>
      </c>
      <c r="M93" s="292">
        <v>355420</v>
      </c>
      <c r="N93" s="156">
        <v>39252.864428574401</v>
      </c>
      <c r="O93" s="190" t="e">
        <f>VLOOKUP($A93&amp;$B93,'LE Inputs'!$C$2:$J$505,MATCH('LE UtilityData'!O$1,'LE Inputs'!$C$1:$J$1,0),0)</f>
        <v>#N/A</v>
      </c>
      <c r="P93" s="190" t="e">
        <f>VLOOKUP($A93&amp;$B93,'LE Inputs'!$C$2:$J$505,MATCH('LE UtilityData'!P$1,'LE Inputs'!$C$1:$J$1,0),0)</f>
        <v>#N/A</v>
      </c>
      <c r="Q93" s="182">
        <v>0</v>
      </c>
      <c r="R93" s="182">
        <v>390</v>
      </c>
      <c r="S93" s="166">
        <v>4124</v>
      </c>
      <c r="T93" s="166">
        <v>1696</v>
      </c>
      <c r="U93" s="166">
        <f t="shared" si="6"/>
        <v>1362.207202746047</v>
      </c>
      <c r="V93" s="166">
        <f t="shared" si="5"/>
        <v>1416.1857882898034</v>
      </c>
    </row>
    <row r="94" spans="1:22" x14ac:dyDescent="0.2">
      <c r="A94" s="153">
        <v>2008</v>
      </c>
      <c r="B94" s="153">
        <v>9</v>
      </c>
      <c r="C94" s="164">
        <v>438249.3</v>
      </c>
      <c r="D94" s="265">
        <v>438249.3</v>
      </c>
      <c r="E94" s="173">
        <v>7.1562642176594835</v>
      </c>
      <c r="F94" s="173">
        <v>7.1562642176594835</v>
      </c>
      <c r="G94" s="173"/>
      <c r="H94" s="173">
        <v>30.71</v>
      </c>
      <c r="I94" s="154">
        <v>722281</v>
      </c>
      <c r="J94" s="190">
        <f>VLOOKUP($A94&amp;$B94,'LE Inputs'!$C$2:$J$505,MATCH('LE UtilityData'!J$1,'LE Inputs'!$C$1:$J$1,0),0)*1000</f>
        <v>1267029.75</v>
      </c>
      <c r="K94" s="190">
        <v>505252.56082777889</v>
      </c>
      <c r="L94" s="164">
        <v>340818</v>
      </c>
      <c r="M94" s="291">
        <v>354323</v>
      </c>
      <c r="N94" s="156">
        <v>39252.864428574401</v>
      </c>
      <c r="O94" s="190" t="e">
        <f>VLOOKUP($A94&amp;$B94,'LE Inputs'!$C$2:$J$505,MATCH('LE UtilityData'!O$1,'LE Inputs'!$C$1:$J$1,0),0)</f>
        <v>#N/A</v>
      </c>
      <c r="P94" s="190" t="e">
        <f>VLOOKUP($A94&amp;$B94,'LE Inputs'!$C$2:$J$505,MATCH('LE UtilityData'!P$1,'LE Inputs'!$C$1:$J$1,0),0)</f>
        <v>#N/A</v>
      </c>
      <c r="Q94" s="182">
        <v>2</v>
      </c>
      <c r="R94" s="182">
        <v>349</v>
      </c>
      <c r="S94" s="166">
        <v>4124</v>
      </c>
      <c r="T94" s="166">
        <v>1696</v>
      </c>
      <c r="U94" s="166">
        <f t="shared" si="6"/>
        <v>1236.8638219929273</v>
      </c>
      <c r="V94" s="166">
        <f t="shared" si="5"/>
        <v>1285.8748657641322</v>
      </c>
    </row>
    <row r="95" spans="1:22" x14ac:dyDescent="0.2">
      <c r="A95" s="153">
        <v>2008</v>
      </c>
      <c r="B95" s="153">
        <v>10</v>
      </c>
      <c r="C95" s="164">
        <v>284204.09299999999</v>
      </c>
      <c r="D95" s="265">
        <v>284204.09299999999</v>
      </c>
      <c r="E95" s="173">
        <v>7.1562642176594835</v>
      </c>
      <c r="F95" s="173">
        <v>7.1562642176594835</v>
      </c>
      <c r="G95" s="173"/>
      <c r="H95" s="173">
        <v>29.52</v>
      </c>
      <c r="I95" s="154">
        <v>722510</v>
      </c>
      <c r="J95" s="190">
        <f>VLOOKUP($A95&amp;$B95,'LE Inputs'!$C$2:$J$505,MATCH('LE UtilityData'!J$1,'LE Inputs'!$C$1:$J$1,0),0)*1000</f>
        <v>1269745.5</v>
      </c>
      <c r="K95" s="190">
        <v>506177.27071899566</v>
      </c>
      <c r="L95" s="164">
        <v>339907</v>
      </c>
      <c r="M95" s="292">
        <v>353377</v>
      </c>
      <c r="N95" s="156">
        <v>39665.5874201888</v>
      </c>
      <c r="O95" s="190" t="e">
        <f>VLOOKUP($A95&amp;$B95,'LE Inputs'!$C$2:$J$505,MATCH('LE UtilityData'!O$1,'LE Inputs'!$C$1:$J$1,0),0)</f>
        <v>#N/A</v>
      </c>
      <c r="P95" s="190" t="e">
        <f>VLOOKUP($A95&amp;$B95,'LE Inputs'!$C$2:$J$505,MATCH('LE UtilityData'!P$1,'LE Inputs'!$C$1:$J$1,0),0)</f>
        <v>#N/A</v>
      </c>
      <c r="Q95" s="182">
        <v>58</v>
      </c>
      <c r="R95" s="182">
        <v>122</v>
      </c>
      <c r="S95" s="166">
        <v>4124</v>
      </c>
      <c r="T95" s="166">
        <v>1696</v>
      </c>
      <c r="U95" s="166">
        <f t="shared" si="6"/>
        <v>804.25181321930972</v>
      </c>
      <c r="V95" s="166">
        <f t="shared" si="5"/>
        <v>836.12309543492779</v>
      </c>
    </row>
    <row r="96" spans="1:22" x14ac:dyDescent="0.2">
      <c r="A96" s="153">
        <v>2008</v>
      </c>
      <c r="B96" s="153">
        <v>11</v>
      </c>
      <c r="C96" s="164">
        <v>252099.84</v>
      </c>
      <c r="D96" s="265">
        <v>252099.84</v>
      </c>
      <c r="E96" s="173">
        <v>7.1562642176594835</v>
      </c>
      <c r="F96" s="173">
        <v>7.1562642176594835</v>
      </c>
      <c r="G96" s="173"/>
      <c r="H96" s="173">
        <v>29.38</v>
      </c>
      <c r="I96" s="154">
        <v>722739</v>
      </c>
      <c r="J96" s="190">
        <f>VLOOKUP($A96&amp;$B96,'LE Inputs'!$C$2:$J$505,MATCH('LE UtilityData'!J$1,'LE Inputs'!$C$1:$J$1,0),0)*1000</f>
        <v>1269745.5</v>
      </c>
      <c r="K96" s="190">
        <v>506177.27071899566</v>
      </c>
      <c r="L96" s="164">
        <v>341200</v>
      </c>
      <c r="M96" s="292">
        <v>354720</v>
      </c>
      <c r="N96" s="156">
        <v>39665.5874201888</v>
      </c>
      <c r="O96" s="190" t="e">
        <f>VLOOKUP($A96&amp;$B96,'LE Inputs'!$C$2:$J$505,MATCH('LE UtilityData'!O$1,'LE Inputs'!$C$1:$J$1,0),0)</f>
        <v>#N/A</v>
      </c>
      <c r="P96" s="190" t="e">
        <f>VLOOKUP($A96&amp;$B96,'LE Inputs'!$C$2:$J$505,MATCH('LE UtilityData'!P$1,'LE Inputs'!$C$1:$J$1,0),0)</f>
        <v>#N/A</v>
      </c>
      <c r="Q96" s="182">
        <v>360</v>
      </c>
      <c r="R96" s="182">
        <v>18</v>
      </c>
      <c r="S96" s="166">
        <v>4124</v>
      </c>
      <c r="T96" s="166">
        <v>1696</v>
      </c>
      <c r="U96" s="166">
        <f t="shared" si="6"/>
        <v>710.70094722598105</v>
      </c>
      <c r="V96" s="166">
        <f t="shared" si="5"/>
        <v>738.86236811254389</v>
      </c>
    </row>
    <row r="97" spans="1:22" x14ac:dyDescent="0.2">
      <c r="A97" s="153">
        <v>2008</v>
      </c>
      <c r="B97" s="153">
        <v>12</v>
      </c>
      <c r="C97" s="164">
        <v>354251.38400000002</v>
      </c>
      <c r="D97" s="265">
        <v>354251.38400000002</v>
      </c>
      <c r="E97" s="173">
        <v>7.1562642176594835</v>
      </c>
      <c r="F97" s="173">
        <v>7.1562642176594835</v>
      </c>
      <c r="G97" s="173"/>
      <c r="H97" s="173">
        <v>32.81</v>
      </c>
      <c r="I97" s="154">
        <v>722968</v>
      </c>
      <c r="J97" s="190">
        <f>VLOOKUP($A97&amp;$B97,'LE Inputs'!$C$2:$J$505,MATCH('LE UtilityData'!J$1,'LE Inputs'!$C$1:$J$1,0),0)*1000</f>
        <v>1269745.5</v>
      </c>
      <c r="K97" s="190">
        <v>506177.27071899566</v>
      </c>
      <c r="L97" s="164">
        <v>341312</v>
      </c>
      <c r="M97" s="294">
        <v>341307.18906194938</v>
      </c>
      <c r="N97" s="156">
        <v>39665.5874201888</v>
      </c>
      <c r="O97" s="190" t="e">
        <f>VLOOKUP($A97&amp;$B97,'LE Inputs'!$C$2:$J$505,MATCH('LE UtilityData'!O$1,'LE Inputs'!$C$1:$J$1,0),0)</f>
        <v>#N/A</v>
      </c>
      <c r="P97" s="190" t="e">
        <f>VLOOKUP($A97&amp;$B97,'LE Inputs'!$C$2:$J$505,MATCH('LE UtilityData'!P$1,'LE Inputs'!$C$1:$J$1,0),0)</f>
        <v>#N/A</v>
      </c>
      <c r="Q97" s="182">
        <v>821</v>
      </c>
      <c r="R97" s="182">
        <v>0</v>
      </c>
      <c r="S97" s="166">
        <v>4124</v>
      </c>
      <c r="T97" s="166">
        <v>1696</v>
      </c>
      <c r="U97" s="166">
        <f t="shared" si="6"/>
        <v>1037.9253509825755</v>
      </c>
      <c r="V97" s="166">
        <f t="shared" si="5"/>
        <v>1037.9107209825615</v>
      </c>
    </row>
    <row r="98" spans="1:22" x14ac:dyDescent="0.2">
      <c r="A98" s="153">
        <v>2009</v>
      </c>
      <c r="B98" s="153">
        <v>1</v>
      </c>
      <c r="C98" s="164">
        <v>407659.64399999997</v>
      </c>
      <c r="D98" s="265">
        <v>408630.43300000002</v>
      </c>
      <c r="E98" s="173">
        <v>7.2900558232403201</v>
      </c>
      <c r="F98" s="173">
        <v>7.2900558232403201</v>
      </c>
      <c r="G98" s="173"/>
      <c r="H98" s="173">
        <v>32.950000000000003</v>
      </c>
      <c r="I98" s="154">
        <v>723197</v>
      </c>
      <c r="J98" s="190">
        <f>VLOOKUP($A98&amp;$B98,'LE Inputs'!$C$2:$J$505,MATCH('LE UtilityData'!J$1,'LE Inputs'!$C$1:$J$1,0),0)*1000</f>
        <v>1272461.2500000002</v>
      </c>
      <c r="K98" s="190">
        <v>507103.23204385076</v>
      </c>
      <c r="L98" s="164">
        <v>341993</v>
      </c>
      <c r="M98" s="295">
        <v>341993</v>
      </c>
      <c r="N98" s="156">
        <v>39119.605738422702</v>
      </c>
      <c r="O98" s="190" t="e">
        <f>VLOOKUP($A98&amp;$B98,'LE Inputs'!$C$2:$J$505,MATCH('LE UtilityData'!O$1,'LE Inputs'!$C$1:$J$1,0),0)</f>
        <v>#N/A</v>
      </c>
      <c r="P98" s="190" t="e">
        <f>VLOOKUP($A98&amp;$B98,'LE Inputs'!$C$2:$J$505,MATCH('LE UtilityData'!P$1,'LE Inputs'!$C$1:$J$1,0),0)</f>
        <v>#N/A</v>
      </c>
      <c r="Q98" s="182">
        <v>972</v>
      </c>
      <c r="R98" s="182">
        <v>1</v>
      </c>
      <c r="S98" s="166">
        <v>4124</v>
      </c>
      <c r="T98" s="166">
        <v>1696</v>
      </c>
      <c r="U98" s="166">
        <f t="shared" si="6"/>
        <v>1194.8502834853346</v>
      </c>
      <c r="V98" s="166">
        <f t="shared" si="5"/>
        <v>1192.0116610573898</v>
      </c>
    </row>
    <row r="99" spans="1:22" x14ac:dyDescent="0.2">
      <c r="A99" s="153">
        <v>2009</v>
      </c>
      <c r="B99" s="153">
        <v>2</v>
      </c>
      <c r="C99" s="164">
        <v>334943.03499999997</v>
      </c>
      <c r="D99" s="265">
        <v>324320.783</v>
      </c>
      <c r="E99" s="173">
        <v>7.2900558232403201</v>
      </c>
      <c r="F99" s="173">
        <v>7.2900558232403201</v>
      </c>
      <c r="G99" s="173"/>
      <c r="H99" s="173">
        <v>30.19</v>
      </c>
      <c r="I99" s="154">
        <v>723426</v>
      </c>
      <c r="J99" s="190">
        <f>VLOOKUP($A99&amp;$B99,'LE Inputs'!$C$2:$J$505,MATCH('LE UtilityData'!J$1,'LE Inputs'!$C$1:$J$1,0),0)*1000</f>
        <v>1272461.2500000002</v>
      </c>
      <c r="K99" s="190">
        <v>507103.23204385076</v>
      </c>
      <c r="L99" s="164">
        <v>342511</v>
      </c>
      <c r="M99" s="295">
        <v>341993</v>
      </c>
      <c r="N99" s="156">
        <v>39119.605738422702</v>
      </c>
      <c r="O99" s="190" t="e">
        <f>VLOOKUP($A99&amp;$B99,'LE Inputs'!$C$2:$J$505,MATCH('LE UtilityData'!O$1,'LE Inputs'!$C$1:$J$1,0),0)</f>
        <v>#N/A</v>
      </c>
      <c r="P99" s="190" t="e">
        <f>VLOOKUP($A99&amp;$B99,'LE Inputs'!$C$2:$J$505,MATCH('LE UtilityData'!P$1,'LE Inputs'!$C$1:$J$1,0),0)</f>
        <v>#N/A</v>
      </c>
      <c r="Q99" s="182">
        <v>899</v>
      </c>
      <c r="R99" s="182">
        <v>0</v>
      </c>
      <c r="S99" s="166">
        <v>4124</v>
      </c>
      <c r="T99" s="166">
        <v>1696</v>
      </c>
      <c r="U99" s="166">
        <f t="shared" si="6"/>
        <v>948.32579321798983</v>
      </c>
      <c r="V99" s="166">
        <f t="shared" si="5"/>
        <v>977.90446146255147</v>
      </c>
    </row>
    <row r="100" spans="1:22" s="158" customFormat="1" x14ac:dyDescent="0.2">
      <c r="A100" s="158">
        <v>2009</v>
      </c>
      <c r="B100" s="158">
        <v>3</v>
      </c>
      <c r="C100" s="164">
        <v>280349.70400000003</v>
      </c>
      <c r="D100" s="265">
        <v>263642.40600000002</v>
      </c>
      <c r="E100" s="173">
        <v>7.2900558232403201</v>
      </c>
      <c r="F100" s="173">
        <v>7.2900558232403201</v>
      </c>
      <c r="G100" s="173"/>
      <c r="H100" s="173">
        <v>30.05</v>
      </c>
      <c r="I100" s="154">
        <v>723655</v>
      </c>
      <c r="J100" s="190">
        <f>VLOOKUP($A100&amp;$B100,'LE Inputs'!$C$2:$J$505,MATCH('LE UtilityData'!J$1,'LE Inputs'!$C$1:$J$1,0),0)*1000</f>
        <v>1272461.2500000002</v>
      </c>
      <c r="K100" s="190">
        <v>507103.23204385076</v>
      </c>
      <c r="L100" s="164">
        <v>342619</v>
      </c>
      <c r="M100" s="295">
        <v>341993</v>
      </c>
      <c r="N100" s="156">
        <v>39119.605738422702</v>
      </c>
      <c r="O100" s="190" t="e">
        <f>VLOOKUP($A100&amp;$B100,'LE Inputs'!$C$2:$J$505,MATCH('LE UtilityData'!O$1,'LE Inputs'!$C$1:$J$1,0),0)</f>
        <v>#N/A</v>
      </c>
      <c r="P100" s="190" t="e">
        <f>VLOOKUP($A100&amp;$B100,'LE Inputs'!$C$2:$J$505,MATCH('LE UtilityData'!P$1,'LE Inputs'!$C$1:$J$1,0),0)</f>
        <v>#N/A</v>
      </c>
      <c r="Q100" s="293">
        <v>594</v>
      </c>
      <c r="R100" s="293">
        <v>1</v>
      </c>
      <c r="S100" s="167">
        <v>4124</v>
      </c>
      <c r="T100" s="167">
        <v>1696</v>
      </c>
      <c r="U100" s="166">
        <f t="shared" si="6"/>
        <v>770.9000067252839</v>
      </c>
      <c r="V100" s="166">
        <f t="shared" si="5"/>
        <v>818.25498294023407</v>
      </c>
    </row>
    <row r="101" spans="1:22" x14ac:dyDescent="0.2">
      <c r="A101" s="153">
        <v>2009</v>
      </c>
      <c r="B101" s="153">
        <v>4</v>
      </c>
      <c r="C101" s="164">
        <v>285348.94199999998</v>
      </c>
      <c r="D101" s="265">
        <v>284909.56</v>
      </c>
      <c r="E101" s="173">
        <v>7.2900558232403201</v>
      </c>
      <c r="F101" s="173">
        <v>7.2900558232403201</v>
      </c>
      <c r="G101" s="173"/>
      <c r="H101" s="173">
        <v>30.38</v>
      </c>
      <c r="I101" s="154">
        <v>723884</v>
      </c>
      <c r="J101" s="190">
        <f>VLOOKUP($A101&amp;$B101,'LE Inputs'!$C$2:$J$505,MATCH('LE UtilityData'!J$1,'LE Inputs'!$C$1:$J$1,0),0)*1000</f>
        <v>1275177.0000000002</v>
      </c>
      <c r="K101" s="190">
        <v>508030.4473553971</v>
      </c>
      <c r="L101" s="164">
        <v>346206</v>
      </c>
      <c r="M101" s="164">
        <v>350925</v>
      </c>
      <c r="N101" s="156">
        <v>39544.052070442602</v>
      </c>
      <c r="O101" s="190" t="e">
        <f>VLOOKUP($A101&amp;$B101,'LE Inputs'!$C$2:$J$505,MATCH('LE UtilityData'!O$1,'LE Inputs'!$C$1:$J$1,0),0)</f>
        <v>#N/A</v>
      </c>
      <c r="P101" s="190" t="e">
        <f>VLOOKUP($A101&amp;$B101,'LE Inputs'!$C$2:$J$505,MATCH('LE UtilityData'!P$1,'LE Inputs'!$C$1:$J$1,0),0)</f>
        <v>#N/A</v>
      </c>
      <c r="Q101" s="296">
        <v>387</v>
      </c>
      <c r="R101" s="296">
        <v>3</v>
      </c>
      <c r="S101" s="166">
        <v>4124</v>
      </c>
      <c r="T101" s="166">
        <v>1696</v>
      </c>
      <c r="U101" s="166">
        <f t="shared" si="6"/>
        <v>811.88162712830376</v>
      </c>
      <c r="V101" s="166">
        <f t="shared" si="5"/>
        <v>824.21720594097144</v>
      </c>
    </row>
    <row r="102" spans="1:22" x14ac:dyDescent="0.2">
      <c r="A102" s="153">
        <v>2009</v>
      </c>
      <c r="B102" s="153">
        <v>5</v>
      </c>
      <c r="C102" s="164">
        <v>249017.291</v>
      </c>
      <c r="D102" s="265">
        <v>249013.685</v>
      </c>
      <c r="E102" s="173">
        <v>7.2900558232403201</v>
      </c>
      <c r="F102" s="173">
        <v>7.2900558232403201</v>
      </c>
      <c r="G102" s="173"/>
      <c r="H102" s="173">
        <v>30.24</v>
      </c>
      <c r="I102" s="154">
        <v>724113</v>
      </c>
      <c r="J102" s="190">
        <f>VLOOKUP($A102&amp;$B102,'LE Inputs'!$C$2:$J$505,MATCH('LE UtilityData'!J$1,'LE Inputs'!$C$1:$J$1,0),0)*1000</f>
        <v>1275177.0000000002</v>
      </c>
      <c r="K102" s="190">
        <v>508030.4473553971</v>
      </c>
      <c r="L102" s="164">
        <v>345867</v>
      </c>
      <c r="M102" s="164">
        <v>350605</v>
      </c>
      <c r="N102" s="156">
        <v>39544.052070442602</v>
      </c>
      <c r="O102" s="190" t="e">
        <f>VLOOKUP($A102&amp;$B102,'LE Inputs'!$C$2:$J$505,MATCH('LE UtilityData'!O$1,'LE Inputs'!$C$1:$J$1,0),0)</f>
        <v>#N/A</v>
      </c>
      <c r="P102" s="190" t="e">
        <f>VLOOKUP($A102&amp;$B102,'LE Inputs'!$C$2:$J$505,MATCH('LE UtilityData'!P$1,'LE Inputs'!$C$1:$J$1,0),0)</f>
        <v>#N/A</v>
      </c>
      <c r="Q102" s="296">
        <v>152</v>
      </c>
      <c r="R102" s="296">
        <v>69</v>
      </c>
      <c r="S102" s="166">
        <v>4124</v>
      </c>
      <c r="T102" s="166">
        <v>1696</v>
      </c>
      <c r="U102" s="166">
        <f t="shared" si="6"/>
        <v>710.23997090743137</v>
      </c>
      <c r="V102" s="166">
        <f t="shared" si="5"/>
        <v>719.97990846192317</v>
      </c>
    </row>
    <row r="103" spans="1:22" x14ac:dyDescent="0.2">
      <c r="A103" s="153">
        <v>2009</v>
      </c>
      <c r="B103" s="153">
        <v>6</v>
      </c>
      <c r="C103" s="164">
        <v>375947.46600000001</v>
      </c>
      <c r="D103" s="265">
        <v>377230.89899999998</v>
      </c>
      <c r="E103" s="173">
        <v>7.2900558232403201</v>
      </c>
      <c r="F103" s="173">
        <v>7.2900558232403201</v>
      </c>
      <c r="G103" s="173"/>
      <c r="H103" s="173">
        <v>30.38</v>
      </c>
      <c r="I103" s="154">
        <v>724340.03571428731</v>
      </c>
      <c r="J103" s="190">
        <f>VLOOKUP($A103&amp;$B103,'LE Inputs'!$C$2:$J$505,MATCH('LE UtilityData'!J$1,'LE Inputs'!$C$1:$J$1,0),0)*1000</f>
        <v>1275177.0000000002</v>
      </c>
      <c r="K103" s="190">
        <v>508030.4473553971</v>
      </c>
      <c r="L103" s="164">
        <v>345096</v>
      </c>
      <c r="M103" s="164">
        <v>351572</v>
      </c>
      <c r="N103" s="156">
        <v>39544.052070442602</v>
      </c>
      <c r="O103" s="190" t="e">
        <f>VLOOKUP($A103&amp;$B103,'LE Inputs'!$C$2:$J$505,MATCH('LE UtilityData'!O$1,'LE Inputs'!$C$1:$J$1,0),0)</f>
        <v>#N/A</v>
      </c>
      <c r="P103" s="190" t="e">
        <f>VLOOKUP($A103&amp;$B103,'LE Inputs'!$C$2:$J$505,MATCH('LE UtilityData'!P$1,'LE Inputs'!$C$1:$J$1,0),0)</f>
        <v>#N/A</v>
      </c>
      <c r="Q103" s="296">
        <v>29</v>
      </c>
      <c r="R103" s="296">
        <v>210</v>
      </c>
      <c r="S103" s="166">
        <v>4124</v>
      </c>
      <c r="T103" s="166">
        <v>1696</v>
      </c>
      <c r="U103" s="166">
        <f t="shared" si="6"/>
        <v>1072.9833405390646</v>
      </c>
      <c r="V103" s="166">
        <f t="shared" si="5"/>
        <v>1089.3996627025524</v>
      </c>
    </row>
    <row r="104" spans="1:22" x14ac:dyDescent="0.2">
      <c r="A104" s="153">
        <v>2009</v>
      </c>
      <c r="B104" s="153">
        <v>7</v>
      </c>
      <c r="C104" s="164">
        <v>446957.49900000001</v>
      </c>
      <c r="D104" s="265">
        <v>449371.47399999999</v>
      </c>
      <c r="E104" s="173">
        <v>7.2900558232403201</v>
      </c>
      <c r="F104" s="173">
        <v>7.2900558232403201</v>
      </c>
      <c r="G104" s="173"/>
      <c r="H104" s="173">
        <v>30.71</v>
      </c>
      <c r="I104" s="154">
        <v>724809.03571428731</v>
      </c>
      <c r="J104" s="190">
        <f>VLOOKUP($A104&amp;$B104,'LE Inputs'!$C$2:$J$505,MATCH('LE UtilityData'!J$1,'LE Inputs'!$C$1:$J$1,0),0)*1000</f>
        <v>1277973.333333333</v>
      </c>
      <c r="K104" s="190">
        <v>509996.47779192647</v>
      </c>
      <c r="L104" s="164">
        <v>341762</v>
      </c>
      <c r="M104" s="164">
        <v>351606</v>
      </c>
      <c r="N104" s="156">
        <v>39236.266981093497</v>
      </c>
      <c r="O104" s="190" t="e">
        <f>VLOOKUP($A104&amp;$B104,'LE Inputs'!$C$2:$J$505,MATCH('LE UtilityData'!O$1,'LE Inputs'!$C$1:$J$1,0),0)</f>
        <v>#N/A</v>
      </c>
      <c r="P104" s="190" t="e">
        <f>VLOOKUP($A104&amp;$B104,'LE Inputs'!$C$2:$J$505,MATCH('LE UtilityData'!P$1,'LE Inputs'!$C$1:$J$1,0),0)</f>
        <v>#N/A</v>
      </c>
      <c r="Q104" s="296">
        <v>1</v>
      </c>
      <c r="R104" s="296">
        <v>339</v>
      </c>
      <c r="S104" s="166">
        <v>4124</v>
      </c>
      <c r="T104" s="166">
        <v>1696</v>
      </c>
      <c r="U104" s="166">
        <f t="shared" si="6"/>
        <v>1278.0540548227277</v>
      </c>
      <c r="V104" s="166">
        <f t="shared" si="5"/>
        <v>1307.8033807152347</v>
      </c>
    </row>
    <row r="105" spans="1:22" x14ac:dyDescent="0.2">
      <c r="A105" s="153">
        <v>2009</v>
      </c>
      <c r="B105" s="153">
        <v>8</v>
      </c>
      <c r="C105" s="164">
        <v>422340.94</v>
      </c>
      <c r="D105" s="265">
        <v>421582.84600000002</v>
      </c>
      <c r="E105" s="173">
        <v>7.2900558232403201</v>
      </c>
      <c r="F105" s="173">
        <v>7.2900558232403201</v>
      </c>
      <c r="G105" s="173"/>
      <c r="H105" s="173">
        <v>29.52</v>
      </c>
      <c r="I105" s="154">
        <v>725278.03571428731</v>
      </c>
      <c r="J105" s="190">
        <f>VLOOKUP($A105&amp;$B105,'LE Inputs'!$C$2:$J$505,MATCH('LE UtilityData'!J$1,'LE Inputs'!$C$1:$J$1,0),0)*1000</f>
        <v>1277973.333333333</v>
      </c>
      <c r="K105" s="190">
        <v>509996.47779192647</v>
      </c>
      <c r="L105" s="164">
        <v>344127</v>
      </c>
      <c r="M105" s="164">
        <v>351747</v>
      </c>
      <c r="N105" s="156">
        <v>39236.266981093497</v>
      </c>
      <c r="O105" s="190" t="e">
        <f>VLOOKUP($A105&amp;$B105,'LE Inputs'!$C$2:$J$505,MATCH('LE UtilityData'!O$1,'LE Inputs'!$C$1:$J$1,0),0)</f>
        <v>#N/A</v>
      </c>
      <c r="P105" s="190" t="e">
        <f>VLOOKUP($A105&amp;$B105,'LE Inputs'!$C$2:$J$505,MATCH('LE UtilityData'!P$1,'LE Inputs'!$C$1:$J$1,0),0)</f>
        <v>#N/A</v>
      </c>
      <c r="Q105" s="296">
        <v>0</v>
      </c>
      <c r="R105" s="296">
        <v>294</v>
      </c>
      <c r="S105" s="166">
        <v>4124</v>
      </c>
      <c r="T105" s="166">
        <v>1696</v>
      </c>
      <c r="U105" s="166">
        <f t="shared" si="6"/>
        <v>1198.5399903908208</v>
      </c>
      <c r="V105" s="166">
        <f t="shared" si="5"/>
        <v>1227.2821952360612</v>
      </c>
    </row>
    <row r="106" spans="1:22" x14ac:dyDescent="0.2">
      <c r="A106" s="153">
        <v>2009</v>
      </c>
      <c r="B106" s="153">
        <v>9</v>
      </c>
      <c r="C106" s="164">
        <v>404872.63699999999</v>
      </c>
      <c r="D106" s="265">
        <v>406277.32299999997</v>
      </c>
      <c r="E106" s="173">
        <v>7.2900558232403201</v>
      </c>
      <c r="F106" s="173">
        <v>7.2900558232403201</v>
      </c>
      <c r="G106" s="173"/>
      <c r="H106" s="173">
        <v>30.48</v>
      </c>
      <c r="I106" s="154">
        <v>725747.03571428731</v>
      </c>
      <c r="J106" s="190">
        <f>VLOOKUP($A106&amp;$B106,'LE Inputs'!$C$2:$J$505,MATCH('LE UtilityData'!J$1,'LE Inputs'!$C$1:$J$1,0),0)*1000</f>
        <v>1277973.333333333</v>
      </c>
      <c r="K106" s="190">
        <v>509996.47779192647</v>
      </c>
      <c r="L106" s="164">
        <v>345164</v>
      </c>
      <c r="M106" s="164">
        <v>351409</v>
      </c>
      <c r="N106" s="156">
        <v>39236.266981093497</v>
      </c>
      <c r="O106" s="190" t="e">
        <f>VLOOKUP($A106&amp;$B106,'LE Inputs'!$C$2:$J$505,MATCH('LE UtilityData'!O$1,'LE Inputs'!$C$1:$J$1,0),0)</f>
        <v>#N/A</v>
      </c>
      <c r="P106" s="190" t="e">
        <f>VLOOKUP($A106&amp;$B106,'LE Inputs'!$C$2:$J$505,MATCH('LE UtilityData'!P$1,'LE Inputs'!$C$1:$J$1,0),0)</f>
        <v>#N/A</v>
      </c>
      <c r="Q106" s="296">
        <v>1</v>
      </c>
      <c r="R106" s="296">
        <v>274</v>
      </c>
      <c r="S106" s="166">
        <v>4124</v>
      </c>
      <c r="T106" s="166">
        <v>1696</v>
      </c>
      <c r="U106" s="166">
        <f t="shared" si="6"/>
        <v>1156.1380698843798</v>
      </c>
      <c r="V106" s="166">
        <f t="shared" si="5"/>
        <v>1172.9862818833944</v>
      </c>
    </row>
    <row r="107" spans="1:22" x14ac:dyDescent="0.2">
      <c r="A107" s="153">
        <v>2009</v>
      </c>
      <c r="B107" s="153">
        <v>10</v>
      </c>
      <c r="C107" s="164">
        <v>289873.995</v>
      </c>
      <c r="D107" s="265">
        <v>288850.63299999997</v>
      </c>
      <c r="E107" s="173">
        <v>7.2900558232403201</v>
      </c>
      <c r="F107" s="173">
        <v>7.2900558232403201</v>
      </c>
      <c r="G107" s="173"/>
      <c r="H107" s="173">
        <v>29.67</v>
      </c>
      <c r="I107" s="154">
        <v>726216.03571428731</v>
      </c>
      <c r="J107" s="190">
        <f>VLOOKUP($A107&amp;$B107,'LE Inputs'!$C$2:$J$505,MATCH('LE UtilityData'!J$1,'LE Inputs'!$C$1:$J$1,0),0)*1000</f>
        <v>1280769.6666666667</v>
      </c>
      <c r="K107" s="190">
        <v>512098.89540358516</v>
      </c>
      <c r="L107" s="164">
        <v>345715</v>
      </c>
      <c r="M107" s="164">
        <v>351354</v>
      </c>
      <c r="N107" s="156">
        <v>39252.903107891703</v>
      </c>
      <c r="O107" s="190" t="e">
        <f>VLOOKUP($A107&amp;$B107,'LE Inputs'!$C$2:$J$505,MATCH('LE UtilityData'!O$1,'LE Inputs'!$C$1:$J$1,0),0)</f>
        <v>#N/A</v>
      </c>
      <c r="P107" s="190" t="e">
        <f>VLOOKUP($A107&amp;$B107,'LE Inputs'!$C$2:$J$505,MATCH('LE UtilityData'!P$1,'LE Inputs'!$C$1:$J$1,0),0)</f>
        <v>#N/A</v>
      </c>
      <c r="Q107" s="296">
        <v>132</v>
      </c>
      <c r="R107" s="296">
        <v>106</v>
      </c>
      <c r="S107" s="166">
        <v>4124</v>
      </c>
      <c r="T107" s="166">
        <v>1696</v>
      </c>
      <c r="U107" s="166">
        <f t="shared" si="6"/>
        <v>822.10714265384763</v>
      </c>
      <c r="V107" s="166">
        <f t="shared" si="5"/>
        <v>838.47676554387283</v>
      </c>
    </row>
    <row r="108" spans="1:22" x14ac:dyDescent="0.2">
      <c r="A108" s="153">
        <v>2009</v>
      </c>
      <c r="B108" s="153">
        <v>11</v>
      </c>
      <c r="C108" s="164">
        <v>240806.924</v>
      </c>
      <c r="D108" s="265">
        <v>241548.88399999999</v>
      </c>
      <c r="E108" s="173">
        <v>7.2900558232403201</v>
      </c>
      <c r="F108" s="173">
        <v>7.2900558232403201</v>
      </c>
      <c r="G108" s="173"/>
      <c r="H108" s="173">
        <v>29.76</v>
      </c>
      <c r="I108" s="154">
        <v>726685.03571428731</v>
      </c>
      <c r="J108" s="190">
        <f>VLOOKUP($A108&amp;$B108,'LE Inputs'!$C$2:$J$505,MATCH('LE UtilityData'!J$1,'LE Inputs'!$C$1:$J$1,0),0)*1000</f>
        <v>1280769.6666666667</v>
      </c>
      <c r="K108" s="190">
        <v>512098.89540358516</v>
      </c>
      <c r="L108" s="164">
        <v>345853</v>
      </c>
      <c r="M108" s="164">
        <v>351599</v>
      </c>
      <c r="N108" s="156">
        <v>39252.903107891703</v>
      </c>
      <c r="O108" s="190" t="e">
        <f>VLOOKUP($A108&amp;$B108,'LE Inputs'!$C$2:$J$505,MATCH('LE UtilityData'!O$1,'LE Inputs'!$C$1:$J$1,0),0)</f>
        <v>#N/A</v>
      </c>
      <c r="P108" s="190" t="e">
        <f>VLOOKUP($A108&amp;$B108,'LE Inputs'!$C$2:$J$505,MATCH('LE UtilityData'!P$1,'LE Inputs'!$C$1:$J$1,0),0)</f>
        <v>#N/A</v>
      </c>
      <c r="Q108" s="296">
        <v>344</v>
      </c>
      <c r="R108" s="296">
        <v>4</v>
      </c>
      <c r="S108" s="166">
        <v>4124</v>
      </c>
      <c r="T108" s="166">
        <v>1696</v>
      </c>
      <c r="U108" s="166">
        <f t="shared" si="6"/>
        <v>687.00105517933787</v>
      </c>
      <c r="V108" s="166">
        <f t="shared" si="5"/>
        <v>696.26958274180072</v>
      </c>
    </row>
    <row r="109" spans="1:22" x14ac:dyDescent="0.2">
      <c r="A109" s="153">
        <v>2009</v>
      </c>
      <c r="B109" s="153">
        <v>12</v>
      </c>
      <c r="C109" s="164">
        <v>331549.38299999997</v>
      </c>
      <c r="D109" s="265">
        <v>329526.201</v>
      </c>
      <c r="E109" s="173">
        <v>7.2900558232403201</v>
      </c>
      <c r="F109" s="173">
        <v>7.2900558232403201</v>
      </c>
      <c r="G109" s="173"/>
      <c r="H109" s="173">
        <v>31.57</v>
      </c>
      <c r="I109" s="154">
        <v>727154.03571428731</v>
      </c>
      <c r="J109" s="190">
        <f>VLOOKUP($A109&amp;$B109,'LE Inputs'!$C$2:$J$505,MATCH('LE UtilityData'!J$1,'LE Inputs'!$C$1:$J$1,0),0)*1000</f>
        <v>1280769.6666666667</v>
      </c>
      <c r="K109" s="190">
        <v>512098.89540358516</v>
      </c>
      <c r="L109" s="164">
        <v>346563</v>
      </c>
      <c r="M109" s="164">
        <v>352286</v>
      </c>
      <c r="N109" s="156">
        <v>39252.903107891703</v>
      </c>
      <c r="O109" s="190" t="e">
        <f>VLOOKUP($A109&amp;$B109,'LE Inputs'!$C$2:$J$505,MATCH('LE UtilityData'!O$1,'LE Inputs'!$C$1:$J$1,0),0)</f>
        <v>#N/A</v>
      </c>
      <c r="P109" s="190" t="e">
        <f>VLOOKUP($A109&amp;$B109,'LE Inputs'!$C$2:$J$505,MATCH('LE UtilityData'!P$1,'LE Inputs'!$C$1:$J$1,0),0)</f>
        <v>#N/A</v>
      </c>
      <c r="Q109" s="296">
        <v>657</v>
      </c>
      <c r="R109" s="296">
        <v>0</v>
      </c>
      <c r="S109" s="166">
        <v>4124</v>
      </c>
      <c r="T109" s="166">
        <v>1696</v>
      </c>
      <c r="U109" s="166">
        <f t="shared" si="6"/>
        <v>935.39397251097125</v>
      </c>
      <c r="V109" s="166">
        <f t="shared" si="5"/>
        <v>956.6785346387237</v>
      </c>
    </row>
    <row r="110" spans="1:22" x14ac:dyDescent="0.2">
      <c r="A110" s="153">
        <v>2010</v>
      </c>
      <c r="B110" s="153">
        <v>1</v>
      </c>
      <c r="C110" s="164">
        <v>420971.16399999999</v>
      </c>
      <c r="D110" s="265">
        <v>419801.30099999998</v>
      </c>
      <c r="E110" s="173">
        <v>7.4759202235333753</v>
      </c>
      <c r="F110" s="173">
        <v>7.4759202235333753</v>
      </c>
      <c r="G110" s="173"/>
      <c r="H110" s="173">
        <v>32.520000000000003</v>
      </c>
      <c r="I110" s="154">
        <v>727623.03571428731</v>
      </c>
      <c r="J110" s="190">
        <f>VLOOKUP($A110&amp;$B110,'LE Inputs'!$C$2:$J$505,MATCH('LE UtilityData'!J$1,'LE Inputs'!$C$1:$J$1,0),0)*1000</f>
        <v>1283566.0000000005</v>
      </c>
      <c r="K110" s="190">
        <v>514214.00000000006</v>
      </c>
      <c r="L110" s="293">
        <v>350878</v>
      </c>
      <c r="M110" s="164">
        <v>352221</v>
      </c>
      <c r="N110" s="156">
        <v>39143.367431894898</v>
      </c>
      <c r="O110" s="190" t="e">
        <f>VLOOKUP($A110&amp;$B110,'LE Inputs'!$C$2:$J$505,MATCH('LE UtilityData'!O$1,'LE Inputs'!$C$1:$J$1,0),0)</f>
        <v>#N/A</v>
      </c>
      <c r="P110" s="190" t="e">
        <f>VLOOKUP($A110&amp;$B110,'LE Inputs'!$C$2:$J$505,MATCH('LE UtilityData'!P$1,'LE Inputs'!$C$1:$J$1,0),0)</f>
        <v>#N/A</v>
      </c>
      <c r="Q110" s="296">
        <v>1039</v>
      </c>
      <c r="R110" s="296">
        <v>0</v>
      </c>
      <c r="S110" s="166">
        <v>4124</v>
      </c>
      <c r="T110" s="166">
        <v>1696</v>
      </c>
      <c r="U110" s="166">
        <f t="shared" si="6"/>
        <v>1191.8690282521484</v>
      </c>
      <c r="V110" s="166">
        <f t="shared" si="5"/>
        <v>1199.7650579403667</v>
      </c>
    </row>
    <row r="111" spans="1:22" x14ac:dyDescent="0.2">
      <c r="A111" s="153">
        <v>2010</v>
      </c>
      <c r="B111" s="153">
        <v>2</v>
      </c>
      <c r="C111" s="164">
        <v>366796.89899999998</v>
      </c>
      <c r="D111" s="265">
        <v>364319.66800000001</v>
      </c>
      <c r="E111" s="173">
        <v>7.4759202235333753</v>
      </c>
      <c r="F111" s="173">
        <v>7.4759202235333753</v>
      </c>
      <c r="G111" s="173"/>
      <c r="H111" s="173">
        <v>30.14</v>
      </c>
      <c r="I111" s="154">
        <v>728092.03571428731</v>
      </c>
      <c r="J111" s="190">
        <f>VLOOKUP($A111&amp;$B111,'LE Inputs'!$C$2:$J$505,MATCH('LE UtilityData'!J$1,'LE Inputs'!$C$1:$J$1,0),0)*1000</f>
        <v>1283566.0000000005</v>
      </c>
      <c r="K111" s="190">
        <v>514214.00000000006</v>
      </c>
      <c r="L111" s="293">
        <v>350417</v>
      </c>
      <c r="M111" s="164">
        <v>352286</v>
      </c>
      <c r="N111" s="156">
        <v>39143.367431894898</v>
      </c>
      <c r="O111" s="190" t="e">
        <f>VLOOKUP($A111&amp;$B111,'LE Inputs'!$C$2:$J$505,MATCH('LE UtilityData'!O$1,'LE Inputs'!$C$1:$J$1,0),0)</f>
        <v>#N/A</v>
      </c>
      <c r="P111" s="190" t="e">
        <f>VLOOKUP($A111&amp;$B111,'LE Inputs'!$C$2:$J$505,MATCH('LE UtilityData'!P$1,'LE Inputs'!$C$1:$J$1,0),0)</f>
        <v>#N/A</v>
      </c>
      <c r="Q111" s="296">
        <v>941</v>
      </c>
      <c r="R111" s="296">
        <v>0</v>
      </c>
      <c r="S111" s="166">
        <v>4124</v>
      </c>
      <c r="T111" s="166">
        <v>1696</v>
      </c>
      <c r="U111" s="166">
        <f t="shared" si="6"/>
        <v>1034.1588027909143</v>
      </c>
      <c r="V111" s="166">
        <f t="shared" si="5"/>
        <v>1046.7440192684717</v>
      </c>
    </row>
    <row r="112" spans="1:22" x14ac:dyDescent="0.2">
      <c r="A112" s="153">
        <v>2010</v>
      </c>
      <c r="B112" s="153">
        <v>3</v>
      </c>
      <c r="C112" s="164">
        <v>332923.853</v>
      </c>
      <c r="D112" s="265">
        <v>330562.52299999999</v>
      </c>
      <c r="E112" s="173">
        <v>7.4759202235333753</v>
      </c>
      <c r="F112" s="173">
        <v>7.4759202235333753</v>
      </c>
      <c r="G112" s="173"/>
      <c r="H112" s="173">
        <v>30</v>
      </c>
      <c r="I112" s="154">
        <v>728561.03571428731</v>
      </c>
      <c r="J112" s="190">
        <f>VLOOKUP($A112&amp;$B112,'LE Inputs'!$C$2:$J$505,MATCH('LE UtilityData'!J$1,'LE Inputs'!$C$1:$J$1,0),0)*1000</f>
        <v>1283566.0000000005</v>
      </c>
      <c r="K112" s="190">
        <v>514214.00000000006</v>
      </c>
      <c r="L112" s="293">
        <v>354137</v>
      </c>
      <c r="M112" s="164">
        <v>353242</v>
      </c>
      <c r="N112" s="156">
        <v>39143.367431894898</v>
      </c>
      <c r="O112" s="190" t="e">
        <f>VLOOKUP($A112&amp;$B112,'LE Inputs'!$C$2:$J$505,MATCH('LE UtilityData'!O$1,'LE Inputs'!$C$1:$J$1,0),0)</f>
        <v>#N/A</v>
      </c>
      <c r="P112" s="190" t="e">
        <f>VLOOKUP($A112&amp;$B112,'LE Inputs'!$C$2:$J$505,MATCH('LE UtilityData'!P$1,'LE Inputs'!$C$1:$J$1,0),0)</f>
        <v>#N/A</v>
      </c>
      <c r="Q112" s="296">
        <v>827</v>
      </c>
      <c r="R112" s="296">
        <v>0</v>
      </c>
      <c r="S112" s="166">
        <v>4124</v>
      </c>
      <c r="T112" s="166">
        <v>1696</v>
      </c>
      <c r="U112" s="166">
        <f t="shared" si="6"/>
        <v>935.79620486805072</v>
      </c>
      <c r="V112" s="166">
        <f t="shared" si="5"/>
        <v>940.09903794294303</v>
      </c>
    </row>
    <row r="113" spans="1:54" x14ac:dyDescent="0.2">
      <c r="A113" s="153">
        <v>2010</v>
      </c>
      <c r="B113" s="153">
        <v>4</v>
      </c>
      <c r="C113" s="164">
        <v>262231.72700000001</v>
      </c>
      <c r="D113" s="265">
        <v>262041.02100000001</v>
      </c>
      <c r="E113" s="173">
        <v>7.4759202235333753</v>
      </c>
      <c r="F113" s="173">
        <v>7.4759202235333753</v>
      </c>
      <c r="G113" s="173"/>
      <c r="H113" s="173">
        <v>30.86</v>
      </c>
      <c r="I113" s="154">
        <v>729030.03571428731</v>
      </c>
      <c r="J113" s="190">
        <f>VLOOKUP($A113&amp;$B113,'LE Inputs'!$C$2:$J$505,MATCH('LE UtilityData'!J$1,'LE Inputs'!$C$1:$J$1,0),0)*1000</f>
        <v>1286391.8115642772</v>
      </c>
      <c r="K113" s="190">
        <v>515323.10720002331</v>
      </c>
      <c r="L113" s="293">
        <v>352302</v>
      </c>
      <c r="M113" s="164">
        <v>352502</v>
      </c>
      <c r="N113" s="156">
        <v>39658.258833569504</v>
      </c>
      <c r="O113" s="190" t="e">
        <f>VLOOKUP($A113&amp;$B113,'LE Inputs'!$C$2:$J$505,MATCH('LE UtilityData'!O$1,'LE Inputs'!$C$1:$J$1,0),0)</f>
        <v>#N/A</v>
      </c>
      <c r="P113" s="190" t="e">
        <f>VLOOKUP($A113&amp;$B113,'LE Inputs'!$C$2:$J$505,MATCH('LE UtilityData'!P$1,'LE Inputs'!$C$1:$J$1,0),0)</f>
        <v>#N/A</v>
      </c>
      <c r="Q113" s="296">
        <v>313</v>
      </c>
      <c r="R113" s="296">
        <v>35</v>
      </c>
      <c r="S113" s="166">
        <v>4124</v>
      </c>
      <c r="T113" s="166">
        <v>1696</v>
      </c>
      <c r="U113" s="166">
        <f t="shared" si="6"/>
        <v>743.37456525069365</v>
      </c>
      <c r="V113" s="166">
        <f t="shared" si="5"/>
        <v>744.33788908379745</v>
      </c>
    </row>
    <row r="114" spans="1:54" x14ac:dyDescent="0.2">
      <c r="A114" s="153">
        <v>2010</v>
      </c>
      <c r="B114" s="153">
        <v>5</v>
      </c>
      <c r="C114" s="164">
        <v>262830.66700000002</v>
      </c>
      <c r="D114" s="265">
        <v>262875</v>
      </c>
      <c r="E114" s="173">
        <v>7.4759202235333753</v>
      </c>
      <c r="F114" s="173">
        <v>7.4759202235333753</v>
      </c>
      <c r="G114" s="173"/>
      <c r="H114" s="173">
        <v>30.48</v>
      </c>
      <c r="I114" s="154">
        <v>729499.03571428731</v>
      </c>
      <c r="J114" s="190">
        <f>VLOOKUP($A114&amp;$B114,'LE Inputs'!$C$2:$J$505,MATCH('LE UtilityData'!J$1,'LE Inputs'!$C$1:$J$1,0),0)*1000</f>
        <v>1286391.8115642772</v>
      </c>
      <c r="K114" s="190">
        <v>515323.10720002331</v>
      </c>
      <c r="L114" s="293">
        <v>351694</v>
      </c>
      <c r="M114" s="164">
        <v>352388</v>
      </c>
      <c r="N114" s="156">
        <v>39658.258833569504</v>
      </c>
      <c r="O114" s="190" t="e">
        <f>VLOOKUP($A114&amp;$B114,'LE Inputs'!$C$2:$J$505,MATCH('LE UtilityData'!O$1,'LE Inputs'!$C$1:$J$1,0),0)</f>
        <v>#N/A</v>
      </c>
      <c r="P114" s="190" t="e">
        <f>VLOOKUP($A114&amp;$B114,'LE Inputs'!$C$2:$J$505,MATCH('LE UtilityData'!P$1,'LE Inputs'!$C$1:$J$1,0),0)</f>
        <v>#N/A</v>
      </c>
      <c r="Q114" s="296">
        <v>127</v>
      </c>
      <c r="R114" s="296">
        <v>69</v>
      </c>
      <c r="S114" s="166">
        <v>4124</v>
      </c>
      <c r="T114" s="166">
        <v>1696</v>
      </c>
      <c r="U114" s="166">
        <f t="shared" si="6"/>
        <v>745.9817019875818</v>
      </c>
      <c r="V114" s="166">
        <f t="shared" si="5"/>
        <v>747.32769680460865</v>
      </c>
    </row>
    <row r="115" spans="1:54" x14ac:dyDescent="0.2">
      <c r="A115" s="153">
        <v>2010</v>
      </c>
      <c r="B115" s="153">
        <v>6</v>
      </c>
      <c r="C115" s="164">
        <v>451270.76400000002</v>
      </c>
      <c r="D115" s="265">
        <v>450479.73200000002</v>
      </c>
      <c r="E115" s="173">
        <v>7.4759202235333753</v>
      </c>
      <c r="F115" s="173">
        <v>7.4759202235333753</v>
      </c>
      <c r="G115" s="173"/>
      <c r="H115" s="173">
        <v>30.67</v>
      </c>
      <c r="I115" s="154">
        <v>729970.90476190532</v>
      </c>
      <c r="J115" s="190">
        <f>VLOOKUP($A115&amp;$B115,'LE Inputs'!$C$2:$J$505,MATCH('LE UtilityData'!J$1,'LE Inputs'!$C$1:$J$1,0),0)*1000</f>
        <v>1286391.8115642772</v>
      </c>
      <c r="K115" s="190">
        <v>515323.10720002331</v>
      </c>
      <c r="L115" s="293">
        <v>354202</v>
      </c>
      <c r="M115" s="164">
        <v>353666</v>
      </c>
      <c r="N115" s="156">
        <v>39658.258833569504</v>
      </c>
      <c r="O115" s="190" t="e">
        <f>VLOOKUP($A115&amp;$B115,'LE Inputs'!$C$2:$J$505,MATCH('LE UtilityData'!O$1,'LE Inputs'!$C$1:$J$1,0),0)</f>
        <v>#N/A</v>
      </c>
      <c r="P115" s="190" t="e">
        <f>VLOOKUP($A115&amp;$B115,'LE Inputs'!$C$2:$J$505,MATCH('LE UtilityData'!P$1,'LE Inputs'!$C$1:$J$1,0),0)</f>
        <v>#N/A</v>
      </c>
      <c r="Q115" s="296">
        <v>23</v>
      </c>
      <c r="R115" s="296">
        <v>310</v>
      </c>
      <c r="S115" s="166">
        <v>4124</v>
      </c>
      <c r="T115" s="166">
        <v>1696</v>
      </c>
      <c r="U115" s="166">
        <f t="shared" si="6"/>
        <v>1273.7433963117744</v>
      </c>
      <c r="V115" s="166">
        <f t="shared" si="5"/>
        <v>1274.0491696828365</v>
      </c>
    </row>
    <row r="116" spans="1:54" x14ac:dyDescent="0.2">
      <c r="A116" s="153">
        <v>2010</v>
      </c>
      <c r="B116" s="153">
        <v>7</v>
      </c>
      <c r="C116" s="164">
        <v>561920.38600000006</v>
      </c>
      <c r="D116" s="265">
        <v>555879.40700000001</v>
      </c>
      <c r="E116" s="173">
        <v>7.4759202235333753</v>
      </c>
      <c r="F116" s="173">
        <v>7.4759202235333753</v>
      </c>
      <c r="G116" s="173"/>
      <c r="H116" s="173">
        <v>30.71</v>
      </c>
      <c r="I116" s="154">
        <v>730439.90476190532</v>
      </c>
      <c r="J116" s="190">
        <f>VLOOKUP($A116&amp;$B116,'LE Inputs'!$C$2:$J$505,MATCH('LE UtilityData'!J$1,'LE Inputs'!$C$1:$J$1,0),0)*1000</f>
        <v>1288636.109261865</v>
      </c>
      <c r="K116" s="190">
        <v>515963.1783086189</v>
      </c>
      <c r="L116" s="293">
        <v>352898</v>
      </c>
      <c r="M116" s="164">
        <v>352795</v>
      </c>
      <c r="N116" s="156">
        <v>40006.997716015401</v>
      </c>
      <c r="O116" s="190" t="e">
        <f>VLOOKUP($A116&amp;$B116,'LE Inputs'!$C$2:$J$505,MATCH('LE UtilityData'!O$1,'LE Inputs'!$C$1:$J$1,0),0)</f>
        <v>#N/A</v>
      </c>
      <c r="P116" s="190" t="e">
        <f>VLOOKUP($A116&amp;$B116,'LE Inputs'!$C$2:$J$505,MATCH('LE UtilityData'!P$1,'LE Inputs'!$C$1:$J$1,0),0)</f>
        <v>#N/A</v>
      </c>
      <c r="Q116" s="296">
        <v>0</v>
      </c>
      <c r="R116" s="296">
        <v>476</v>
      </c>
      <c r="S116" s="166">
        <v>4124</v>
      </c>
      <c r="T116" s="166">
        <v>1696</v>
      </c>
      <c r="U116" s="166">
        <f t="shared" si="6"/>
        <v>1575.644232486288</v>
      </c>
      <c r="V116" s="166">
        <f t="shared" si="5"/>
        <v>1592.3025520121962</v>
      </c>
    </row>
    <row r="117" spans="1:54" x14ac:dyDescent="0.2">
      <c r="A117" s="153">
        <v>2010</v>
      </c>
      <c r="B117" s="153">
        <v>8</v>
      </c>
      <c r="C117" s="164">
        <v>551398.52399999998</v>
      </c>
      <c r="D117" s="265">
        <v>557573.56000000006</v>
      </c>
      <c r="E117" s="173">
        <v>7.4759202235333753</v>
      </c>
      <c r="F117" s="173">
        <v>7.4759202235333753</v>
      </c>
      <c r="G117" s="173"/>
      <c r="H117" s="173">
        <v>29.52</v>
      </c>
      <c r="I117" s="154">
        <v>730908.90476190532</v>
      </c>
      <c r="J117" s="190">
        <f>VLOOKUP($A117&amp;$B117,'LE Inputs'!$C$2:$J$505,MATCH('LE UtilityData'!J$1,'LE Inputs'!$C$1:$J$1,0),0)*1000</f>
        <v>1288636.109261865</v>
      </c>
      <c r="K117" s="190">
        <v>515963.1783086189</v>
      </c>
      <c r="L117" s="293">
        <v>353521</v>
      </c>
      <c r="M117" s="164">
        <v>353621</v>
      </c>
      <c r="N117" s="156">
        <v>40006.997716015401</v>
      </c>
      <c r="O117" s="190" t="e">
        <f>VLOOKUP($A117&amp;$B117,'LE Inputs'!$C$2:$J$505,MATCH('LE UtilityData'!O$1,'LE Inputs'!$C$1:$J$1,0),0)</f>
        <v>#N/A</v>
      </c>
      <c r="P117" s="190" t="e">
        <f>VLOOKUP($A117&amp;$B117,'LE Inputs'!$C$2:$J$505,MATCH('LE UtilityData'!P$1,'LE Inputs'!$C$1:$J$1,0),0)</f>
        <v>#N/A</v>
      </c>
      <c r="Q117" s="296">
        <v>0</v>
      </c>
      <c r="R117" s="296">
        <v>527</v>
      </c>
      <c r="S117" s="166">
        <v>4124</v>
      </c>
      <c r="T117" s="166">
        <v>1696</v>
      </c>
      <c r="U117" s="166">
        <f t="shared" si="6"/>
        <v>1576.7546610636814</v>
      </c>
      <c r="V117" s="166">
        <f t="shared" si="5"/>
        <v>1559.7334359203553</v>
      </c>
    </row>
    <row r="118" spans="1:54" x14ac:dyDescent="0.2">
      <c r="A118" s="153">
        <v>2010</v>
      </c>
      <c r="B118" s="153">
        <v>9</v>
      </c>
      <c r="C118" s="164">
        <v>465037.21299999999</v>
      </c>
      <c r="D118" s="265">
        <v>463382.06300000002</v>
      </c>
      <c r="E118" s="173">
        <v>7.4759202235333753</v>
      </c>
      <c r="F118" s="173">
        <v>7.4759202235333753</v>
      </c>
      <c r="G118" s="173"/>
      <c r="H118" s="173">
        <v>30.52</v>
      </c>
      <c r="I118" s="154">
        <v>731377.90476190532</v>
      </c>
      <c r="J118" s="190">
        <f>VLOOKUP($A118&amp;$B118,'LE Inputs'!$C$2:$J$505,MATCH('LE UtilityData'!J$1,'LE Inputs'!$C$1:$J$1,0),0)*1000</f>
        <v>1288636.109261865</v>
      </c>
      <c r="K118" s="190">
        <v>515963.1783086189</v>
      </c>
      <c r="L118" s="293">
        <v>352757</v>
      </c>
      <c r="M118" s="164">
        <v>352412</v>
      </c>
      <c r="N118" s="156">
        <v>40006.997716015401</v>
      </c>
      <c r="O118" s="190" t="e">
        <f>VLOOKUP($A118&amp;$B118,'LE Inputs'!$C$2:$J$505,MATCH('LE UtilityData'!O$1,'LE Inputs'!$C$1:$J$1,0),0)</f>
        <v>#N/A</v>
      </c>
      <c r="P118" s="190" t="e">
        <f>VLOOKUP($A118&amp;$B118,'LE Inputs'!$C$2:$J$505,MATCH('LE UtilityData'!P$1,'LE Inputs'!$C$1:$J$1,0),0)</f>
        <v>#N/A</v>
      </c>
      <c r="Q118" s="296">
        <v>0</v>
      </c>
      <c r="R118" s="296">
        <v>404</v>
      </c>
      <c r="S118" s="166">
        <v>4124</v>
      </c>
      <c r="T118" s="166">
        <v>1696</v>
      </c>
      <c r="U118" s="166">
        <f t="shared" si="6"/>
        <v>1314.8872995244203</v>
      </c>
      <c r="V118" s="166">
        <f t="shared" si="5"/>
        <v>1318.2933662549574</v>
      </c>
    </row>
    <row r="119" spans="1:54" x14ac:dyDescent="0.2">
      <c r="A119" s="153">
        <v>2010</v>
      </c>
      <c r="B119" s="153">
        <v>10</v>
      </c>
      <c r="C119" s="164">
        <v>305445.60800000001</v>
      </c>
      <c r="D119" s="265">
        <v>304722.46000000002</v>
      </c>
      <c r="E119" s="173">
        <v>7.4759202235333753</v>
      </c>
      <c r="F119" s="173">
        <v>7.4759202235333753</v>
      </c>
      <c r="G119" s="173"/>
      <c r="H119" s="173">
        <v>29.62</v>
      </c>
      <c r="I119" s="154">
        <v>731846.90476190532</v>
      </c>
      <c r="J119" s="190">
        <f>VLOOKUP($A119&amp;$B119,'LE Inputs'!$C$2:$J$505,MATCH('LE UtilityData'!J$1,'LE Inputs'!$C$1:$J$1,0),0)*1000</f>
        <v>1290860.2084795916</v>
      </c>
      <c r="K119" s="190">
        <v>516545.45003244322</v>
      </c>
      <c r="L119" s="293">
        <v>352104</v>
      </c>
      <c r="M119" s="164">
        <v>352002</v>
      </c>
      <c r="N119" s="156">
        <v>40369.408679404303</v>
      </c>
      <c r="O119" s="190" t="e">
        <f>VLOOKUP($A119&amp;$B119,'LE Inputs'!$C$2:$J$505,MATCH('LE UtilityData'!O$1,'LE Inputs'!$C$1:$J$1,0),0)</f>
        <v>#N/A</v>
      </c>
      <c r="P119" s="190" t="e">
        <f>VLOOKUP($A119&amp;$B119,'LE Inputs'!$C$2:$J$505,MATCH('LE UtilityData'!P$1,'LE Inputs'!$C$1:$J$1,0),0)</f>
        <v>#N/A</v>
      </c>
      <c r="Q119" s="296">
        <v>65</v>
      </c>
      <c r="R119" s="296">
        <v>156</v>
      </c>
      <c r="S119" s="166">
        <v>4124</v>
      </c>
      <c r="T119" s="166">
        <v>1696</v>
      </c>
      <c r="U119" s="166">
        <f t="shared" si="6"/>
        <v>865.68388815972639</v>
      </c>
      <c r="V119" s="166">
        <f t="shared" si="5"/>
        <v>867.48690159725538</v>
      </c>
    </row>
    <row r="120" spans="1:54" x14ac:dyDescent="0.2">
      <c r="A120" s="153">
        <v>2010</v>
      </c>
      <c r="B120" s="153">
        <v>11</v>
      </c>
      <c r="C120" s="164">
        <v>235484.24100000001</v>
      </c>
      <c r="D120" s="265">
        <v>235038.38699999999</v>
      </c>
      <c r="E120" s="173">
        <v>7.4759202235333753</v>
      </c>
      <c r="F120" s="173">
        <v>7.4759202235333753</v>
      </c>
      <c r="G120" s="173"/>
      <c r="H120" s="173">
        <v>29.6</v>
      </c>
      <c r="I120" s="154">
        <v>732315.90476190532</v>
      </c>
      <c r="J120" s="190">
        <f>VLOOKUP($A120&amp;$B120,'LE Inputs'!$C$2:$J$505,MATCH('LE UtilityData'!J$1,'LE Inputs'!$C$1:$J$1,0),0)*1000</f>
        <v>1290860.2084795916</v>
      </c>
      <c r="K120" s="190">
        <v>516545.45003244322</v>
      </c>
      <c r="L120" s="293">
        <v>351644</v>
      </c>
      <c r="M120" s="164">
        <v>351951</v>
      </c>
      <c r="N120" s="156">
        <v>40369.408679404303</v>
      </c>
      <c r="O120" s="190" t="e">
        <f>VLOOKUP($A120&amp;$B120,'LE Inputs'!$C$2:$J$505,MATCH('LE UtilityData'!O$1,'LE Inputs'!$C$1:$J$1,0),0)</f>
        <v>#N/A</v>
      </c>
      <c r="P120" s="190" t="e">
        <f>VLOOKUP($A120&amp;$B120,'LE Inputs'!$C$2:$J$505,MATCH('LE UtilityData'!P$1,'LE Inputs'!$C$1:$J$1,0),0)</f>
        <v>#N/A</v>
      </c>
      <c r="Q120" s="296">
        <v>280</v>
      </c>
      <c r="R120" s="296">
        <v>18</v>
      </c>
      <c r="S120" s="166">
        <v>4124</v>
      </c>
      <c r="T120" s="166">
        <v>1696</v>
      </c>
      <c r="U120" s="166">
        <f t="shared" si="6"/>
        <v>667.81565331537627</v>
      </c>
      <c r="V120" s="166">
        <f t="shared" si="5"/>
        <v>669.66659746789367</v>
      </c>
    </row>
    <row r="121" spans="1:54" x14ac:dyDescent="0.2">
      <c r="A121" s="153">
        <v>2010</v>
      </c>
      <c r="B121" s="153">
        <v>12</v>
      </c>
      <c r="C121" s="164">
        <v>353062.64</v>
      </c>
      <c r="D121" s="265">
        <v>353179.54499999998</v>
      </c>
      <c r="E121" s="173">
        <v>7.4759202235333753</v>
      </c>
      <c r="F121" s="173">
        <v>7.4759202235333753</v>
      </c>
      <c r="G121" s="173"/>
      <c r="H121" s="173">
        <v>31.17</v>
      </c>
      <c r="I121" s="154">
        <v>732784.90476190532</v>
      </c>
      <c r="J121" s="190">
        <f>VLOOKUP($A121&amp;$B121,'LE Inputs'!$C$2:$J$505,MATCH('LE UtilityData'!J$1,'LE Inputs'!$C$1:$J$1,0),0)*1000</f>
        <v>1290860.2084795916</v>
      </c>
      <c r="K121" s="190">
        <v>516545.45003244322</v>
      </c>
      <c r="L121" s="293">
        <v>351492</v>
      </c>
      <c r="M121" s="164">
        <v>352061</v>
      </c>
      <c r="N121" s="156">
        <v>40369.408679404303</v>
      </c>
      <c r="O121" s="190" t="e">
        <f>VLOOKUP($A121&amp;$B121,'LE Inputs'!$C$2:$J$505,MATCH('LE UtilityData'!O$1,'LE Inputs'!$C$1:$J$1,0),0)</f>
        <v>#N/A</v>
      </c>
      <c r="P121" s="190" t="e">
        <f>VLOOKUP($A121&amp;$B121,'LE Inputs'!$C$2:$J$505,MATCH('LE UtilityData'!P$1,'LE Inputs'!$C$1:$J$1,0),0)</f>
        <v>#N/A</v>
      </c>
      <c r="Q121" s="296">
        <v>769</v>
      </c>
      <c r="R121" s="296">
        <v>3</v>
      </c>
      <c r="S121" s="166">
        <v>4124</v>
      </c>
      <c r="T121" s="166">
        <v>1696</v>
      </c>
      <c r="U121" s="166">
        <f t="shared" si="6"/>
        <v>1003.177134076197</v>
      </c>
      <c r="V121" s="166">
        <f t="shared" si="5"/>
        <v>1004.4684943042801</v>
      </c>
    </row>
    <row r="122" spans="1:54" x14ac:dyDescent="0.2">
      <c r="A122" s="153">
        <v>2011</v>
      </c>
      <c r="B122" s="153">
        <v>1</v>
      </c>
      <c r="C122" s="164">
        <v>426938.24400000001</v>
      </c>
      <c r="D122" s="265">
        <v>421289.63400000002</v>
      </c>
      <c r="E122" s="173">
        <v>8.2894638037513477</v>
      </c>
      <c r="F122" s="280">
        <f>E122</f>
        <v>8.2894638037513477</v>
      </c>
      <c r="G122" s="173"/>
      <c r="H122" s="173">
        <v>32.71</v>
      </c>
      <c r="I122" s="154">
        <v>733253.90476190532</v>
      </c>
      <c r="J122" s="190">
        <f>VLOOKUP($A122&amp;$B122,'LE Inputs'!$C$2:$J$505,MATCH('LE UtilityData'!J$1,'LE Inputs'!$C$1:$J$1,0),0)*1000</f>
        <v>1293063.9465124377</v>
      </c>
      <c r="K122" s="190">
        <v>517675.68896974943</v>
      </c>
      <c r="L122" s="293">
        <v>352674</v>
      </c>
      <c r="M122" s="164">
        <v>352641</v>
      </c>
      <c r="N122" s="156">
        <v>40609.214484455202</v>
      </c>
      <c r="O122" s="190" t="e">
        <f>VLOOKUP($A122&amp;$B122,'LE Inputs'!$C$2:$J$505,MATCH('LE UtilityData'!O$1,'LE Inputs'!$C$1:$J$1,0),0)</f>
        <v>#N/A</v>
      </c>
      <c r="P122" s="190" t="e">
        <f>VLOOKUP($A122&amp;$B122,'LE Inputs'!$C$2:$J$505,MATCH('LE UtilityData'!P$1,'LE Inputs'!$C$1:$J$1,0),0)</f>
        <v>#N/A</v>
      </c>
      <c r="Q122" s="296">
        <v>1124</v>
      </c>
      <c r="R122" s="296">
        <v>0</v>
      </c>
      <c r="S122" s="166">
        <v>4124</v>
      </c>
      <c r="T122" s="166">
        <v>1696</v>
      </c>
      <c r="U122" s="166">
        <f t="shared" si="6"/>
        <v>1194.6700298603962</v>
      </c>
      <c r="V122" s="166">
        <f t="shared" si="5"/>
        <v>1210.5747630956635</v>
      </c>
    </row>
    <row r="123" spans="1:54" x14ac:dyDescent="0.2">
      <c r="A123" s="153">
        <v>2011</v>
      </c>
      <c r="B123" s="153">
        <v>2</v>
      </c>
      <c r="C123" s="164">
        <v>335567.16</v>
      </c>
      <c r="D123" s="265">
        <v>338944.424</v>
      </c>
      <c r="E123" s="173">
        <v>8.2894638037513477</v>
      </c>
      <c r="F123" s="280">
        <f t="shared" ref="F123:F133" si="7">E123</f>
        <v>8.2894638037513477</v>
      </c>
      <c r="G123" s="173"/>
      <c r="H123" s="173">
        <v>29.81</v>
      </c>
      <c r="I123" s="154">
        <v>733722.90476190532</v>
      </c>
      <c r="J123" s="190">
        <f>VLOOKUP($A123&amp;$B123,'LE Inputs'!$C$2:$J$505,MATCH('LE UtilityData'!J$1,'LE Inputs'!$C$1:$J$1,0),0)*1000</f>
        <v>1293063.9465124377</v>
      </c>
      <c r="K123" s="190">
        <v>517675.68896974943</v>
      </c>
      <c r="L123" s="293">
        <v>352842</v>
      </c>
      <c r="M123" s="164">
        <v>352415</v>
      </c>
      <c r="N123" s="156">
        <v>40609.214484455202</v>
      </c>
      <c r="O123" s="190" t="e">
        <f>VLOOKUP($A123&amp;$B123,'LE Inputs'!$C$2:$J$505,MATCH('LE UtilityData'!O$1,'LE Inputs'!$C$1:$J$1,0),0)</f>
        <v>#N/A</v>
      </c>
      <c r="P123" s="190" t="e">
        <f>VLOOKUP($A123&amp;$B123,'LE Inputs'!$C$2:$J$505,MATCH('LE UtilityData'!P$1,'LE Inputs'!$C$1:$J$1,0),0)</f>
        <v>#N/A</v>
      </c>
      <c r="Q123" s="296">
        <v>885</v>
      </c>
      <c r="R123" s="296">
        <v>0</v>
      </c>
      <c r="S123" s="166">
        <v>4124</v>
      </c>
      <c r="T123" s="166">
        <v>1696</v>
      </c>
      <c r="U123" s="166">
        <f t="shared" si="6"/>
        <v>961.77638295759255</v>
      </c>
      <c r="V123" s="166">
        <f t="shared" si="5"/>
        <v>951.0408624823574</v>
      </c>
    </row>
    <row r="124" spans="1:54" x14ac:dyDescent="0.2">
      <c r="A124" s="153">
        <v>2011</v>
      </c>
      <c r="B124" s="153">
        <v>3</v>
      </c>
      <c r="C124" s="164">
        <v>299546.73100000003</v>
      </c>
      <c r="D124" s="265">
        <v>298357.21100000001</v>
      </c>
      <c r="E124" s="173">
        <v>8.2894638037513477</v>
      </c>
      <c r="F124" s="280">
        <f t="shared" si="7"/>
        <v>8.2894638037513477</v>
      </c>
      <c r="G124" s="173"/>
      <c r="H124" s="173">
        <v>30.33</v>
      </c>
      <c r="I124" s="154">
        <v>734191.90476190532</v>
      </c>
      <c r="J124" s="190">
        <f>VLOOKUP($A124&amp;$B124,'LE Inputs'!$C$2:$J$505,MATCH('LE UtilityData'!J$1,'LE Inputs'!$C$1:$J$1,0),0)*1000</f>
        <v>1293063.9465124377</v>
      </c>
      <c r="K124" s="190">
        <v>517675.68896974943</v>
      </c>
      <c r="L124" s="293">
        <v>353009</v>
      </c>
      <c r="M124" s="164">
        <v>352857</v>
      </c>
      <c r="N124" s="156">
        <v>40609.214484455202</v>
      </c>
      <c r="O124" s="190" t="e">
        <f>VLOOKUP($A124&amp;$B124,'LE Inputs'!$C$2:$J$505,MATCH('LE UtilityData'!O$1,'LE Inputs'!$C$1:$J$1,0),0)</f>
        <v>#N/A</v>
      </c>
      <c r="P124" s="190" t="e">
        <f>VLOOKUP($A124&amp;$B124,'LE Inputs'!$C$2:$J$505,MATCH('LE UtilityData'!P$1,'LE Inputs'!$C$1:$J$1,0),0)</f>
        <v>#N/A</v>
      </c>
      <c r="Q124" s="296">
        <v>591</v>
      </c>
      <c r="R124" s="296">
        <v>3</v>
      </c>
      <c r="S124" s="166">
        <v>4124</v>
      </c>
      <c r="T124" s="166">
        <v>1696</v>
      </c>
      <c r="U124" s="166">
        <f t="shared" si="6"/>
        <v>845.54709414862123</v>
      </c>
      <c r="V124" s="166">
        <f t="shared" si="5"/>
        <v>848.55267429442313</v>
      </c>
    </row>
    <row r="125" spans="1:54" x14ac:dyDescent="0.2">
      <c r="A125" s="153">
        <v>2011</v>
      </c>
      <c r="B125" s="153">
        <v>4</v>
      </c>
      <c r="C125" s="168"/>
      <c r="D125" s="265">
        <v>264708.40299999999</v>
      </c>
      <c r="E125" s="173">
        <v>8.2894638037513477</v>
      </c>
      <c r="F125" s="280">
        <f t="shared" si="7"/>
        <v>8.2894638037513477</v>
      </c>
      <c r="G125" s="173"/>
      <c r="H125" s="173">
        <v>29.86</v>
      </c>
      <c r="I125" s="154">
        <v>734660.90476190532</v>
      </c>
      <c r="J125" s="190">
        <f>VLOOKUP($A125&amp;$B125,'LE Inputs'!$C$2:$J$505,MATCH('LE UtilityData'!J$1,'LE Inputs'!$C$1:$J$1,0),0)*1000</f>
        <v>1295247.1582141144</v>
      </c>
      <c r="K125" s="190">
        <v>518485.02098041045</v>
      </c>
      <c r="L125" s="164">
        <v>353234.50128914008</v>
      </c>
      <c r="M125" s="164">
        <v>351986</v>
      </c>
      <c r="N125" s="156">
        <v>40693.511017654397</v>
      </c>
      <c r="O125" s="190" t="e">
        <f>VLOOKUP($A125&amp;$B125,'LE Inputs'!$C$2:$J$505,MATCH('LE UtilityData'!O$1,'LE Inputs'!$C$1:$J$1,0),0)</f>
        <v>#N/A</v>
      </c>
      <c r="P125" s="190" t="e">
        <f>VLOOKUP($A125&amp;$B125,'LE Inputs'!$C$2:$J$505,MATCH('LE UtilityData'!P$1,'LE Inputs'!$C$1:$J$1,0),0)</f>
        <v>#N/A</v>
      </c>
      <c r="Q125" s="296">
        <v>372</v>
      </c>
      <c r="R125" s="296">
        <v>28</v>
      </c>
      <c r="S125" s="166">
        <v>4124</v>
      </c>
      <c r="T125" s="166">
        <v>1696</v>
      </c>
      <c r="U125" s="166">
        <f t="shared" si="6"/>
        <v>752.04241930076762</v>
      </c>
      <c r="V125" s="166">
        <f t="shared" si="5"/>
        <v>0</v>
      </c>
    </row>
    <row r="126" spans="1:54" ht="13.5" thickBot="1" x14ac:dyDescent="0.25">
      <c r="A126" s="153">
        <v>2011</v>
      </c>
      <c r="B126" s="153">
        <v>5</v>
      </c>
      <c r="C126" s="168"/>
      <c r="D126" s="265">
        <v>267524.995</v>
      </c>
      <c r="E126" s="173">
        <v>8.2894638037513477</v>
      </c>
      <c r="F126" s="280">
        <f t="shared" si="7"/>
        <v>8.2894638037513477</v>
      </c>
      <c r="G126" s="173"/>
      <c r="H126" s="173">
        <v>30.48</v>
      </c>
      <c r="I126" s="154">
        <v>735129.90476190532</v>
      </c>
      <c r="J126" s="190">
        <f>VLOOKUP($A126&amp;$B126,'LE Inputs'!$C$2:$J$505,MATCH('LE UtilityData'!J$1,'LE Inputs'!$C$1:$J$1,0),0)*1000</f>
        <v>1295247.1582141144</v>
      </c>
      <c r="K126" s="190">
        <v>518485.02098041045</v>
      </c>
      <c r="L126" s="164">
        <v>353460.00257828017</v>
      </c>
      <c r="M126" s="164">
        <v>352644</v>
      </c>
      <c r="N126" s="156">
        <v>40693.511017654397</v>
      </c>
      <c r="O126" s="190" t="e">
        <f>VLOOKUP($A126&amp;$B126,'LE Inputs'!$C$2:$J$505,MATCH('LE UtilityData'!O$1,'LE Inputs'!$C$1:$J$1,0),0)</f>
        <v>#N/A</v>
      </c>
      <c r="P126" s="190" t="e">
        <f>VLOOKUP($A126&amp;$B126,'LE Inputs'!$C$2:$J$505,MATCH('LE UtilityData'!P$1,'LE Inputs'!$C$1:$J$1,0),0)</f>
        <v>#N/A</v>
      </c>
      <c r="Q126" s="296">
        <v>153</v>
      </c>
      <c r="R126" s="296">
        <v>70</v>
      </c>
      <c r="S126" s="166">
        <v>4124</v>
      </c>
      <c r="T126" s="166">
        <v>1696</v>
      </c>
      <c r="U126" s="166">
        <f t="shared" si="6"/>
        <v>758.62624913510513</v>
      </c>
      <c r="V126" s="166">
        <f t="shared" si="5"/>
        <v>0</v>
      </c>
    </row>
    <row r="127" spans="1:54" ht="13.5" thickBot="1" x14ac:dyDescent="0.25">
      <c r="A127" s="153">
        <v>2011</v>
      </c>
      <c r="B127" s="153">
        <v>6</v>
      </c>
      <c r="C127" s="168"/>
      <c r="D127" s="265">
        <v>417163.28600000002</v>
      </c>
      <c r="E127" s="173">
        <v>8.2894638037513477</v>
      </c>
      <c r="F127" s="280">
        <f t="shared" si="7"/>
        <v>8.2894638037513477</v>
      </c>
      <c r="G127" s="173"/>
      <c r="H127" s="173">
        <v>30.67</v>
      </c>
      <c r="I127" s="154">
        <v>735601.77380952332</v>
      </c>
      <c r="J127" s="190">
        <f>VLOOKUP($A127&amp;$B127,'LE Inputs'!$C$2:$J$505,MATCH('LE UtilityData'!J$1,'LE Inputs'!$C$1:$J$1,0),0)*1000</f>
        <v>1295247.1582141144</v>
      </c>
      <c r="K127" s="190">
        <v>518485.02098041045</v>
      </c>
      <c r="L127" s="164">
        <v>353686.88334276446</v>
      </c>
      <c r="M127" s="164">
        <v>352735</v>
      </c>
      <c r="N127" s="156">
        <v>40693.511017654397</v>
      </c>
      <c r="O127" s="190" t="e">
        <f>VLOOKUP($A127&amp;$B127,'LE Inputs'!$C$2:$J$505,MATCH('LE UtilityData'!O$1,'LE Inputs'!$C$1:$J$1,0),0)</f>
        <v>#N/A</v>
      </c>
      <c r="P127" s="190" t="e">
        <f>VLOOKUP($A127&amp;$B127,'LE Inputs'!$C$2:$J$505,MATCH('LE UtilityData'!P$1,'LE Inputs'!$C$1:$J$1,0),0)</f>
        <v>#N/A</v>
      </c>
      <c r="Q127" s="296">
        <v>43</v>
      </c>
      <c r="R127" s="296">
        <v>292</v>
      </c>
      <c r="S127" s="166">
        <v>4124</v>
      </c>
      <c r="T127" s="166">
        <v>1696</v>
      </c>
      <c r="U127" s="166">
        <f t="shared" si="6"/>
        <v>1182.6535104256736</v>
      </c>
      <c r="V127" s="166">
        <f t="shared" si="5"/>
        <v>0</v>
      </c>
      <c r="AG127" s="297">
        <v>166529.24999999997</v>
      </c>
    </row>
    <row r="128" spans="1:54" x14ac:dyDescent="0.2">
      <c r="A128" s="153">
        <v>2011</v>
      </c>
      <c r="B128" s="153">
        <v>7</v>
      </c>
      <c r="C128" s="168"/>
      <c r="D128" s="265">
        <v>496962.67800000001</v>
      </c>
      <c r="E128" s="173">
        <v>8.2894638037513477</v>
      </c>
      <c r="F128" s="280">
        <f t="shared" si="7"/>
        <v>8.2894638037513477</v>
      </c>
      <c r="G128" s="173"/>
      <c r="H128" s="173">
        <v>30.71</v>
      </c>
      <c r="I128" s="154">
        <v>736070.77380952332</v>
      </c>
      <c r="J128" s="190">
        <f>VLOOKUP($A128&amp;$B128,'LE Inputs'!$C$2:$J$505,MATCH('LE UtilityData'!J$1,'LE Inputs'!$C$1:$J$1,0),0)*1000</f>
        <v>1297516.8166601879</v>
      </c>
      <c r="K128" s="190">
        <v>519436.016306896</v>
      </c>
      <c r="L128" s="164">
        <v>353912.38463190454</v>
      </c>
      <c r="M128" s="164">
        <v>352249</v>
      </c>
      <c r="N128" s="156">
        <v>40978.712633822499</v>
      </c>
      <c r="O128" s="190" t="e">
        <f>VLOOKUP($A128&amp;$B128,'LE Inputs'!$C$2:$J$505,MATCH('LE UtilityData'!O$1,'LE Inputs'!$C$1:$J$1,0),0)</f>
        <v>#N/A</v>
      </c>
      <c r="P128" s="190" t="e">
        <f>VLOOKUP($A128&amp;$B128,'LE Inputs'!$C$2:$J$505,MATCH('LE UtilityData'!P$1,'LE Inputs'!$C$1:$J$1,0),0)</f>
        <v>#N/A</v>
      </c>
      <c r="Q128" s="296">
        <v>0</v>
      </c>
      <c r="R128" s="296">
        <v>407</v>
      </c>
      <c r="S128" s="166">
        <v>4124</v>
      </c>
      <c r="T128" s="166">
        <v>1696</v>
      </c>
      <c r="U128" s="166">
        <f t="shared" si="6"/>
        <v>1410.8277894330431</v>
      </c>
      <c r="V128" s="166">
        <f t="shared" si="5"/>
        <v>0</v>
      </c>
      <c r="AG128" s="298">
        <v>128323.45999999999</v>
      </c>
      <c r="AH128" s="298">
        <v>0</v>
      </c>
      <c r="AI128" s="298">
        <v>0</v>
      </c>
      <c r="AJ128" s="298">
        <v>0</v>
      </c>
      <c r="AK128" s="298">
        <v>0</v>
      </c>
      <c r="AL128" s="298">
        <v>0</v>
      </c>
      <c r="AM128" s="298">
        <v>0</v>
      </c>
      <c r="AN128" s="298">
        <v>0</v>
      </c>
      <c r="AO128" s="298">
        <v>0</v>
      </c>
      <c r="AP128" s="298">
        <v>0</v>
      </c>
      <c r="AQ128" s="298">
        <v>0</v>
      </c>
      <c r="AR128" s="298">
        <v>0</v>
      </c>
      <c r="AS128" s="298">
        <v>0</v>
      </c>
      <c r="AT128" s="298">
        <v>0</v>
      </c>
      <c r="AU128" s="298"/>
      <c r="AV128" s="298">
        <v>0</v>
      </c>
      <c r="AW128" s="298">
        <v>0</v>
      </c>
      <c r="AX128" s="298">
        <v>0</v>
      </c>
      <c r="AY128" s="298">
        <v>12316778.549999999</v>
      </c>
      <c r="AZ128" s="298">
        <v>224548.75</v>
      </c>
      <c r="BA128" s="298">
        <v>5526021.2299999995</v>
      </c>
      <c r="BB128" s="298">
        <v>18067348.529999997</v>
      </c>
    </row>
    <row r="129" spans="1:33" x14ac:dyDescent="0.2">
      <c r="A129" s="153">
        <v>2011</v>
      </c>
      <c r="B129" s="153">
        <v>8</v>
      </c>
      <c r="C129" s="168"/>
      <c r="D129" s="265">
        <v>580187.17200000002</v>
      </c>
      <c r="E129" s="173">
        <v>8.2894638037513477</v>
      </c>
      <c r="F129" s="280">
        <f t="shared" si="7"/>
        <v>8.2894638037513477</v>
      </c>
      <c r="G129" s="173"/>
      <c r="H129" s="173">
        <v>29.52</v>
      </c>
      <c r="I129" s="154">
        <v>736539.77380952332</v>
      </c>
      <c r="J129" s="190">
        <f>VLOOKUP($A129&amp;$B129,'LE Inputs'!$C$2:$J$505,MATCH('LE UtilityData'!J$1,'LE Inputs'!$C$1:$J$1,0),0)*1000</f>
        <v>1297516.8166601879</v>
      </c>
      <c r="K129" s="190">
        <v>519436.016306896</v>
      </c>
      <c r="L129" s="164">
        <v>354137.88592104462</v>
      </c>
      <c r="M129" s="164">
        <v>353341</v>
      </c>
      <c r="N129" s="156">
        <v>40978.712633822499</v>
      </c>
      <c r="O129" s="190" t="e">
        <f>VLOOKUP($A129&amp;$B129,'LE Inputs'!$C$2:$J$505,MATCH('LE UtilityData'!O$1,'LE Inputs'!$C$1:$J$1,0),0)</f>
        <v>#N/A</v>
      </c>
      <c r="P129" s="190" t="e">
        <f>VLOOKUP($A129&amp;$B129,'LE Inputs'!$C$2:$J$505,MATCH('LE UtilityData'!P$1,'LE Inputs'!$C$1:$J$1,0),0)</f>
        <v>#N/A</v>
      </c>
      <c r="Q129" s="296">
        <v>0</v>
      </c>
      <c r="R129" s="296">
        <v>535</v>
      </c>
      <c r="S129" s="166">
        <v>4124</v>
      </c>
      <c r="T129" s="166">
        <v>1696</v>
      </c>
      <c r="U129" s="166">
        <f t="shared" si="6"/>
        <v>1642.0035376590886</v>
      </c>
      <c r="V129" s="166">
        <f t="shared" si="5"/>
        <v>0</v>
      </c>
    </row>
    <row r="130" spans="1:33" x14ac:dyDescent="0.2">
      <c r="A130" s="153">
        <v>2011</v>
      </c>
      <c r="B130" s="153">
        <v>9</v>
      </c>
      <c r="C130" s="168"/>
      <c r="D130" s="265">
        <v>439627.45500000002</v>
      </c>
      <c r="E130" s="173">
        <v>8.2894638037513477</v>
      </c>
      <c r="F130" s="280">
        <f t="shared" si="7"/>
        <v>8.2894638037513477</v>
      </c>
      <c r="G130" s="173"/>
      <c r="H130" s="173">
        <v>30.52</v>
      </c>
      <c r="I130" s="154">
        <v>737008.77380952332</v>
      </c>
      <c r="J130" s="190">
        <f>VLOOKUP($A130&amp;$B130,'LE Inputs'!$C$2:$J$505,MATCH('LE UtilityData'!J$1,'LE Inputs'!$C$1:$J$1,0),0)*1000</f>
        <v>1297516.8166601879</v>
      </c>
      <c r="K130" s="190">
        <v>519436.016306896</v>
      </c>
      <c r="L130" s="164">
        <v>354363.38721018471</v>
      </c>
      <c r="M130" s="164">
        <v>351939</v>
      </c>
      <c r="N130" s="156">
        <v>40978.712633822499</v>
      </c>
      <c r="O130" s="190" t="e">
        <f>VLOOKUP($A130&amp;$B130,'LE Inputs'!$C$2:$J$505,MATCH('LE UtilityData'!O$1,'LE Inputs'!$C$1:$J$1,0),0)</f>
        <v>#N/A</v>
      </c>
      <c r="P130" s="190" t="e">
        <f>VLOOKUP($A130&amp;$B130,'LE Inputs'!$C$2:$J$505,MATCH('LE UtilityData'!P$1,'LE Inputs'!$C$1:$J$1,0),0)</f>
        <v>#N/A</v>
      </c>
      <c r="Q130" s="296">
        <v>14</v>
      </c>
      <c r="R130" s="296">
        <v>331</v>
      </c>
      <c r="S130" s="166">
        <v>4124</v>
      </c>
      <c r="T130" s="166">
        <v>1696</v>
      </c>
      <c r="U130" s="166">
        <f t="shared" si="6"/>
        <v>1249.1581069446693</v>
      </c>
      <c r="V130" s="166">
        <f t="shared" ref="V130:V193" si="8">C130/L130*1000</f>
        <v>0</v>
      </c>
    </row>
    <row r="131" spans="1:33" x14ac:dyDescent="0.2">
      <c r="A131" s="153">
        <v>2011</v>
      </c>
      <c r="B131" s="153">
        <v>10</v>
      </c>
      <c r="C131" s="168"/>
      <c r="D131" s="265">
        <v>252154.73199999999</v>
      </c>
      <c r="E131" s="173">
        <v>8.2894638037513477</v>
      </c>
      <c r="F131" s="280">
        <f t="shared" si="7"/>
        <v>8.2894638037513477</v>
      </c>
      <c r="G131" s="173"/>
      <c r="H131" s="173">
        <v>29.62</v>
      </c>
      <c r="I131" s="154">
        <v>737477.77380952332</v>
      </c>
      <c r="J131" s="190">
        <f>VLOOKUP($A131&amp;$B131,'LE Inputs'!$C$2:$J$505,MATCH('LE UtilityData'!J$1,'LE Inputs'!$C$1:$J$1,0),0)*1000</f>
        <v>1298979.2497819678</v>
      </c>
      <c r="K131" s="190">
        <v>520051.41137481952</v>
      </c>
      <c r="L131" s="164">
        <v>354588.88849932479</v>
      </c>
      <c r="M131" s="164">
        <v>351804</v>
      </c>
      <c r="N131" s="156">
        <v>41249.781476074801</v>
      </c>
      <c r="O131" s="190" t="e">
        <f>VLOOKUP($A131&amp;$B131,'LE Inputs'!$C$2:$J$505,MATCH('LE UtilityData'!O$1,'LE Inputs'!$C$1:$J$1,0),0)</f>
        <v>#N/A</v>
      </c>
      <c r="P131" s="190" t="e">
        <f>VLOOKUP($A131&amp;$B131,'LE Inputs'!$C$2:$J$505,MATCH('LE UtilityData'!P$1,'LE Inputs'!$C$1:$J$1,0),0)</f>
        <v>#N/A</v>
      </c>
      <c r="Q131" s="296">
        <v>102</v>
      </c>
      <c r="R131" s="296">
        <v>56</v>
      </c>
      <c r="S131" s="166">
        <v>4124</v>
      </c>
      <c r="T131" s="166">
        <v>1696</v>
      </c>
      <c r="U131" s="166">
        <f t="shared" ref="U131:U194" si="9">D131/M131*1000</f>
        <v>716.74776864390401</v>
      </c>
      <c r="V131" s="166">
        <f t="shared" si="8"/>
        <v>0</v>
      </c>
    </row>
    <row r="132" spans="1:33" x14ac:dyDescent="0.2">
      <c r="A132" s="153">
        <v>2011</v>
      </c>
      <c r="B132" s="153">
        <v>11</v>
      </c>
      <c r="C132" s="168"/>
      <c r="D132" s="265">
        <v>237420.47500000001</v>
      </c>
      <c r="E132" s="173">
        <v>8.2894638037513477</v>
      </c>
      <c r="F132" s="280">
        <f t="shared" si="7"/>
        <v>8.2894638037513477</v>
      </c>
      <c r="G132" s="173"/>
      <c r="H132" s="173">
        <v>29.95</v>
      </c>
      <c r="I132" s="154">
        <v>737946.77380952332</v>
      </c>
      <c r="J132" s="190">
        <f>VLOOKUP($A132&amp;$B132,'LE Inputs'!$C$2:$J$505,MATCH('LE UtilityData'!J$1,'LE Inputs'!$C$1:$J$1,0),0)*1000</f>
        <v>1298979.2497819678</v>
      </c>
      <c r="K132" s="190">
        <v>520051.41137481952</v>
      </c>
      <c r="L132" s="164">
        <v>354814.38978846488</v>
      </c>
      <c r="M132" s="164">
        <v>350842</v>
      </c>
      <c r="N132" s="156">
        <v>41249.781476074801</v>
      </c>
      <c r="O132" s="190" t="e">
        <f>VLOOKUP($A132&amp;$B132,'LE Inputs'!$C$2:$J$505,MATCH('LE UtilityData'!O$1,'LE Inputs'!$C$1:$J$1,0),0)</f>
        <v>#N/A</v>
      </c>
      <c r="P132" s="190" t="e">
        <f>VLOOKUP($A132&amp;$B132,'LE Inputs'!$C$2:$J$505,MATCH('LE UtilityData'!P$1,'LE Inputs'!$C$1:$J$1,0),0)</f>
        <v>#N/A</v>
      </c>
      <c r="Q132" s="296">
        <v>316</v>
      </c>
      <c r="R132" s="296">
        <v>6</v>
      </c>
      <c r="S132" s="166">
        <v>4124</v>
      </c>
      <c r="T132" s="166">
        <v>1696</v>
      </c>
      <c r="U132" s="166">
        <f t="shared" si="9"/>
        <v>676.71622838770725</v>
      </c>
      <c r="V132" s="166">
        <f t="shared" si="8"/>
        <v>0</v>
      </c>
    </row>
    <row r="133" spans="1:33" ht="13.5" thickBot="1" x14ac:dyDescent="0.25">
      <c r="A133" s="153">
        <v>2011</v>
      </c>
      <c r="B133" s="153">
        <v>12</v>
      </c>
      <c r="C133" s="168"/>
      <c r="D133" s="265">
        <v>297090.28700000001</v>
      </c>
      <c r="E133" s="173">
        <v>8.2894638037513477</v>
      </c>
      <c r="F133" s="280">
        <f t="shared" si="7"/>
        <v>8.2894638037513477</v>
      </c>
      <c r="G133" s="173"/>
      <c r="H133" s="173">
        <v>31.24</v>
      </c>
      <c r="I133" s="154">
        <v>738415.77380952332</v>
      </c>
      <c r="J133" s="190">
        <f>VLOOKUP($A133&amp;$B133,'LE Inputs'!$C$2:$J$505,MATCH('LE UtilityData'!J$1,'LE Inputs'!$C$1:$J$1,0),0)*1000</f>
        <v>1298979.2497819678</v>
      </c>
      <c r="K133" s="190">
        <v>520051.41137481952</v>
      </c>
      <c r="L133" s="164">
        <v>355039.8910776049</v>
      </c>
      <c r="M133" s="164">
        <v>351139</v>
      </c>
      <c r="N133" s="156">
        <v>41249.781476074801</v>
      </c>
      <c r="O133" s="190" t="e">
        <f>VLOOKUP($A133&amp;$B133,'LE Inputs'!$C$2:$J$505,MATCH('LE UtilityData'!O$1,'LE Inputs'!$C$1:$J$1,0),0)</f>
        <v>#N/A</v>
      </c>
      <c r="P133" s="190" t="e">
        <f>VLOOKUP($A133&amp;$B133,'LE Inputs'!$C$2:$J$505,MATCH('LE UtilityData'!P$1,'LE Inputs'!$C$1:$J$1,0),0)</f>
        <v>#N/A</v>
      </c>
      <c r="Q133" s="296">
        <v>544</v>
      </c>
      <c r="R133" s="296">
        <v>2</v>
      </c>
      <c r="S133" s="166">
        <v>4124</v>
      </c>
      <c r="T133" s="166">
        <v>1696</v>
      </c>
      <c r="U133" s="166">
        <f t="shared" si="9"/>
        <v>846.07601832892385</v>
      </c>
      <c r="V133" s="166">
        <f t="shared" si="8"/>
        <v>0</v>
      </c>
      <c r="Z133" s="153" t="s">
        <v>257</v>
      </c>
      <c r="AA133" s="153" t="s">
        <v>258</v>
      </c>
      <c r="AC133" s="153" t="s">
        <v>243</v>
      </c>
      <c r="AD133" s="153" t="s">
        <v>241</v>
      </c>
      <c r="AE133" s="153" t="s">
        <v>259</v>
      </c>
    </row>
    <row r="134" spans="1:33" ht="13.5" thickBot="1" x14ac:dyDescent="0.25">
      <c r="A134" s="153">
        <v>2012</v>
      </c>
      <c r="B134" s="153">
        <v>1</v>
      </c>
      <c r="C134" s="168"/>
      <c r="D134" s="265">
        <v>362134.77399999998</v>
      </c>
      <c r="E134" s="173">
        <v>8.8999885401544248</v>
      </c>
      <c r="F134" s="279">
        <v>8.5772101877244911</v>
      </c>
      <c r="G134" s="173"/>
      <c r="H134" s="173">
        <v>32.549999999999997</v>
      </c>
      <c r="I134" s="154">
        <v>738884.77380952332</v>
      </c>
      <c r="J134" s="190">
        <f>VLOOKUP($A134&amp;$B134,'LE Inputs'!$C$2:$J$505,MATCH('LE UtilityData'!J$1,'LE Inputs'!$C$1:$J$1,0),0)*1000</f>
        <v>1301262.2358208077</v>
      </c>
      <c r="K134" s="190">
        <v>521383.54769033095</v>
      </c>
      <c r="L134" s="164">
        <v>355265.39236674493</v>
      </c>
      <c r="M134" s="164">
        <v>352005</v>
      </c>
      <c r="N134" s="156">
        <v>41570.992733092098</v>
      </c>
      <c r="O134" s="190" t="e">
        <f>VLOOKUP($A134&amp;$B134,'LE Inputs'!$C$2:$J$505,MATCH('LE UtilityData'!O$1,'LE Inputs'!$C$1:$J$1,0),0)</f>
        <v>#N/A</v>
      </c>
      <c r="P134" s="190" t="e">
        <f>VLOOKUP($A134&amp;$B134,'LE Inputs'!$C$2:$J$505,MATCH('LE UtilityData'!P$1,'LE Inputs'!$C$1:$J$1,0),0)</f>
        <v>#N/A</v>
      </c>
      <c r="Q134" s="164">
        <v>786</v>
      </c>
      <c r="R134" s="164">
        <v>0.35</v>
      </c>
      <c r="S134" s="166">
        <v>4124</v>
      </c>
      <c r="T134" s="166">
        <v>1696</v>
      </c>
      <c r="U134" s="166">
        <f t="shared" si="9"/>
        <v>1028.7773582761608</v>
      </c>
      <c r="V134" s="166">
        <f t="shared" si="8"/>
        <v>0</v>
      </c>
      <c r="Y134" s="153">
        <f t="shared" ref="Y134:Y135" si="10">SUM(AA134:AE134)/Z134</f>
        <v>7.7602584721712178E-2</v>
      </c>
      <c r="Z134" s="297">
        <v>363743298</v>
      </c>
      <c r="AA134" s="297">
        <v>26280484.199999999</v>
      </c>
      <c r="AB134" s="297"/>
      <c r="AC134" s="297">
        <v>865838.43</v>
      </c>
      <c r="AD134" s="297">
        <v>963164.15000000014</v>
      </c>
      <c r="AE134" s="297">
        <v>117933.31999999999</v>
      </c>
      <c r="AF134" s="297">
        <v>0</v>
      </c>
      <c r="AG134" s="297">
        <v>117933.31999999999</v>
      </c>
    </row>
    <row r="135" spans="1:33" ht="13.5" thickBot="1" x14ac:dyDescent="0.25">
      <c r="A135" s="153">
        <v>2012</v>
      </c>
      <c r="B135" s="153">
        <v>2</v>
      </c>
      <c r="C135" s="168"/>
      <c r="D135" s="265">
        <v>324138.16800000001</v>
      </c>
      <c r="E135" s="173">
        <v>8.8999885401544248</v>
      </c>
      <c r="F135" s="279">
        <v>8.5772101877244911</v>
      </c>
      <c r="G135" s="173"/>
      <c r="H135" s="173">
        <v>29.75</v>
      </c>
      <c r="I135" s="154">
        <v>739353.77380952332</v>
      </c>
      <c r="J135" s="190">
        <f>VLOOKUP($A135&amp;$B135,'LE Inputs'!$C$2:$J$505,MATCH('LE UtilityData'!J$1,'LE Inputs'!$C$1:$J$1,0),0)*1000</f>
        <v>1301262.2358208077</v>
      </c>
      <c r="K135" s="190">
        <v>521383.54769033095</v>
      </c>
      <c r="L135" s="164">
        <v>355490.89365588495</v>
      </c>
      <c r="M135" s="164">
        <v>352177</v>
      </c>
      <c r="N135" s="156">
        <v>41570.992733092098</v>
      </c>
      <c r="O135" s="190" t="e">
        <f>VLOOKUP($A135&amp;$B135,'LE Inputs'!$C$2:$J$505,MATCH('LE UtilityData'!O$1,'LE Inputs'!$C$1:$J$1,0),0)</f>
        <v>#N/A</v>
      </c>
      <c r="P135" s="190" t="e">
        <f>VLOOKUP($A135&amp;$B135,'LE Inputs'!$C$2:$J$505,MATCH('LE UtilityData'!P$1,'LE Inputs'!$C$1:$J$1,0),0)</f>
        <v>#N/A</v>
      </c>
      <c r="Q135" s="164">
        <v>700</v>
      </c>
      <c r="R135" s="164">
        <v>0.05</v>
      </c>
      <c r="S135" s="166">
        <v>4124</v>
      </c>
      <c r="T135" s="166">
        <v>1696</v>
      </c>
      <c r="U135" s="166">
        <f t="shared" si="9"/>
        <v>920.38426132314157</v>
      </c>
      <c r="V135" s="166">
        <f t="shared" si="8"/>
        <v>0</v>
      </c>
      <c r="Y135" s="153">
        <f t="shared" si="10"/>
        <v>7.8133662669375617E-2</v>
      </c>
      <c r="Z135" s="297">
        <v>323796122</v>
      </c>
      <c r="AA135" s="297">
        <v>23394325.349999998</v>
      </c>
      <c r="AB135" s="297"/>
      <c r="AC135" s="297">
        <v>770635.63000000012</v>
      </c>
      <c r="AD135" s="297">
        <v>1013449.25</v>
      </c>
      <c r="AE135" s="297">
        <v>120966.74</v>
      </c>
      <c r="AF135" s="297">
        <v>0</v>
      </c>
      <c r="AG135" s="297">
        <v>120966.74</v>
      </c>
    </row>
    <row r="136" spans="1:33" ht="13.5" thickBot="1" x14ac:dyDescent="0.25">
      <c r="A136" s="153">
        <v>2012</v>
      </c>
      <c r="B136" s="153">
        <v>3</v>
      </c>
      <c r="C136" s="168"/>
      <c r="D136" s="250">
        <v>278034.29399999999</v>
      </c>
      <c r="E136" s="173">
        <v>8.8999885401544248</v>
      </c>
      <c r="F136" s="279">
        <v>8.5772101877244911</v>
      </c>
      <c r="G136" s="173"/>
      <c r="H136" s="173">
        <v>30.38</v>
      </c>
      <c r="I136" s="154">
        <v>739822.77380952332</v>
      </c>
      <c r="J136" s="190">
        <f>VLOOKUP($A136&amp;$B136,'LE Inputs'!$C$2:$J$505,MATCH('LE UtilityData'!J$1,'LE Inputs'!$C$1:$J$1,0),0)*1000</f>
        <v>1301262.2358208077</v>
      </c>
      <c r="K136" s="190">
        <v>521383.54769033095</v>
      </c>
      <c r="L136" s="164">
        <v>355716.39494502498</v>
      </c>
      <c r="M136" s="164">
        <v>352261</v>
      </c>
      <c r="N136" s="156">
        <v>41570.992733092098</v>
      </c>
      <c r="O136" s="190" t="e">
        <f>VLOOKUP($A136&amp;$B136,'LE Inputs'!$C$2:$J$505,MATCH('LE UtilityData'!O$1,'LE Inputs'!$C$1:$J$1,0),0)</f>
        <v>#N/A</v>
      </c>
      <c r="P136" s="190" t="e">
        <f>VLOOKUP($A136&amp;$B136,'LE Inputs'!$C$2:$J$505,MATCH('LE UtilityData'!P$1,'LE Inputs'!$C$1:$J$1,0),0)</f>
        <v>#N/A</v>
      </c>
      <c r="Q136" s="164">
        <v>474</v>
      </c>
      <c r="R136" s="164">
        <v>19</v>
      </c>
      <c r="S136" s="166">
        <v>4124</v>
      </c>
      <c r="T136" s="166">
        <v>1696</v>
      </c>
      <c r="U136" s="166">
        <f t="shared" si="9"/>
        <v>789.28491658173903</v>
      </c>
      <c r="V136" s="166">
        <f t="shared" si="8"/>
        <v>0</v>
      </c>
      <c r="Y136" s="153">
        <f>SUM(AA136:AE136)/Z136</f>
        <v>7.9347177437513045E-2</v>
      </c>
      <c r="Z136" s="297">
        <v>278200112</v>
      </c>
      <c r="AA136" s="297">
        <v>20147072.580000002</v>
      </c>
      <c r="AB136" s="297"/>
      <c r="AC136" s="297">
        <v>662132.64000000013</v>
      </c>
      <c r="AD136" s="297">
        <v>1098659.1800000002</v>
      </c>
      <c r="AE136" s="297">
        <v>166529.24999999997</v>
      </c>
      <c r="AF136" s="297">
        <v>0</v>
      </c>
    </row>
    <row r="137" spans="1:33" x14ac:dyDescent="0.2">
      <c r="A137" s="153">
        <v>2012</v>
      </c>
      <c r="B137" s="153">
        <v>4</v>
      </c>
      <c r="C137" s="168"/>
      <c r="D137" s="250">
        <v>249620</v>
      </c>
      <c r="E137" s="173">
        <v>8.8999885401544248</v>
      </c>
      <c r="F137" s="279">
        <v>8.5772101877244911</v>
      </c>
      <c r="G137" s="173"/>
      <c r="H137" s="173">
        <v>30.67</v>
      </c>
      <c r="I137" s="154">
        <v>740291.77380952332</v>
      </c>
      <c r="J137" s="190">
        <f>VLOOKUP($A137&amp;$B137,'LE Inputs'!$C$2:$J$505,MATCH('LE UtilityData'!J$1,'LE Inputs'!$C$1:$J$1,0),0)*1000</f>
        <v>1303542.1567571613</v>
      </c>
      <c r="K137" s="190">
        <v>522681.2801035546</v>
      </c>
      <c r="L137" s="164">
        <v>355941.89623416506</v>
      </c>
      <c r="M137" s="164">
        <v>352174</v>
      </c>
      <c r="N137" s="156">
        <v>41716.585245092399</v>
      </c>
      <c r="O137" s="190" t="e">
        <f>VLOOKUP($A137&amp;$B137,'LE Inputs'!$C$2:$J$505,MATCH('LE UtilityData'!O$1,'LE Inputs'!$C$1:$J$1,0),0)</f>
        <v>#N/A</v>
      </c>
      <c r="P137" s="190" t="e">
        <f>VLOOKUP($A137&amp;$B137,'LE Inputs'!$C$2:$J$505,MATCH('LE UtilityData'!P$1,'LE Inputs'!$C$1:$J$1,0),0)</f>
        <v>#N/A</v>
      </c>
      <c r="Q137" s="164">
        <v>154</v>
      </c>
      <c r="R137" s="164">
        <v>66</v>
      </c>
      <c r="S137" s="166">
        <v>4124</v>
      </c>
      <c r="T137" s="166">
        <v>1696</v>
      </c>
      <c r="U137" s="166">
        <f t="shared" si="9"/>
        <v>708.79735585250467</v>
      </c>
      <c r="V137" s="166">
        <f t="shared" si="8"/>
        <v>0</v>
      </c>
      <c r="Y137" s="153">
        <f>SUM(AA137:AE137)/Z137</f>
        <v>8.0524313335170725E-2</v>
      </c>
      <c r="Z137" s="298">
        <v>249479903</v>
      </c>
      <c r="AA137" s="298">
        <v>18067348.529999997</v>
      </c>
      <c r="AB137" s="298"/>
      <c r="AC137" s="298">
        <v>715996.05</v>
      </c>
      <c r="AD137" s="298">
        <v>1177529.8400000001</v>
      </c>
      <c r="AE137" s="298">
        <v>128323.45999999999</v>
      </c>
      <c r="AF137" s="298">
        <v>0</v>
      </c>
    </row>
    <row r="138" spans="1:33" x14ac:dyDescent="0.2">
      <c r="A138" s="153">
        <v>2012</v>
      </c>
      <c r="B138" s="153">
        <v>5</v>
      </c>
      <c r="C138" s="168"/>
      <c r="D138" s="168"/>
      <c r="E138" s="173">
        <v>8.8999885401544248</v>
      </c>
      <c r="F138" s="279">
        <v>8.5772101877244911</v>
      </c>
      <c r="G138" s="173"/>
      <c r="H138" s="173">
        <v>29.71</v>
      </c>
      <c r="I138" s="154">
        <v>740760.77380952332</v>
      </c>
      <c r="J138" s="190">
        <f>VLOOKUP($A138&amp;$B138,'LE Inputs'!$C$2:$J$505,MATCH('LE UtilityData'!J$1,'LE Inputs'!$C$1:$J$1,0),0)*1000</f>
        <v>1303542.1567571613</v>
      </c>
      <c r="K138" s="190">
        <v>522681.2801035546</v>
      </c>
      <c r="L138" s="164">
        <v>356167.39752330515</v>
      </c>
      <c r="M138" s="299">
        <v>352843.95</v>
      </c>
      <c r="N138" s="156">
        <v>41716.585245092399</v>
      </c>
      <c r="O138" s="190" t="e">
        <f>VLOOKUP($A138&amp;$B138,'LE Inputs'!$C$2:$J$505,MATCH('LE UtilityData'!O$1,'LE Inputs'!$C$1:$J$1,0),0)</f>
        <v>#N/A</v>
      </c>
      <c r="P138" s="190" t="e">
        <f>VLOOKUP($A138&amp;$B138,'LE Inputs'!$C$2:$J$505,MATCH('LE UtilityData'!P$1,'LE Inputs'!$C$1:$J$1,0),0)</f>
        <v>#N/A</v>
      </c>
      <c r="Q138" s="164">
        <v>141</v>
      </c>
      <c r="R138" s="164">
        <v>69.349999999999994</v>
      </c>
      <c r="S138" s="166">
        <v>4124</v>
      </c>
      <c r="T138" s="166">
        <v>1696</v>
      </c>
      <c r="U138" s="166">
        <f t="shared" si="9"/>
        <v>0</v>
      </c>
      <c r="V138" s="166">
        <f t="shared" si="8"/>
        <v>0</v>
      </c>
    </row>
    <row r="139" spans="1:33" x14ac:dyDescent="0.2">
      <c r="A139" s="153">
        <v>2012</v>
      </c>
      <c r="B139" s="153">
        <v>6</v>
      </c>
      <c r="C139" s="168"/>
      <c r="D139" s="168"/>
      <c r="E139" s="173">
        <v>8.8999885401544248</v>
      </c>
      <c r="F139" s="279">
        <v>8.5772101877244911</v>
      </c>
      <c r="G139" s="173"/>
      <c r="H139" s="173">
        <v>30.62</v>
      </c>
      <c r="I139" s="154">
        <v>741232.64285714505</v>
      </c>
      <c r="J139" s="190">
        <f>VLOOKUP($A139&amp;$B139,'LE Inputs'!$C$2:$J$505,MATCH('LE UtilityData'!J$1,'LE Inputs'!$C$1:$J$1,0),0)*1000</f>
        <v>1303542.1567571613</v>
      </c>
      <c r="K139" s="190">
        <v>522681.2801035546</v>
      </c>
      <c r="L139" s="164">
        <v>356394.2782877913</v>
      </c>
      <c r="M139" s="299">
        <v>352855.68</v>
      </c>
      <c r="N139" s="156">
        <v>41716.585245092399</v>
      </c>
      <c r="O139" s="190" t="e">
        <f>VLOOKUP($A139&amp;$B139,'LE Inputs'!$C$2:$J$505,MATCH('LE UtilityData'!O$1,'LE Inputs'!$C$1:$J$1,0),0)</f>
        <v>#N/A</v>
      </c>
      <c r="P139" s="190" t="e">
        <f>VLOOKUP($A139&amp;$B139,'LE Inputs'!$C$2:$J$505,MATCH('LE UtilityData'!P$1,'LE Inputs'!$C$1:$J$1,0),0)</f>
        <v>#N/A</v>
      </c>
      <c r="Q139" s="164">
        <v>29.5</v>
      </c>
      <c r="R139" s="164">
        <v>224.8</v>
      </c>
      <c r="S139" s="166">
        <v>4124</v>
      </c>
      <c r="T139" s="166">
        <v>1696</v>
      </c>
      <c r="U139" s="166">
        <f t="shared" si="9"/>
        <v>0</v>
      </c>
      <c r="V139" s="166">
        <f t="shared" si="8"/>
        <v>0</v>
      </c>
    </row>
    <row r="140" spans="1:33" x14ac:dyDescent="0.2">
      <c r="A140" s="153">
        <v>2012</v>
      </c>
      <c r="B140" s="153">
        <v>7</v>
      </c>
      <c r="C140" s="168"/>
      <c r="D140" s="168"/>
      <c r="E140" s="173">
        <v>8.8999885401544248</v>
      </c>
      <c r="F140" s="279">
        <v>8.5772101877244911</v>
      </c>
      <c r="G140" s="173"/>
      <c r="H140" s="173">
        <v>30.76</v>
      </c>
      <c r="I140" s="154">
        <v>741701.64285714505</v>
      </c>
      <c r="J140" s="190">
        <f>VLOOKUP($A140&amp;$B140,'LE Inputs'!$C$2:$J$505,MATCH('LE UtilityData'!J$1,'LE Inputs'!$C$1:$J$1,0),0)*1000</f>
        <v>1305795.4720858047</v>
      </c>
      <c r="K140" s="190">
        <v>523884.55449326604</v>
      </c>
      <c r="L140" s="164">
        <v>356619.77957693132</v>
      </c>
      <c r="M140" s="299">
        <v>353499.77</v>
      </c>
      <c r="N140" s="156">
        <v>42080.569087964897</v>
      </c>
      <c r="O140" s="190" t="e">
        <f>VLOOKUP($A140&amp;$B140,'LE Inputs'!$C$2:$J$505,MATCH('LE UtilityData'!O$1,'LE Inputs'!$C$1:$J$1,0),0)</f>
        <v>#N/A</v>
      </c>
      <c r="P140" s="190" t="e">
        <f>VLOOKUP($A140&amp;$B140,'LE Inputs'!$C$2:$J$505,MATCH('LE UtilityData'!P$1,'LE Inputs'!$C$1:$J$1,0),0)</f>
        <v>#N/A</v>
      </c>
      <c r="Q140" s="164">
        <v>0.55000000000000004</v>
      </c>
      <c r="R140" s="164">
        <v>396.4</v>
      </c>
      <c r="S140" s="166">
        <v>4124</v>
      </c>
      <c r="T140" s="166">
        <v>1696</v>
      </c>
      <c r="U140" s="166">
        <f t="shared" si="9"/>
        <v>0</v>
      </c>
      <c r="V140" s="166">
        <f t="shared" si="8"/>
        <v>0</v>
      </c>
    </row>
    <row r="141" spans="1:33" x14ac:dyDescent="0.2">
      <c r="A141" s="153">
        <v>2012</v>
      </c>
      <c r="B141" s="153">
        <v>8</v>
      </c>
      <c r="C141" s="168"/>
      <c r="D141" s="168"/>
      <c r="E141" s="173">
        <v>8.8999885401544248</v>
      </c>
      <c r="F141" s="279">
        <v>8.5772101877244911</v>
      </c>
      <c r="G141" s="173"/>
      <c r="H141" s="173">
        <v>29.48</v>
      </c>
      <c r="I141" s="154">
        <v>742170.64285714505</v>
      </c>
      <c r="J141" s="190">
        <f>VLOOKUP($A141&amp;$B141,'LE Inputs'!$C$2:$J$505,MATCH('LE UtilityData'!J$1,'LE Inputs'!$C$1:$J$1,0),0)*1000</f>
        <v>1305795.4720858047</v>
      </c>
      <c r="K141" s="190">
        <v>523884.55449326604</v>
      </c>
      <c r="L141" s="164">
        <v>356845.28086607141</v>
      </c>
      <c r="M141" s="299">
        <v>353510.45</v>
      </c>
      <c r="N141" s="156">
        <v>42080.569087964897</v>
      </c>
      <c r="O141" s="190" t="e">
        <f>VLOOKUP($A141&amp;$B141,'LE Inputs'!$C$2:$J$505,MATCH('LE UtilityData'!O$1,'LE Inputs'!$C$1:$J$1,0),0)</f>
        <v>#N/A</v>
      </c>
      <c r="P141" s="190" t="e">
        <f>VLOOKUP($A141&amp;$B141,'LE Inputs'!$C$2:$J$505,MATCH('LE UtilityData'!P$1,'LE Inputs'!$C$1:$J$1,0),0)</f>
        <v>#N/A</v>
      </c>
      <c r="Q141" s="164">
        <v>0.1</v>
      </c>
      <c r="R141" s="164">
        <v>417.05</v>
      </c>
      <c r="S141" s="166">
        <v>4124</v>
      </c>
      <c r="T141" s="166">
        <v>1696</v>
      </c>
      <c r="U141" s="166">
        <f t="shared" si="9"/>
        <v>0</v>
      </c>
      <c r="V141" s="166">
        <f t="shared" si="8"/>
        <v>0</v>
      </c>
    </row>
    <row r="142" spans="1:33" x14ac:dyDescent="0.2">
      <c r="A142" s="153">
        <v>2012</v>
      </c>
      <c r="B142" s="153">
        <v>9</v>
      </c>
      <c r="C142" s="168"/>
      <c r="D142" s="168"/>
      <c r="E142" s="173">
        <v>8.8999885401544248</v>
      </c>
      <c r="F142" s="279">
        <v>8.5772101877244911</v>
      </c>
      <c r="G142" s="173"/>
      <c r="H142" s="173">
        <v>30.57</v>
      </c>
      <c r="I142" s="154">
        <v>742639.64285714505</v>
      </c>
      <c r="J142" s="190">
        <f>VLOOKUP($A142&amp;$B142,'LE Inputs'!$C$2:$J$505,MATCH('LE UtilityData'!J$1,'LE Inputs'!$C$1:$J$1,0),0)*1000</f>
        <v>1305795.4720858047</v>
      </c>
      <c r="K142" s="190">
        <v>523884.55449326604</v>
      </c>
      <c r="L142" s="164">
        <v>357070.78215521143</v>
      </c>
      <c r="M142" s="299">
        <v>353520.64000000001</v>
      </c>
      <c r="N142" s="156">
        <v>42080.569087964897</v>
      </c>
      <c r="O142" s="190" t="e">
        <f>VLOOKUP($A142&amp;$B142,'LE Inputs'!$C$2:$J$505,MATCH('LE UtilityData'!O$1,'LE Inputs'!$C$1:$J$1,0),0)</f>
        <v>#N/A</v>
      </c>
      <c r="P142" s="190" t="e">
        <f>VLOOKUP($A142&amp;$B142,'LE Inputs'!$C$2:$J$505,MATCH('LE UtilityData'!P$1,'LE Inputs'!$C$1:$J$1,0),0)</f>
        <v>#N/A</v>
      </c>
      <c r="Q142" s="164">
        <v>5.35</v>
      </c>
      <c r="R142" s="164">
        <v>330.2</v>
      </c>
      <c r="S142" s="166">
        <v>4124</v>
      </c>
      <c r="T142" s="166">
        <v>1696</v>
      </c>
      <c r="U142" s="166">
        <f t="shared" si="9"/>
        <v>0</v>
      </c>
      <c r="V142" s="166">
        <f t="shared" si="8"/>
        <v>0</v>
      </c>
    </row>
    <row r="143" spans="1:33" x14ac:dyDescent="0.2">
      <c r="A143" s="153">
        <v>2012</v>
      </c>
      <c r="B143" s="153">
        <v>10</v>
      </c>
      <c r="C143" s="168"/>
      <c r="D143" s="168"/>
      <c r="E143" s="173">
        <v>8.8999885401544248</v>
      </c>
      <c r="F143" s="279">
        <v>8.5772101877244911</v>
      </c>
      <c r="G143" s="173"/>
      <c r="H143" s="173">
        <v>29.67</v>
      </c>
      <c r="I143" s="154">
        <v>743108.64285714505</v>
      </c>
      <c r="J143" s="190">
        <f>VLOOKUP($A143&amp;$B143,'LE Inputs'!$C$2:$J$505,MATCH('LE UtilityData'!J$1,'LE Inputs'!$C$1:$J$1,0),0)*1000</f>
        <v>1308022.3962775732</v>
      </c>
      <c r="K143" s="190">
        <v>525085.7364610607</v>
      </c>
      <c r="L143" s="164">
        <v>357296.28344435152</v>
      </c>
      <c r="M143" s="299">
        <v>354161.68</v>
      </c>
      <c r="N143" s="156">
        <v>42411.619249151903</v>
      </c>
      <c r="O143" s="190" t="e">
        <f>VLOOKUP($A143&amp;$B143,'LE Inputs'!$C$2:$J$505,MATCH('LE UtilityData'!O$1,'LE Inputs'!$C$1:$J$1,0),0)</f>
        <v>#N/A</v>
      </c>
      <c r="P143" s="190" t="e">
        <f>VLOOKUP($A143&amp;$B143,'LE Inputs'!$C$2:$J$505,MATCH('LE UtilityData'!P$1,'LE Inputs'!$C$1:$J$1,0),0)</f>
        <v>#N/A</v>
      </c>
      <c r="Q143" s="164">
        <v>99.3</v>
      </c>
      <c r="R143" s="164">
        <v>100.05</v>
      </c>
      <c r="S143" s="166">
        <v>4124</v>
      </c>
      <c r="T143" s="166">
        <v>1696</v>
      </c>
      <c r="U143" s="166">
        <f t="shared" si="9"/>
        <v>0</v>
      </c>
      <c r="V143" s="166">
        <f t="shared" si="8"/>
        <v>0</v>
      </c>
    </row>
    <row r="144" spans="1:33" x14ac:dyDescent="0.2">
      <c r="A144" s="153">
        <v>2012</v>
      </c>
      <c r="B144" s="153">
        <v>11</v>
      </c>
      <c r="C144" s="168"/>
      <c r="D144" s="168"/>
      <c r="E144" s="173">
        <v>8.8999885401544248</v>
      </c>
      <c r="F144" s="279">
        <v>8.5772101877244911</v>
      </c>
      <c r="G144" s="173"/>
      <c r="H144" s="173">
        <v>29.95</v>
      </c>
      <c r="I144" s="154">
        <v>743577.64285714505</v>
      </c>
      <c r="J144" s="190">
        <f>VLOOKUP($A144&amp;$B144,'LE Inputs'!$C$2:$J$505,MATCH('LE UtilityData'!J$1,'LE Inputs'!$C$1:$J$1,0),0)*1000</f>
        <v>1308022.3962775732</v>
      </c>
      <c r="K144" s="190">
        <v>525085.7364610607</v>
      </c>
      <c r="L144" s="164">
        <v>357521.78473349154</v>
      </c>
      <c r="M144" s="299">
        <v>354170.96</v>
      </c>
      <c r="N144" s="156">
        <v>42411.619249151903</v>
      </c>
      <c r="O144" s="190" t="e">
        <f>VLOOKUP($A144&amp;$B144,'LE Inputs'!$C$2:$J$505,MATCH('LE UtilityData'!O$1,'LE Inputs'!$C$1:$J$1,0),0)</f>
        <v>#N/A</v>
      </c>
      <c r="P144" s="190" t="e">
        <f>VLOOKUP($A144&amp;$B144,'LE Inputs'!$C$2:$J$505,MATCH('LE UtilityData'!P$1,'LE Inputs'!$C$1:$J$1,0),0)</f>
        <v>#N/A</v>
      </c>
      <c r="Q144" s="164">
        <v>352.6</v>
      </c>
      <c r="R144" s="164">
        <v>12.75</v>
      </c>
      <c r="S144" s="166">
        <v>4124</v>
      </c>
      <c r="T144" s="166">
        <v>1696</v>
      </c>
      <c r="U144" s="166">
        <f t="shared" si="9"/>
        <v>0</v>
      </c>
      <c r="V144" s="166">
        <f t="shared" si="8"/>
        <v>0</v>
      </c>
    </row>
    <row r="145" spans="1:26" x14ac:dyDescent="0.2">
      <c r="A145" s="153">
        <v>2012</v>
      </c>
      <c r="B145" s="153">
        <v>12</v>
      </c>
      <c r="C145" s="168"/>
      <c r="D145" s="168"/>
      <c r="E145" s="173">
        <v>8.8999885401544248</v>
      </c>
      <c r="F145" s="279">
        <v>8.5772101877244911</v>
      </c>
      <c r="G145" s="173"/>
      <c r="H145" s="173">
        <v>31.1</v>
      </c>
      <c r="I145" s="154">
        <v>744046.64285714505</v>
      </c>
      <c r="J145" s="190">
        <f>VLOOKUP($A145&amp;$B145,'LE Inputs'!$C$2:$J$505,MATCH('LE UtilityData'!J$1,'LE Inputs'!$C$1:$J$1,0),0)*1000</f>
        <v>1308022.3962775732</v>
      </c>
      <c r="K145" s="190">
        <v>525085.7364610607</v>
      </c>
      <c r="L145" s="164">
        <v>357747.28602263163</v>
      </c>
      <c r="M145" s="299">
        <v>354179.81</v>
      </c>
      <c r="N145" s="156">
        <v>42411.619249151903</v>
      </c>
      <c r="O145" s="190" t="e">
        <f>VLOOKUP($A145&amp;$B145,'LE Inputs'!$C$2:$J$505,MATCH('LE UtilityData'!O$1,'LE Inputs'!$C$1:$J$1,0),0)</f>
        <v>#N/A</v>
      </c>
      <c r="P145" s="190" t="e">
        <f>VLOOKUP($A145&amp;$B145,'LE Inputs'!$C$2:$J$505,MATCH('LE UtilityData'!P$1,'LE Inputs'!$C$1:$J$1,0),0)</f>
        <v>#N/A</v>
      </c>
      <c r="Q145" s="164">
        <v>669.9</v>
      </c>
      <c r="R145" s="164">
        <v>1.05</v>
      </c>
      <c r="S145" s="166">
        <v>4124</v>
      </c>
      <c r="T145" s="166">
        <v>1696</v>
      </c>
      <c r="U145" s="166">
        <f t="shared" si="9"/>
        <v>0</v>
      </c>
      <c r="V145" s="166">
        <f t="shared" si="8"/>
        <v>0</v>
      </c>
    </row>
    <row r="146" spans="1:26" x14ac:dyDescent="0.2">
      <c r="A146" s="153">
        <v>2013</v>
      </c>
      <c r="B146" s="153">
        <v>1</v>
      </c>
      <c r="C146" s="168"/>
      <c r="D146" s="168"/>
      <c r="E146" s="173">
        <v>9.7259169494704008</v>
      </c>
      <c r="F146" s="279">
        <v>9.5861743542818498</v>
      </c>
      <c r="G146" s="173"/>
      <c r="H146" s="173">
        <v>32.71</v>
      </c>
      <c r="I146" s="154">
        <v>744515.64285714505</v>
      </c>
      <c r="J146" s="190">
        <f>VLOOKUP($A146&amp;$B146,'LE Inputs'!$C$2:$J$505,MATCH('LE UtilityData'!J$1,'LE Inputs'!$C$1:$J$1,0),0)*1000</f>
        <v>1310232.3702413859</v>
      </c>
      <c r="K146" s="190">
        <v>526252.81702400395</v>
      </c>
      <c r="L146" s="164">
        <v>357972.78731177171</v>
      </c>
      <c r="M146" s="299">
        <v>354801.71</v>
      </c>
      <c r="N146" s="156">
        <v>42531.0117511383</v>
      </c>
      <c r="O146" s="190" t="e">
        <f>VLOOKUP($A146&amp;$B146,'LE Inputs'!$C$2:$J$505,MATCH('LE UtilityData'!O$1,'LE Inputs'!$C$1:$J$1,0),0)</f>
        <v>#N/A</v>
      </c>
      <c r="P146" s="190" t="e">
        <f>VLOOKUP($A146&amp;$B146,'LE Inputs'!$C$2:$J$505,MATCH('LE UtilityData'!P$1,'LE Inputs'!$C$1:$J$1,0),0)</f>
        <v>#N/A</v>
      </c>
      <c r="Q146" s="164">
        <v>932.4</v>
      </c>
      <c r="R146" s="164">
        <v>0.35</v>
      </c>
      <c r="S146" s="166">
        <v>4124</v>
      </c>
      <c r="T146" s="166">
        <v>1696</v>
      </c>
      <c r="U146" s="166">
        <f t="shared" si="9"/>
        <v>0</v>
      </c>
      <c r="V146" s="166">
        <f t="shared" si="8"/>
        <v>0</v>
      </c>
      <c r="Y146" s="292">
        <v>920.1</v>
      </c>
      <c r="Z146" s="292">
        <v>0.35</v>
      </c>
    </row>
    <row r="147" spans="1:26" x14ac:dyDescent="0.2">
      <c r="A147" s="153">
        <v>2013</v>
      </c>
      <c r="B147" s="153">
        <v>2</v>
      </c>
      <c r="C147" s="168"/>
      <c r="D147" s="168"/>
      <c r="E147" s="173">
        <v>9.7259169494704008</v>
      </c>
      <c r="F147" s="279">
        <v>9.5861743542818498</v>
      </c>
      <c r="G147" s="173"/>
      <c r="H147" s="173">
        <v>29.9</v>
      </c>
      <c r="I147" s="154">
        <v>744984.64285714505</v>
      </c>
      <c r="J147" s="190">
        <f>VLOOKUP($A147&amp;$B147,'LE Inputs'!$C$2:$J$505,MATCH('LE UtilityData'!J$1,'LE Inputs'!$C$1:$J$1,0),0)*1000</f>
        <v>1310232.3702413859</v>
      </c>
      <c r="K147" s="190">
        <v>526252.81702400395</v>
      </c>
      <c r="L147" s="164">
        <v>358198.28860091174</v>
      </c>
      <c r="M147" s="299">
        <v>354809.77</v>
      </c>
      <c r="N147" s="156">
        <v>42531.0117511383</v>
      </c>
      <c r="O147" s="190" t="e">
        <f>VLOOKUP($A147&amp;$B147,'LE Inputs'!$C$2:$J$505,MATCH('LE UtilityData'!O$1,'LE Inputs'!$C$1:$J$1,0),0)</f>
        <v>#N/A</v>
      </c>
      <c r="P147" s="190" t="e">
        <f>VLOOKUP($A147&amp;$B147,'LE Inputs'!$C$2:$J$505,MATCH('LE UtilityData'!P$1,'LE Inputs'!$C$1:$J$1,0),0)</f>
        <v>#N/A</v>
      </c>
      <c r="Q147" s="164">
        <v>864.1</v>
      </c>
      <c r="R147" s="164">
        <v>0.05</v>
      </c>
      <c r="S147" s="166">
        <v>4124</v>
      </c>
      <c r="T147" s="166">
        <v>1696</v>
      </c>
      <c r="U147" s="166">
        <f t="shared" si="9"/>
        <v>0</v>
      </c>
      <c r="V147" s="166">
        <f t="shared" si="8"/>
        <v>0</v>
      </c>
      <c r="Y147" s="292">
        <v>864.15</v>
      </c>
      <c r="Z147" s="292">
        <v>0.1</v>
      </c>
    </row>
    <row r="148" spans="1:26" x14ac:dyDescent="0.2">
      <c r="A148" s="153">
        <v>2013</v>
      </c>
      <c r="B148" s="153">
        <v>3</v>
      </c>
      <c r="C148" s="168"/>
      <c r="D148" s="168"/>
      <c r="E148" s="173">
        <v>9.7259169494704008</v>
      </c>
      <c r="F148" s="279">
        <v>9.5861743542818498</v>
      </c>
      <c r="G148" s="173"/>
      <c r="H148" s="173">
        <v>30.52</v>
      </c>
      <c r="I148" s="154">
        <v>745453.64285714505</v>
      </c>
      <c r="J148" s="190">
        <f>VLOOKUP($A148&amp;$B148,'LE Inputs'!$C$2:$J$505,MATCH('LE UtilityData'!J$1,'LE Inputs'!$C$1:$J$1,0),0)*1000</f>
        <v>1310232.3702413859</v>
      </c>
      <c r="K148" s="190">
        <v>526252.81702400395</v>
      </c>
      <c r="L148" s="164">
        <v>358423.78989005176</v>
      </c>
      <c r="M148" s="299">
        <v>354817.47</v>
      </c>
      <c r="N148" s="156">
        <v>42531.0117511383</v>
      </c>
      <c r="O148" s="190" t="e">
        <f>VLOOKUP($A148&amp;$B148,'LE Inputs'!$C$2:$J$505,MATCH('LE UtilityData'!O$1,'LE Inputs'!$C$1:$J$1,0),0)</f>
        <v>#N/A</v>
      </c>
      <c r="P148" s="190" t="e">
        <f>VLOOKUP($A148&amp;$B148,'LE Inputs'!$C$2:$J$505,MATCH('LE UtilityData'!P$1,'LE Inputs'!$C$1:$J$1,0),0)</f>
        <v>#N/A</v>
      </c>
      <c r="Q148" s="164">
        <v>674.3</v>
      </c>
      <c r="R148" s="164">
        <v>1.1499999999999999</v>
      </c>
      <c r="S148" s="166">
        <v>4124</v>
      </c>
      <c r="T148" s="166">
        <v>1696</v>
      </c>
      <c r="U148" s="166">
        <f t="shared" si="9"/>
        <v>0</v>
      </c>
      <c r="V148" s="166">
        <f t="shared" si="8"/>
        <v>0</v>
      </c>
      <c r="Y148" s="292">
        <v>667.2</v>
      </c>
      <c r="Z148" s="292">
        <v>1.3</v>
      </c>
    </row>
    <row r="149" spans="1:26" x14ac:dyDescent="0.2">
      <c r="A149" s="153">
        <v>2013</v>
      </c>
      <c r="B149" s="153">
        <v>4</v>
      </c>
      <c r="C149" s="168"/>
      <c r="D149" s="168"/>
      <c r="E149" s="173">
        <v>9.7259169494704008</v>
      </c>
      <c r="F149" s="279">
        <v>9.5861743542818498</v>
      </c>
      <c r="G149" s="173"/>
      <c r="H149" s="173">
        <v>30.57</v>
      </c>
      <c r="I149" s="154">
        <v>745922.64285714505</v>
      </c>
      <c r="J149" s="190">
        <f>VLOOKUP($A149&amp;$B149,'LE Inputs'!$C$2:$J$505,MATCH('LE UtilityData'!J$1,'LE Inputs'!$C$1:$J$1,0),0)*1000</f>
        <v>1312472.1746129398</v>
      </c>
      <c r="K149" s="190">
        <v>527469.11783491645</v>
      </c>
      <c r="L149" s="164">
        <v>358649.29117919179</v>
      </c>
      <c r="M149" s="299">
        <v>355464.02</v>
      </c>
      <c r="N149" s="156">
        <v>42830.175046670098</v>
      </c>
      <c r="O149" s="190" t="e">
        <f>VLOOKUP($A149&amp;$B149,'LE Inputs'!$C$2:$J$505,MATCH('LE UtilityData'!O$1,'LE Inputs'!$C$1:$J$1,0),0)</f>
        <v>#N/A</v>
      </c>
      <c r="P149" s="190" t="e">
        <f>VLOOKUP($A149&amp;$B149,'LE Inputs'!$C$2:$J$505,MATCH('LE UtilityData'!P$1,'LE Inputs'!$C$1:$J$1,0),0)</f>
        <v>#N/A</v>
      </c>
      <c r="Q149" s="164">
        <v>377.1</v>
      </c>
      <c r="R149" s="164">
        <v>20.25</v>
      </c>
      <c r="S149" s="166">
        <v>4124</v>
      </c>
      <c r="T149" s="166">
        <v>1696</v>
      </c>
      <c r="U149" s="166">
        <f t="shared" si="9"/>
        <v>0</v>
      </c>
      <c r="V149" s="166">
        <f t="shared" si="8"/>
        <v>0</v>
      </c>
      <c r="Y149" s="292">
        <v>375.3</v>
      </c>
      <c r="Z149" s="292">
        <v>18.850000000000001</v>
      </c>
    </row>
    <row r="150" spans="1:26" x14ac:dyDescent="0.2">
      <c r="A150" s="153">
        <v>2013</v>
      </c>
      <c r="B150" s="153">
        <v>5</v>
      </c>
      <c r="C150" s="168"/>
      <c r="D150" s="168"/>
      <c r="E150" s="173">
        <v>9.7259169494704008</v>
      </c>
      <c r="F150" s="279">
        <v>9.5861743542818498</v>
      </c>
      <c r="G150" s="173"/>
      <c r="H150" s="173">
        <v>29.57</v>
      </c>
      <c r="I150" s="154">
        <v>746391.64285714505</v>
      </c>
      <c r="J150" s="190">
        <f>VLOOKUP($A150&amp;$B150,'LE Inputs'!$C$2:$J$505,MATCH('LE UtilityData'!J$1,'LE Inputs'!$C$1:$J$1,0),0)*1000</f>
        <v>1312472.1746129398</v>
      </c>
      <c r="K150" s="190">
        <v>527469.11783491645</v>
      </c>
      <c r="L150" s="164">
        <v>358874.79246833187</v>
      </c>
      <c r="M150" s="299">
        <v>355471.02</v>
      </c>
      <c r="N150" s="156">
        <v>42830.175046670098</v>
      </c>
      <c r="O150" s="190" t="e">
        <f>VLOOKUP($A150&amp;$B150,'LE Inputs'!$C$2:$J$505,MATCH('LE UtilityData'!O$1,'LE Inputs'!$C$1:$J$1,0),0)</f>
        <v>#N/A</v>
      </c>
      <c r="P150" s="190" t="e">
        <f>VLOOKUP($A150&amp;$B150,'LE Inputs'!$C$2:$J$505,MATCH('LE UtilityData'!P$1,'LE Inputs'!$C$1:$J$1,0),0)</f>
        <v>#N/A</v>
      </c>
      <c r="Q150" s="164">
        <v>141</v>
      </c>
      <c r="R150" s="164">
        <v>69.349999999999994</v>
      </c>
      <c r="S150" s="166">
        <v>4124</v>
      </c>
      <c r="T150" s="166">
        <v>1696</v>
      </c>
      <c r="U150" s="166">
        <f t="shared" si="9"/>
        <v>0</v>
      </c>
      <c r="V150" s="166">
        <f t="shared" si="8"/>
        <v>0</v>
      </c>
      <c r="Y150" s="292">
        <v>140.05000000000001</v>
      </c>
      <c r="Z150" s="292">
        <v>70.150000000000006</v>
      </c>
    </row>
    <row r="151" spans="1:26" x14ac:dyDescent="0.2">
      <c r="A151" s="153">
        <v>2013</v>
      </c>
      <c r="B151" s="153">
        <v>6</v>
      </c>
      <c r="C151" s="168"/>
      <c r="D151" s="168"/>
      <c r="E151" s="173">
        <v>9.7259169494704008</v>
      </c>
      <c r="F151" s="279">
        <v>9.5861743542818498</v>
      </c>
      <c r="G151" s="173"/>
      <c r="H151" s="173">
        <v>30.67</v>
      </c>
      <c r="I151" s="154">
        <v>746863.51190476306</v>
      </c>
      <c r="J151" s="190">
        <f>VLOOKUP($A151&amp;$B151,'LE Inputs'!$C$2:$J$505,MATCH('LE UtilityData'!J$1,'LE Inputs'!$C$1:$J$1,0),0)*1000</f>
        <v>1312472.1746129398</v>
      </c>
      <c r="K151" s="190">
        <v>527469.11783491645</v>
      </c>
      <c r="L151" s="164">
        <v>359101.67323281616</v>
      </c>
      <c r="M151" s="299">
        <v>355477.7</v>
      </c>
      <c r="N151" s="156">
        <v>42830.175046670098</v>
      </c>
      <c r="O151" s="190" t="e">
        <f>VLOOKUP($A151&amp;$B151,'LE Inputs'!$C$2:$J$505,MATCH('LE UtilityData'!O$1,'LE Inputs'!$C$1:$J$1,0),0)</f>
        <v>#N/A</v>
      </c>
      <c r="P151" s="190" t="e">
        <f>VLOOKUP($A151&amp;$B151,'LE Inputs'!$C$2:$J$505,MATCH('LE UtilityData'!P$1,'LE Inputs'!$C$1:$J$1,0),0)</f>
        <v>#N/A</v>
      </c>
      <c r="Q151" s="164">
        <v>29.5</v>
      </c>
      <c r="R151" s="164">
        <v>224.8</v>
      </c>
      <c r="S151" s="166">
        <v>4124</v>
      </c>
      <c r="T151" s="166">
        <v>1696</v>
      </c>
      <c r="U151" s="166">
        <f t="shared" si="9"/>
        <v>0</v>
      </c>
      <c r="V151" s="166">
        <f t="shared" si="8"/>
        <v>0</v>
      </c>
      <c r="Y151" s="292">
        <v>28.15</v>
      </c>
      <c r="Z151" s="292">
        <v>221.6</v>
      </c>
    </row>
    <row r="152" spans="1:26" x14ac:dyDescent="0.2">
      <c r="A152" s="153">
        <v>2013</v>
      </c>
      <c r="B152" s="153">
        <v>7</v>
      </c>
      <c r="C152" s="168"/>
      <c r="D152" s="168"/>
      <c r="E152" s="173">
        <v>9.7259169494704008</v>
      </c>
      <c r="F152" s="279">
        <v>9.5861743542818498</v>
      </c>
      <c r="G152" s="173"/>
      <c r="H152" s="173">
        <v>30.67</v>
      </c>
      <c r="I152" s="154">
        <v>747332.51190476306</v>
      </c>
      <c r="J152" s="190">
        <f>VLOOKUP($A152&amp;$B152,'LE Inputs'!$C$2:$J$505,MATCH('LE UtilityData'!J$1,'LE Inputs'!$C$1:$J$1,0),0)*1000</f>
        <v>1314692.9069541804</v>
      </c>
      <c r="K152" s="190">
        <v>528581.11988898157</v>
      </c>
      <c r="L152" s="164">
        <v>359327.17452195619</v>
      </c>
      <c r="M152" s="299">
        <v>356068.62</v>
      </c>
      <c r="N152" s="156">
        <v>43172.743902757902</v>
      </c>
      <c r="O152" s="190" t="e">
        <f>VLOOKUP($A152&amp;$B152,'LE Inputs'!$C$2:$J$505,MATCH('LE UtilityData'!O$1,'LE Inputs'!$C$1:$J$1,0),0)</f>
        <v>#N/A</v>
      </c>
      <c r="P152" s="190" t="e">
        <f>VLOOKUP($A152&amp;$B152,'LE Inputs'!$C$2:$J$505,MATCH('LE UtilityData'!P$1,'LE Inputs'!$C$1:$J$1,0),0)</f>
        <v>#N/A</v>
      </c>
      <c r="Q152" s="164">
        <v>0.55000000000000004</v>
      </c>
      <c r="R152" s="164">
        <v>396.4</v>
      </c>
      <c r="S152" s="166">
        <v>4124</v>
      </c>
      <c r="T152" s="166">
        <v>1696</v>
      </c>
      <c r="U152" s="166">
        <f t="shared" si="9"/>
        <v>0</v>
      </c>
      <c r="V152" s="166">
        <f t="shared" si="8"/>
        <v>0</v>
      </c>
      <c r="Y152" s="292">
        <v>0.55000000000000004</v>
      </c>
      <c r="Z152" s="292">
        <v>394.35</v>
      </c>
    </row>
    <row r="153" spans="1:26" x14ac:dyDescent="0.2">
      <c r="A153" s="153">
        <v>2013</v>
      </c>
      <c r="B153" s="153">
        <v>8</v>
      </c>
      <c r="C153" s="168"/>
      <c r="D153" s="168"/>
      <c r="E153" s="173">
        <v>9.7259169494704008</v>
      </c>
      <c r="F153" s="279">
        <v>9.5861743542818498</v>
      </c>
      <c r="G153" s="173"/>
      <c r="H153" s="173">
        <v>29.48</v>
      </c>
      <c r="I153" s="154">
        <v>747801.51190476306</v>
      </c>
      <c r="J153" s="190">
        <f>VLOOKUP($A153&amp;$B153,'LE Inputs'!$C$2:$J$505,MATCH('LE UtilityData'!J$1,'LE Inputs'!$C$1:$J$1,0),0)*1000</f>
        <v>1314692.9069541804</v>
      </c>
      <c r="K153" s="190">
        <v>528581.11988898157</v>
      </c>
      <c r="L153" s="164">
        <v>359552.67581109621</v>
      </c>
      <c r="M153" s="299">
        <v>356074.71</v>
      </c>
      <c r="N153" s="156">
        <v>43172.743902757902</v>
      </c>
      <c r="O153" s="190" t="e">
        <f>VLOOKUP($A153&amp;$B153,'LE Inputs'!$C$2:$J$505,MATCH('LE UtilityData'!O$1,'LE Inputs'!$C$1:$J$1,0),0)</f>
        <v>#N/A</v>
      </c>
      <c r="P153" s="190" t="e">
        <f>VLOOKUP($A153&amp;$B153,'LE Inputs'!$C$2:$J$505,MATCH('LE UtilityData'!P$1,'LE Inputs'!$C$1:$J$1,0),0)</f>
        <v>#N/A</v>
      </c>
      <c r="Q153" s="164">
        <v>0.1</v>
      </c>
      <c r="R153" s="164">
        <v>417.05</v>
      </c>
      <c r="S153" s="166">
        <v>4124</v>
      </c>
      <c r="T153" s="166">
        <v>1696</v>
      </c>
      <c r="U153" s="166">
        <f t="shared" si="9"/>
        <v>0</v>
      </c>
      <c r="V153" s="166">
        <f t="shared" si="8"/>
        <v>0</v>
      </c>
      <c r="Y153" s="292">
        <v>0.1</v>
      </c>
      <c r="Z153" s="292">
        <v>407.95</v>
      </c>
    </row>
    <row r="154" spans="1:26" x14ac:dyDescent="0.2">
      <c r="A154" s="153">
        <v>2013</v>
      </c>
      <c r="B154" s="153">
        <v>9</v>
      </c>
      <c r="C154" s="168"/>
      <c r="D154" s="168"/>
      <c r="E154" s="173">
        <v>9.7259169494704008</v>
      </c>
      <c r="F154" s="279">
        <v>9.5861743542818498</v>
      </c>
      <c r="G154" s="173"/>
      <c r="H154" s="173">
        <v>30.71</v>
      </c>
      <c r="I154" s="154">
        <v>748270.51190476306</v>
      </c>
      <c r="J154" s="190">
        <f>VLOOKUP($A154&amp;$B154,'LE Inputs'!$C$2:$J$505,MATCH('LE UtilityData'!J$1,'LE Inputs'!$C$1:$J$1,0),0)*1000</f>
        <v>1314692.9069541804</v>
      </c>
      <c r="K154" s="190">
        <v>528581.11988898157</v>
      </c>
      <c r="L154" s="164">
        <v>359778.17710023624</v>
      </c>
      <c r="M154" s="299">
        <v>356080.51</v>
      </c>
      <c r="N154" s="156">
        <v>43172.743902757902</v>
      </c>
      <c r="O154" s="190" t="e">
        <f>VLOOKUP($A154&amp;$B154,'LE Inputs'!$C$2:$J$505,MATCH('LE UtilityData'!O$1,'LE Inputs'!$C$1:$J$1,0),0)</f>
        <v>#N/A</v>
      </c>
      <c r="P154" s="190" t="e">
        <f>VLOOKUP($A154&amp;$B154,'LE Inputs'!$C$2:$J$505,MATCH('LE UtilityData'!P$1,'LE Inputs'!$C$1:$J$1,0),0)</f>
        <v>#N/A</v>
      </c>
      <c r="Q154" s="164">
        <v>5.35</v>
      </c>
      <c r="R154" s="164">
        <v>330.2</v>
      </c>
      <c r="S154" s="166">
        <v>4124</v>
      </c>
      <c r="T154" s="166">
        <v>1696</v>
      </c>
      <c r="U154" s="166">
        <f t="shared" si="9"/>
        <v>0</v>
      </c>
      <c r="V154" s="166">
        <f t="shared" si="8"/>
        <v>0</v>
      </c>
      <c r="Y154" s="292">
        <v>5.2</v>
      </c>
      <c r="Z154" s="292">
        <v>328.8</v>
      </c>
    </row>
    <row r="155" spans="1:26" x14ac:dyDescent="0.2">
      <c r="A155" s="153">
        <v>2013</v>
      </c>
      <c r="B155" s="153">
        <v>10</v>
      </c>
      <c r="C155" s="168"/>
      <c r="D155" s="168"/>
      <c r="E155" s="173">
        <v>9.7259169494704008</v>
      </c>
      <c r="F155" s="279">
        <v>9.5861743542818498</v>
      </c>
      <c r="G155" s="173"/>
      <c r="H155" s="173">
        <v>29.52</v>
      </c>
      <c r="I155" s="154">
        <v>748739.51190476306</v>
      </c>
      <c r="J155" s="190">
        <f>VLOOKUP($A155&amp;$B155,'LE Inputs'!$C$2:$J$505,MATCH('LE UtilityData'!J$1,'LE Inputs'!$C$1:$J$1,0),0)*1000</f>
        <v>1316786.3350402587</v>
      </c>
      <c r="K155" s="190">
        <v>529785.9116243826</v>
      </c>
      <c r="L155" s="164">
        <v>360003.67838937626</v>
      </c>
      <c r="M155" s="299">
        <v>356719.48</v>
      </c>
      <c r="N155" s="156">
        <v>43441.165063020897</v>
      </c>
      <c r="O155" s="190" t="e">
        <f>VLOOKUP($A155&amp;$B155,'LE Inputs'!$C$2:$J$505,MATCH('LE UtilityData'!O$1,'LE Inputs'!$C$1:$J$1,0),0)</f>
        <v>#N/A</v>
      </c>
      <c r="P155" s="190" t="e">
        <f>VLOOKUP($A155&amp;$B155,'LE Inputs'!$C$2:$J$505,MATCH('LE UtilityData'!P$1,'LE Inputs'!$C$1:$J$1,0),0)</f>
        <v>#N/A</v>
      </c>
      <c r="Q155" s="164">
        <v>99.3</v>
      </c>
      <c r="R155" s="164">
        <v>100.05</v>
      </c>
      <c r="S155" s="166">
        <v>4124</v>
      </c>
      <c r="T155" s="166">
        <v>1696</v>
      </c>
      <c r="U155" s="166">
        <f t="shared" si="9"/>
        <v>0</v>
      </c>
      <c r="V155" s="166">
        <f t="shared" si="8"/>
        <v>0</v>
      </c>
      <c r="Y155" s="292">
        <v>101.05</v>
      </c>
      <c r="Z155" s="292">
        <v>101.65</v>
      </c>
    </row>
    <row r="156" spans="1:26" x14ac:dyDescent="0.2">
      <c r="A156" s="153">
        <v>2013</v>
      </c>
      <c r="B156" s="153">
        <v>11</v>
      </c>
      <c r="C156" s="168"/>
      <c r="D156" s="168"/>
      <c r="E156" s="173">
        <v>9.7259169494704008</v>
      </c>
      <c r="F156" s="279">
        <v>9.5861743542818498</v>
      </c>
      <c r="G156" s="173"/>
      <c r="H156" s="173">
        <v>29.38</v>
      </c>
      <c r="I156" s="154">
        <v>749208.51190476306</v>
      </c>
      <c r="J156" s="190">
        <f>VLOOKUP($A156&amp;$B156,'LE Inputs'!$C$2:$J$505,MATCH('LE UtilityData'!J$1,'LE Inputs'!$C$1:$J$1,0),0)*1000</f>
        <v>1316786.3350402587</v>
      </c>
      <c r="K156" s="190">
        <v>529785.9116243826</v>
      </c>
      <c r="L156" s="164">
        <v>360229.17967851635</v>
      </c>
      <c r="M156" s="299">
        <v>356724.77</v>
      </c>
      <c r="N156" s="156">
        <v>43441.165063020897</v>
      </c>
      <c r="O156" s="190" t="e">
        <f>VLOOKUP($A156&amp;$B156,'LE Inputs'!$C$2:$J$505,MATCH('LE UtilityData'!O$1,'LE Inputs'!$C$1:$J$1,0),0)</f>
        <v>#N/A</v>
      </c>
      <c r="P156" s="190" t="e">
        <f>VLOOKUP($A156&amp;$B156,'LE Inputs'!$C$2:$J$505,MATCH('LE UtilityData'!P$1,'LE Inputs'!$C$1:$J$1,0),0)</f>
        <v>#N/A</v>
      </c>
      <c r="Q156" s="164">
        <v>352.6</v>
      </c>
      <c r="R156" s="164">
        <v>12.75</v>
      </c>
      <c r="S156" s="166">
        <v>4124</v>
      </c>
      <c r="T156" s="166">
        <v>1696</v>
      </c>
      <c r="U156" s="166">
        <f t="shared" si="9"/>
        <v>0</v>
      </c>
      <c r="V156" s="166">
        <f t="shared" si="8"/>
        <v>0</v>
      </c>
      <c r="Y156" s="292">
        <v>350.65</v>
      </c>
      <c r="Z156" s="292">
        <v>14</v>
      </c>
    </row>
    <row r="157" spans="1:26" x14ac:dyDescent="0.2">
      <c r="A157" s="153">
        <v>2013</v>
      </c>
      <c r="B157" s="153">
        <v>12</v>
      </c>
      <c r="C157" s="168"/>
      <c r="D157" s="168"/>
      <c r="E157" s="173">
        <v>9.7259169494704008</v>
      </c>
      <c r="F157" s="279">
        <v>9.5861743542818498</v>
      </c>
      <c r="G157" s="173"/>
      <c r="H157" s="173">
        <v>32.049999999999997</v>
      </c>
      <c r="I157" s="154">
        <v>749677.51190476306</v>
      </c>
      <c r="J157" s="190">
        <f>VLOOKUP($A157&amp;$B157,'LE Inputs'!$C$2:$J$505,MATCH('LE UtilityData'!J$1,'LE Inputs'!$C$1:$J$1,0),0)*1000</f>
        <v>1316786.3350402587</v>
      </c>
      <c r="K157" s="190">
        <v>529785.9116243826</v>
      </c>
      <c r="L157" s="164">
        <v>360454.68096765637</v>
      </c>
      <c r="M157" s="299">
        <v>356729.82</v>
      </c>
      <c r="N157" s="156">
        <v>43441.165063020897</v>
      </c>
      <c r="O157" s="190" t="e">
        <f>VLOOKUP($A157&amp;$B157,'LE Inputs'!$C$2:$J$505,MATCH('LE UtilityData'!O$1,'LE Inputs'!$C$1:$J$1,0),0)</f>
        <v>#N/A</v>
      </c>
      <c r="P157" s="190" t="e">
        <f>VLOOKUP($A157&amp;$B157,'LE Inputs'!$C$2:$J$505,MATCH('LE UtilityData'!P$1,'LE Inputs'!$C$1:$J$1,0),0)</f>
        <v>#N/A</v>
      </c>
      <c r="Q157" s="164">
        <v>669.9</v>
      </c>
      <c r="R157" s="164">
        <v>1.05</v>
      </c>
      <c r="S157" s="166">
        <v>4124</v>
      </c>
      <c r="T157" s="166">
        <v>1696</v>
      </c>
      <c r="U157" s="166">
        <f t="shared" si="9"/>
        <v>0</v>
      </c>
      <c r="V157" s="166">
        <f t="shared" si="8"/>
        <v>0</v>
      </c>
      <c r="Y157" s="292">
        <v>688.5</v>
      </c>
      <c r="Z157" s="292">
        <v>0.95</v>
      </c>
    </row>
    <row r="158" spans="1:26" x14ac:dyDescent="0.2">
      <c r="A158" s="153">
        <v>2014</v>
      </c>
      <c r="B158" s="153">
        <v>1</v>
      </c>
      <c r="C158" s="168"/>
      <c r="D158" s="168"/>
      <c r="E158" s="173">
        <v>11.003830034113445</v>
      </c>
      <c r="F158" s="279">
        <v>10.2919641845894</v>
      </c>
      <c r="G158" s="173"/>
      <c r="H158" s="173">
        <v>32.33</v>
      </c>
      <c r="I158" s="154">
        <v>750146.51190476306</v>
      </c>
      <c r="J158" s="190">
        <f>VLOOKUP($A158&amp;$B158,'LE Inputs'!$C$2:$J$505,MATCH('LE UtilityData'!J$1,'LE Inputs'!$C$1:$J$1,0),0)*1000</f>
        <v>1319134.4237950433</v>
      </c>
      <c r="K158" s="190">
        <v>531032.70027044415</v>
      </c>
      <c r="L158" s="164">
        <v>360680.1822567964</v>
      </c>
      <c r="M158" s="299">
        <v>357390.13</v>
      </c>
      <c r="N158" s="156">
        <v>44165.774600884397</v>
      </c>
      <c r="O158" s="190" t="e">
        <f>VLOOKUP($A158&amp;$B158,'LE Inputs'!$C$2:$J$505,MATCH('LE UtilityData'!O$1,'LE Inputs'!$C$1:$J$1,0),0)</f>
        <v>#N/A</v>
      </c>
      <c r="P158" s="190" t="e">
        <f>VLOOKUP($A158&amp;$B158,'LE Inputs'!$C$2:$J$505,MATCH('LE UtilityData'!P$1,'LE Inputs'!$C$1:$J$1,0),0)</f>
        <v>#N/A</v>
      </c>
      <c r="Q158" s="168">
        <f t="shared" ref="Q158:R173" si="11">Q146</f>
        <v>932.4</v>
      </c>
      <c r="R158" s="168">
        <f t="shared" si="11"/>
        <v>0.35</v>
      </c>
      <c r="S158" s="166">
        <v>4124</v>
      </c>
      <c r="T158" s="166">
        <v>1696</v>
      </c>
      <c r="U158" s="166">
        <f t="shared" si="9"/>
        <v>0</v>
      </c>
      <c r="V158" s="166">
        <f t="shared" si="8"/>
        <v>0</v>
      </c>
    </row>
    <row r="159" spans="1:26" x14ac:dyDescent="0.2">
      <c r="A159" s="153">
        <v>2014</v>
      </c>
      <c r="B159" s="153">
        <v>2</v>
      </c>
      <c r="C159" s="168"/>
      <c r="D159" s="168"/>
      <c r="E159" s="173">
        <v>11.003830034113445</v>
      </c>
      <c r="F159" s="279">
        <v>10.2919641845894</v>
      </c>
      <c r="G159" s="173"/>
      <c r="H159" s="173">
        <v>30.05</v>
      </c>
      <c r="I159" s="154">
        <v>750615.51190476306</v>
      </c>
      <c r="J159" s="190">
        <f>VLOOKUP($A159&amp;$B159,'LE Inputs'!$C$2:$J$505,MATCH('LE UtilityData'!J$1,'LE Inputs'!$C$1:$J$1,0),0)*1000</f>
        <v>1319134.4237950433</v>
      </c>
      <c r="K159" s="190">
        <v>531032.70027044415</v>
      </c>
      <c r="L159" s="164">
        <v>360905.68354593648</v>
      </c>
      <c r="M159" s="299">
        <v>357394.73</v>
      </c>
      <c r="N159" s="156">
        <v>44165.774600884397</v>
      </c>
      <c r="O159" s="190" t="e">
        <f>VLOOKUP($A159&amp;$B159,'LE Inputs'!$C$2:$J$505,MATCH('LE UtilityData'!O$1,'LE Inputs'!$C$1:$J$1,0),0)</f>
        <v>#N/A</v>
      </c>
      <c r="P159" s="190" t="e">
        <f>VLOOKUP($A159&amp;$B159,'LE Inputs'!$C$2:$J$505,MATCH('LE UtilityData'!P$1,'LE Inputs'!$C$1:$J$1,0),0)</f>
        <v>#N/A</v>
      </c>
      <c r="Q159" s="168">
        <f t="shared" si="11"/>
        <v>864.1</v>
      </c>
      <c r="R159" s="168">
        <f t="shared" si="11"/>
        <v>0.05</v>
      </c>
      <c r="S159" s="166">
        <v>4124</v>
      </c>
      <c r="T159" s="166">
        <v>1696</v>
      </c>
      <c r="U159" s="166">
        <f t="shared" si="9"/>
        <v>0</v>
      </c>
      <c r="V159" s="166">
        <f t="shared" si="8"/>
        <v>0</v>
      </c>
    </row>
    <row r="160" spans="1:26" x14ac:dyDescent="0.2">
      <c r="A160" s="153">
        <v>2014</v>
      </c>
      <c r="B160" s="153">
        <v>3</v>
      </c>
      <c r="C160" s="168"/>
      <c r="D160" s="168"/>
      <c r="E160" s="173">
        <v>11.003830034113445</v>
      </c>
      <c r="F160" s="279">
        <v>10.2919641845894</v>
      </c>
      <c r="G160" s="173"/>
      <c r="H160" s="173">
        <v>30.19</v>
      </c>
      <c r="I160" s="154">
        <v>751084.51190476306</v>
      </c>
      <c r="J160" s="190">
        <f>VLOOKUP($A160&amp;$B160,'LE Inputs'!$C$2:$J$505,MATCH('LE UtilityData'!J$1,'LE Inputs'!$C$1:$J$1,0),0)*1000</f>
        <v>1319134.4237950433</v>
      </c>
      <c r="K160" s="190">
        <v>531032.70027044415</v>
      </c>
      <c r="L160" s="164">
        <v>361131.18483507656</v>
      </c>
      <c r="M160" s="299">
        <v>357399.11</v>
      </c>
      <c r="N160" s="156">
        <v>44165.774600884397</v>
      </c>
      <c r="O160" s="190" t="e">
        <f>VLOOKUP($A160&amp;$B160,'LE Inputs'!$C$2:$J$505,MATCH('LE UtilityData'!O$1,'LE Inputs'!$C$1:$J$1,0),0)</f>
        <v>#N/A</v>
      </c>
      <c r="P160" s="190" t="e">
        <f>VLOOKUP($A160&amp;$B160,'LE Inputs'!$C$2:$J$505,MATCH('LE UtilityData'!P$1,'LE Inputs'!$C$1:$J$1,0),0)</f>
        <v>#N/A</v>
      </c>
      <c r="Q160" s="168">
        <f t="shared" si="11"/>
        <v>674.3</v>
      </c>
      <c r="R160" s="168">
        <f t="shared" si="11"/>
        <v>1.1499999999999999</v>
      </c>
      <c r="S160" s="166">
        <v>4124</v>
      </c>
      <c r="T160" s="166">
        <v>1696</v>
      </c>
      <c r="U160" s="166">
        <f t="shared" si="9"/>
        <v>0</v>
      </c>
      <c r="V160" s="166">
        <f t="shared" si="8"/>
        <v>0</v>
      </c>
    </row>
    <row r="161" spans="1:22" x14ac:dyDescent="0.2">
      <c r="A161" s="153">
        <v>2014</v>
      </c>
      <c r="B161" s="153">
        <v>4</v>
      </c>
      <c r="C161" s="168"/>
      <c r="D161" s="168"/>
      <c r="E161" s="173">
        <v>11.003830034113445</v>
      </c>
      <c r="F161" s="279">
        <v>10.2919641845894</v>
      </c>
      <c r="G161" s="173"/>
      <c r="H161" s="173">
        <v>30</v>
      </c>
      <c r="I161" s="154">
        <v>751553.51190476306</v>
      </c>
      <c r="J161" s="190">
        <f>VLOOKUP($A161&amp;$B161,'LE Inputs'!$C$2:$J$505,MATCH('LE UtilityData'!J$1,'LE Inputs'!$C$1:$J$1,0),0)*1000</f>
        <v>1322154.41574627</v>
      </c>
      <c r="K161" s="190">
        <v>532543.76996015944</v>
      </c>
      <c r="L161" s="164">
        <v>361356.68612421659</v>
      </c>
      <c r="M161" s="299">
        <v>358197.58</v>
      </c>
      <c r="N161" s="156">
        <v>44510.235905662397</v>
      </c>
      <c r="O161" s="190" t="e">
        <f>VLOOKUP($A161&amp;$B161,'LE Inputs'!$C$2:$J$505,MATCH('LE UtilityData'!O$1,'LE Inputs'!$C$1:$J$1,0),0)</f>
        <v>#N/A</v>
      </c>
      <c r="P161" s="190" t="e">
        <f>VLOOKUP($A161&amp;$B161,'LE Inputs'!$C$2:$J$505,MATCH('LE UtilityData'!P$1,'LE Inputs'!$C$1:$J$1,0),0)</f>
        <v>#N/A</v>
      </c>
      <c r="Q161" s="168">
        <f t="shared" si="11"/>
        <v>377.1</v>
      </c>
      <c r="R161" s="168">
        <f t="shared" si="11"/>
        <v>20.25</v>
      </c>
      <c r="S161" s="166">
        <v>4124</v>
      </c>
      <c r="T161" s="166">
        <v>1696</v>
      </c>
      <c r="U161" s="166">
        <f t="shared" si="9"/>
        <v>0</v>
      </c>
      <c r="V161" s="166">
        <f t="shared" si="8"/>
        <v>0</v>
      </c>
    </row>
    <row r="162" spans="1:22" x14ac:dyDescent="0.2">
      <c r="A162" s="153">
        <v>2014</v>
      </c>
      <c r="B162" s="153">
        <v>5</v>
      </c>
      <c r="C162" s="168"/>
      <c r="D162" s="168"/>
      <c r="E162" s="173">
        <v>11.003830034113445</v>
      </c>
      <c r="F162" s="279">
        <v>10.2919641845894</v>
      </c>
      <c r="G162" s="173"/>
      <c r="H162" s="173">
        <v>30.48</v>
      </c>
      <c r="I162" s="154">
        <v>752022.51190476306</v>
      </c>
      <c r="J162" s="190">
        <f>VLOOKUP($A162&amp;$B162,'LE Inputs'!$C$2:$J$505,MATCH('LE UtilityData'!J$1,'LE Inputs'!$C$1:$J$1,0),0)*1000</f>
        <v>1322154.41574627</v>
      </c>
      <c r="K162" s="190">
        <v>532543.76996015944</v>
      </c>
      <c r="L162" s="164">
        <v>361582.18741335662</v>
      </c>
      <c r="M162" s="299">
        <v>358201.57</v>
      </c>
      <c r="N162" s="156">
        <v>44510.235905662397</v>
      </c>
      <c r="O162" s="190" t="e">
        <f>VLOOKUP($A162&amp;$B162,'LE Inputs'!$C$2:$J$505,MATCH('LE UtilityData'!O$1,'LE Inputs'!$C$1:$J$1,0),0)</f>
        <v>#N/A</v>
      </c>
      <c r="P162" s="190" t="e">
        <f>VLOOKUP($A162&amp;$B162,'LE Inputs'!$C$2:$J$505,MATCH('LE UtilityData'!P$1,'LE Inputs'!$C$1:$J$1,0),0)</f>
        <v>#N/A</v>
      </c>
      <c r="Q162" s="168">
        <f t="shared" si="11"/>
        <v>141</v>
      </c>
      <c r="R162" s="168">
        <f t="shared" si="11"/>
        <v>69.349999999999994</v>
      </c>
      <c r="S162" s="166">
        <v>4124</v>
      </c>
      <c r="T162" s="166">
        <v>1696</v>
      </c>
      <c r="U162" s="166">
        <f t="shared" si="9"/>
        <v>0</v>
      </c>
      <c r="V162" s="166">
        <f t="shared" si="8"/>
        <v>0</v>
      </c>
    </row>
    <row r="163" spans="1:22" x14ac:dyDescent="0.2">
      <c r="A163" s="153">
        <v>2014</v>
      </c>
      <c r="B163" s="153">
        <v>6</v>
      </c>
      <c r="C163" s="168"/>
      <c r="D163" s="168"/>
      <c r="E163" s="173">
        <v>11.003830034113445</v>
      </c>
      <c r="F163" s="279">
        <v>10.2919641845894</v>
      </c>
      <c r="G163" s="173"/>
      <c r="H163" s="173">
        <v>30.52</v>
      </c>
      <c r="I163" s="154">
        <v>752494.38095238293</v>
      </c>
      <c r="J163" s="190">
        <f>VLOOKUP($A163&amp;$B163,'LE Inputs'!$C$2:$J$505,MATCH('LE UtilityData'!J$1,'LE Inputs'!$C$1:$J$1,0),0)*1000</f>
        <v>1322154.41574627</v>
      </c>
      <c r="K163" s="190">
        <v>532543.76996015944</v>
      </c>
      <c r="L163" s="164">
        <v>361809.06817784178</v>
      </c>
      <c r="M163" s="299">
        <v>358205.38</v>
      </c>
      <c r="N163" s="156">
        <v>44510.235905662397</v>
      </c>
      <c r="O163" s="190" t="e">
        <f>VLOOKUP($A163&amp;$B163,'LE Inputs'!$C$2:$J$505,MATCH('LE UtilityData'!O$1,'LE Inputs'!$C$1:$J$1,0),0)</f>
        <v>#N/A</v>
      </c>
      <c r="P163" s="190" t="e">
        <f>VLOOKUP($A163&amp;$B163,'LE Inputs'!$C$2:$J$505,MATCH('LE UtilityData'!P$1,'LE Inputs'!$C$1:$J$1,0),0)</f>
        <v>#N/A</v>
      </c>
      <c r="Q163" s="168">
        <f t="shared" si="11"/>
        <v>29.5</v>
      </c>
      <c r="R163" s="168">
        <f t="shared" si="11"/>
        <v>224.8</v>
      </c>
      <c r="S163" s="166">
        <v>4124</v>
      </c>
      <c r="T163" s="166">
        <v>1696</v>
      </c>
      <c r="U163" s="166">
        <f t="shared" si="9"/>
        <v>0</v>
      </c>
      <c r="V163" s="166">
        <f t="shared" si="8"/>
        <v>0</v>
      </c>
    </row>
    <row r="164" spans="1:22" x14ac:dyDescent="0.2">
      <c r="A164" s="153">
        <v>2014</v>
      </c>
      <c r="B164" s="153">
        <v>7</v>
      </c>
      <c r="C164" s="168"/>
      <c r="D164" s="168"/>
      <c r="E164" s="173">
        <v>11.003830034113445</v>
      </c>
      <c r="F164" s="279">
        <v>10.2919641845894</v>
      </c>
      <c r="G164" s="173"/>
      <c r="H164" s="173">
        <v>30.67</v>
      </c>
      <c r="I164" s="154">
        <v>752946.38095238293</v>
      </c>
      <c r="J164" s="190">
        <f>VLOOKUP($A164&amp;$B164,'LE Inputs'!$C$2:$J$505,MATCH('LE UtilityData'!J$1,'LE Inputs'!$C$1:$J$1,0),0)*1000</f>
        <v>1325187.4417068094</v>
      </c>
      <c r="K164" s="190">
        <v>534104.65824892046</v>
      </c>
      <c r="L164" s="164">
        <v>362026.39564626676</v>
      </c>
      <c r="M164" s="299">
        <v>359029.58</v>
      </c>
      <c r="N164" s="156">
        <v>44910.619919287499</v>
      </c>
      <c r="O164" s="190" t="e">
        <f>VLOOKUP($A164&amp;$B164,'LE Inputs'!$C$2:$J$505,MATCH('LE UtilityData'!O$1,'LE Inputs'!$C$1:$J$1,0),0)</f>
        <v>#N/A</v>
      </c>
      <c r="P164" s="190" t="e">
        <f>VLOOKUP($A164&amp;$B164,'LE Inputs'!$C$2:$J$505,MATCH('LE UtilityData'!P$1,'LE Inputs'!$C$1:$J$1,0),0)</f>
        <v>#N/A</v>
      </c>
      <c r="Q164" s="168">
        <f t="shared" si="11"/>
        <v>0.55000000000000004</v>
      </c>
      <c r="R164" s="168">
        <f t="shared" si="11"/>
        <v>396.4</v>
      </c>
      <c r="S164" s="166">
        <v>4124</v>
      </c>
      <c r="T164" s="166">
        <v>1696</v>
      </c>
      <c r="U164" s="166">
        <f t="shared" si="9"/>
        <v>0</v>
      </c>
      <c r="V164" s="166">
        <f t="shared" si="8"/>
        <v>0</v>
      </c>
    </row>
    <row r="165" spans="1:22" x14ac:dyDescent="0.2">
      <c r="A165" s="153">
        <v>2014</v>
      </c>
      <c r="B165" s="153">
        <v>8</v>
      </c>
      <c r="C165" s="168"/>
      <c r="D165" s="168"/>
      <c r="E165" s="173">
        <v>11.003830034113445</v>
      </c>
      <c r="F165" s="279">
        <v>10.2919641845894</v>
      </c>
      <c r="G165" s="173"/>
      <c r="H165" s="173">
        <v>29.48</v>
      </c>
      <c r="I165" s="154">
        <v>753398.38095238293</v>
      </c>
      <c r="J165" s="190">
        <f>VLOOKUP($A165&amp;$B165,'LE Inputs'!$C$2:$J$505,MATCH('LE UtilityData'!J$1,'LE Inputs'!$C$1:$J$1,0),0)*1000</f>
        <v>1325187.4417068094</v>
      </c>
      <c r="K165" s="190">
        <v>534104.65824892046</v>
      </c>
      <c r="L165" s="164">
        <v>362243.72311469173</v>
      </c>
      <c r="M165" s="299">
        <v>359033.05</v>
      </c>
      <c r="N165" s="156">
        <v>44910.619919287499</v>
      </c>
      <c r="O165" s="190" t="e">
        <f>VLOOKUP($A165&amp;$B165,'LE Inputs'!$C$2:$J$505,MATCH('LE UtilityData'!O$1,'LE Inputs'!$C$1:$J$1,0),0)</f>
        <v>#N/A</v>
      </c>
      <c r="P165" s="190" t="e">
        <f>VLOOKUP($A165&amp;$B165,'LE Inputs'!$C$2:$J$505,MATCH('LE UtilityData'!P$1,'LE Inputs'!$C$1:$J$1,0),0)</f>
        <v>#N/A</v>
      </c>
      <c r="Q165" s="168">
        <f t="shared" si="11"/>
        <v>0.1</v>
      </c>
      <c r="R165" s="168">
        <f t="shared" si="11"/>
        <v>417.05</v>
      </c>
      <c r="S165" s="166">
        <v>4124</v>
      </c>
      <c r="T165" s="166">
        <v>1696</v>
      </c>
      <c r="U165" s="166">
        <f t="shared" si="9"/>
        <v>0</v>
      </c>
      <c r="V165" s="166">
        <f t="shared" si="8"/>
        <v>0</v>
      </c>
    </row>
    <row r="166" spans="1:22" x14ac:dyDescent="0.2">
      <c r="A166" s="153">
        <v>2014</v>
      </c>
      <c r="B166" s="153">
        <v>9</v>
      </c>
      <c r="C166" s="168"/>
      <c r="D166" s="168"/>
      <c r="E166" s="173">
        <v>11.003830034113445</v>
      </c>
      <c r="F166" s="279">
        <v>10.2919641845894</v>
      </c>
      <c r="G166" s="173"/>
      <c r="H166" s="173">
        <v>30.86</v>
      </c>
      <c r="I166" s="154">
        <v>753850.38095238293</v>
      </c>
      <c r="J166" s="190">
        <f>VLOOKUP($A166&amp;$B166,'LE Inputs'!$C$2:$J$505,MATCH('LE UtilityData'!J$1,'LE Inputs'!$C$1:$J$1,0),0)*1000</f>
        <v>1325187.4417068094</v>
      </c>
      <c r="K166" s="190">
        <v>534104.65824892046</v>
      </c>
      <c r="L166" s="164">
        <v>362461.05058311665</v>
      </c>
      <c r="M166" s="299">
        <v>359036.36</v>
      </c>
      <c r="N166" s="156">
        <v>44910.619919287499</v>
      </c>
      <c r="O166" s="190" t="e">
        <f>VLOOKUP($A166&amp;$B166,'LE Inputs'!$C$2:$J$505,MATCH('LE UtilityData'!O$1,'LE Inputs'!$C$1:$J$1,0),0)</f>
        <v>#N/A</v>
      </c>
      <c r="P166" s="190" t="e">
        <f>VLOOKUP($A166&amp;$B166,'LE Inputs'!$C$2:$J$505,MATCH('LE UtilityData'!P$1,'LE Inputs'!$C$1:$J$1,0),0)</f>
        <v>#N/A</v>
      </c>
      <c r="Q166" s="168">
        <f t="shared" si="11"/>
        <v>5.35</v>
      </c>
      <c r="R166" s="168">
        <f t="shared" si="11"/>
        <v>330.2</v>
      </c>
      <c r="S166" s="166">
        <v>4124</v>
      </c>
      <c r="T166" s="166">
        <v>1696</v>
      </c>
      <c r="U166" s="166">
        <f t="shared" si="9"/>
        <v>0</v>
      </c>
      <c r="V166" s="166">
        <f t="shared" si="8"/>
        <v>0</v>
      </c>
    </row>
    <row r="167" spans="1:22" x14ac:dyDescent="0.2">
      <c r="A167" s="153">
        <v>2014</v>
      </c>
      <c r="B167" s="153">
        <v>10</v>
      </c>
      <c r="C167" s="168"/>
      <c r="D167" s="168"/>
      <c r="E167" s="173">
        <v>11.003830034113445</v>
      </c>
      <c r="F167" s="279">
        <v>10.2919641845894</v>
      </c>
      <c r="G167" s="173"/>
      <c r="H167" s="173">
        <v>29.38</v>
      </c>
      <c r="I167" s="154">
        <v>754302.38095238293</v>
      </c>
      <c r="J167" s="190">
        <f>VLOOKUP($A167&amp;$B167,'LE Inputs'!$C$2:$J$505,MATCH('LE UtilityData'!J$1,'LE Inputs'!$C$1:$J$1,0),0)*1000</f>
        <v>1328117.7756731741</v>
      </c>
      <c r="K167" s="190">
        <v>535598.36197161826</v>
      </c>
      <c r="L167" s="164">
        <v>362678.37805154163</v>
      </c>
      <c r="M167" s="299">
        <v>359824.33</v>
      </c>
      <c r="N167" s="156">
        <v>45249.449963663697</v>
      </c>
      <c r="O167" s="190" t="e">
        <f>VLOOKUP($A167&amp;$B167,'LE Inputs'!$C$2:$J$505,MATCH('LE UtilityData'!O$1,'LE Inputs'!$C$1:$J$1,0),0)</f>
        <v>#N/A</v>
      </c>
      <c r="P167" s="190" t="e">
        <f>VLOOKUP($A167&amp;$B167,'LE Inputs'!$C$2:$J$505,MATCH('LE UtilityData'!P$1,'LE Inputs'!$C$1:$J$1,0),0)</f>
        <v>#N/A</v>
      </c>
      <c r="Q167" s="168">
        <f t="shared" si="11"/>
        <v>99.3</v>
      </c>
      <c r="R167" s="168">
        <f t="shared" si="11"/>
        <v>100.05</v>
      </c>
      <c r="S167" s="166">
        <v>4124</v>
      </c>
      <c r="T167" s="166">
        <v>1696</v>
      </c>
      <c r="U167" s="166">
        <f t="shared" si="9"/>
        <v>0</v>
      </c>
      <c r="V167" s="166">
        <f t="shared" si="8"/>
        <v>0</v>
      </c>
    </row>
    <row r="168" spans="1:22" x14ac:dyDescent="0.2">
      <c r="A168" s="153">
        <v>2014</v>
      </c>
      <c r="B168" s="153">
        <v>11</v>
      </c>
      <c r="C168" s="168"/>
      <c r="D168" s="168"/>
      <c r="E168" s="173">
        <v>11.003830034113445</v>
      </c>
      <c r="F168" s="279">
        <v>10.2919641845894</v>
      </c>
      <c r="G168" s="173"/>
      <c r="H168" s="173">
        <v>29.57</v>
      </c>
      <c r="I168" s="154">
        <v>754754.38095238293</v>
      </c>
      <c r="J168" s="190">
        <f>VLOOKUP($A168&amp;$B168,'LE Inputs'!$C$2:$J$505,MATCH('LE UtilityData'!J$1,'LE Inputs'!$C$1:$J$1,0),0)*1000</f>
        <v>1328117.7756731741</v>
      </c>
      <c r="K168" s="190">
        <v>535598.36197161826</v>
      </c>
      <c r="L168" s="164">
        <v>362895.70551996661</v>
      </c>
      <c r="M168" s="299">
        <v>359827.35</v>
      </c>
      <c r="N168" s="156">
        <v>45249.449963663697</v>
      </c>
      <c r="O168" s="190" t="e">
        <f>VLOOKUP($A168&amp;$B168,'LE Inputs'!$C$2:$J$505,MATCH('LE UtilityData'!O$1,'LE Inputs'!$C$1:$J$1,0),0)</f>
        <v>#N/A</v>
      </c>
      <c r="P168" s="190" t="e">
        <f>VLOOKUP($A168&amp;$B168,'LE Inputs'!$C$2:$J$505,MATCH('LE UtilityData'!P$1,'LE Inputs'!$C$1:$J$1,0),0)</f>
        <v>#N/A</v>
      </c>
      <c r="Q168" s="168">
        <f t="shared" si="11"/>
        <v>352.6</v>
      </c>
      <c r="R168" s="168">
        <f t="shared" si="11"/>
        <v>12.75</v>
      </c>
      <c r="S168" s="166">
        <v>4124</v>
      </c>
      <c r="T168" s="166">
        <v>1696</v>
      </c>
      <c r="U168" s="166">
        <f t="shared" si="9"/>
        <v>0</v>
      </c>
      <c r="V168" s="166">
        <f t="shared" si="8"/>
        <v>0</v>
      </c>
    </row>
    <row r="169" spans="1:22" x14ac:dyDescent="0.2">
      <c r="A169" s="153">
        <v>2014</v>
      </c>
      <c r="B169" s="153">
        <v>12</v>
      </c>
      <c r="C169" s="168"/>
      <c r="D169" s="168"/>
      <c r="E169" s="173">
        <v>11.003830034113445</v>
      </c>
      <c r="F169" s="279">
        <v>10.2919641845894</v>
      </c>
      <c r="G169" s="173"/>
      <c r="H169" s="173">
        <v>31.81</v>
      </c>
      <c r="I169" s="154">
        <v>755206.38095238293</v>
      </c>
      <c r="J169" s="190">
        <f>VLOOKUP($A169&amp;$B169,'LE Inputs'!$C$2:$J$505,MATCH('LE UtilityData'!J$1,'LE Inputs'!$C$1:$J$1,0),0)*1000</f>
        <v>1328117.7756731741</v>
      </c>
      <c r="K169" s="190">
        <v>535598.36197161826</v>
      </c>
      <c r="L169" s="164">
        <v>363113.03298839153</v>
      </c>
      <c r="M169" s="299">
        <v>359830.22</v>
      </c>
      <c r="N169" s="156">
        <v>45249.449963663697</v>
      </c>
      <c r="O169" s="190" t="e">
        <f>VLOOKUP($A169&amp;$B169,'LE Inputs'!$C$2:$J$505,MATCH('LE UtilityData'!O$1,'LE Inputs'!$C$1:$J$1,0),0)</f>
        <v>#N/A</v>
      </c>
      <c r="P169" s="190" t="e">
        <f>VLOOKUP($A169&amp;$B169,'LE Inputs'!$C$2:$J$505,MATCH('LE UtilityData'!P$1,'LE Inputs'!$C$1:$J$1,0),0)</f>
        <v>#N/A</v>
      </c>
      <c r="Q169" s="168">
        <f t="shared" si="11"/>
        <v>669.9</v>
      </c>
      <c r="R169" s="168">
        <f t="shared" si="11"/>
        <v>1.05</v>
      </c>
      <c r="S169" s="166">
        <v>4124</v>
      </c>
      <c r="T169" s="166">
        <v>1696</v>
      </c>
      <c r="U169" s="166">
        <f t="shared" si="9"/>
        <v>0</v>
      </c>
      <c r="V169" s="166">
        <f t="shared" si="8"/>
        <v>0</v>
      </c>
    </row>
    <row r="170" spans="1:22" x14ac:dyDescent="0.2">
      <c r="A170" s="153">
        <v>2015</v>
      </c>
      <c r="B170" s="153">
        <v>1</v>
      </c>
      <c r="C170" s="168"/>
      <c r="D170" s="168"/>
      <c r="E170" s="173">
        <v>12.063906523553111</v>
      </c>
      <c r="F170" s="279">
        <v>11.4102512243312</v>
      </c>
      <c r="G170" s="173"/>
      <c r="H170" s="173">
        <v>32.380000000000003</v>
      </c>
      <c r="I170" s="154">
        <v>755658.38095238293</v>
      </c>
      <c r="J170" s="190">
        <f>VLOOKUP($A170&amp;$B170,'LE Inputs'!$C$2:$J$505,MATCH('LE UtilityData'!J$1,'LE Inputs'!$C$1:$J$1,0),0)*1000</f>
        <v>1330506.9679295849</v>
      </c>
      <c r="K170" s="190">
        <v>536815.13705564733</v>
      </c>
      <c r="L170" s="164">
        <v>363330.36045681644</v>
      </c>
      <c r="M170" s="299">
        <v>360472.7</v>
      </c>
      <c r="N170" s="156">
        <v>45815.959925457202</v>
      </c>
      <c r="O170" s="190" t="e">
        <f>VLOOKUP($A170&amp;$B170,'LE Inputs'!$C$2:$J$505,MATCH('LE UtilityData'!O$1,'LE Inputs'!$C$1:$J$1,0),0)</f>
        <v>#N/A</v>
      </c>
      <c r="P170" s="190" t="e">
        <f>VLOOKUP($A170&amp;$B170,'LE Inputs'!$C$2:$J$505,MATCH('LE UtilityData'!P$1,'LE Inputs'!$C$1:$J$1,0),0)</f>
        <v>#N/A</v>
      </c>
      <c r="Q170" s="168">
        <f t="shared" si="11"/>
        <v>932.4</v>
      </c>
      <c r="R170" s="168">
        <f t="shared" si="11"/>
        <v>0.35</v>
      </c>
      <c r="S170" s="166">
        <v>4124</v>
      </c>
      <c r="T170" s="166">
        <v>1696</v>
      </c>
      <c r="U170" s="166">
        <f t="shared" si="9"/>
        <v>0</v>
      </c>
      <c r="V170" s="166">
        <f t="shared" si="8"/>
        <v>0</v>
      </c>
    </row>
    <row r="171" spans="1:22" x14ac:dyDescent="0.2">
      <c r="A171" s="153">
        <v>2015</v>
      </c>
      <c r="B171" s="153">
        <v>2</v>
      </c>
      <c r="C171" s="168"/>
      <c r="D171" s="168"/>
      <c r="E171" s="173">
        <v>12.063906523553111</v>
      </c>
      <c r="F171" s="279">
        <v>11.4102512243312</v>
      </c>
      <c r="G171" s="173"/>
      <c r="H171" s="173">
        <v>30.19</v>
      </c>
      <c r="I171" s="154">
        <v>756110.38095238293</v>
      </c>
      <c r="J171" s="190">
        <f>VLOOKUP($A171&amp;$B171,'LE Inputs'!$C$2:$J$505,MATCH('LE UtilityData'!J$1,'LE Inputs'!$C$1:$J$1,0),0)*1000</f>
        <v>1330506.9679295849</v>
      </c>
      <c r="K171" s="190">
        <v>536815.13705564733</v>
      </c>
      <c r="L171" s="164">
        <v>363547.68792524142</v>
      </c>
      <c r="M171" s="299">
        <v>360475.32</v>
      </c>
      <c r="N171" s="156">
        <v>45815.959925457202</v>
      </c>
      <c r="O171" s="190" t="e">
        <f>VLOOKUP($A171&amp;$B171,'LE Inputs'!$C$2:$J$505,MATCH('LE UtilityData'!O$1,'LE Inputs'!$C$1:$J$1,0),0)</f>
        <v>#N/A</v>
      </c>
      <c r="P171" s="190" t="e">
        <f>VLOOKUP($A171&amp;$B171,'LE Inputs'!$C$2:$J$505,MATCH('LE UtilityData'!P$1,'LE Inputs'!$C$1:$J$1,0),0)</f>
        <v>#N/A</v>
      </c>
      <c r="Q171" s="168">
        <f t="shared" si="11"/>
        <v>864.1</v>
      </c>
      <c r="R171" s="168">
        <f t="shared" si="11"/>
        <v>0.05</v>
      </c>
      <c r="S171" s="166">
        <v>4124</v>
      </c>
      <c r="T171" s="166">
        <v>1696</v>
      </c>
      <c r="U171" s="166">
        <f t="shared" si="9"/>
        <v>0</v>
      </c>
      <c r="V171" s="166">
        <f t="shared" si="8"/>
        <v>0</v>
      </c>
    </row>
    <row r="172" spans="1:22" x14ac:dyDescent="0.2">
      <c r="A172" s="153">
        <v>2015</v>
      </c>
      <c r="B172" s="153">
        <v>3</v>
      </c>
      <c r="C172" s="168"/>
      <c r="D172" s="168"/>
      <c r="E172" s="173">
        <v>12.063906523553111</v>
      </c>
      <c r="F172" s="279">
        <v>11.4102512243312</v>
      </c>
      <c r="G172" s="173"/>
      <c r="H172" s="173">
        <v>30.05</v>
      </c>
      <c r="I172" s="154">
        <v>756562.38095238293</v>
      </c>
      <c r="J172" s="190">
        <f>VLOOKUP($A172&amp;$B172,'LE Inputs'!$C$2:$J$505,MATCH('LE UtilityData'!J$1,'LE Inputs'!$C$1:$J$1,0),0)*1000</f>
        <v>1330506.9679295849</v>
      </c>
      <c r="K172" s="190">
        <v>536815.13705564733</v>
      </c>
      <c r="L172" s="164">
        <v>363765.0153936664</v>
      </c>
      <c r="M172" s="299">
        <v>360477.82</v>
      </c>
      <c r="N172" s="156">
        <v>45815.959925457202</v>
      </c>
      <c r="O172" s="190" t="e">
        <f>VLOOKUP($A172&amp;$B172,'LE Inputs'!$C$2:$J$505,MATCH('LE UtilityData'!O$1,'LE Inputs'!$C$1:$J$1,0),0)</f>
        <v>#N/A</v>
      </c>
      <c r="P172" s="190" t="e">
        <f>VLOOKUP($A172&amp;$B172,'LE Inputs'!$C$2:$J$505,MATCH('LE UtilityData'!P$1,'LE Inputs'!$C$1:$J$1,0),0)</f>
        <v>#N/A</v>
      </c>
      <c r="Q172" s="168">
        <f t="shared" si="11"/>
        <v>674.3</v>
      </c>
      <c r="R172" s="168">
        <f t="shared" si="11"/>
        <v>1.1499999999999999</v>
      </c>
      <c r="S172" s="166">
        <v>4124</v>
      </c>
      <c r="T172" s="166">
        <v>1696</v>
      </c>
      <c r="U172" s="166">
        <f t="shared" si="9"/>
        <v>0</v>
      </c>
      <c r="V172" s="166">
        <f t="shared" si="8"/>
        <v>0</v>
      </c>
    </row>
    <row r="173" spans="1:22" x14ac:dyDescent="0.2">
      <c r="A173" s="153">
        <v>2015</v>
      </c>
      <c r="B173" s="153">
        <v>4</v>
      </c>
      <c r="C173" s="168"/>
      <c r="D173" s="168"/>
      <c r="E173" s="173">
        <v>12.063906523553111</v>
      </c>
      <c r="F173" s="279">
        <v>11.4102512243312</v>
      </c>
      <c r="G173" s="173"/>
      <c r="H173" s="173">
        <v>30.71</v>
      </c>
      <c r="I173" s="154">
        <v>757014.38095238293</v>
      </c>
      <c r="J173" s="190">
        <f>VLOOKUP($A173&amp;$B173,'LE Inputs'!$C$2:$J$505,MATCH('LE UtilityData'!J$1,'LE Inputs'!$C$1:$J$1,0),0)*1000</f>
        <v>1333572.7376408956</v>
      </c>
      <c r="K173" s="190">
        <v>538347.63078032283</v>
      </c>
      <c r="L173" s="164">
        <v>363982.34286209138</v>
      </c>
      <c r="M173" s="299">
        <v>361286.05</v>
      </c>
      <c r="N173" s="156">
        <v>46129.7795837101</v>
      </c>
      <c r="O173" s="190" t="e">
        <f>VLOOKUP($A173&amp;$B173,'LE Inputs'!$C$2:$J$505,MATCH('LE UtilityData'!O$1,'LE Inputs'!$C$1:$J$1,0),0)</f>
        <v>#N/A</v>
      </c>
      <c r="P173" s="190" t="e">
        <f>VLOOKUP($A173&amp;$B173,'LE Inputs'!$C$2:$J$505,MATCH('LE UtilityData'!P$1,'LE Inputs'!$C$1:$J$1,0),0)</f>
        <v>#N/A</v>
      </c>
      <c r="Q173" s="168">
        <f t="shared" si="11"/>
        <v>377.1</v>
      </c>
      <c r="R173" s="168">
        <f t="shared" si="11"/>
        <v>20.25</v>
      </c>
      <c r="S173" s="166">
        <v>4124</v>
      </c>
      <c r="T173" s="166">
        <v>1696</v>
      </c>
      <c r="U173" s="166">
        <f t="shared" si="9"/>
        <v>0</v>
      </c>
      <c r="V173" s="166">
        <f t="shared" si="8"/>
        <v>0</v>
      </c>
    </row>
    <row r="174" spans="1:22" x14ac:dyDescent="0.2">
      <c r="A174" s="153">
        <v>2015</v>
      </c>
      <c r="B174" s="153">
        <v>5</v>
      </c>
      <c r="C174" s="168"/>
      <c r="D174" s="168"/>
      <c r="E174" s="173">
        <v>12.063906523553111</v>
      </c>
      <c r="F174" s="279">
        <v>11.4102512243312</v>
      </c>
      <c r="G174" s="173"/>
      <c r="H174" s="173">
        <v>29.9</v>
      </c>
      <c r="I174" s="154">
        <v>757466.38095238293</v>
      </c>
      <c r="J174" s="190">
        <f>VLOOKUP($A174&amp;$B174,'LE Inputs'!$C$2:$J$505,MATCH('LE UtilityData'!J$1,'LE Inputs'!$C$1:$J$1,0),0)*1000</f>
        <v>1333572.7376408956</v>
      </c>
      <c r="K174" s="190">
        <v>538347.63078032283</v>
      </c>
      <c r="L174" s="164">
        <v>364199.67033051635</v>
      </c>
      <c r="M174" s="299">
        <v>361288.32</v>
      </c>
      <c r="N174" s="156">
        <v>46129.7795837101</v>
      </c>
      <c r="O174" s="190" t="e">
        <f>VLOOKUP($A174&amp;$B174,'LE Inputs'!$C$2:$J$505,MATCH('LE UtilityData'!O$1,'LE Inputs'!$C$1:$J$1,0),0)</f>
        <v>#N/A</v>
      </c>
      <c r="P174" s="190" t="e">
        <f>VLOOKUP($A174&amp;$B174,'LE Inputs'!$C$2:$J$505,MATCH('LE UtilityData'!P$1,'LE Inputs'!$C$1:$J$1,0),0)</f>
        <v>#N/A</v>
      </c>
      <c r="Q174" s="168">
        <f t="shared" ref="Q174:R189" si="12">Q162</f>
        <v>141</v>
      </c>
      <c r="R174" s="168">
        <f t="shared" si="12"/>
        <v>69.349999999999994</v>
      </c>
      <c r="S174" s="166">
        <v>4124</v>
      </c>
      <c r="T174" s="166">
        <v>1696</v>
      </c>
      <c r="U174" s="166">
        <f t="shared" si="9"/>
        <v>0</v>
      </c>
      <c r="V174" s="166">
        <f t="shared" si="8"/>
        <v>0</v>
      </c>
    </row>
    <row r="175" spans="1:22" x14ac:dyDescent="0.2">
      <c r="A175" s="153">
        <v>2015</v>
      </c>
      <c r="B175" s="153">
        <v>6</v>
      </c>
      <c r="C175" s="168"/>
      <c r="D175" s="168"/>
      <c r="E175" s="173">
        <v>12.063906523553111</v>
      </c>
      <c r="F175" s="279">
        <v>11.4102512243312</v>
      </c>
      <c r="G175" s="173"/>
      <c r="H175" s="173">
        <v>30.38</v>
      </c>
      <c r="I175" s="154">
        <v>757919.58381907106</v>
      </c>
      <c r="J175" s="190">
        <f>VLOOKUP($A175&amp;$B175,'LE Inputs'!$C$2:$J$505,MATCH('LE UtilityData'!J$1,'LE Inputs'!$C$1:$J$1,0),0)*1000</f>
        <v>1333572.7376408956</v>
      </c>
      <c r="K175" s="190">
        <v>538347.63078032283</v>
      </c>
      <c r="L175" s="164">
        <v>364417.57615286211</v>
      </c>
      <c r="M175" s="299">
        <v>361290.49</v>
      </c>
      <c r="N175" s="156">
        <v>46129.7795837101</v>
      </c>
      <c r="O175" s="190" t="e">
        <f>VLOOKUP($A175&amp;$B175,'LE Inputs'!$C$2:$J$505,MATCH('LE UtilityData'!O$1,'LE Inputs'!$C$1:$J$1,0),0)</f>
        <v>#N/A</v>
      </c>
      <c r="P175" s="190" t="e">
        <f>VLOOKUP($A175&amp;$B175,'LE Inputs'!$C$2:$J$505,MATCH('LE UtilityData'!P$1,'LE Inputs'!$C$1:$J$1,0),0)</f>
        <v>#N/A</v>
      </c>
      <c r="Q175" s="168">
        <f t="shared" si="12"/>
        <v>29.5</v>
      </c>
      <c r="R175" s="168">
        <f t="shared" si="12"/>
        <v>224.8</v>
      </c>
      <c r="S175" s="166">
        <v>4124</v>
      </c>
      <c r="T175" s="166">
        <v>1696</v>
      </c>
      <c r="U175" s="166">
        <f t="shared" si="9"/>
        <v>0</v>
      </c>
      <c r="V175" s="166">
        <f t="shared" si="8"/>
        <v>0</v>
      </c>
    </row>
    <row r="176" spans="1:22" x14ac:dyDescent="0.2">
      <c r="A176" s="153">
        <v>2015</v>
      </c>
      <c r="B176" s="153">
        <v>7</v>
      </c>
      <c r="C176" s="168"/>
      <c r="D176" s="168"/>
      <c r="E176" s="173">
        <v>12.063906523553111</v>
      </c>
      <c r="F176" s="279">
        <v>11.4102512243312</v>
      </c>
      <c r="G176" s="173"/>
      <c r="H176" s="173">
        <v>30.71</v>
      </c>
      <c r="I176" s="154">
        <v>758374.58381907106</v>
      </c>
      <c r="J176" s="190">
        <f>VLOOKUP($A176&amp;$B176,'LE Inputs'!$C$2:$J$505,MATCH('LE UtilityData'!J$1,'LE Inputs'!$C$1:$J$1,0),0)*1000</f>
        <v>1336681.6431664212</v>
      </c>
      <c r="K176" s="190">
        <v>539844.49205444916</v>
      </c>
      <c r="L176" s="164">
        <v>364636.34606023674</v>
      </c>
      <c r="M176" s="299">
        <v>362078.96</v>
      </c>
      <c r="N176" s="156">
        <v>46516.4630489064</v>
      </c>
      <c r="O176" s="190" t="e">
        <f>VLOOKUP($A176&amp;$B176,'LE Inputs'!$C$2:$J$505,MATCH('LE UtilityData'!O$1,'LE Inputs'!$C$1:$J$1,0),0)</f>
        <v>#N/A</v>
      </c>
      <c r="P176" s="190" t="e">
        <f>VLOOKUP($A176&amp;$B176,'LE Inputs'!$C$2:$J$505,MATCH('LE UtilityData'!P$1,'LE Inputs'!$C$1:$J$1,0),0)</f>
        <v>#N/A</v>
      </c>
      <c r="Q176" s="168">
        <f t="shared" si="12"/>
        <v>0.55000000000000004</v>
      </c>
      <c r="R176" s="168">
        <f t="shared" si="12"/>
        <v>396.4</v>
      </c>
      <c r="S176" s="166">
        <v>4124</v>
      </c>
      <c r="T176" s="166">
        <v>1696</v>
      </c>
      <c r="U176" s="166">
        <f t="shared" si="9"/>
        <v>0</v>
      </c>
      <c r="V176" s="166">
        <f t="shared" si="8"/>
        <v>0</v>
      </c>
    </row>
    <row r="177" spans="1:22" x14ac:dyDescent="0.2">
      <c r="A177" s="153">
        <v>2015</v>
      </c>
      <c r="B177" s="153">
        <v>8</v>
      </c>
      <c r="C177" s="168"/>
      <c r="D177" s="168"/>
      <c r="E177" s="173">
        <v>12.063906523553111</v>
      </c>
      <c r="F177" s="279">
        <v>11.4102512243312</v>
      </c>
      <c r="G177" s="173"/>
      <c r="H177" s="173">
        <v>29.52</v>
      </c>
      <c r="I177" s="154">
        <v>758829.58381907106</v>
      </c>
      <c r="J177" s="190">
        <f>VLOOKUP($A177&amp;$B177,'LE Inputs'!$C$2:$J$505,MATCH('LE UtilityData'!J$1,'LE Inputs'!$C$1:$J$1,0),0)*1000</f>
        <v>1336681.6431664212</v>
      </c>
      <c r="K177" s="190">
        <v>539844.49205444916</v>
      </c>
      <c r="L177" s="164">
        <v>364855.11596761137</v>
      </c>
      <c r="M177" s="299">
        <v>362080.94</v>
      </c>
      <c r="N177" s="156">
        <v>46516.4630489064</v>
      </c>
      <c r="O177" s="190" t="e">
        <f>VLOOKUP($A177&amp;$B177,'LE Inputs'!$C$2:$J$505,MATCH('LE UtilityData'!O$1,'LE Inputs'!$C$1:$J$1,0),0)</f>
        <v>#N/A</v>
      </c>
      <c r="P177" s="190" t="e">
        <f>VLOOKUP($A177&amp;$B177,'LE Inputs'!$C$2:$J$505,MATCH('LE UtilityData'!P$1,'LE Inputs'!$C$1:$J$1,0),0)</f>
        <v>#N/A</v>
      </c>
      <c r="Q177" s="168">
        <f t="shared" si="12"/>
        <v>0.1</v>
      </c>
      <c r="R177" s="168">
        <f t="shared" si="12"/>
        <v>417.05</v>
      </c>
      <c r="S177" s="166">
        <v>4124</v>
      </c>
      <c r="T177" s="166">
        <v>1696</v>
      </c>
      <c r="U177" s="166">
        <f t="shared" si="9"/>
        <v>0</v>
      </c>
      <c r="V177" s="166">
        <f t="shared" si="8"/>
        <v>0</v>
      </c>
    </row>
    <row r="178" spans="1:22" x14ac:dyDescent="0.2">
      <c r="A178" s="153">
        <v>2015</v>
      </c>
      <c r="B178" s="153">
        <v>9</v>
      </c>
      <c r="C178" s="168"/>
      <c r="D178" s="168"/>
      <c r="E178" s="173">
        <v>12.063906523553111</v>
      </c>
      <c r="F178" s="279">
        <v>11.4102512243312</v>
      </c>
      <c r="G178" s="173"/>
      <c r="H178" s="173">
        <v>30.48</v>
      </c>
      <c r="I178" s="154">
        <v>759284.58381907106</v>
      </c>
      <c r="J178" s="190">
        <f>VLOOKUP($A178&amp;$B178,'LE Inputs'!$C$2:$J$505,MATCH('LE UtilityData'!J$1,'LE Inputs'!$C$1:$J$1,0),0)*1000</f>
        <v>1336681.6431664212</v>
      </c>
      <c r="K178" s="190">
        <v>539844.49205444916</v>
      </c>
      <c r="L178" s="164">
        <v>365073.88587498607</v>
      </c>
      <c r="M178" s="299">
        <v>362082.82</v>
      </c>
      <c r="N178" s="156">
        <v>46516.4630489064</v>
      </c>
      <c r="O178" s="190" t="e">
        <f>VLOOKUP($A178&amp;$B178,'LE Inputs'!$C$2:$J$505,MATCH('LE UtilityData'!O$1,'LE Inputs'!$C$1:$J$1,0),0)</f>
        <v>#N/A</v>
      </c>
      <c r="P178" s="190" t="e">
        <f>VLOOKUP($A178&amp;$B178,'LE Inputs'!$C$2:$J$505,MATCH('LE UtilityData'!P$1,'LE Inputs'!$C$1:$J$1,0),0)</f>
        <v>#N/A</v>
      </c>
      <c r="Q178" s="168">
        <f t="shared" si="12"/>
        <v>5.35</v>
      </c>
      <c r="R178" s="168">
        <f t="shared" si="12"/>
        <v>330.2</v>
      </c>
      <c r="S178" s="166">
        <v>4124</v>
      </c>
      <c r="T178" s="166">
        <v>1696</v>
      </c>
      <c r="U178" s="166">
        <f t="shared" si="9"/>
        <v>0</v>
      </c>
      <c r="V178" s="166">
        <f t="shared" si="8"/>
        <v>0</v>
      </c>
    </row>
    <row r="179" spans="1:22" x14ac:dyDescent="0.2">
      <c r="A179" s="153">
        <v>2015</v>
      </c>
      <c r="B179" s="153">
        <v>10</v>
      </c>
      <c r="C179" s="168"/>
      <c r="D179" s="168"/>
      <c r="E179" s="173">
        <v>12.063906523553111</v>
      </c>
      <c r="F179" s="279">
        <v>11.4102512243312</v>
      </c>
      <c r="G179" s="173"/>
      <c r="H179" s="173">
        <v>29.67</v>
      </c>
      <c r="I179" s="154">
        <v>759739.58381907106</v>
      </c>
      <c r="J179" s="190">
        <f>VLOOKUP($A179&amp;$B179,'LE Inputs'!$C$2:$J$505,MATCH('LE UtilityData'!J$1,'LE Inputs'!$C$1:$J$1,0),0)*1000</f>
        <v>1339144.4262070083</v>
      </c>
      <c r="K179" s="190">
        <v>541075.07287670951</v>
      </c>
      <c r="L179" s="164">
        <v>365292.65578236076</v>
      </c>
      <c r="M179" s="299">
        <v>362731.72</v>
      </c>
      <c r="N179" s="156">
        <v>46841.333891639602</v>
      </c>
      <c r="O179" s="190" t="e">
        <f>VLOOKUP($A179&amp;$B179,'LE Inputs'!$C$2:$J$505,MATCH('LE UtilityData'!O$1,'LE Inputs'!$C$1:$J$1,0),0)</f>
        <v>#N/A</v>
      </c>
      <c r="P179" s="190" t="e">
        <f>VLOOKUP($A179&amp;$B179,'LE Inputs'!$C$2:$J$505,MATCH('LE UtilityData'!P$1,'LE Inputs'!$C$1:$J$1,0),0)</f>
        <v>#N/A</v>
      </c>
      <c r="Q179" s="168">
        <f t="shared" si="12"/>
        <v>99.3</v>
      </c>
      <c r="R179" s="168">
        <f t="shared" si="12"/>
        <v>100.05</v>
      </c>
      <c r="S179" s="166">
        <v>4124</v>
      </c>
      <c r="T179" s="166">
        <v>1696</v>
      </c>
      <c r="U179" s="166">
        <f t="shared" si="9"/>
        <v>0</v>
      </c>
      <c r="V179" s="166">
        <f t="shared" si="8"/>
        <v>0</v>
      </c>
    </row>
    <row r="180" spans="1:22" x14ac:dyDescent="0.2">
      <c r="A180" s="153">
        <v>2015</v>
      </c>
      <c r="B180" s="153">
        <v>11</v>
      </c>
      <c r="C180" s="168"/>
      <c r="D180" s="168"/>
      <c r="E180" s="173">
        <v>12.063906523553111</v>
      </c>
      <c r="F180" s="279">
        <v>11.4102512243312</v>
      </c>
      <c r="G180" s="173"/>
      <c r="H180" s="173">
        <v>29.76</v>
      </c>
      <c r="I180" s="154">
        <v>760194.58381907106</v>
      </c>
      <c r="J180" s="190">
        <f>VLOOKUP($A180&amp;$B180,'LE Inputs'!$C$2:$J$505,MATCH('LE UtilityData'!J$1,'LE Inputs'!$C$1:$J$1,0),0)*1000</f>
        <v>1339144.4262070083</v>
      </c>
      <c r="K180" s="190">
        <v>541075.07287670951</v>
      </c>
      <c r="L180" s="164">
        <v>365511.42568973545</v>
      </c>
      <c r="M180" s="299">
        <v>362733.43</v>
      </c>
      <c r="N180" s="156">
        <v>46841.333891639602</v>
      </c>
      <c r="O180" s="190" t="e">
        <f>VLOOKUP($A180&amp;$B180,'LE Inputs'!$C$2:$J$505,MATCH('LE UtilityData'!O$1,'LE Inputs'!$C$1:$J$1,0),0)</f>
        <v>#N/A</v>
      </c>
      <c r="P180" s="190" t="e">
        <f>VLOOKUP($A180&amp;$B180,'LE Inputs'!$C$2:$J$505,MATCH('LE UtilityData'!P$1,'LE Inputs'!$C$1:$J$1,0),0)</f>
        <v>#N/A</v>
      </c>
      <c r="Q180" s="168">
        <f t="shared" si="12"/>
        <v>352.6</v>
      </c>
      <c r="R180" s="168">
        <f t="shared" si="12"/>
        <v>12.75</v>
      </c>
      <c r="S180" s="166">
        <v>4124</v>
      </c>
      <c r="T180" s="166">
        <v>1696</v>
      </c>
      <c r="U180" s="166">
        <f t="shared" si="9"/>
        <v>0</v>
      </c>
      <c r="V180" s="166">
        <f t="shared" si="8"/>
        <v>0</v>
      </c>
    </row>
    <row r="181" spans="1:22" x14ac:dyDescent="0.2">
      <c r="A181" s="153">
        <v>2015</v>
      </c>
      <c r="B181" s="153">
        <v>12</v>
      </c>
      <c r="C181" s="168"/>
      <c r="D181" s="168"/>
      <c r="E181" s="173">
        <v>12.063906523553111</v>
      </c>
      <c r="F181" s="279">
        <v>11.4102512243312</v>
      </c>
      <c r="G181" s="173"/>
      <c r="H181" s="173">
        <v>31.57</v>
      </c>
      <c r="I181" s="154">
        <v>760649.58381907106</v>
      </c>
      <c r="J181" s="190">
        <f>VLOOKUP($A181&amp;$B181,'LE Inputs'!$C$2:$J$505,MATCH('LE UtilityData'!J$1,'LE Inputs'!$C$1:$J$1,0),0)*1000</f>
        <v>1339144.4262070083</v>
      </c>
      <c r="K181" s="190">
        <v>541075.07287670951</v>
      </c>
      <c r="L181" s="164">
        <v>365730.19559711008</v>
      </c>
      <c r="M181" s="299">
        <v>362735.07</v>
      </c>
      <c r="N181" s="156">
        <v>46841.333891639602</v>
      </c>
      <c r="O181" s="190" t="e">
        <f>VLOOKUP($A181&amp;$B181,'LE Inputs'!$C$2:$J$505,MATCH('LE UtilityData'!O$1,'LE Inputs'!$C$1:$J$1,0),0)</f>
        <v>#N/A</v>
      </c>
      <c r="P181" s="190" t="e">
        <f>VLOOKUP($A181&amp;$B181,'LE Inputs'!$C$2:$J$505,MATCH('LE UtilityData'!P$1,'LE Inputs'!$C$1:$J$1,0),0)</f>
        <v>#N/A</v>
      </c>
      <c r="Q181" s="168">
        <f t="shared" si="12"/>
        <v>669.9</v>
      </c>
      <c r="R181" s="168">
        <f t="shared" si="12"/>
        <v>1.05</v>
      </c>
      <c r="S181" s="166">
        <v>4124</v>
      </c>
      <c r="T181" s="166">
        <v>1696</v>
      </c>
      <c r="U181" s="166">
        <f t="shared" si="9"/>
        <v>0</v>
      </c>
      <c r="V181" s="166">
        <f t="shared" si="8"/>
        <v>0</v>
      </c>
    </row>
    <row r="182" spans="1:22" x14ac:dyDescent="0.2">
      <c r="A182" s="153">
        <v>2016</v>
      </c>
      <c r="B182" s="153">
        <v>1</v>
      </c>
      <c r="C182" s="168"/>
      <c r="D182" s="168"/>
      <c r="E182" s="173">
        <v>12.772604561174989</v>
      </c>
      <c r="F182" s="279">
        <v>12.3600856287173</v>
      </c>
      <c r="G182" s="173"/>
      <c r="H182" s="173">
        <v>32.520000000000003</v>
      </c>
      <c r="I182" s="154">
        <v>761104.58381907106</v>
      </c>
      <c r="J182" s="190">
        <f>VLOOKUP($A182&amp;$B182,'LE Inputs'!$C$2:$J$505,MATCH('LE UtilityData'!J$1,'LE Inputs'!$C$1:$J$1,0),0)*1000</f>
        <v>1341444.341480464</v>
      </c>
      <c r="K182" s="190">
        <v>542222.01950661617</v>
      </c>
      <c r="L182" s="164">
        <v>365948.96550448478</v>
      </c>
      <c r="M182" s="299">
        <v>363339.58</v>
      </c>
      <c r="N182" s="156">
        <v>47522.908704573303</v>
      </c>
      <c r="O182" s="190" t="e">
        <f>VLOOKUP($A182&amp;$B182,'LE Inputs'!$C$2:$J$505,MATCH('LE UtilityData'!O$1,'LE Inputs'!$C$1:$J$1,0),0)</f>
        <v>#N/A</v>
      </c>
      <c r="P182" s="190" t="e">
        <f>VLOOKUP($A182&amp;$B182,'LE Inputs'!$C$2:$J$505,MATCH('LE UtilityData'!P$1,'LE Inputs'!$C$1:$J$1,0),0)</f>
        <v>#N/A</v>
      </c>
      <c r="Q182" s="168">
        <f t="shared" si="12"/>
        <v>932.4</v>
      </c>
      <c r="R182" s="168">
        <f t="shared" si="12"/>
        <v>0.35</v>
      </c>
      <c r="S182" s="166">
        <v>4124</v>
      </c>
      <c r="T182" s="166">
        <v>1696</v>
      </c>
      <c r="U182" s="166">
        <f t="shared" si="9"/>
        <v>0</v>
      </c>
      <c r="V182" s="166">
        <f t="shared" si="8"/>
        <v>0</v>
      </c>
    </row>
    <row r="183" spans="1:22" x14ac:dyDescent="0.2">
      <c r="A183" s="153">
        <v>2016</v>
      </c>
      <c r="B183" s="153">
        <v>2</v>
      </c>
      <c r="C183" s="168"/>
      <c r="D183" s="168"/>
      <c r="E183" s="173">
        <v>12.772604561174989</v>
      </c>
      <c r="F183" s="279">
        <v>12.3600856287173</v>
      </c>
      <c r="G183" s="173"/>
      <c r="H183" s="173">
        <v>30.14</v>
      </c>
      <c r="I183" s="154">
        <v>761559.58381907106</v>
      </c>
      <c r="J183" s="190">
        <f>VLOOKUP($A183&amp;$B183,'LE Inputs'!$C$2:$J$505,MATCH('LE UtilityData'!J$1,'LE Inputs'!$C$1:$J$1,0),0)*1000</f>
        <v>1341444.341480464</v>
      </c>
      <c r="K183" s="190">
        <v>542222.01950661617</v>
      </c>
      <c r="L183" s="164">
        <v>366167.73541185947</v>
      </c>
      <c r="M183" s="299">
        <v>363341.07</v>
      </c>
      <c r="N183" s="156">
        <v>47522.908704573303</v>
      </c>
      <c r="O183" s="190" t="e">
        <f>VLOOKUP($A183&amp;$B183,'LE Inputs'!$C$2:$J$505,MATCH('LE UtilityData'!O$1,'LE Inputs'!$C$1:$J$1,0),0)</f>
        <v>#N/A</v>
      </c>
      <c r="P183" s="190" t="e">
        <f>VLOOKUP($A183&amp;$B183,'LE Inputs'!$C$2:$J$505,MATCH('LE UtilityData'!P$1,'LE Inputs'!$C$1:$J$1,0),0)</f>
        <v>#N/A</v>
      </c>
      <c r="Q183" s="168">
        <f t="shared" si="12"/>
        <v>864.1</v>
      </c>
      <c r="R183" s="168">
        <f t="shared" si="12"/>
        <v>0.05</v>
      </c>
      <c r="S183" s="166">
        <v>4124</v>
      </c>
      <c r="T183" s="166">
        <v>1696</v>
      </c>
      <c r="U183" s="166">
        <f t="shared" si="9"/>
        <v>0</v>
      </c>
      <c r="V183" s="166">
        <f t="shared" si="8"/>
        <v>0</v>
      </c>
    </row>
    <row r="184" spans="1:22" x14ac:dyDescent="0.2">
      <c r="A184" s="153">
        <v>2016</v>
      </c>
      <c r="B184" s="153">
        <v>3</v>
      </c>
      <c r="C184" s="168"/>
      <c r="D184" s="168"/>
      <c r="E184" s="173">
        <v>12.772604561174989</v>
      </c>
      <c r="F184" s="279">
        <v>12.3600856287173</v>
      </c>
      <c r="G184" s="173"/>
      <c r="H184" s="173">
        <v>30.33</v>
      </c>
      <c r="I184" s="154">
        <v>762014.58381907106</v>
      </c>
      <c r="J184" s="190">
        <f>VLOOKUP($A184&amp;$B184,'LE Inputs'!$C$2:$J$505,MATCH('LE UtilityData'!J$1,'LE Inputs'!$C$1:$J$1,0),0)*1000</f>
        <v>1341444.341480464</v>
      </c>
      <c r="K184" s="190">
        <v>542222.01950661617</v>
      </c>
      <c r="L184" s="164">
        <v>366386.50531923416</v>
      </c>
      <c r="M184" s="299">
        <v>363342.49</v>
      </c>
      <c r="N184" s="156">
        <v>47522.908704573303</v>
      </c>
      <c r="O184" s="190" t="e">
        <f>VLOOKUP($A184&amp;$B184,'LE Inputs'!$C$2:$J$505,MATCH('LE UtilityData'!O$1,'LE Inputs'!$C$1:$J$1,0),0)</f>
        <v>#N/A</v>
      </c>
      <c r="P184" s="190" t="e">
        <f>VLOOKUP($A184&amp;$B184,'LE Inputs'!$C$2:$J$505,MATCH('LE UtilityData'!P$1,'LE Inputs'!$C$1:$J$1,0),0)</f>
        <v>#N/A</v>
      </c>
      <c r="Q184" s="168">
        <f t="shared" si="12"/>
        <v>674.3</v>
      </c>
      <c r="R184" s="168">
        <f t="shared" si="12"/>
        <v>1.1499999999999999</v>
      </c>
      <c r="S184" s="166">
        <v>4124</v>
      </c>
      <c r="T184" s="166">
        <v>1696</v>
      </c>
      <c r="U184" s="166">
        <f t="shared" si="9"/>
        <v>0</v>
      </c>
      <c r="V184" s="166">
        <f t="shared" si="8"/>
        <v>0</v>
      </c>
    </row>
    <row r="185" spans="1:22" x14ac:dyDescent="0.2">
      <c r="A185" s="153">
        <v>2016</v>
      </c>
      <c r="B185" s="153">
        <v>4</v>
      </c>
      <c r="C185" s="168"/>
      <c r="D185" s="168"/>
      <c r="E185" s="173">
        <v>12.772604561174989</v>
      </c>
      <c r="F185" s="279">
        <v>12.3600856287173</v>
      </c>
      <c r="G185" s="173"/>
      <c r="H185" s="173">
        <v>30.52</v>
      </c>
      <c r="I185" s="154">
        <v>762469.58381907106</v>
      </c>
      <c r="J185" s="190">
        <f>VLOOKUP($A185&amp;$B185,'LE Inputs'!$C$2:$J$505,MATCH('LE UtilityData'!J$1,'LE Inputs'!$C$1:$J$1,0),0)*1000</f>
        <v>1343874.1846014056</v>
      </c>
      <c r="K185" s="190">
        <v>543349.97317783523</v>
      </c>
      <c r="L185" s="164">
        <v>366605.27522660879</v>
      </c>
      <c r="M185" s="299">
        <v>363936.8</v>
      </c>
      <c r="N185" s="156">
        <v>47937.108573920501</v>
      </c>
      <c r="O185" s="190" t="e">
        <f>VLOOKUP($A185&amp;$B185,'LE Inputs'!$C$2:$J$505,MATCH('LE UtilityData'!O$1,'LE Inputs'!$C$1:$J$1,0),0)</f>
        <v>#N/A</v>
      </c>
      <c r="P185" s="190" t="e">
        <f>VLOOKUP($A185&amp;$B185,'LE Inputs'!$C$2:$J$505,MATCH('LE UtilityData'!P$1,'LE Inputs'!$C$1:$J$1,0),0)</f>
        <v>#N/A</v>
      </c>
      <c r="Q185" s="168">
        <f t="shared" si="12"/>
        <v>377.1</v>
      </c>
      <c r="R185" s="168">
        <f t="shared" si="12"/>
        <v>20.25</v>
      </c>
      <c r="S185" s="166">
        <v>4124</v>
      </c>
      <c r="T185" s="166">
        <v>1696</v>
      </c>
      <c r="U185" s="166">
        <f t="shared" si="9"/>
        <v>0</v>
      </c>
      <c r="V185" s="166">
        <f t="shared" si="8"/>
        <v>0</v>
      </c>
    </row>
    <row r="186" spans="1:22" x14ac:dyDescent="0.2">
      <c r="A186" s="153">
        <v>2016</v>
      </c>
      <c r="B186" s="153">
        <v>5</v>
      </c>
      <c r="C186" s="168"/>
      <c r="D186" s="168"/>
      <c r="E186" s="173">
        <v>12.772604561174989</v>
      </c>
      <c r="F186" s="279">
        <v>12.3600856287173</v>
      </c>
      <c r="G186" s="173"/>
      <c r="H186" s="173">
        <v>29.48</v>
      </c>
      <c r="I186" s="154">
        <v>762924.58381907106</v>
      </c>
      <c r="J186" s="190">
        <f>VLOOKUP($A186&amp;$B186,'LE Inputs'!$C$2:$J$505,MATCH('LE UtilityData'!J$1,'LE Inputs'!$C$1:$J$1,0),0)*1000</f>
        <v>1343874.1846014056</v>
      </c>
      <c r="K186" s="190">
        <v>543349.97317783523</v>
      </c>
      <c r="L186" s="164">
        <v>366824.04513398348</v>
      </c>
      <c r="M186" s="299">
        <v>363938.1</v>
      </c>
      <c r="N186" s="156">
        <v>47937.108573920501</v>
      </c>
      <c r="O186" s="190" t="e">
        <f>VLOOKUP($A186&amp;$B186,'LE Inputs'!$C$2:$J$505,MATCH('LE UtilityData'!O$1,'LE Inputs'!$C$1:$J$1,0),0)</f>
        <v>#N/A</v>
      </c>
      <c r="P186" s="190" t="e">
        <f>VLOOKUP($A186&amp;$B186,'LE Inputs'!$C$2:$J$505,MATCH('LE UtilityData'!P$1,'LE Inputs'!$C$1:$J$1,0),0)</f>
        <v>#N/A</v>
      </c>
      <c r="Q186" s="168">
        <f t="shared" si="12"/>
        <v>141</v>
      </c>
      <c r="R186" s="168">
        <f t="shared" si="12"/>
        <v>69.349999999999994</v>
      </c>
      <c r="S186" s="166">
        <v>4124</v>
      </c>
      <c r="T186" s="166">
        <v>1696</v>
      </c>
      <c r="U186" s="166">
        <f t="shared" si="9"/>
        <v>0</v>
      </c>
      <c r="V186" s="166">
        <f t="shared" si="8"/>
        <v>0</v>
      </c>
    </row>
    <row r="187" spans="1:22" x14ac:dyDescent="0.2">
      <c r="A187" s="153">
        <v>2016</v>
      </c>
      <c r="B187" s="153">
        <v>6</v>
      </c>
      <c r="C187" s="168"/>
      <c r="D187" s="168"/>
      <c r="E187" s="173">
        <v>12.772604561174989</v>
      </c>
      <c r="F187" s="279">
        <v>12.3600856287173</v>
      </c>
      <c r="G187" s="173"/>
      <c r="H187" s="173">
        <v>30.67</v>
      </c>
      <c r="I187" s="154">
        <v>763373.87983146776</v>
      </c>
      <c r="J187" s="190">
        <f>VLOOKUP($A187&amp;$B187,'LE Inputs'!$C$2:$J$505,MATCH('LE UtilityData'!J$1,'LE Inputs'!$C$1:$J$1,0),0)*1000</f>
        <v>1343874.1846014056</v>
      </c>
      <c r="K187" s="190">
        <v>543349.97317783523</v>
      </c>
      <c r="L187" s="164">
        <v>367040.07249006222</v>
      </c>
      <c r="M187" s="299">
        <v>363939.34</v>
      </c>
      <c r="N187" s="156">
        <v>47937.108573920501</v>
      </c>
      <c r="O187" s="190" t="e">
        <f>VLOOKUP($A187&amp;$B187,'LE Inputs'!$C$2:$J$505,MATCH('LE UtilityData'!O$1,'LE Inputs'!$C$1:$J$1,0),0)</f>
        <v>#N/A</v>
      </c>
      <c r="P187" s="190" t="e">
        <f>VLOOKUP($A187&amp;$B187,'LE Inputs'!$C$2:$J$505,MATCH('LE UtilityData'!P$1,'LE Inputs'!$C$1:$J$1,0),0)</f>
        <v>#N/A</v>
      </c>
      <c r="Q187" s="168">
        <f t="shared" si="12"/>
        <v>29.5</v>
      </c>
      <c r="R187" s="168">
        <f t="shared" si="12"/>
        <v>224.8</v>
      </c>
      <c r="S187" s="166">
        <v>4124</v>
      </c>
      <c r="T187" s="166">
        <v>1696</v>
      </c>
      <c r="U187" s="166">
        <f t="shared" si="9"/>
        <v>0</v>
      </c>
      <c r="V187" s="166">
        <f t="shared" si="8"/>
        <v>0</v>
      </c>
    </row>
    <row r="188" spans="1:22" x14ac:dyDescent="0.2">
      <c r="A188" s="153">
        <v>2016</v>
      </c>
      <c r="B188" s="153">
        <v>7</v>
      </c>
      <c r="C188" s="168"/>
      <c r="D188" s="168"/>
      <c r="E188" s="173">
        <v>12.772604561174989</v>
      </c>
      <c r="F188" s="279">
        <v>12.3600856287173</v>
      </c>
      <c r="G188" s="173"/>
      <c r="H188" s="173">
        <v>30.71</v>
      </c>
      <c r="I188" s="154">
        <v>763827.87983146776</v>
      </c>
      <c r="J188" s="190">
        <f>VLOOKUP($A188&amp;$B188,'LE Inputs'!$C$2:$J$505,MATCH('LE UtilityData'!J$1,'LE Inputs'!$C$1:$J$1,0),0)*1000</f>
        <v>1346296.8769740344</v>
      </c>
      <c r="K188" s="190">
        <v>544459.60234854009</v>
      </c>
      <c r="L188" s="164">
        <v>367258.36158445367</v>
      </c>
      <c r="M188" s="299">
        <v>364524</v>
      </c>
      <c r="N188" s="156">
        <v>48315.343210666797</v>
      </c>
      <c r="O188" s="190" t="e">
        <f>VLOOKUP($A188&amp;$B188,'LE Inputs'!$C$2:$J$505,MATCH('LE UtilityData'!O$1,'LE Inputs'!$C$1:$J$1,0),0)</f>
        <v>#N/A</v>
      </c>
      <c r="P188" s="190" t="e">
        <f>VLOOKUP($A188&amp;$B188,'LE Inputs'!$C$2:$J$505,MATCH('LE UtilityData'!P$1,'LE Inputs'!$C$1:$J$1,0),0)</f>
        <v>#N/A</v>
      </c>
      <c r="Q188" s="168">
        <f t="shared" si="12"/>
        <v>0.55000000000000004</v>
      </c>
      <c r="R188" s="168">
        <f t="shared" si="12"/>
        <v>396.4</v>
      </c>
      <c r="S188" s="166">
        <v>4124</v>
      </c>
      <c r="T188" s="166">
        <v>1696</v>
      </c>
      <c r="U188" s="166">
        <f t="shared" si="9"/>
        <v>0</v>
      </c>
      <c r="V188" s="166">
        <f t="shared" si="8"/>
        <v>0</v>
      </c>
    </row>
    <row r="189" spans="1:22" x14ac:dyDescent="0.2">
      <c r="A189" s="153">
        <v>2016</v>
      </c>
      <c r="B189" s="153">
        <v>8</v>
      </c>
      <c r="C189" s="168"/>
      <c r="D189" s="168"/>
      <c r="E189" s="173">
        <v>12.772604561174989</v>
      </c>
      <c r="F189" s="279">
        <v>12.3600856287173</v>
      </c>
      <c r="G189" s="173"/>
      <c r="H189" s="173">
        <v>29.52</v>
      </c>
      <c r="I189" s="154">
        <v>764281.87983146776</v>
      </c>
      <c r="J189" s="190">
        <f>VLOOKUP($A189&amp;$B189,'LE Inputs'!$C$2:$J$505,MATCH('LE UtilityData'!J$1,'LE Inputs'!$C$1:$J$1,0),0)*1000</f>
        <v>1346296.8769740344</v>
      </c>
      <c r="K189" s="190">
        <v>544459.60234854009</v>
      </c>
      <c r="L189" s="164">
        <v>367476.65067884512</v>
      </c>
      <c r="M189" s="299">
        <v>364525.13</v>
      </c>
      <c r="N189" s="156">
        <v>48315.343210666797</v>
      </c>
      <c r="O189" s="190" t="e">
        <f>VLOOKUP($A189&amp;$B189,'LE Inputs'!$C$2:$J$505,MATCH('LE UtilityData'!O$1,'LE Inputs'!$C$1:$J$1,0),0)</f>
        <v>#N/A</v>
      </c>
      <c r="P189" s="190" t="e">
        <f>VLOOKUP($A189&amp;$B189,'LE Inputs'!$C$2:$J$505,MATCH('LE UtilityData'!P$1,'LE Inputs'!$C$1:$J$1,0),0)</f>
        <v>#N/A</v>
      </c>
      <c r="Q189" s="168">
        <f t="shared" si="12"/>
        <v>0.1</v>
      </c>
      <c r="R189" s="168">
        <f t="shared" si="12"/>
        <v>417.05</v>
      </c>
      <c r="S189" s="166">
        <v>4124</v>
      </c>
      <c r="T189" s="166">
        <v>1696</v>
      </c>
      <c r="U189" s="166">
        <f t="shared" si="9"/>
        <v>0</v>
      </c>
      <c r="V189" s="166">
        <f t="shared" si="8"/>
        <v>0</v>
      </c>
    </row>
    <row r="190" spans="1:22" x14ac:dyDescent="0.2">
      <c r="A190" s="153">
        <v>2016</v>
      </c>
      <c r="B190" s="153">
        <v>9</v>
      </c>
      <c r="C190" s="168"/>
      <c r="D190" s="168"/>
      <c r="E190" s="173">
        <v>12.772604561174989</v>
      </c>
      <c r="F190" s="279">
        <v>12.3600856287173</v>
      </c>
      <c r="G190" s="173"/>
      <c r="H190" s="173">
        <v>30.52</v>
      </c>
      <c r="I190" s="154">
        <v>764735.87983146776</v>
      </c>
      <c r="J190" s="190">
        <f>VLOOKUP($A190&amp;$B190,'LE Inputs'!$C$2:$J$505,MATCH('LE UtilityData'!J$1,'LE Inputs'!$C$1:$J$1,0),0)*1000</f>
        <v>1346296.8769740344</v>
      </c>
      <c r="K190" s="190">
        <v>544459.60234854009</v>
      </c>
      <c r="L190" s="164">
        <v>367694.93977323658</v>
      </c>
      <c r="M190" s="299">
        <v>364526.21</v>
      </c>
      <c r="N190" s="156">
        <v>48315.343210666797</v>
      </c>
      <c r="O190" s="190" t="e">
        <f>VLOOKUP($A190&amp;$B190,'LE Inputs'!$C$2:$J$505,MATCH('LE UtilityData'!O$1,'LE Inputs'!$C$1:$J$1,0),0)</f>
        <v>#N/A</v>
      </c>
      <c r="P190" s="190" t="e">
        <f>VLOOKUP($A190&amp;$B190,'LE Inputs'!$C$2:$J$505,MATCH('LE UtilityData'!P$1,'LE Inputs'!$C$1:$J$1,0),0)</f>
        <v>#N/A</v>
      </c>
      <c r="Q190" s="168">
        <f t="shared" ref="Q190:R205" si="13">Q178</f>
        <v>5.35</v>
      </c>
      <c r="R190" s="168">
        <f t="shared" si="13"/>
        <v>330.2</v>
      </c>
      <c r="S190" s="166">
        <v>4124</v>
      </c>
      <c r="T190" s="166">
        <v>1696</v>
      </c>
      <c r="U190" s="166">
        <f t="shared" si="9"/>
        <v>0</v>
      </c>
      <c r="V190" s="166">
        <f t="shared" si="8"/>
        <v>0</v>
      </c>
    </row>
    <row r="191" spans="1:22" x14ac:dyDescent="0.2">
      <c r="A191" s="153">
        <v>2016</v>
      </c>
      <c r="B191" s="153">
        <v>10</v>
      </c>
      <c r="C191" s="168"/>
      <c r="D191" s="168"/>
      <c r="E191" s="173">
        <v>12.772604561174989</v>
      </c>
      <c r="F191" s="279">
        <v>12.3600856287173</v>
      </c>
      <c r="G191" s="173"/>
      <c r="H191" s="173">
        <v>29.62</v>
      </c>
      <c r="I191" s="154">
        <v>765189.87983146776</v>
      </c>
      <c r="J191" s="190">
        <f>VLOOKUP($A191&amp;$B191,'LE Inputs'!$C$2:$J$505,MATCH('LE UtilityData'!J$1,'LE Inputs'!$C$1:$J$1,0),0)*1000</f>
        <v>1349810.1770103867</v>
      </c>
      <c r="K191" s="190">
        <v>545999.26713612617</v>
      </c>
      <c r="L191" s="164">
        <v>367913.22886762803</v>
      </c>
      <c r="M191" s="299">
        <v>365336.23</v>
      </c>
      <c r="N191" s="156">
        <v>48711.106097442404</v>
      </c>
      <c r="O191" s="190" t="e">
        <f>VLOOKUP($A191&amp;$B191,'LE Inputs'!$C$2:$J$505,MATCH('LE UtilityData'!O$1,'LE Inputs'!$C$1:$J$1,0),0)</f>
        <v>#N/A</v>
      </c>
      <c r="P191" s="190" t="e">
        <f>VLOOKUP($A191&amp;$B191,'LE Inputs'!$C$2:$J$505,MATCH('LE UtilityData'!P$1,'LE Inputs'!$C$1:$J$1,0),0)</f>
        <v>#N/A</v>
      </c>
      <c r="Q191" s="168">
        <f t="shared" si="13"/>
        <v>99.3</v>
      </c>
      <c r="R191" s="168">
        <f t="shared" si="13"/>
        <v>100.05</v>
      </c>
      <c r="S191" s="166">
        <v>4124</v>
      </c>
      <c r="T191" s="166">
        <v>1696</v>
      </c>
      <c r="U191" s="166">
        <f t="shared" si="9"/>
        <v>0</v>
      </c>
      <c r="V191" s="166">
        <f t="shared" si="8"/>
        <v>0</v>
      </c>
    </row>
    <row r="192" spans="1:22" x14ac:dyDescent="0.2">
      <c r="A192" s="153">
        <v>2016</v>
      </c>
      <c r="B192" s="153">
        <v>11</v>
      </c>
      <c r="C192" s="168"/>
      <c r="D192" s="168"/>
      <c r="E192" s="173">
        <v>12.772604561174989</v>
      </c>
      <c r="F192" s="279">
        <v>12.3600856287173</v>
      </c>
      <c r="G192" s="173"/>
      <c r="H192" s="173">
        <v>29.95</v>
      </c>
      <c r="I192" s="154">
        <v>765643.87983146776</v>
      </c>
      <c r="J192" s="190">
        <f>VLOOKUP($A192&amp;$B192,'LE Inputs'!$C$2:$J$505,MATCH('LE UtilityData'!J$1,'LE Inputs'!$C$1:$J$1,0),0)*1000</f>
        <v>1349810.1770103867</v>
      </c>
      <c r="K192" s="190">
        <v>545999.26713612617</v>
      </c>
      <c r="L192" s="164">
        <v>368131.51796201948</v>
      </c>
      <c r="M192" s="299">
        <v>365337.21</v>
      </c>
      <c r="N192" s="156">
        <v>48711.106097442404</v>
      </c>
      <c r="O192" s="190" t="e">
        <f>VLOOKUP($A192&amp;$B192,'LE Inputs'!$C$2:$J$505,MATCH('LE UtilityData'!O$1,'LE Inputs'!$C$1:$J$1,0),0)</f>
        <v>#N/A</v>
      </c>
      <c r="P192" s="190" t="e">
        <f>VLOOKUP($A192&amp;$B192,'LE Inputs'!$C$2:$J$505,MATCH('LE UtilityData'!P$1,'LE Inputs'!$C$1:$J$1,0),0)</f>
        <v>#N/A</v>
      </c>
      <c r="Q192" s="168">
        <f t="shared" si="13"/>
        <v>352.6</v>
      </c>
      <c r="R192" s="168">
        <f t="shared" si="13"/>
        <v>12.75</v>
      </c>
      <c r="S192" s="166">
        <v>4124</v>
      </c>
      <c r="T192" s="166">
        <v>1696</v>
      </c>
      <c r="U192" s="166">
        <f t="shared" si="9"/>
        <v>0</v>
      </c>
      <c r="V192" s="166">
        <f t="shared" si="8"/>
        <v>0</v>
      </c>
    </row>
    <row r="193" spans="1:22" x14ac:dyDescent="0.2">
      <c r="A193" s="153">
        <v>2016</v>
      </c>
      <c r="B193" s="153">
        <v>12</v>
      </c>
      <c r="C193" s="168"/>
      <c r="D193" s="168"/>
      <c r="E193" s="173">
        <v>12.772604561174989</v>
      </c>
      <c r="F193" s="279">
        <v>12.3600856287173</v>
      </c>
      <c r="G193" s="173"/>
      <c r="H193" s="173">
        <v>31.24</v>
      </c>
      <c r="I193" s="154">
        <v>766097.87983146776</v>
      </c>
      <c r="J193" s="190">
        <f>VLOOKUP($A193&amp;$B193,'LE Inputs'!$C$2:$J$505,MATCH('LE UtilityData'!J$1,'LE Inputs'!$C$1:$J$1,0),0)*1000</f>
        <v>1349810.1770103867</v>
      </c>
      <c r="K193" s="190">
        <v>545999.26713612617</v>
      </c>
      <c r="L193" s="164">
        <v>368349.80705641094</v>
      </c>
      <c r="M193" s="299">
        <v>365338.14</v>
      </c>
      <c r="N193" s="156">
        <v>48711.106097442404</v>
      </c>
      <c r="O193" s="190" t="e">
        <f>VLOOKUP($A193&amp;$B193,'LE Inputs'!$C$2:$J$505,MATCH('LE UtilityData'!O$1,'LE Inputs'!$C$1:$J$1,0),0)</f>
        <v>#N/A</v>
      </c>
      <c r="P193" s="190" t="e">
        <f>VLOOKUP($A193&amp;$B193,'LE Inputs'!$C$2:$J$505,MATCH('LE UtilityData'!P$1,'LE Inputs'!$C$1:$J$1,0),0)</f>
        <v>#N/A</v>
      </c>
      <c r="Q193" s="168">
        <f t="shared" si="13"/>
        <v>669.9</v>
      </c>
      <c r="R193" s="168">
        <f t="shared" si="13"/>
        <v>1.05</v>
      </c>
      <c r="S193" s="166">
        <v>4124</v>
      </c>
      <c r="T193" s="166">
        <v>1696</v>
      </c>
      <c r="U193" s="166">
        <f t="shared" si="9"/>
        <v>0</v>
      </c>
      <c r="V193" s="166">
        <f t="shared" si="8"/>
        <v>0</v>
      </c>
    </row>
    <row r="194" spans="1:22" x14ac:dyDescent="0.2">
      <c r="A194" s="153">
        <v>2017</v>
      </c>
      <c r="B194" s="153">
        <v>1</v>
      </c>
      <c r="C194" s="168"/>
      <c r="D194" s="168"/>
      <c r="E194" s="173">
        <v>13.276189156742458</v>
      </c>
      <c r="F194" s="281">
        <f>F182*(1+0.02)</f>
        <v>12.607287341291647</v>
      </c>
      <c r="G194" s="173"/>
      <c r="H194" s="173">
        <v>32.67</v>
      </c>
      <c r="I194" s="154">
        <v>766551.87983146776</v>
      </c>
      <c r="J194" s="190">
        <f>VLOOKUP($A194&amp;$B194,'LE Inputs'!$C$2:$J$505,MATCH('LE UtilityData'!J$1,'LE Inputs'!$C$1:$J$1,0),0)*1000</f>
        <v>1352253.572754198</v>
      </c>
      <c r="K194" s="190">
        <v>546703.79626038112</v>
      </c>
      <c r="L194" s="164">
        <v>368568.09615080233</v>
      </c>
      <c r="M194" s="299">
        <v>365709.63</v>
      </c>
      <c r="N194" s="156">
        <v>49202.100919641198</v>
      </c>
      <c r="O194" s="190" t="e">
        <f>VLOOKUP($A194&amp;$B194,'LE Inputs'!$C$2:$J$505,MATCH('LE UtilityData'!O$1,'LE Inputs'!$C$1:$J$1,0),0)</f>
        <v>#N/A</v>
      </c>
      <c r="P194" s="190" t="e">
        <f>VLOOKUP($A194&amp;$B194,'LE Inputs'!$C$2:$J$505,MATCH('LE UtilityData'!P$1,'LE Inputs'!$C$1:$J$1,0),0)</f>
        <v>#N/A</v>
      </c>
      <c r="Q194" s="168">
        <f t="shared" si="13"/>
        <v>932.4</v>
      </c>
      <c r="R194" s="168">
        <f t="shared" si="13"/>
        <v>0.35</v>
      </c>
      <c r="S194" s="166">
        <v>4124</v>
      </c>
      <c r="T194" s="166">
        <v>1696</v>
      </c>
      <c r="U194" s="166">
        <f t="shared" si="9"/>
        <v>0</v>
      </c>
      <c r="V194" s="166">
        <f t="shared" ref="V194:V257" si="14">C194/L194*1000</f>
        <v>0</v>
      </c>
    </row>
    <row r="195" spans="1:22" x14ac:dyDescent="0.2">
      <c r="A195" s="153">
        <v>2017</v>
      </c>
      <c r="B195" s="153">
        <v>2</v>
      </c>
      <c r="C195" s="168"/>
      <c r="D195" s="168"/>
      <c r="E195" s="173">
        <v>13.276189156742458</v>
      </c>
      <c r="F195" s="281">
        <f t="shared" ref="F195:F258" si="15">F183*(1+0.02)</f>
        <v>12.607287341291647</v>
      </c>
      <c r="G195" s="173"/>
      <c r="H195" s="173">
        <v>29.86</v>
      </c>
      <c r="I195" s="154">
        <v>767005.87983146776</v>
      </c>
      <c r="J195" s="190">
        <f>VLOOKUP($A195&amp;$B195,'LE Inputs'!$C$2:$J$505,MATCH('LE UtilityData'!J$1,'LE Inputs'!$C$1:$J$1,0),0)*1000</f>
        <v>1352253.572754198</v>
      </c>
      <c r="K195" s="190">
        <v>546703.79626038112</v>
      </c>
      <c r="L195" s="164">
        <v>368786.38524519379</v>
      </c>
      <c r="M195" s="299">
        <v>365710.48</v>
      </c>
      <c r="N195" s="156">
        <v>49202.100919641198</v>
      </c>
      <c r="O195" s="190" t="e">
        <f>VLOOKUP($A195&amp;$B195,'LE Inputs'!$C$2:$J$505,MATCH('LE UtilityData'!O$1,'LE Inputs'!$C$1:$J$1,0),0)</f>
        <v>#N/A</v>
      </c>
      <c r="P195" s="190" t="e">
        <f>VLOOKUP($A195&amp;$B195,'LE Inputs'!$C$2:$J$505,MATCH('LE UtilityData'!P$1,'LE Inputs'!$C$1:$J$1,0),0)</f>
        <v>#N/A</v>
      </c>
      <c r="Q195" s="168">
        <f t="shared" si="13"/>
        <v>864.1</v>
      </c>
      <c r="R195" s="168">
        <f t="shared" si="13"/>
        <v>0.05</v>
      </c>
      <c r="S195" s="166">
        <v>4124</v>
      </c>
      <c r="T195" s="166">
        <v>1696</v>
      </c>
      <c r="U195" s="166">
        <f t="shared" ref="U195:U258" si="16">D195/M195*1000</f>
        <v>0</v>
      </c>
      <c r="V195" s="166">
        <f t="shared" si="14"/>
        <v>0</v>
      </c>
    </row>
    <row r="196" spans="1:22" x14ac:dyDescent="0.2">
      <c r="A196" s="153">
        <v>2017</v>
      </c>
      <c r="B196" s="153">
        <v>3</v>
      </c>
      <c r="C196" s="168"/>
      <c r="D196" s="168"/>
      <c r="E196" s="173">
        <v>13.276189156742458</v>
      </c>
      <c r="F196" s="281">
        <f t="shared" si="15"/>
        <v>12.607287341291647</v>
      </c>
      <c r="G196" s="173"/>
      <c r="H196" s="173">
        <v>30.29</v>
      </c>
      <c r="I196" s="154">
        <v>767459.87983146776</v>
      </c>
      <c r="J196" s="190">
        <f>VLOOKUP($A196&amp;$B196,'LE Inputs'!$C$2:$J$505,MATCH('LE UtilityData'!J$1,'LE Inputs'!$C$1:$J$1,0),0)*1000</f>
        <v>1352253.572754198</v>
      </c>
      <c r="K196" s="190">
        <v>546703.79626038112</v>
      </c>
      <c r="L196" s="164">
        <v>369004.67433958524</v>
      </c>
      <c r="M196" s="299">
        <v>365711.29</v>
      </c>
      <c r="N196" s="156">
        <v>49202.100919641198</v>
      </c>
      <c r="O196" s="190" t="e">
        <f>VLOOKUP($A196&amp;$B196,'LE Inputs'!$C$2:$J$505,MATCH('LE UtilityData'!O$1,'LE Inputs'!$C$1:$J$1,0),0)</f>
        <v>#N/A</v>
      </c>
      <c r="P196" s="190" t="e">
        <f>VLOOKUP($A196&amp;$B196,'LE Inputs'!$C$2:$J$505,MATCH('LE UtilityData'!P$1,'LE Inputs'!$C$1:$J$1,0),0)</f>
        <v>#N/A</v>
      </c>
      <c r="Q196" s="168">
        <f t="shared" si="13"/>
        <v>674.3</v>
      </c>
      <c r="R196" s="168">
        <f t="shared" si="13"/>
        <v>1.1499999999999999</v>
      </c>
      <c r="S196" s="166">
        <v>4124</v>
      </c>
      <c r="T196" s="166">
        <v>1696</v>
      </c>
      <c r="U196" s="166">
        <f t="shared" si="16"/>
        <v>0</v>
      </c>
      <c r="V196" s="166">
        <f t="shared" si="14"/>
        <v>0</v>
      </c>
    </row>
    <row r="197" spans="1:22" x14ac:dyDescent="0.2">
      <c r="A197" s="153">
        <v>2017</v>
      </c>
      <c r="B197" s="153">
        <v>4</v>
      </c>
      <c r="C197" s="168"/>
      <c r="D197" s="168"/>
      <c r="E197" s="173">
        <v>13.276189156742458</v>
      </c>
      <c r="F197" s="281">
        <f t="shared" si="15"/>
        <v>12.607287341291647</v>
      </c>
      <c r="G197" s="173"/>
      <c r="H197" s="173">
        <v>30.33</v>
      </c>
      <c r="I197" s="154">
        <v>767913.87983146776</v>
      </c>
      <c r="J197" s="190">
        <f>VLOOKUP($A197&amp;$B197,'LE Inputs'!$C$2:$J$505,MATCH('LE UtilityData'!J$1,'LE Inputs'!$C$1:$J$1,0),0)*1000</f>
        <v>1355624.7603896083</v>
      </c>
      <c r="K197" s="190">
        <v>547821.18724552996</v>
      </c>
      <c r="L197" s="164">
        <v>369222.96343397663</v>
      </c>
      <c r="M197" s="299">
        <v>366299.23</v>
      </c>
      <c r="N197" s="156">
        <v>49602.185992844999</v>
      </c>
      <c r="O197" s="190" t="e">
        <f>VLOOKUP($A197&amp;$B197,'LE Inputs'!$C$2:$J$505,MATCH('LE UtilityData'!O$1,'LE Inputs'!$C$1:$J$1,0),0)</f>
        <v>#N/A</v>
      </c>
      <c r="P197" s="190" t="e">
        <f>VLOOKUP($A197&amp;$B197,'LE Inputs'!$C$2:$J$505,MATCH('LE UtilityData'!P$1,'LE Inputs'!$C$1:$J$1,0),0)</f>
        <v>#N/A</v>
      </c>
      <c r="Q197" s="168">
        <f t="shared" si="13"/>
        <v>377.1</v>
      </c>
      <c r="R197" s="168">
        <f t="shared" si="13"/>
        <v>20.25</v>
      </c>
      <c r="S197" s="166">
        <v>4124</v>
      </c>
      <c r="T197" s="166">
        <v>1696</v>
      </c>
      <c r="U197" s="166">
        <f t="shared" si="16"/>
        <v>0</v>
      </c>
      <c r="V197" s="166">
        <f t="shared" si="14"/>
        <v>0</v>
      </c>
    </row>
    <row r="198" spans="1:22" x14ac:dyDescent="0.2">
      <c r="A198" s="153">
        <v>2017</v>
      </c>
      <c r="B198" s="153">
        <v>5</v>
      </c>
      <c r="C198" s="168"/>
      <c r="D198" s="168"/>
      <c r="E198" s="173">
        <v>13.276189156742458</v>
      </c>
      <c r="F198" s="281">
        <f t="shared" si="15"/>
        <v>12.607287341291647</v>
      </c>
      <c r="G198" s="173"/>
      <c r="H198" s="173">
        <v>30.05</v>
      </c>
      <c r="I198" s="154">
        <v>768367.87983146776</v>
      </c>
      <c r="J198" s="190">
        <f>VLOOKUP($A198&amp;$B198,'LE Inputs'!$C$2:$J$505,MATCH('LE UtilityData'!J$1,'LE Inputs'!$C$1:$J$1,0),0)*1000</f>
        <v>1355624.7603896083</v>
      </c>
      <c r="K198" s="190">
        <v>547821.18724552996</v>
      </c>
      <c r="L198" s="164">
        <v>369441.25252836803</v>
      </c>
      <c r="M198" s="299">
        <v>366299.97</v>
      </c>
      <c r="N198" s="156">
        <v>49602.185992844999</v>
      </c>
      <c r="O198" s="190" t="e">
        <f>VLOOKUP($A198&amp;$B198,'LE Inputs'!$C$2:$J$505,MATCH('LE UtilityData'!O$1,'LE Inputs'!$C$1:$J$1,0),0)</f>
        <v>#N/A</v>
      </c>
      <c r="P198" s="190" t="e">
        <f>VLOOKUP($A198&amp;$B198,'LE Inputs'!$C$2:$J$505,MATCH('LE UtilityData'!P$1,'LE Inputs'!$C$1:$J$1,0),0)</f>
        <v>#N/A</v>
      </c>
      <c r="Q198" s="168">
        <f t="shared" si="13"/>
        <v>141</v>
      </c>
      <c r="R198" s="168">
        <f t="shared" si="13"/>
        <v>69.349999999999994</v>
      </c>
      <c r="S198" s="166">
        <v>4124</v>
      </c>
      <c r="T198" s="166">
        <v>1696</v>
      </c>
      <c r="U198" s="166">
        <f t="shared" si="16"/>
        <v>0</v>
      </c>
      <c r="V198" s="166">
        <f t="shared" si="14"/>
        <v>0</v>
      </c>
    </row>
    <row r="199" spans="1:22" x14ac:dyDescent="0.2">
      <c r="A199" s="153">
        <v>2017</v>
      </c>
      <c r="B199" s="153">
        <v>6</v>
      </c>
      <c r="C199" s="168"/>
      <c r="D199" s="168"/>
      <c r="E199" s="173">
        <v>13.276189156742458</v>
      </c>
      <c r="F199" s="281">
        <f t="shared" si="15"/>
        <v>12.607287341291647</v>
      </c>
      <c r="G199" s="173"/>
      <c r="H199" s="173">
        <v>30.62</v>
      </c>
      <c r="I199" s="154">
        <v>768817.97652266792</v>
      </c>
      <c r="J199" s="190">
        <f>VLOOKUP($A199&amp;$B199,'LE Inputs'!$C$2:$J$505,MATCH('LE UtilityData'!J$1,'LE Inputs'!$C$1:$J$1,0),0)*1000</f>
        <v>1355624.7603896083</v>
      </c>
      <c r="K199" s="190">
        <v>547821.18724552996</v>
      </c>
      <c r="L199" s="164">
        <v>369657.66486121085</v>
      </c>
      <c r="M199" s="299">
        <v>366300.68</v>
      </c>
      <c r="N199" s="156">
        <v>49602.185992844999</v>
      </c>
      <c r="O199" s="190" t="e">
        <f>VLOOKUP($A199&amp;$B199,'LE Inputs'!$C$2:$J$505,MATCH('LE UtilityData'!O$1,'LE Inputs'!$C$1:$J$1,0),0)</f>
        <v>#N/A</v>
      </c>
      <c r="P199" s="190" t="e">
        <f>VLOOKUP($A199&amp;$B199,'LE Inputs'!$C$2:$J$505,MATCH('LE UtilityData'!P$1,'LE Inputs'!$C$1:$J$1,0),0)</f>
        <v>#N/A</v>
      </c>
      <c r="Q199" s="168">
        <f t="shared" si="13"/>
        <v>29.5</v>
      </c>
      <c r="R199" s="168">
        <f t="shared" si="13"/>
        <v>224.8</v>
      </c>
      <c r="S199" s="166">
        <v>4124</v>
      </c>
      <c r="T199" s="166">
        <v>1696</v>
      </c>
      <c r="U199" s="166">
        <f t="shared" si="16"/>
        <v>0</v>
      </c>
      <c r="V199" s="166">
        <f t="shared" si="14"/>
        <v>0</v>
      </c>
    </row>
    <row r="200" spans="1:22" x14ac:dyDescent="0.2">
      <c r="A200" s="153">
        <v>2017</v>
      </c>
      <c r="B200" s="153">
        <v>7</v>
      </c>
      <c r="C200" s="168"/>
      <c r="D200" s="168"/>
      <c r="E200" s="173">
        <v>13.276189156742458</v>
      </c>
      <c r="F200" s="281">
        <f t="shared" si="15"/>
        <v>12.607287341291647</v>
      </c>
      <c r="G200" s="173"/>
      <c r="H200" s="173">
        <v>30.81</v>
      </c>
      <c r="I200" s="154">
        <v>769270.97652266792</v>
      </c>
      <c r="J200" s="190">
        <f>VLOOKUP($A200&amp;$B200,'LE Inputs'!$C$2:$J$505,MATCH('LE UtilityData'!J$1,'LE Inputs'!$C$1:$J$1,0),0)*1000</f>
        <v>1358018.5639300745</v>
      </c>
      <c r="K200" s="190">
        <v>548512.64204130636</v>
      </c>
      <c r="L200" s="164">
        <v>369875.47314261901</v>
      </c>
      <c r="M200" s="299">
        <v>366665.11</v>
      </c>
      <c r="N200" s="156">
        <v>49971.507759908702</v>
      </c>
      <c r="O200" s="190" t="e">
        <f>VLOOKUP($A200&amp;$B200,'LE Inputs'!$C$2:$J$505,MATCH('LE UtilityData'!O$1,'LE Inputs'!$C$1:$J$1,0),0)</f>
        <v>#N/A</v>
      </c>
      <c r="P200" s="190" t="e">
        <f>VLOOKUP($A200&amp;$B200,'LE Inputs'!$C$2:$J$505,MATCH('LE UtilityData'!P$1,'LE Inputs'!$C$1:$J$1,0),0)</f>
        <v>#N/A</v>
      </c>
      <c r="Q200" s="168">
        <f t="shared" si="13"/>
        <v>0.55000000000000004</v>
      </c>
      <c r="R200" s="168">
        <f t="shared" si="13"/>
        <v>396.4</v>
      </c>
      <c r="S200" s="166">
        <v>4124</v>
      </c>
      <c r="T200" s="166">
        <v>1696</v>
      </c>
      <c r="U200" s="166">
        <f t="shared" si="16"/>
        <v>0</v>
      </c>
      <c r="V200" s="166">
        <f t="shared" si="14"/>
        <v>0</v>
      </c>
    </row>
    <row r="201" spans="1:22" x14ac:dyDescent="0.2">
      <c r="A201" s="153">
        <v>2017</v>
      </c>
      <c r="B201" s="153">
        <v>8</v>
      </c>
      <c r="C201" s="168"/>
      <c r="D201" s="168"/>
      <c r="E201" s="173">
        <v>13.276189156742458</v>
      </c>
      <c r="F201" s="281">
        <f t="shared" si="15"/>
        <v>12.607287341291647</v>
      </c>
      <c r="G201" s="173"/>
      <c r="H201" s="173">
        <v>29.43</v>
      </c>
      <c r="I201" s="154">
        <v>769723.97652266792</v>
      </c>
      <c r="J201" s="190">
        <f>VLOOKUP($A201&amp;$B201,'LE Inputs'!$C$2:$J$505,MATCH('LE UtilityData'!J$1,'LE Inputs'!$C$1:$J$1,0),0)*1000</f>
        <v>1358018.5639300745</v>
      </c>
      <c r="K201" s="190">
        <v>548512.64204130636</v>
      </c>
      <c r="L201" s="164">
        <v>370093.28142402717</v>
      </c>
      <c r="M201" s="299">
        <v>366665.75</v>
      </c>
      <c r="N201" s="156">
        <v>49971.507759908702</v>
      </c>
      <c r="O201" s="190" t="e">
        <f>VLOOKUP($A201&amp;$B201,'LE Inputs'!$C$2:$J$505,MATCH('LE UtilityData'!O$1,'LE Inputs'!$C$1:$J$1,0),0)</f>
        <v>#N/A</v>
      </c>
      <c r="P201" s="190" t="e">
        <f>VLOOKUP($A201&amp;$B201,'LE Inputs'!$C$2:$J$505,MATCH('LE UtilityData'!P$1,'LE Inputs'!$C$1:$J$1,0),0)</f>
        <v>#N/A</v>
      </c>
      <c r="Q201" s="168">
        <f t="shared" si="13"/>
        <v>0.1</v>
      </c>
      <c r="R201" s="168">
        <f t="shared" si="13"/>
        <v>417.05</v>
      </c>
      <c r="S201" s="166">
        <v>4124</v>
      </c>
      <c r="T201" s="166">
        <v>1696</v>
      </c>
      <c r="U201" s="166">
        <f t="shared" si="16"/>
        <v>0</v>
      </c>
      <c r="V201" s="166">
        <f t="shared" si="14"/>
        <v>0</v>
      </c>
    </row>
    <row r="202" spans="1:22" x14ac:dyDescent="0.2">
      <c r="A202" s="153">
        <v>2017</v>
      </c>
      <c r="B202" s="153">
        <v>9</v>
      </c>
      <c r="C202" s="168"/>
      <c r="D202" s="168"/>
      <c r="E202" s="173">
        <v>13.276189156742458</v>
      </c>
      <c r="F202" s="281">
        <f t="shared" si="15"/>
        <v>12.607287341291647</v>
      </c>
      <c r="G202" s="173"/>
      <c r="H202" s="173">
        <v>30.57</v>
      </c>
      <c r="I202" s="154">
        <v>770176.97652266792</v>
      </c>
      <c r="J202" s="190">
        <f>VLOOKUP($A202&amp;$B202,'LE Inputs'!$C$2:$J$505,MATCH('LE UtilityData'!J$1,'LE Inputs'!$C$1:$J$1,0),0)*1000</f>
        <v>1358018.5639300745</v>
      </c>
      <c r="K202" s="190">
        <v>548512.64204130636</v>
      </c>
      <c r="L202" s="164">
        <v>370311.08970543538</v>
      </c>
      <c r="M202" s="299">
        <v>366666.37</v>
      </c>
      <c r="N202" s="156">
        <v>49971.507759908702</v>
      </c>
      <c r="O202" s="190" t="e">
        <f>VLOOKUP($A202&amp;$B202,'LE Inputs'!$C$2:$J$505,MATCH('LE UtilityData'!O$1,'LE Inputs'!$C$1:$J$1,0),0)</f>
        <v>#N/A</v>
      </c>
      <c r="P202" s="190" t="e">
        <f>VLOOKUP($A202&amp;$B202,'LE Inputs'!$C$2:$J$505,MATCH('LE UtilityData'!P$1,'LE Inputs'!$C$1:$J$1,0),0)</f>
        <v>#N/A</v>
      </c>
      <c r="Q202" s="168">
        <f t="shared" si="13"/>
        <v>5.35</v>
      </c>
      <c r="R202" s="168">
        <f t="shared" si="13"/>
        <v>330.2</v>
      </c>
      <c r="S202" s="166">
        <v>4124</v>
      </c>
      <c r="T202" s="166">
        <v>1696</v>
      </c>
      <c r="U202" s="166">
        <f t="shared" si="16"/>
        <v>0</v>
      </c>
      <c r="V202" s="166">
        <f t="shared" si="14"/>
        <v>0</v>
      </c>
    </row>
    <row r="203" spans="1:22" x14ac:dyDescent="0.2">
      <c r="A203" s="153">
        <v>2017</v>
      </c>
      <c r="B203" s="153">
        <v>10</v>
      </c>
      <c r="C203" s="168"/>
      <c r="D203" s="168"/>
      <c r="E203" s="173">
        <v>13.276189156742458</v>
      </c>
      <c r="F203" s="281">
        <f t="shared" si="15"/>
        <v>12.607287341291647</v>
      </c>
      <c r="G203" s="173"/>
      <c r="H203" s="173">
        <v>29.67</v>
      </c>
      <c r="I203" s="154">
        <v>770629.97652266792</v>
      </c>
      <c r="J203" s="190">
        <f>VLOOKUP($A203&amp;$B203,'LE Inputs'!$C$2:$J$505,MATCH('LE UtilityData'!J$1,'LE Inputs'!$C$1:$J$1,0),0)*1000</f>
        <v>1361106.7204817112</v>
      </c>
      <c r="K203" s="190">
        <v>549485.78309977264</v>
      </c>
      <c r="L203" s="164">
        <v>370528.8979868436</v>
      </c>
      <c r="M203" s="299">
        <v>367178.42</v>
      </c>
      <c r="N203" s="156">
        <v>50277.416730374403</v>
      </c>
      <c r="O203" s="190" t="e">
        <f>VLOOKUP($A203&amp;$B203,'LE Inputs'!$C$2:$J$505,MATCH('LE UtilityData'!O$1,'LE Inputs'!$C$1:$J$1,0),0)</f>
        <v>#N/A</v>
      </c>
      <c r="P203" s="190" t="e">
        <f>VLOOKUP($A203&amp;$B203,'LE Inputs'!$C$2:$J$505,MATCH('LE UtilityData'!P$1,'LE Inputs'!$C$1:$J$1,0),0)</f>
        <v>#N/A</v>
      </c>
      <c r="Q203" s="168">
        <f t="shared" si="13"/>
        <v>99.3</v>
      </c>
      <c r="R203" s="168">
        <f t="shared" si="13"/>
        <v>100.05</v>
      </c>
      <c r="S203" s="166">
        <v>4124</v>
      </c>
      <c r="T203" s="166">
        <v>1696</v>
      </c>
      <c r="U203" s="166">
        <f t="shared" si="16"/>
        <v>0</v>
      </c>
      <c r="V203" s="166">
        <f t="shared" si="14"/>
        <v>0</v>
      </c>
    </row>
    <row r="204" spans="1:22" x14ac:dyDescent="0.2">
      <c r="A204" s="153">
        <v>2017</v>
      </c>
      <c r="B204" s="153">
        <v>11</v>
      </c>
      <c r="C204" s="168"/>
      <c r="D204" s="168"/>
      <c r="E204" s="173">
        <v>13.276189156742458</v>
      </c>
      <c r="F204" s="281">
        <f t="shared" si="15"/>
        <v>12.607287341291647</v>
      </c>
      <c r="G204" s="173"/>
      <c r="H204" s="173">
        <v>30.05</v>
      </c>
      <c r="I204" s="154">
        <v>771082.97652266792</v>
      </c>
      <c r="J204" s="190">
        <f>VLOOKUP($A204&amp;$B204,'LE Inputs'!$C$2:$J$505,MATCH('LE UtilityData'!J$1,'LE Inputs'!$C$1:$J$1,0),0)*1000</f>
        <v>1361106.7204817112</v>
      </c>
      <c r="K204" s="190">
        <v>549485.78309977264</v>
      </c>
      <c r="L204" s="164">
        <v>370746.70626825176</v>
      </c>
      <c r="M204" s="299">
        <v>367178.98</v>
      </c>
      <c r="N204" s="156">
        <v>50277.416730374403</v>
      </c>
      <c r="O204" s="190" t="e">
        <f>VLOOKUP($A204&amp;$B204,'LE Inputs'!$C$2:$J$505,MATCH('LE UtilityData'!O$1,'LE Inputs'!$C$1:$J$1,0),0)</f>
        <v>#N/A</v>
      </c>
      <c r="P204" s="190" t="e">
        <f>VLOOKUP($A204&amp;$B204,'LE Inputs'!$C$2:$J$505,MATCH('LE UtilityData'!P$1,'LE Inputs'!$C$1:$J$1,0),0)</f>
        <v>#N/A</v>
      </c>
      <c r="Q204" s="168">
        <f t="shared" si="13"/>
        <v>352.6</v>
      </c>
      <c r="R204" s="168">
        <f t="shared" si="13"/>
        <v>12.75</v>
      </c>
      <c r="S204" s="166">
        <v>4124</v>
      </c>
      <c r="T204" s="166">
        <v>1696</v>
      </c>
      <c r="U204" s="166">
        <f t="shared" si="16"/>
        <v>0</v>
      </c>
      <c r="V204" s="166">
        <f t="shared" si="14"/>
        <v>0</v>
      </c>
    </row>
    <row r="205" spans="1:22" x14ac:dyDescent="0.2">
      <c r="A205" s="153">
        <v>2017</v>
      </c>
      <c r="B205" s="153">
        <v>12</v>
      </c>
      <c r="C205" s="168"/>
      <c r="D205" s="168"/>
      <c r="E205" s="173">
        <v>13.276189156742458</v>
      </c>
      <c r="F205" s="281">
        <f t="shared" si="15"/>
        <v>12.607287341291647</v>
      </c>
      <c r="G205" s="173"/>
      <c r="H205" s="173">
        <v>30.67</v>
      </c>
      <c r="I205" s="154">
        <v>771535.97652266792</v>
      </c>
      <c r="J205" s="190">
        <f>VLOOKUP($A205&amp;$B205,'LE Inputs'!$C$2:$J$505,MATCH('LE UtilityData'!J$1,'LE Inputs'!$C$1:$J$1,0),0)*1000</f>
        <v>1361106.7204817112</v>
      </c>
      <c r="K205" s="190">
        <v>549485.78309977264</v>
      </c>
      <c r="L205" s="164">
        <v>370964.51454965997</v>
      </c>
      <c r="M205" s="299">
        <v>367179.51</v>
      </c>
      <c r="N205" s="156">
        <v>50277.416730374403</v>
      </c>
      <c r="O205" s="190" t="e">
        <f>VLOOKUP($A205&amp;$B205,'LE Inputs'!$C$2:$J$505,MATCH('LE UtilityData'!O$1,'LE Inputs'!$C$1:$J$1,0),0)</f>
        <v>#N/A</v>
      </c>
      <c r="P205" s="190" t="e">
        <f>VLOOKUP($A205&amp;$B205,'LE Inputs'!$C$2:$J$505,MATCH('LE UtilityData'!P$1,'LE Inputs'!$C$1:$J$1,0),0)</f>
        <v>#N/A</v>
      </c>
      <c r="Q205" s="168">
        <f t="shared" si="13"/>
        <v>669.9</v>
      </c>
      <c r="R205" s="168">
        <f t="shared" si="13"/>
        <v>1.05</v>
      </c>
      <c r="S205" s="166">
        <v>4124</v>
      </c>
      <c r="T205" s="166">
        <v>1696</v>
      </c>
      <c r="U205" s="166">
        <f t="shared" si="16"/>
        <v>0</v>
      </c>
      <c r="V205" s="166">
        <f t="shared" si="14"/>
        <v>0</v>
      </c>
    </row>
    <row r="206" spans="1:22" x14ac:dyDescent="0.2">
      <c r="A206" s="153">
        <v>2018</v>
      </c>
      <c r="B206" s="153">
        <v>1</v>
      </c>
      <c r="C206" s="168"/>
      <c r="D206" s="168"/>
      <c r="E206" s="173">
        <v>13.372037505036205</v>
      </c>
      <c r="F206" s="281">
        <f t="shared" si="15"/>
        <v>12.859433088117481</v>
      </c>
      <c r="G206" s="173"/>
      <c r="H206" s="173">
        <v>32.67</v>
      </c>
      <c r="I206" s="154">
        <v>771988.97652266792</v>
      </c>
      <c r="J206" s="190">
        <f>VLOOKUP($A206&amp;$B206,'LE Inputs'!$C$2:$J$505,MATCH('LE UtilityData'!J$1,'LE Inputs'!$C$1:$J$1,0),0)*1000</f>
        <v>1364371.7319823133</v>
      </c>
      <c r="K206" s="190">
        <v>550782.42885989218</v>
      </c>
      <c r="L206" s="164">
        <v>371182.32283106813</v>
      </c>
      <c r="M206" s="299">
        <v>367861.28</v>
      </c>
      <c r="N206" s="156">
        <v>50498.0568929035</v>
      </c>
      <c r="O206" s="190" t="e">
        <f>VLOOKUP($A206&amp;$B206,'LE Inputs'!$C$2:$J$505,MATCH('LE UtilityData'!O$1,'LE Inputs'!$C$1:$J$1,0),0)</f>
        <v>#N/A</v>
      </c>
      <c r="P206" s="190" t="e">
        <f>VLOOKUP($A206&amp;$B206,'LE Inputs'!$C$2:$J$505,MATCH('LE UtilityData'!P$1,'LE Inputs'!$C$1:$J$1,0),0)</f>
        <v>#N/A</v>
      </c>
      <c r="Q206" s="168">
        <f t="shared" ref="Q206:R221" si="17">Q194</f>
        <v>932.4</v>
      </c>
      <c r="R206" s="168">
        <f t="shared" si="17"/>
        <v>0.35</v>
      </c>
      <c r="S206" s="166">
        <v>4124</v>
      </c>
      <c r="T206" s="166">
        <v>1696</v>
      </c>
      <c r="U206" s="166">
        <f t="shared" si="16"/>
        <v>0</v>
      </c>
      <c r="V206" s="166">
        <f t="shared" si="14"/>
        <v>0</v>
      </c>
    </row>
    <row r="207" spans="1:22" x14ac:dyDescent="0.2">
      <c r="A207" s="153">
        <v>2018</v>
      </c>
      <c r="B207" s="153">
        <v>2</v>
      </c>
      <c r="C207" s="168"/>
      <c r="D207" s="168"/>
      <c r="E207" s="173">
        <v>13.372037505036205</v>
      </c>
      <c r="F207" s="281">
        <f t="shared" si="15"/>
        <v>12.859433088117481</v>
      </c>
      <c r="G207" s="173"/>
      <c r="H207" s="173">
        <v>29.86</v>
      </c>
      <c r="I207" s="154">
        <v>772441.97652266792</v>
      </c>
      <c r="J207" s="190">
        <f>VLOOKUP($A207&amp;$B207,'LE Inputs'!$C$2:$J$505,MATCH('LE UtilityData'!J$1,'LE Inputs'!$C$1:$J$1,0),0)*1000</f>
        <v>1364371.7319823133</v>
      </c>
      <c r="K207" s="190">
        <v>550782.42885989218</v>
      </c>
      <c r="L207" s="164">
        <v>371400.13111247635</v>
      </c>
      <c r="M207" s="299">
        <v>367861.77</v>
      </c>
      <c r="N207" s="156">
        <v>50498.0568929035</v>
      </c>
      <c r="O207" s="190" t="e">
        <f>VLOOKUP($A207&amp;$B207,'LE Inputs'!$C$2:$J$505,MATCH('LE UtilityData'!O$1,'LE Inputs'!$C$1:$J$1,0),0)</f>
        <v>#N/A</v>
      </c>
      <c r="P207" s="190" t="e">
        <f>VLOOKUP($A207&amp;$B207,'LE Inputs'!$C$2:$J$505,MATCH('LE UtilityData'!P$1,'LE Inputs'!$C$1:$J$1,0),0)</f>
        <v>#N/A</v>
      </c>
      <c r="Q207" s="168">
        <f t="shared" si="17"/>
        <v>864.1</v>
      </c>
      <c r="R207" s="168">
        <f t="shared" si="17"/>
        <v>0.05</v>
      </c>
      <c r="S207" s="166">
        <v>4124</v>
      </c>
      <c r="T207" s="166">
        <v>1696</v>
      </c>
      <c r="U207" s="166">
        <f t="shared" si="16"/>
        <v>0</v>
      </c>
      <c r="V207" s="166">
        <f t="shared" si="14"/>
        <v>0</v>
      </c>
    </row>
    <row r="208" spans="1:22" x14ac:dyDescent="0.2">
      <c r="A208" s="153">
        <v>2018</v>
      </c>
      <c r="B208" s="153">
        <v>3</v>
      </c>
      <c r="C208" s="168"/>
      <c r="D208" s="168"/>
      <c r="E208" s="173">
        <v>13.372037505036205</v>
      </c>
      <c r="F208" s="281">
        <f t="shared" si="15"/>
        <v>12.859433088117481</v>
      </c>
      <c r="G208" s="173"/>
      <c r="H208" s="173">
        <v>30.43</v>
      </c>
      <c r="I208" s="154">
        <v>772894.97652266792</v>
      </c>
      <c r="J208" s="190">
        <f>VLOOKUP($A208&amp;$B208,'LE Inputs'!$C$2:$J$505,MATCH('LE UtilityData'!J$1,'LE Inputs'!$C$1:$J$1,0),0)*1000</f>
        <v>1364371.7319823133</v>
      </c>
      <c r="K208" s="190">
        <v>550782.42885989218</v>
      </c>
      <c r="L208" s="164">
        <v>371617.93939388456</v>
      </c>
      <c r="M208" s="299">
        <v>367862.23</v>
      </c>
      <c r="N208" s="156">
        <v>50498.0568929035</v>
      </c>
      <c r="O208" s="190" t="e">
        <f>VLOOKUP($A208&amp;$B208,'LE Inputs'!$C$2:$J$505,MATCH('LE UtilityData'!O$1,'LE Inputs'!$C$1:$J$1,0),0)</f>
        <v>#N/A</v>
      </c>
      <c r="P208" s="190" t="e">
        <f>VLOOKUP($A208&amp;$B208,'LE Inputs'!$C$2:$J$505,MATCH('LE UtilityData'!P$1,'LE Inputs'!$C$1:$J$1,0),0)</f>
        <v>#N/A</v>
      </c>
      <c r="Q208" s="168">
        <f t="shared" si="17"/>
        <v>674.3</v>
      </c>
      <c r="R208" s="168">
        <f t="shared" si="17"/>
        <v>1.1499999999999999</v>
      </c>
      <c r="S208" s="166">
        <v>4124</v>
      </c>
      <c r="T208" s="166">
        <v>1696</v>
      </c>
      <c r="U208" s="166">
        <f t="shared" si="16"/>
        <v>0</v>
      </c>
      <c r="V208" s="166">
        <f t="shared" si="14"/>
        <v>0</v>
      </c>
    </row>
    <row r="209" spans="1:22" x14ac:dyDescent="0.2">
      <c r="A209" s="153">
        <v>2018</v>
      </c>
      <c r="B209" s="153">
        <v>4</v>
      </c>
      <c r="C209" s="168"/>
      <c r="D209" s="168"/>
      <c r="E209" s="173">
        <v>13.372037505036205</v>
      </c>
      <c r="F209" s="281">
        <f t="shared" si="15"/>
        <v>12.859433088117481</v>
      </c>
      <c r="G209" s="173"/>
      <c r="H209" s="173">
        <v>30.71</v>
      </c>
      <c r="I209" s="154">
        <v>773347.97652266792</v>
      </c>
      <c r="J209" s="190">
        <f>VLOOKUP($A209&amp;$B209,'LE Inputs'!$C$2:$J$505,MATCH('LE UtilityData'!J$1,'LE Inputs'!$C$1:$J$1,0),0)*1000</f>
        <v>1366845.0445227297</v>
      </c>
      <c r="K209" s="190">
        <v>551690.70371431648</v>
      </c>
      <c r="L209" s="164">
        <v>371835.74767529278</v>
      </c>
      <c r="M209" s="299">
        <v>368340.5</v>
      </c>
      <c r="N209" s="156">
        <v>50766.2043970452</v>
      </c>
      <c r="O209" s="190" t="e">
        <f>VLOOKUP($A209&amp;$B209,'LE Inputs'!$C$2:$J$505,MATCH('LE UtilityData'!O$1,'LE Inputs'!$C$1:$J$1,0),0)</f>
        <v>#N/A</v>
      </c>
      <c r="P209" s="190" t="e">
        <f>VLOOKUP($A209&amp;$B209,'LE Inputs'!$C$2:$J$505,MATCH('LE UtilityData'!P$1,'LE Inputs'!$C$1:$J$1,0),0)</f>
        <v>#N/A</v>
      </c>
      <c r="Q209" s="168">
        <f t="shared" si="17"/>
        <v>377.1</v>
      </c>
      <c r="R209" s="168">
        <f t="shared" si="17"/>
        <v>20.25</v>
      </c>
      <c r="S209" s="166">
        <v>4124</v>
      </c>
      <c r="T209" s="166">
        <v>1696</v>
      </c>
      <c r="U209" s="166">
        <f t="shared" si="16"/>
        <v>0</v>
      </c>
      <c r="V209" s="166">
        <f t="shared" si="14"/>
        <v>0</v>
      </c>
    </row>
    <row r="210" spans="1:22" x14ac:dyDescent="0.2">
      <c r="A210" s="153">
        <v>2018</v>
      </c>
      <c r="B210" s="153">
        <v>5</v>
      </c>
      <c r="C210" s="168"/>
      <c r="D210" s="168"/>
      <c r="E210" s="173">
        <v>13.372037505036205</v>
      </c>
      <c r="F210" s="281">
        <f t="shared" si="15"/>
        <v>12.859433088117481</v>
      </c>
      <c r="G210" s="173"/>
      <c r="H210" s="173">
        <v>29.52</v>
      </c>
      <c r="I210" s="154">
        <v>773800.97652266792</v>
      </c>
      <c r="J210" s="190">
        <f>VLOOKUP($A210&amp;$B210,'LE Inputs'!$C$2:$J$505,MATCH('LE UtilityData'!J$1,'LE Inputs'!$C$1:$J$1,0),0)*1000</f>
        <v>1366845.0445227297</v>
      </c>
      <c r="K210" s="190">
        <v>551690.70371431648</v>
      </c>
      <c r="L210" s="164">
        <v>372053.55595670093</v>
      </c>
      <c r="M210" s="299">
        <v>368340.92</v>
      </c>
      <c r="N210" s="156">
        <v>50766.2043970452</v>
      </c>
      <c r="O210" s="190" t="e">
        <f>VLOOKUP($A210&amp;$B210,'LE Inputs'!$C$2:$J$505,MATCH('LE UtilityData'!O$1,'LE Inputs'!$C$1:$J$1,0),0)</f>
        <v>#N/A</v>
      </c>
      <c r="P210" s="190" t="e">
        <f>VLOOKUP($A210&amp;$B210,'LE Inputs'!$C$2:$J$505,MATCH('LE UtilityData'!P$1,'LE Inputs'!$C$1:$J$1,0),0)</f>
        <v>#N/A</v>
      </c>
      <c r="Q210" s="168">
        <f t="shared" si="17"/>
        <v>141</v>
      </c>
      <c r="R210" s="168">
        <f t="shared" si="17"/>
        <v>69.349999999999994</v>
      </c>
      <c r="S210" s="166">
        <v>4124</v>
      </c>
      <c r="T210" s="166">
        <v>1696</v>
      </c>
      <c r="U210" s="166">
        <f t="shared" si="16"/>
        <v>0</v>
      </c>
      <c r="V210" s="166">
        <f t="shared" si="14"/>
        <v>0</v>
      </c>
    </row>
    <row r="211" spans="1:22" x14ac:dyDescent="0.2">
      <c r="A211" s="153">
        <v>2018</v>
      </c>
      <c r="B211" s="153">
        <v>6</v>
      </c>
      <c r="C211" s="168"/>
      <c r="D211" s="168"/>
      <c r="E211" s="173">
        <v>13.372037505036205</v>
      </c>
      <c r="F211" s="281">
        <f t="shared" si="15"/>
        <v>12.859433088117481</v>
      </c>
      <c r="G211" s="173"/>
      <c r="H211" s="173">
        <v>30.62</v>
      </c>
      <c r="I211" s="154">
        <v>774248.19544896099</v>
      </c>
      <c r="J211" s="190">
        <f>VLOOKUP($A211&amp;$B211,'LE Inputs'!$C$2:$J$505,MATCH('LE UtilityData'!J$1,'LE Inputs'!$C$1:$J$1,0),0)*1000</f>
        <v>1366845.0445227297</v>
      </c>
      <c r="K211" s="190">
        <v>551690.70371431648</v>
      </c>
      <c r="L211" s="164">
        <v>372268.58462281374</v>
      </c>
      <c r="M211" s="299">
        <v>368341.33</v>
      </c>
      <c r="N211" s="156">
        <v>50766.2043970452</v>
      </c>
      <c r="O211" s="190" t="e">
        <f>VLOOKUP($A211&amp;$B211,'LE Inputs'!$C$2:$J$505,MATCH('LE UtilityData'!O$1,'LE Inputs'!$C$1:$J$1,0),0)</f>
        <v>#N/A</v>
      </c>
      <c r="P211" s="190" t="e">
        <f>VLOOKUP($A211&amp;$B211,'LE Inputs'!$C$2:$J$505,MATCH('LE UtilityData'!P$1,'LE Inputs'!$C$1:$J$1,0),0)</f>
        <v>#N/A</v>
      </c>
      <c r="Q211" s="168">
        <f t="shared" si="17"/>
        <v>29.5</v>
      </c>
      <c r="R211" s="168">
        <f t="shared" si="17"/>
        <v>224.8</v>
      </c>
      <c r="S211" s="166">
        <v>4124</v>
      </c>
      <c r="T211" s="166">
        <v>1696</v>
      </c>
      <c r="U211" s="166">
        <f t="shared" si="16"/>
        <v>0</v>
      </c>
      <c r="V211" s="166">
        <f t="shared" si="14"/>
        <v>0</v>
      </c>
    </row>
    <row r="212" spans="1:22" x14ac:dyDescent="0.2">
      <c r="A212" s="153">
        <v>2018</v>
      </c>
      <c r="B212" s="153">
        <v>7</v>
      </c>
      <c r="C212" s="168"/>
      <c r="D212" s="168"/>
      <c r="E212" s="173">
        <v>13.372037505036205</v>
      </c>
      <c r="F212" s="281">
        <f t="shared" si="15"/>
        <v>12.859433088117481</v>
      </c>
      <c r="G212" s="173"/>
      <c r="H212" s="173">
        <v>30.76</v>
      </c>
      <c r="I212" s="154">
        <v>774699.19544896099</v>
      </c>
      <c r="J212" s="190">
        <f>VLOOKUP($A212&amp;$B212,'LE Inputs'!$C$2:$J$505,MATCH('LE UtilityData'!J$1,'LE Inputs'!$C$1:$J$1,0),0)*1000</f>
        <v>1369427.1187304622</v>
      </c>
      <c r="K212" s="190">
        <v>552764.59498891223</v>
      </c>
      <c r="L212" s="164">
        <v>372485.43127825542</v>
      </c>
      <c r="M212" s="299">
        <v>368906.27</v>
      </c>
      <c r="N212" s="156">
        <v>51200.209297431204</v>
      </c>
      <c r="O212" s="190" t="e">
        <f>VLOOKUP($A212&amp;$B212,'LE Inputs'!$C$2:$J$505,MATCH('LE UtilityData'!O$1,'LE Inputs'!$C$1:$J$1,0),0)</f>
        <v>#N/A</v>
      </c>
      <c r="P212" s="190" t="e">
        <f>VLOOKUP($A212&amp;$B212,'LE Inputs'!$C$2:$J$505,MATCH('LE UtilityData'!P$1,'LE Inputs'!$C$1:$J$1,0),0)</f>
        <v>#N/A</v>
      </c>
      <c r="Q212" s="168">
        <f t="shared" si="17"/>
        <v>0.55000000000000004</v>
      </c>
      <c r="R212" s="168">
        <f t="shared" si="17"/>
        <v>396.4</v>
      </c>
      <c r="S212" s="166">
        <v>4124</v>
      </c>
      <c r="T212" s="166">
        <v>1696</v>
      </c>
      <c r="U212" s="166">
        <f t="shared" si="16"/>
        <v>0</v>
      </c>
      <c r="V212" s="166">
        <f t="shared" si="14"/>
        <v>0</v>
      </c>
    </row>
    <row r="213" spans="1:22" x14ac:dyDescent="0.2">
      <c r="A213" s="153">
        <v>2018</v>
      </c>
      <c r="B213" s="153">
        <v>8</v>
      </c>
      <c r="C213" s="168"/>
      <c r="D213" s="168"/>
      <c r="E213" s="173">
        <v>13.372037505036205</v>
      </c>
      <c r="F213" s="281">
        <f t="shared" si="15"/>
        <v>12.859433088117481</v>
      </c>
      <c r="G213" s="173"/>
      <c r="H213" s="173">
        <v>29.48</v>
      </c>
      <c r="I213" s="154">
        <v>775150.19544896099</v>
      </c>
      <c r="J213" s="190">
        <f>VLOOKUP($A213&amp;$B213,'LE Inputs'!$C$2:$J$505,MATCH('LE UtilityData'!J$1,'LE Inputs'!$C$1:$J$1,0),0)*1000</f>
        <v>1369427.1187304622</v>
      </c>
      <c r="K213" s="190">
        <v>552764.59498891223</v>
      </c>
      <c r="L213" s="164">
        <v>372702.27793369716</v>
      </c>
      <c r="M213" s="299">
        <v>368906.64</v>
      </c>
      <c r="N213" s="156">
        <v>51200.209297431204</v>
      </c>
      <c r="O213" s="190" t="e">
        <f>VLOOKUP($A213&amp;$B213,'LE Inputs'!$C$2:$J$505,MATCH('LE UtilityData'!O$1,'LE Inputs'!$C$1:$J$1,0),0)</f>
        <v>#N/A</v>
      </c>
      <c r="P213" s="190" t="e">
        <f>VLOOKUP($A213&amp;$B213,'LE Inputs'!$C$2:$J$505,MATCH('LE UtilityData'!P$1,'LE Inputs'!$C$1:$J$1,0),0)</f>
        <v>#N/A</v>
      </c>
      <c r="Q213" s="168">
        <f t="shared" si="17"/>
        <v>0.1</v>
      </c>
      <c r="R213" s="168">
        <f t="shared" si="17"/>
        <v>417.05</v>
      </c>
      <c r="S213" s="166">
        <v>4124</v>
      </c>
      <c r="T213" s="166">
        <v>1696</v>
      </c>
      <c r="U213" s="166">
        <f t="shared" si="16"/>
        <v>0</v>
      </c>
      <c r="V213" s="166">
        <f t="shared" si="14"/>
        <v>0</v>
      </c>
    </row>
    <row r="214" spans="1:22" x14ac:dyDescent="0.2">
      <c r="A214" s="153">
        <v>2018</v>
      </c>
      <c r="B214" s="153">
        <v>9</v>
      </c>
      <c r="C214" s="168"/>
      <c r="D214" s="168"/>
      <c r="E214" s="173">
        <v>13.372037505036205</v>
      </c>
      <c r="F214" s="281">
        <f t="shared" si="15"/>
        <v>12.859433088117481</v>
      </c>
      <c r="G214" s="173"/>
      <c r="H214" s="173">
        <v>30.57</v>
      </c>
      <c r="I214" s="154">
        <v>775601.19544896099</v>
      </c>
      <c r="J214" s="190">
        <f>VLOOKUP($A214&amp;$B214,'LE Inputs'!$C$2:$J$505,MATCH('LE UtilityData'!J$1,'LE Inputs'!$C$1:$J$1,0),0)*1000</f>
        <v>1369427.1187304622</v>
      </c>
      <c r="K214" s="190">
        <v>552764.59498891223</v>
      </c>
      <c r="L214" s="164">
        <v>372919.12458913884</v>
      </c>
      <c r="M214" s="299">
        <v>368906.99</v>
      </c>
      <c r="N214" s="156">
        <v>51200.209297431204</v>
      </c>
      <c r="O214" s="190" t="e">
        <f>VLOOKUP($A214&amp;$B214,'LE Inputs'!$C$2:$J$505,MATCH('LE UtilityData'!O$1,'LE Inputs'!$C$1:$J$1,0),0)</f>
        <v>#N/A</v>
      </c>
      <c r="P214" s="190" t="e">
        <f>VLOOKUP($A214&amp;$B214,'LE Inputs'!$C$2:$J$505,MATCH('LE UtilityData'!P$1,'LE Inputs'!$C$1:$J$1,0),0)</f>
        <v>#N/A</v>
      </c>
      <c r="Q214" s="168">
        <f t="shared" si="17"/>
        <v>5.35</v>
      </c>
      <c r="R214" s="168">
        <f t="shared" si="17"/>
        <v>330.2</v>
      </c>
      <c r="S214" s="166">
        <v>4124</v>
      </c>
      <c r="T214" s="166">
        <v>1696</v>
      </c>
      <c r="U214" s="166">
        <f t="shared" si="16"/>
        <v>0</v>
      </c>
      <c r="V214" s="166">
        <f t="shared" si="14"/>
        <v>0</v>
      </c>
    </row>
    <row r="215" spans="1:22" x14ac:dyDescent="0.2">
      <c r="A215" s="153">
        <v>2018</v>
      </c>
      <c r="B215" s="153">
        <v>10</v>
      </c>
      <c r="C215" s="168"/>
      <c r="D215" s="168"/>
      <c r="E215" s="173">
        <v>13.372037505036205</v>
      </c>
      <c r="F215" s="281">
        <f t="shared" si="15"/>
        <v>12.859433088117481</v>
      </c>
      <c r="G215" s="173"/>
      <c r="H215" s="173">
        <v>29.67</v>
      </c>
      <c r="I215" s="154">
        <v>776052.19544896099</v>
      </c>
      <c r="J215" s="190">
        <f>VLOOKUP($A215&amp;$B215,'LE Inputs'!$C$2:$J$505,MATCH('LE UtilityData'!J$1,'LE Inputs'!$C$1:$J$1,0),0)*1000</f>
        <v>1371950.3650990047</v>
      </c>
      <c r="K215" s="190">
        <v>553732.37869408738</v>
      </c>
      <c r="L215" s="164">
        <v>373135.97124458052</v>
      </c>
      <c r="M215" s="299">
        <v>369415.64</v>
      </c>
      <c r="N215" s="156">
        <v>51533.293047143998</v>
      </c>
      <c r="O215" s="190" t="e">
        <f>VLOOKUP($A215&amp;$B215,'LE Inputs'!$C$2:$J$505,MATCH('LE UtilityData'!O$1,'LE Inputs'!$C$1:$J$1,0),0)</f>
        <v>#N/A</v>
      </c>
      <c r="P215" s="190" t="e">
        <f>VLOOKUP($A215&amp;$B215,'LE Inputs'!$C$2:$J$505,MATCH('LE UtilityData'!P$1,'LE Inputs'!$C$1:$J$1,0),0)</f>
        <v>#N/A</v>
      </c>
      <c r="Q215" s="168">
        <f t="shared" si="17"/>
        <v>99.3</v>
      </c>
      <c r="R215" s="168">
        <f t="shared" si="17"/>
        <v>100.05</v>
      </c>
      <c r="S215" s="166">
        <v>4124</v>
      </c>
      <c r="T215" s="166">
        <v>1696</v>
      </c>
      <c r="U215" s="166">
        <f t="shared" si="16"/>
        <v>0</v>
      </c>
      <c r="V215" s="166">
        <f t="shared" si="14"/>
        <v>0</v>
      </c>
    </row>
    <row r="216" spans="1:22" x14ac:dyDescent="0.2">
      <c r="A216" s="153">
        <v>2018</v>
      </c>
      <c r="B216" s="153">
        <v>11</v>
      </c>
      <c r="C216" s="168"/>
      <c r="D216" s="168"/>
      <c r="E216" s="173">
        <v>13.372037505036205</v>
      </c>
      <c r="F216" s="281">
        <f t="shared" si="15"/>
        <v>12.859433088117481</v>
      </c>
      <c r="G216" s="173"/>
      <c r="H216" s="173">
        <v>29.95</v>
      </c>
      <c r="I216" s="154">
        <v>776503.19544896099</v>
      </c>
      <c r="J216" s="190">
        <f>VLOOKUP($A216&amp;$B216,'LE Inputs'!$C$2:$J$505,MATCH('LE UtilityData'!J$1,'LE Inputs'!$C$1:$J$1,0),0)*1000</f>
        <v>1371950.3650990047</v>
      </c>
      <c r="K216" s="190">
        <v>553732.37869408738</v>
      </c>
      <c r="L216" s="164">
        <v>373352.81790002226</v>
      </c>
      <c r="M216" s="299">
        <v>369415.96</v>
      </c>
      <c r="N216" s="156">
        <v>51533.293047143998</v>
      </c>
      <c r="O216" s="190" t="e">
        <f>VLOOKUP($A216&amp;$B216,'LE Inputs'!$C$2:$J$505,MATCH('LE UtilityData'!O$1,'LE Inputs'!$C$1:$J$1,0),0)</f>
        <v>#N/A</v>
      </c>
      <c r="P216" s="190" t="e">
        <f>VLOOKUP($A216&amp;$B216,'LE Inputs'!$C$2:$J$505,MATCH('LE UtilityData'!P$1,'LE Inputs'!$C$1:$J$1,0),0)</f>
        <v>#N/A</v>
      </c>
      <c r="Q216" s="168">
        <f t="shared" si="17"/>
        <v>352.6</v>
      </c>
      <c r="R216" s="168">
        <f t="shared" si="17"/>
        <v>12.75</v>
      </c>
      <c r="S216" s="166">
        <v>4124</v>
      </c>
      <c r="T216" s="166">
        <v>1696</v>
      </c>
      <c r="U216" s="166">
        <f t="shared" si="16"/>
        <v>0</v>
      </c>
      <c r="V216" s="166">
        <f t="shared" si="14"/>
        <v>0</v>
      </c>
    </row>
    <row r="217" spans="1:22" x14ac:dyDescent="0.2">
      <c r="A217" s="153">
        <v>2018</v>
      </c>
      <c r="B217" s="153">
        <v>12</v>
      </c>
      <c r="C217" s="168"/>
      <c r="D217" s="168"/>
      <c r="E217" s="173">
        <v>13.372037505036205</v>
      </c>
      <c r="F217" s="281">
        <f t="shared" si="15"/>
        <v>12.859433088117481</v>
      </c>
      <c r="G217" s="173"/>
      <c r="H217" s="173">
        <v>31.1</v>
      </c>
      <c r="I217" s="154">
        <v>776954.19544896099</v>
      </c>
      <c r="J217" s="190">
        <f>VLOOKUP($A217&amp;$B217,'LE Inputs'!$C$2:$J$505,MATCH('LE UtilityData'!J$1,'LE Inputs'!$C$1:$J$1,0),0)*1000</f>
        <v>1371950.3650990047</v>
      </c>
      <c r="K217" s="190">
        <v>553732.37869408738</v>
      </c>
      <c r="L217" s="164">
        <v>373569.66455546394</v>
      </c>
      <c r="M217" s="299">
        <v>369416.26</v>
      </c>
      <c r="N217" s="156">
        <v>51533.293047143998</v>
      </c>
      <c r="O217" s="190" t="e">
        <f>VLOOKUP($A217&amp;$B217,'LE Inputs'!$C$2:$J$505,MATCH('LE UtilityData'!O$1,'LE Inputs'!$C$1:$J$1,0),0)</f>
        <v>#N/A</v>
      </c>
      <c r="P217" s="190" t="e">
        <f>VLOOKUP($A217&amp;$B217,'LE Inputs'!$C$2:$J$505,MATCH('LE UtilityData'!P$1,'LE Inputs'!$C$1:$J$1,0),0)</f>
        <v>#N/A</v>
      </c>
      <c r="Q217" s="168">
        <f t="shared" si="17"/>
        <v>669.9</v>
      </c>
      <c r="R217" s="168">
        <f t="shared" si="17"/>
        <v>1.05</v>
      </c>
      <c r="S217" s="166">
        <v>4124</v>
      </c>
      <c r="T217" s="166">
        <v>1696</v>
      </c>
      <c r="U217" s="166">
        <f t="shared" si="16"/>
        <v>0</v>
      </c>
      <c r="V217" s="166">
        <f t="shared" si="14"/>
        <v>0</v>
      </c>
    </row>
    <row r="218" spans="1:22" x14ac:dyDescent="0.2">
      <c r="A218" s="153">
        <v>2019</v>
      </c>
      <c r="B218" s="153">
        <v>1</v>
      </c>
      <c r="C218" s="168"/>
      <c r="D218" s="168"/>
      <c r="E218" s="173">
        <v>13.470782159288195</v>
      </c>
      <c r="F218" s="281">
        <f t="shared" si="15"/>
        <v>13.11662174987983</v>
      </c>
      <c r="G218" s="173"/>
      <c r="H218" s="173">
        <v>32.71</v>
      </c>
      <c r="I218" s="154">
        <v>777405.19544896099</v>
      </c>
      <c r="J218" s="190">
        <f>VLOOKUP($A218&amp;$B218,'LE Inputs'!$C$2:$J$505,MATCH('LE UtilityData'!J$1,'LE Inputs'!$C$1:$J$1,0),0)*1000</f>
        <v>1375694.3144598522</v>
      </c>
      <c r="K218" s="190">
        <v>555213.47465929529</v>
      </c>
      <c r="L218" s="164">
        <v>373786.51121090562</v>
      </c>
      <c r="M218" s="299">
        <v>370195.06</v>
      </c>
      <c r="N218" s="156">
        <v>52113.031260412099</v>
      </c>
      <c r="O218" s="190" t="e">
        <f>VLOOKUP($A218&amp;$B218,'LE Inputs'!$C$2:$J$505,MATCH('LE UtilityData'!O$1,'LE Inputs'!$C$1:$J$1,0),0)</f>
        <v>#N/A</v>
      </c>
      <c r="P218" s="190" t="e">
        <f>VLOOKUP($A218&amp;$B218,'LE Inputs'!$C$2:$J$505,MATCH('LE UtilityData'!P$1,'LE Inputs'!$C$1:$J$1,0),0)</f>
        <v>#N/A</v>
      </c>
      <c r="Q218" s="168">
        <f t="shared" si="17"/>
        <v>932.4</v>
      </c>
      <c r="R218" s="168">
        <f t="shared" si="17"/>
        <v>0.35</v>
      </c>
      <c r="S218" s="166">
        <v>4124</v>
      </c>
      <c r="T218" s="166">
        <v>1696</v>
      </c>
      <c r="U218" s="166">
        <f t="shared" si="16"/>
        <v>0</v>
      </c>
      <c r="V218" s="166">
        <f t="shared" si="14"/>
        <v>0</v>
      </c>
    </row>
    <row r="219" spans="1:22" x14ac:dyDescent="0.2">
      <c r="A219" s="153">
        <v>2019</v>
      </c>
      <c r="B219" s="153">
        <v>2</v>
      </c>
      <c r="C219" s="168"/>
      <c r="D219" s="168"/>
      <c r="E219" s="173">
        <v>13.470782159288195</v>
      </c>
      <c r="F219" s="281">
        <f t="shared" si="15"/>
        <v>13.11662174987983</v>
      </c>
      <c r="G219" s="173"/>
      <c r="H219" s="173">
        <v>29.9</v>
      </c>
      <c r="I219" s="154">
        <v>777856.19544896099</v>
      </c>
      <c r="J219" s="190">
        <f>VLOOKUP($A219&amp;$B219,'LE Inputs'!$C$2:$J$505,MATCH('LE UtilityData'!J$1,'LE Inputs'!$C$1:$J$1,0),0)*1000</f>
        <v>1375694.3144598522</v>
      </c>
      <c r="K219" s="190">
        <v>555213.47465929529</v>
      </c>
      <c r="L219" s="164">
        <v>374003.35786634736</v>
      </c>
      <c r="M219" s="299">
        <v>370195.34</v>
      </c>
      <c r="N219" s="156">
        <v>52113.031260412099</v>
      </c>
      <c r="O219" s="190" t="e">
        <f>VLOOKUP($A219&amp;$B219,'LE Inputs'!$C$2:$J$505,MATCH('LE UtilityData'!O$1,'LE Inputs'!$C$1:$J$1,0),0)</f>
        <v>#N/A</v>
      </c>
      <c r="P219" s="190" t="e">
        <f>VLOOKUP($A219&amp;$B219,'LE Inputs'!$C$2:$J$505,MATCH('LE UtilityData'!P$1,'LE Inputs'!$C$1:$J$1,0),0)</f>
        <v>#N/A</v>
      </c>
      <c r="Q219" s="168">
        <f t="shared" si="17"/>
        <v>864.1</v>
      </c>
      <c r="R219" s="168">
        <f t="shared" si="17"/>
        <v>0.05</v>
      </c>
      <c r="S219" s="166">
        <v>4124</v>
      </c>
      <c r="T219" s="166">
        <v>1696</v>
      </c>
      <c r="U219" s="166">
        <f t="shared" si="16"/>
        <v>0</v>
      </c>
      <c r="V219" s="166">
        <f t="shared" si="14"/>
        <v>0</v>
      </c>
    </row>
    <row r="220" spans="1:22" x14ac:dyDescent="0.2">
      <c r="A220" s="153">
        <v>2019</v>
      </c>
      <c r="B220" s="153">
        <v>3</v>
      </c>
      <c r="C220" s="168"/>
      <c r="D220" s="168"/>
      <c r="E220" s="173">
        <v>13.470782159288195</v>
      </c>
      <c r="F220" s="281">
        <f t="shared" si="15"/>
        <v>13.11662174987983</v>
      </c>
      <c r="G220" s="173"/>
      <c r="H220" s="173">
        <v>30.33</v>
      </c>
      <c r="I220" s="154">
        <v>778307.19544896099</v>
      </c>
      <c r="J220" s="190">
        <f>VLOOKUP($A220&amp;$B220,'LE Inputs'!$C$2:$J$505,MATCH('LE UtilityData'!J$1,'LE Inputs'!$C$1:$J$1,0),0)*1000</f>
        <v>1375694.3144598522</v>
      </c>
      <c r="K220" s="190">
        <v>555213.47465929529</v>
      </c>
      <c r="L220" s="164">
        <v>374220.2045217891</v>
      </c>
      <c r="M220" s="299">
        <v>370195.6</v>
      </c>
      <c r="N220" s="156">
        <v>52113.031260412099</v>
      </c>
      <c r="O220" s="190" t="e">
        <f>VLOOKUP($A220&amp;$B220,'LE Inputs'!$C$2:$J$505,MATCH('LE UtilityData'!O$1,'LE Inputs'!$C$1:$J$1,0),0)</f>
        <v>#N/A</v>
      </c>
      <c r="P220" s="190" t="e">
        <f>VLOOKUP($A220&amp;$B220,'LE Inputs'!$C$2:$J$505,MATCH('LE UtilityData'!P$1,'LE Inputs'!$C$1:$J$1,0),0)</f>
        <v>#N/A</v>
      </c>
      <c r="Q220" s="168">
        <f t="shared" si="17"/>
        <v>674.3</v>
      </c>
      <c r="R220" s="168">
        <f t="shared" si="17"/>
        <v>1.1499999999999999</v>
      </c>
      <c r="S220" s="166">
        <v>4124</v>
      </c>
      <c r="T220" s="166">
        <v>1696</v>
      </c>
      <c r="U220" s="166">
        <f t="shared" si="16"/>
        <v>0</v>
      </c>
      <c r="V220" s="166">
        <f t="shared" si="14"/>
        <v>0</v>
      </c>
    </row>
    <row r="221" spans="1:22" x14ac:dyDescent="0.2">
      <c r="A221" s="153">
        <v>2019</v>
      </c>
      <c r="B221" s="153">
        <v>4</v>
      </c>
      <c r="C221" s="168"/>
      <c r="D221" s="168"/>
      <c r="E221" s="173">
        <v>13.470782159288195</v>
      </c>
      <c r="F221" s="281">
        <f t="shared" si="15"/>
        <v>13.11662174987983</v>
      </c>
      <c r="G221" s="173"/>
      <c r="H221" s="173">
        <v>29.95</v>
      </c>
      <c r="I221" s="154">
        <v>778758.19544896099</v>
      </c>
      <c r="J221" s="190">
        <f>VLOOKUP($A221&amp;$B221,'LE Inputs'!$C$2:$J$505,MATCH('LE UtilityData'!J$1,'LE Inputs'!$C$1:$J$1,0),0)*1000</f>
        <v>1378197.5182127694</v>
      </c>
      <c r="K221" s="190">
        <v>556130.4142388904</v>
      </c>
      <c r="L221" s="164">
        <v>374437.05117723078</v>
      </c>
      <c r="M221" s="299">
        <v>370677.89</v>
      </c>
      <c r="N221" s="156">
        <v>52581.134339279</v>
      </c>
      <c r="O221" s="190" t="e">
        <f>VLOOKUP($A221&amp;$B221,'LE Inputs'!$C$2:$J$505,MATCH('LE UtilityData'!O$1,'LE Inputs'!$C$1:$J$1,0),0)</f>
        <v>#N/A</v>
      </c>
      <c r="P221" s="190" t="e">
        <f>VLOOKUP($A221&amp;$B221,'LE Inputs'!$C$2:$J$505,MATCH('LE UtilityData'!P$1,'LE Inputs'!$C$1:$J$1,0),0)</f>
        <v>#N/A</v>
      </c>
      <c r="Q221" s="168">
        <f t="shared" si="17"/>
        <v>377.1</v>
      </c>
      <c r="R221" s="168">
        <f t="shared" si="17"/>
        <v>20.25</v>
      </c>
      <c r="S221" s="166">
        <v>4124</v>
      </c>
      <c r="T221" s="166">
        <v>1696</v>
      </c>
      <c r="U221" s="166">
        <f t="shared" si="16"/>
        <v>0</v>
      </c>
      <c r="V221" s="166">
        <f t="shared" si="14"/>
        <v>0</v>
      </c>
    </row>
    <row r="222" spans="1:22" x14ac:dyDescent="0.2">
      <c r="A222" s="153">
        <v>2019</v>
      </c>
      <c r="B222" s="153">
        <v>5</v>
      </c>
      <c r="C222" s="168"/>
      <c r="D222" s="168"/>
      <c r="E222" s="173">
        <v>13.470782159288195</v>
      </c>
      <c r="F222" s="281">
        <f t="shared" si="15"/>
        <v>13.11662174987983</v>
      </c>
      <c r="G222" s="173"/>
      <c r="H222" s="173">
        <v>30.38</v>
      </c>
      <c r="I222" s="154">
        <v>779209.19544896099</v>
      </c>
      <c r="J222" s="190">
        <f>VLOOKUP($A222&amp;$B222,'LE Inputs'!$C$2:$J$505,MATCH('LE UtilityData'!J$1,'LE Inputs'!$C$1:$J$1,0),0)*1000</f>
        <v>1378197.5182127694</v>
      </c>
      <c r="K222" s="190">
        <v>556130.4142388904</v>
      </c>
      <c r="L222" s="164">
        <v>374653.89783267252</v>
      </c>
      <c r="M222" s="299">
        <v>370678.13</v>
      </c>
      <c r="N222" s="156">
        <v>52581.134339279</v>
      </c>
      <c r="O222" s="190" t="e">
        <f>VLOOKUP($A222&amp;$B222,'LE Inputs'!$C$2:$J$505,MATCH('LE UtilityData'!O$1,'LE Inputs'!$C$1:$J$1,0),0)</f>
        <v>#N/A</v>
      </c>
      <c r="P222" s="190" t="e">
        <f>VLOOKUP($A222&amp;$B222,'LE Inputs'!$C$2:$J$505,MATCH('LE UtilityData'!P$1,'LE Inputs'!$C$1:$J$1,0),0)</f>
        <v>#N/A</v>
      </c>
      <c r="Q222" s="168">
        <f t="shared" ref="Q222:R237" si="18">Q210</f>
        <v>141</v>
      </c>
      <c r="R222" s="168">
        <f t="shared" si="18"/>
        <v>69.349999999999994</v>
      </c>
      <c r="S222" s="166">
        <v>4124</v>
      </c>
      <c r="T222" s="166">
        <v>1696</v>
      </c>
      <c r="U222" s="166">
        <f t="shared" si="16"/>
        <v>0</v>
      </c>
      <c r="V222" s="166">
        <f t="shared" si="14"/>
        <v>0</v>
      </c>
    </row>
    <row r="223" spans="1:22" x14ac:dyDescent="0.2">
      <c r="A223" s="153">
        <v>2019</v>
      </c>
      <c r="B223" s="153">
        <v>6</v>
      </c>
      <c r="C223" s="168"/>
      <c r="D223" s="168"/>
      <c r="E223" s="173">
        <v>13.470782159288195</v>
      </c>
      <c r="F223" s="281">
        <f t="shared" si="15"/>
        <v>13.11662174987983</v>
      </c>
      <c r="G223" s="173"/>
      <c r="H223" s="173">
        <v>30.67</v>
      </c>
      <c r="I223" s="154">
        <v>779655.84210703208</v>
      </c>
      <c r="J223" s="190">
        <f>VLOOKUP($A223&amp;$B223,'LE Inputs'!$C$2:$J$505,MATCH('LE UtilityData'!J$1,'LE Inputs'!$C$1:$J$1,0),0)*1000</f>
        <v>1378197.5182127694</v>
      </c>
      <c r="K223" s="190">
        <v>556130.4142388904</v>
      </c>
      <c r="L223" s="164">
        <v>374868.65134479431</v>
      </c>
      <c r="M223" s="299">
        <v>370678.36</v>
      </c>
      <c r="N223" s="156">
        <v>52581.134339279</v>
      </c>
      <c r="O223" s="190" t="e">
        <f>VLOOKUP($A223&amp;$B223,'LE Inputs'!$C$2:$J$505,MATCH('LE UtilityData'!O$1,'LE Inputs'!$C$1:$J$1,0),0)</f>
        <v>#N/A</v>
      </c>
      <c r="P223" s="190" t="e">
        <f>VLOOKUP($A223&amp;$B223,'LE Inputs'!$C$2:$J$505,MATCH('LE UtilityData'!P$1,'LE Inputs'!$C$1:$J$1,0),0)</f>
        <v>#N/A</v>
      </c>
      <c r="Q223" s="168">
        <f t="shared" si="18"/>
        <v>29.5</v>
      </c>
      <c r="R223" s="168">
        <f t="shared" si="18"/>
        <v>224.8</v>
      </c>
      <c r="S223" s="166">
        <v>4124</v>
      </c>
      <c r="T223" s="166">
        <v>1696</v>
      </c>
      <c r="U223" s="166">
        <f t="shared" si="16"/>
        <v>0</v>
      </c>
      <c r="V223" s="166">
        <f t="shared" si="14"/>
        <v>0</v>
      </c>
    </row>
    <row r="224" spans="1:22" x14ac:dyDescent="0.2">
      <c r="A224" s="153">
        <v>2019</v>
      </c>
      <c r="B224" s="153">
        <v>7</v>
      </c>
      <c r="C224" s="168"/>
      <c r="D224" s="168"/>
      <c r="E224" s="173">
        <v>13.470782159288195</v>
      </c>
      <c r="F224" s="281">
        <f t="shared" si="15"/>
        <v>13.11662174987983</v>
      </c>
      <c r="G224" s="173"/>
      <c r="H224" s="173">
        <v>30.67</v>
      </c>
      <c r="I224" s="154">
        <v>780103.84210703208</v>
      </c>
      <c r="J224" s="190">
        <f>VLOOKUP($A224&amp;$B224,'LE Inputs'!$C$2:$J$505,MATCH('LE UtilityData'!J$1,'LE Inputs'!$C$1:$J$1,0),0)*1000</f>
        <v>1381523.7765878248</v>
      </c>
      <c r="K224" s="190">
        <v>557428.11221819138</v>
      </c>
      <c r="L224" s="164">
        <v>375084.05556128628</v>
      </c>
      <c r="M224" s="299">
        <v>371360.89</v>
      </c>
      <c r="N224" s="156">
        <v>52886.873351148999</v>
      </c>
      <c r="O224" s="190" t="e">
        <f>VLOOKUP($A224&amp;$B224,'LE Inputs'!$C$2:$J$505,MATCH('LE UtilityData'!O$1,'LE Inputs'!$C$1:$J$1,0),0)</f>
        <v>#N/A</v>
      </c>
      <c r="P224" s="190" t="e">
        <f>VLOOKUP($A224&amp;$B224,'LE Inputs'!$C$2:$J$505,MATCH('LE UtilityData'!P$1,'LE Inputs'!$C$1:$J$1,0),0)</f>
        <v>#N/A</v>
      </c>
      <c r="Q224" s="168">
        <f t="shared" si="18"/>
        <v>0.55000000000000004</v>
      </c>
      <c r="R224" s="168">
        <f t="shared" si="18"/>
        <v>396.4</v>
      </c>
      <c r="S224" s="166">
        <v>4124</v>
      </c>
      <c r="T224" s="166">
        <v>1696</v>
      </c>
      <c r="U224" s="166">
        <f t="shared" si="16"/>
        <v>0</v>
      </c>
      <c r="V224" s="166">
        <f t="shared" si="14"/>
        <v>0</v>
      </c>
    </row>
    <row r="225" spans="1:22" x14ac:dyDescent="0.2">
      <c r="A225" s="153">
        <v>2019</v>
      </c>
      <c r="B225" s="153">
        <v>8</v>
      </c>
      <c r="C225" s="168"/>
      <c r="D225" s="168"/>
      <c r="E225" s="173">
        <v>13.470782159288195</v>
      </c>
      <c r="F225" s="281">
        <f t="shared" si="15"/>
        <v>13.11662174987983</v>
      </c>
      <c r="G225" s="173"/>
      <c r="H225" s="173">
        <v>29.48</v>
      </c>
      <c r="I225" s="154">
        <v>780551.84210703208</v>
      </c>
      <c r="J225" s="190">
        <f>VLOOKUP($A225&amp;$B225,'LE Inputs'!$C$2:$J$505,MATCH('LE UtilityData'!J$1,'LE Inputs'!$C$1:$J$1,0),0)*1000</f>
        <v>1381523.7765878248</v>
      </c>
      <c r="K225" s="190">
        <v>557428.11221819138</v>
      </c>
      <c r="L225" s="164">
        <v>375299.45977777831</v>
      </c>
      <c r="M225" s="299">
        <v>371361.1</v>
      </c>
      <c r="N225" s="156">
        <v>52886.873351148999</v>
      </c>
      <c r="O225" s="190" t="e">
        <f>VLOOKUP($A225&amp;$B225,'LE Inputs'!$C$2:$J$505,MATCH('LE UtilityData'!O$1,'LE Inputs'!$C$1:$J$1,0),0)</f>
        <v>#N/A</v>
      </c>
      <c r="P225" s="190" t="e">
        <f>VLOOKUP($A225&amp;$B225,'LE Inputs'!$C$2:$J$505,MATCH('LE UtilityData'!P$1,'LE Inputs'!$C$1:$J$1,0),0)</f>
        <v>#N/A</v>
      </c>
      <c r="Q225" s="168">
        <f t="shared" si="18"/>
        <v>0.1</v>
      </c>
      <c r="R225" s="168">
        <f t="shared" si="18"/>
        <v>417.05</v>
      </c>
      <c r="S225" s="166">
        <v>4124</v>
      </c>
      <c r="T225" s="166">
        <v>1696</v>
      </c>
      <c r="U225" s="166">
        <f t="shared" si="16"/>
        <v>0</v>
      </c>
      <c r="V225" s="166">
        <f t="shared" si="14"/>
        <v>0</v>
      </c>
    </row>
    <row r="226" spans="1:22" x14ac:dyDescent="0.2">
      <c r="A226" s="153">
        <v>2019</v>
      </c>
      <c r="B226" s="153">
        <v>9</v>
      </c>
      <c r="C226" s="168"/>
      <c r="D226" s="168"/>
      <c r="E226" s="173">
        <v>13.470782159288195</v>
      </c>
      <c r="F226" s="281">
        <f t="shared" si="15"/>
        <v>13.11662174987983</v>
      </c>
      <c r="G226" s="173"/>
      <c r="H226" s="173">
        <v>30.71</v>
      </c>
      <c r="I226" s="154">
        <v>780999.84210703208</v>
      </c>
      <c r="J226" s="190">
        <f>VLOOKUP($A226&amp;$B226,'LE Inputs'!$C$2:$J$505,MATCH('LE UtilityData'!J$1,'LE Inputs'!$C$1:$J$1,0),0)*1000</f>
        <v>1381523.7765878248</v>
      </c>
      <c r="K226" s="190">
        <v>557428.11221819138</v>
      </c>
      <c r="L226" s="164">
        <v>375514.86399427027</v>
      </c>
      <c r="M226" s="299">
        <v>371361.3</v>
      </c>
      <c r="N226" s="156">
        <v>52886.873351148999</v>
      </c>
      <c r="O226" s="190" t="e">
        <f>VLOOKUP($A226&amp;$B226,'LE Inputs'!$C$2:$J$505,MATCH('LE UtilityData'!O$1,'LE Inputs'!$C$1:$J$1,0),0)</f>
        <v>#N/A</v>
      </c>
      <c r="P226" s="190" t="e">
        <f>VLOOKUP($A226&amp;$B226,'LE Inputs'!$C$2:$J$505,MATCH('LE UtilityData'!P$1,'LE Inputs'!$C$1:$J$1,0),0)</f>
        <v>#N/A</v>
      </c>
      <c r="Q226" s="168">
        <f t="shared" si="18"/>
        <v>5.35</v>
      </c>
      <c r="R226" s="168">
        <f t="shared" si="18"/>
        <v>330.2</v>
      </c>
      <c r="S226" s="166">
        <v>4124</v>
      </c>
      <c r="T226" s="166">
        <v>1696</v>
      </c>
      <c r="U226" s="166">
        <f t="shared" si="16"/>
        <v>0</v>
      </c>
      <c r="V226" s="166">
        <f t="shared" si="14"/>
        <v>0</v>
      </c>
    </row>
    <row r="227" spans="1:22" x14ac:dyDescent="0.2">
      <c r="A227" s="153">
        <v>2019</v>
      </c>
      <c r="B227" s="153">
        <v>10</v>
      </c>
      <c r="C227" s="168"/>
      <c r="D227" s="168"/>
      <c r="E227" s="173">
        <v>13.470782159288195</v>
      </c>
      <c r="F227" s="281">
        <f t="shared" si="15"/>
        <v>13.11662174987983</v>
      </c>
      <c r="G227" s="173"/>
      <c r="H227" s="173">
        <v>29.52</v>
      </c>
      <c r="I227" s="154">
        <v>781447.84210703208</v>
      </c>
      <c r="J227" s="190">
        <f>VLOOKUP($A227&amp;$B227,'LE Inputs'!$C$2:$J$505,MATCH('LE UtilityData'!J$1,'LE Inputs'!$C$1:$J$1,0),0)*1000</f>
        <v>1385182.6457277234</v>
      </c>
      <c r="K227" s="190">
        <v>558868.48263437033</v>
      </c>
      <c r="L227" s="164">
        <v>375730.26821076224</v>
      </c>
      <c r="M227" s="299">
        <v>372118.44</v>
      </c>
      <c r="N227" s="156">
        <v>53276.823364763397</v>
      </c>
      <c r="O227" s="190" t="e">
        <f>VLOOKUP($A227&amp;$B227,'LE Inputs'!$C$2:$J$505,MATCH('LE UtilityData'!O$1,'LE Inputs'!$C$1:$J$1,0),0)</f>
        <v>#N/A</v>
      </c>
      <c r="P227" s="190" t="e">
        <f>VLOOKUP($A227&amp;$B227,'LE Inputs'!$C$2:$J$505,MATCH('LE UtilityData'!P$1,'LE Inputs'!$C$1:$J$1,0),0)</f>
        <v>#N/A</v>
      </c>
      <c r="Q227" s="168">
        <f t="shared" si="18"/>
        <v>99.3</v>
      </c>
      <c r="R227" s="168">
        <f t="shared" si="18"/>
        <v>100.05</v>
      </c>
      <c r="S227" s="166">
        <v>4124</v>
      </c>
      <c r="T227" s="166">
        <v>1696</v>
      </c>
      <c r="U227" s="166">
        <f t="shared" si="16"/>
        <v>0</v>
      </c>
      <c r="V227" s="166">
        <f t="shared" si="14"/>
        <v>0</v>
      </c>
    </row>
    <row r="228" spans="1:22" x14ac:dyDescent="0.2">
      <c r="A228" s="153">
        <v>2019</v>
      </c>
      <c r="B228" s="153">
        <v>11</v>
      </c>
      <c r="C228" s="168"/>
      <c r="D228" s="168"/>
      <c r="E228" s="173">
        <v>13.470782159288195</v>
      </c>
      <c r="F228" s="281">
        <f t="shared" si="15"/>
        <v>13.11662174987983</v>
      </c>
      <c r="G228" s="173"/>
      <c r="H228" s="173">
        <v>29.38</v>
      </c>
      <c r="I228" s="154">
        <v>781895.84210703208</v>
      </c>
      <c r="J228" s="190">
        <f>VLOOKUP($A228&amp;$B228,'LE Inputs'!$C$2:$J$505,MATCH('LE UtilityData'!J$1,'LE Inputs'!$C$1:$J$1,0),0)*1000</f>
        <v>1385182.6457277234</v>
      </c>
      <c r="K228" s="190">
        <v>558868.48263437033</v>
      </c>
      <c r="L228" s="164">
        <v>375945.67242725426</v>
      </c>
      <c r="M228" s="299">
        <v>372118.62</v>
      </c>
      <c r="N228" s="156">
        <v>53276.823364763397</v>
      </c>
      <c r="O228" s="190" t="e">
        <f>VLOOKUP($A228&amp;$B228,'LE Inputs'!$C$2:$J$505,MATCH('LE UtilityData'!O$1,'LE Inputs'!$C$1:$J$1,0),0)</f>
        <v>#N/A</v>
      </c>
      <c r="P228" s="190" t="e">
        <f>VLOOKUP($A228&amp;$B228,'LE Inputs'!$C$2:$J$505,MATCH('LE UtilityData'!P$1,'LE Inputs'!$C$1:$J$1,0),0)</f>
        <v>#N/A</v>
      </c>
      <c r="Q228" s="168">
        <f t="shared" si="18"/>
        <v>352.6</v>
      </c>
      <c r="R228" s="168">
        <f t="shared" si="18"/>
        <v>12.75</v>
      </c>
      <c r="S228" s="166">
        <v>4124</v>
      </c>
      <c r="T228" s="166">
        <v>1696</v>
      </c>
      <c r="U228" s="166">
        <f t="shared" si="16"/>
        <v>0</v>
      </c>
      <c r="V228" s="166">
        <f t="shared" si="14"/>
        <v>0</v>
      </c>
    </row>
    <row r="229" spans="1:22" x14ac:dyDescent="0.2">
      <c r="A229" s="153">
        <v>2019</v>
      </c>
      <c r="B229" s="153">
        <v>12</v>
      </c>
      <c r="C229" s="168"/>
      <c r="D229" s="168"/>
      <c r="E229" s="173">
        <v>13.470782159288195</v>
      </c>
      <c r="F229" s="281">
        <f t="shared" si="15"/>
        <v>13.11662174987983</v>
      </c>
      <c r="G229" s="173"/>
      <c r="H229" s="173">
        <v>32.049999999999997</v>
      </c>
      <c r="I229" s="154">
        <v>782343.84210703208</v>
      </c>
      <c r="J229" s="190">
        <f>VLOOKUP($A229&amp;$B229,'LE Inputs'!$C$2:$J$505,MATCH('LE UtilityData'!J$1,'LE Inputs'!$C$1:$J$1,0),0)*1000</f>
        <v>1385182.6457277234</v>
      </c>
      <c r="K229" s="190">
        <v>558868.48263437033</v>
      </c>
      <c r="L229" s="164">
        <v>376161.07664374623</v>
      </c>
      <c r="M229" s="299">
        <v>372118.8</v>
      </c>
      <c r="N229" s="156">
        <v>53276.823364763397</v>
      </c>
      <c r="O229" s="190" t="e">
        <f>VLOOKUP($A229&amp;$B229,'LE Inputs'!$C$2:$J$505,MATCH('LE UtilityData'!O$1,'LE Inputs'!$C$1:$J$1,0),0)</f>
        <v>#N/A</v>
      </c>
      <c r="P229" s="190" t="e">
        <f>VLOOKUP($A229&amp;$B229,'LE Inputs'!$C$2:$J$505,MATCH('LE UtilityData'!P$1,'LE Inputs'!$C$1:$J$1,0),0)</f>
        <v>#N/A</v>
      </c>
      <c r="Q229" s="168">
        <f t="shared" si="18"/>
        <v>669.9</v>
      </c>
      <c r="R229" s="168">
        <f t="shared" si="18"/>
        <v>1.05</v>
      </c>
      <c r="S229" s="166">
        <v>4124</v>
      </c>
      <c r="T229" s="166">
        <v>1696</v>
      </c>
      <c r="U229" s="166">
        <f t="shared" si="16"/>
        <v>0</v>
      </c>
      <c r="V229" s="166">
        <f t="shared" si="14"/>
        <v>0</v>
      </c>
    </row>
    <row r="230" spans="1:22" x14ac:dyDescent="0.2">
      <c r="A230" s="153">
        <v>2020</v>
      </c>
      <c r="B230" s="153">
        <v>1</v>
      </c>
      <c r="C230" s="168"/>
      <c r="D230" s="168"/>
      <c r="E230" s="173">
        <v>13.424370704735015</v>
      </c>
      <c r="F230" s="281">
        <f t="shared" si="15"/>
        <v>13.378954184877426</v>
      </c>
      <c r="G230" s="173"/>
      <c r="H230" s="173">
        <v>32.33</v>
      </c>
      <c r="I230" s="154">
        <v>782791.84210703208</v>
      </c>
      <c r="J230" s="190">
        <f>VLOOKUP($A230&amp;$B230,'LE Inputs'!$C$2:$J$505,MATCH('LE UtilityData'!J$1,'LE Inputs'!$C$1:$J$1,0),0)*1000</f>
        <v>1387705.0532664843</v>
      </c>
      <c r="K230" s="190">
        <v>559829.63233879546</v>
      </c>
      <c r="L230" s="164">
        <v>376376.4808602382</v>
      </c>
      <c r="M230" s="299">
        <v>372624.65</v>
      </c>
      <c r="N230" s="156">
        <v>53980.865732478203</v>
      </c>
      <c r="O230" s="190" t="e">
        <f>VLOOKUP($A230&amp;$B230,'LE Inputs'!$C$2:$J$505,MATCH('LE UtilityData'!O$1,'LE Inputs'!$C$1:$J$1,0),0)</f>
        <v>#N/A</v>
      </c>
      <c r="P230" s="190" t="e">
        <f>VLOOKUP($A230&amp;$B230,'LE Inputs'!$C$2:$J$505,MATCH('LE UtilityData'!P$1,'LE Inputs'!$C$1:$J$1,0),0)</f>
        <v>#N/A</v>
      </c>
      <c r="Q230" s="168">
        <f t="shared" si="18"/>
        <v>932.4</v>
      </c>
      <c r="R230" s="168">
        <f t="shared" si="18"/>
        <v>0.35</v>
      </c>
      <c r="S230" s="166">
        <v>4124</v>
      </c>
      <c r="T230" s="166">
        <v>1696</v>
      </c>
      <c r="U230" s="166">
        <f t="shared" si="16"/>
        <v>0</v>
      </c>
      <c r="V230" s="166">
        <f t="shared" si="14"/>
        <v>0</v>
      </c>
    </row>
    <row r="231" spans="1:22" x14ac:dyDescent="0.2">
      <c r="A231" s="153">
        <v>2020</v>
      </c>
      <c r="B231" s="153">
        <v>2</v>
      </c>
      <c r="C231" s="168"/>
      <c r="D231" s="168"/>
      <c r="E231" s="173">
        <v>13.424370704735015</v>
      </c>
      <c r="F231" s="281">
        <f t="shared" si="15"/>
        <v>13.378954184877426</v>
      </c>
      <c r="G231" s="173"/>
      <c r="H231" s="173">
        <v>30.05</v>
      </c>
      <c r="I231" s="154">
        <v>783239.84210703208</v>
      </c>
      <c r="J231" s="190">
        <f>VLOOKUP($A231&amp;$B231,'LE Inputs'!$C$2:$J$505,MATCH('LE UtilityData'!J$1,'LE Inputs'!$C$1:$J$1,0),0)*1000</f>
        <v>1387705.0532664843</v>
      </c>
      <c r="K231" s="190">
        <v>559829.63233879546</v>
      </c>
      <c r="L231" s="164">
        <v>376591.88507673022</v>
      </c>
      <c r="M231" s="299">
        <v>372624.81</v>
      </c>
      <c r="N231" s="156">
        <v>53980.865732478203</v>
      </c>
      <c r="O231" s="190" t="e">
        <f>VLOOKUP($A231&amp;$B231,'LE Inputs'!$C$2:$J$505,MATCH('LE UtilityData'!O$1,'LE Inputs'!$C$1:$J$1,0),0)</f>
        <v>#N/A</v>
      </c>
      <c r="P231" s="190" t="e">
        <f>VLOOKUP($A231&amp;$B231,'LE Inputs'!$C$2:$J$505,MATCH('LE UtilityData'!P$1,'LE Inputs'!$C$1:$J$1,0),0)</f>
        <v>#N/A</v>
      </c>
      <c r="Q231" s="168">
        <f t="shared" si="18"/>
        <v>864.1</v>
      </c>
      <c r="R231" s="168">
        <f t="shared" si="18"/>
        <v>0.05</v>
      </c>
      <c r="S231" s="166">
        <v>4124</v>
      </c>
      <c r="T231" s="166">
        <v>1696</v>
      </c>
      <c r="U231" s="166">
        <f t="shared" si="16"/>
        <v>0</v>
      </c>
      <c r="V231" s="166">
        <f t="shared" si="14"/>
        <v>0</v>
      </c>
    </row>
    <row r="232" spans="1:22" x14ac:dyDescent="0.2">
      <c r="A232" s="153">
        <v>2020</v>
      </c>
      <c r="B232" s="153">
        <v>3</v>
      </c>
      <c r="C232" s="168"/>
      <c r="D232" s="168"/>
      <c r="E232" s="173">
        <v>13.424370704735015</v>
      </c>
      <c r="F232" s="281">
        <f t="shared" si="15"/>
        <v>13.378954184877426</v>
      </c>
      <c r="G232" s="173"/>
      <c r="H232" s="173">
        <v>30.19</v>
      </c>
      <c r="I232" s="154">
        <v>783687.84210703208</v>
      </c>
      <c r="J232" s="190">
        <f>VLOOKUP($A232&amp;$B232,'LE Inputs'!$C$2:$J$505,MATCH('LE UtilityData'!J$1,'LE Inputs'!$C$1:$J$1,0),0)*1000</f>
        <v>1387705.0532664843</v>
      </c>
      <c r="K232" s="190">
        <v>559829.63233879546</v>
      </c>
      <c r="L232" s="164">
        <v>376807.28929322219</v>
      </c>
      <c r="M232" s="299">
        <v>372624.96</v>
      </c>
      <c r="N232" s="156">
        <v>53980.865732478203</v>
      </c>
      <c r="O232" s="190" t="e">
        <f>VLOOKUP($A232&amp;$B232,'LE Inputs'!$C$2:$J$505,MATCH('LE UtilityData'!O$1,'LE Inputs'!$C$1:$J$1,0),0)</f>
        <v>#N/A</v>
      </c>
      <c r="P232" s="190" t="e">
        <f>VLOOKUP($A232&amp;$B232,'LE Inputs'!$C$2:$J$505,MATCH('LE UtilityData'!P$1,'LE Inputs'!$C$1:$J$1,0),0)</f>
        <v>#N/A</v>
      </c>
      <c r="Q232" s="168">
        <f t="shared" si="18"/>
        <v>674.3</v>
      </c>
      <c r="R232" s="168">
        <f t="shared" si="18"/>
        <v>1.1499999999999999</v>
      </c>
      <c r="S232" s="166">
        <v>4124</v>
      </c>
      <c r="T232" s="166">
        <v>1696</v>
      </c>
      <c r="U232" s="166">
        <f t="shared" si="16"/>
        <v>0</v>
      </c>
      <c r="V232" s="166">
        <f t="shared" si="14"/>
        <v>0</v>
      </c>
    </row>
    <row r="233" spans="1:22" x14ac:dyDescent="0.2">
      <c r="A233" s="153">
        <v>2020</v>
      </c>
      <c r="B233" s="153">
        <v>4</v>
      </c>
      <c r="C233" s="168"/>
      <c r="D233" s="168"/>
      <c r="E233" s="173">
        <v>13.424370704735015</v>
      </c>
      <c r="F233" s="281">
        <f t="shared" si="15"/>
        <v>13.378954184877426</v>
      </c>
      <c r="G233" s="173"/>
      <c r="H233" s="173">
        <v>30.33</v>
      </c>
      <c r="I233" s="154">
        <v>784135.84210703208</v>
      </c>
      <c r="J233" s="190">
        <f>VLOOKUP($A233&amp;$B233,'LE Inputs'!$C$2:$J$505,MATCH('LE UtilityData'!J$1,'LE Inputs'!$C$1:$J$1,0),0)*1000</f>
        <v>1391039.1818327508</v>
      </c>
      <c r="K233" s="190">
        <v>561059.56900788774</v>
      </c>
      <c r="L233" s="164">
        <v>377022.69350971421</v>
      </c>
      <c r="M233" s="299">
        <v>373271.67</v>
      </c>
      <c r="N233" s="156">
        <v>54386.974215748902</v>
      </c>
      <c r="O233" s="190" t="e">
        <f>VLOOKUP($A233&amp;$B233,'LE Inputs'!$C$2:$J$505,MATCH('LE UtilityData'!O$1,'LE Inputs'!$C$1:$J$1,0),0)</f>
        <v>#N/A</v>
      </c>
      <c r="P233" s="190" t="e">
        <f>VLOOKUP($A233&amp;$B233,'LE Inputs'!$C$2:$J$505,MATCH('LE UtilityData'!P$1,'LE Inputs'!$C$1:$J$1,0),0)</f>
        <v>#N/A</v>
      </c>
      <c r="Q233" s="168">
        <f t="shared" si="18"/>
        <v>377.1</v>
      </c>
      <c r="R233" s="168">
        <f t="shared" si="18"/>
        <v>20.25</v>
      </c>
      <c r="S233" s="166">
        <v>4124</v>
      </c>
      <c r="T233" s="166">
        <v>1696</v>
      </c>
      <c r="U233" s="166">
        <f t="shared" si="16"/>
        <v>0</v>
      </c>
      <c r="V233" s="166">
        <f t="shared" si="14"/>
        <v>0</v>
      </c>
    </row>
    <row r="234" spans="1:22" x14ac:dyDescent="0.2">
      <c r="A234" s="153">
        <v>2020</v>
      </c>
      <c r="B234" s="153">
        <v>5</v>
      </c>
      <c r="C234" s="168"/>
      <c r="D234" s="168"/>
      <c r="E234" s="173">
        <v>13.424370704735015</v>
      </c>
      <c r="F234" s="281">
        <f t="shared" si="15"/>
        <v>13.378954184877426</v>
      </c>
      <c r="G234" s="173"/>
      <c r="H234" s="173">
        <v>30.14</v>
      </c>
      <c r="I234" s="154">
        <v>784583.84210703208</v>
      </c>
      <c r="J234" s="190">
        <f>VLOOKUP($A234&amp;$B234,'LE Inputs'!$C$2:$J$505,MATCH('LE UtilityData'!J$1,'LE Inputs'!$C$1:$J$1,0),0)*1000</f>
        <v>1391039.1818327508</v>
      </c>
      <c r="K234" s="190">
        <v>561059.56900788774</v>
      </c>
      <c r="L234" s="164">
        <v>377238.09772620618</v>
      </c>
      <c r="M234" s="299">
        <v>373271.81</v>
      </c>
      <c r="N234" s="156">
        <v>54386.974215748902</v>
      </c>
      <c r="O234" s="190" t="e">
        <f>VLOOKUP($A234&amp;$B234,'LE Inputs'!$C$2:$J$505,MATCH('LE UtilityData'!O$1,'LE Inputs'!$C$1:$J$1,0),0)</f>
        <v>#N/A</v>
      </c>
      <c r="P234" s="190" t="e">
        <f>VLOOKUP($A234&amp;$B234,'LE Inputs'!$C$2:$J$505,MATCH('LE UtilityData'!P$1,'LE Inputs'!$C$1:$J$1,0),0)</f>
        <v>#N/A</v>
      </c>
      <c r="Q234" s="168">
        <f t="shared" si="18"/>
        <v>141</v>
      </c>
      <c r="R234" s="168">
        <f t="shared" si="18"/>
        <v>69.349999999999994</v>
      </c>
      <c r="S234" s="166">
        <v>4124</v>
      </c>
      <c r="T234" s="166">
        <v>1696</v>
      </c>
      <c r="U234" s="166">
        <f t="shared" si="16"/>
        <v>0</v>
      </c>
      <c r="V234" s="166">
        <f t="shared" si="14"/>
        <v>0</v>
      </c>
    </row>
    <row r="235" spans="1:22" x14ac:dyDescent="0.2">
      <c r="A235" s="153">
        <v>2020</v>
      </c>
      <c r="B235" s="153">
        <v>6</v>
      </c>
      <c r="C235" s="168"/>
      <c r="D235" s="168"/>
      <c r="E235" s="173">
        <v>13.424370704735015</v>
      </c>
      <c r="F235" s="281">
        <f t="shared" si="15"/>
        <v>13.378954184877426</v>
      </c>
      <c r="G235" s="173"/>
      <c r="H235" s="173">
        <v>30.52</v>
      </c>
      <c r="I235" s="154">
        <v>785037.5724571445</v>
      </c>
      <c r="J235" s="190">
        <f>VLOOKUP($A235&amp;$B235,'LE Inputs'!$C$2:$J$505,MATCH('LE UtilityData'!J$1,'LE Inputs'!$C$1:$J$1,0),0)*1000</f>
        <v>1391039.1818327508</v>
      </c>
      <c r="K235" s="190">
        <v>561059.56900788774</v>
      </c>
      <c r="L235" s="164">
        <v>377456.25716943073</v>
      </c>
      <c r="M235" s="299">
        <v>373271.94</v>
      </c>
      <c r="N235" s="156">
        <v>54386.974215748902</v>
      </c>
      <c r="O235" s="190" t="e">
        <f>VLOOKUP($A235&amp;$B235,'LE Inputs'!$C$2:$J$505,MATCH('LE UtilityData'!O$1,'LE Inputs'!$C$1:$J$1,0),0)</f>
        <v>#N/A</v>
      </c>
      <c r="P235" s="190" t="e">
        <f>VLOOKUP($A235&amp;$B235,'LE Inputs'!$C$2:$J$505,MATCH('LE UtilityData'!P$1,'LE Inputs'!$C$1:$J$1,0),0)</f>
        <v>#N/A</v>
      </c>
      <c r="Q235" s="168">
        <f t="shared" si="18"/>
        <v>29.5</v>
      </c>
      <c r="R235" s="168">
        <f t="shared" si="18"/>
        <v>224.8</v>
      </c>
      <c r="S235" s="166">
        <v>4124</v>
      </c>
      <c r="T235" s="166">
        <v>1696</v>
      </c>
      <c r="U235" s="166">
        <f t="shared" si="16"/>
        <v>0</v>
      </c>
      <c r="V235" s="166">
        <f t="shared" si="14"/>
        <v>0</v>
      </c>
    </row>
    <row r="236" spans="1:22" x14ac:dyDescent="0.2">
      <c r="A236" s="153">
        <v>2020</v>
      </c>
      <c r="B236" s="153">
        <v>7</v>
      </c>
      <c r="C236" s="168"/>
      <c r="D236" s="168"/>
      <c r="E236" s="173">
        <v>13.424370704735015</v>
      </c>
      <c r="F236" s="281">
        <f t="shared" si="15"/>
        <v>13.378954184877426</v>
      </c>
      <c r="G236" s="173"/>
      <c r="H236" s="173">
        <v>30.67</v>
      </c>
      <c r="I236" s="154">
        <v>785483.5724571445</v>
      </c>
      <c r="J236" s="190">
        <f>VLOOKUP($A236&amp;$B236,'LE Inputs'!$C$2:$J$505,MATCH('LE UtilityData'!J$1,'LE Inputs'!$C$1:$J$1,0),0)*1000</f>
        <v>1394356.8192945186</v>
      </c>
      <c r="K236" s="190">
        <v>562306.61791393638</v>
      </c>
      <c r="L236" s="164">
        <v>377670.69975995622</v>
      </c>
      <c r="M236" s="299">
        <v>373927.57</v>
      </c>
      <c r="N236" s="156">
        <v>54764.934033209996</v>
      </c>
      <c r="O236" s="190" t="e">
        <f>VLOOKUP($A236&amp;$B236,'LE Inputs'!$C$2:$J$505,MATCH('LE UtilityData'!O$1,'LE Inputs'!$C$1:$J$1,0),0)</f>
        <v>#N/A</v>
      </c>
      <c r="P236" s="190" t="e">
        <f>VLOOKUP($A236&amp;$B236,'LE Inputs'!$C$2:$J$505,MATCH('LE UtilityData'!P$1,'LE Inputs'!$C$1:$J$1,0),0)</f>
        <v>#N/A</v>
      </c>
      <c r="Q236" s="168">
        <f t="shared" si="18"/>
        <v>0.55000000000000004</v>
      </c>
      <c r="R236" s="168">
        <f t="shared" si="18"/>
        <v>396.4</v>
      </c>
      <c r="S236" s="166">
        <v>4124</v>
      </c>
      <c r="T236" s="166">
        <v>1696</v>
      </c>
      <c r="U236" s="166">
        <f t="shared" si="16"/>
        <v>0</v>
      </c>
      <c r="V236" s="166">
        <f t="shared" si="14"/>
        <v>0</v>
      </c>
    </row>
    <row r="237" spans="1:22" x14ac:dyDescent="0.2">
      <c r="A237" s="153">
        <v>2020</v>
      </c>
      <c r="B237" s="153">
        <v>8</v>
      </c>
      <c r="C237" s="168"/>
      <c r="D237" s="168"/>
      <c r="E237" s="173">
        <v>13.424370704735015</v>
      </c>
      <c r="F237" s="281">
        <f t="shared" si="15"/>
        <v>13.378954184877426</v>
      </c>
      <c r="G237" s="173"/>
      <c r="H237" s="173">
        <v>29.48</v>
      </c>
      <c r="I237" s="154">
        <v>785929.5724571445</v>
      </c>
      <c r="J237" s="190">
        <f>VLOOKUP($A237&amp;$B237,'LE Inputs'!$C$2:$J$505,MATCH('LE UtilityData'!J$1,'LE Inputs'!$C$1:$J$1,0),0)*1000</f>
        <v>1394356.8192945186</v>
      </c>
      <c r="K237" s="190">
        <v>562306.61791393638</v>
      </c>
      <c r="L237" s="164">
        <v>377885.14235048171</v>
      </c>
      <c r="M237" s="299">
        <v>373927.69</v>
      </c>
      <c r="N237" s="156">
        <v>54764.934033209996</v>
      </c>
      <c r="O237" s="190" t="e">
        <f>VLOOKUP($A237&amp;$B237,'LE Inputs'!$C$2:$J$505,MATCH('LE UtilityData'!O$1,'LE Inputs'!$C$1:$J$1,0),0)</f>
        <v>#N/A</v>
      </c>
      <c r="P237" s="190" t="e">
        <f>VLOOKUP($A237&amp;$B237,'LE Inputs'!$C$2:$J$505,MATCH('LE UtilityData'!P$1,'LE Inputs'!$C$1:$J$1,0),0)</f>
        <v>#N/A</v>
      </c>
      <c r="Q237" s="168">
        <f t="shared" si="18"/>
        <v>0.1</v>
      </c>
      <c r="R237" s="168">
        <f t="shared" si="18"/>
        <v>417.05</v>
      </c>
      <c r="S237" s="166">
        <v>4124</v>
      </c>
      <c r="T237" s="166">
        <v>1696</v>
      </c>
      <c r="U237" s="166">
        <f t="shared" si="16"/>
        <v>0</v>
      </c>
      <c r="V237" s="166">
        <f t="shared" si="14"/>
        <v>0</v>
      </c>
    </row>
    <row r="238" spans="1:22" x14ac:dyDescent="0.2">
      <c r="A238" s="153">
        <v>2020</v>
      </c>
      <c r="B238" s="153">
        <v>9</v>
      </c>
      <c r="C238" s="168"/>
      <c r="D238" s="168"/>
      <c r="E238" s="173">
        <v>13.424370704735015</v>
      </c>
      <c r="F238" s="281">
        <f t="shared" si="15"/>
        <v>13.378954184877426</v>
      </c>
      <c r="G238" s="173"/>
      <c r="H238" s="173">
        <v>30.52</v>
      </c>
      <c r="I238" s="154">
        <v>786375.5724571445</v>
      </c>
      <c r="J238" s="190">
        <f>VLOOKUP($A238&amp;$B238,'LE Inputs'!$C$2:$J$505,MATCH('LE UtilityData'!J$1,'LE Inputs'!$C$1:$J$1,0),0)*1000</f>
        <v>1394356.8192945186</v>
      </c>
      <c r="K238" s="190">
        <v>562306.61791393638</v>
      </c>
      <c r="L238" s="164">
        <v>378099.5849410072</v>
      </c>
      <c r="M238" s="299">
        <v>373927.8</v>
      </c>
      <c r="N238" s="156">
        <v>54764.934033209996</v>
      </c>
      <c r="O238" s="190" t="e">
        <f>VLOOKUP($A238&amp;$B238,'LE Inputs'!$C$2:$J$505,MATCH('LE UtilityData'!O$1,'LE Inputs'!$C$1:$J$1,0),0)</f>
        <v>#N/A</v>
      </c>
      <c r="P238" s="190" t="e">
        <f>VLOOKUP($A238&amp;$B238,'LE Inputs'!$C$2:$J$505,MATCH('LE UtilityData'!P$1,'LE Inputs'!$C$1:$J$1,0),0)</f>
        <v>#N/A</v>
      </c>
      <c r="Q238" s="168">
        <f t="shared" ref="Q238:R253" si="19">Q226</f>
        <v>5.35</v>
      </c>
      <c r="R238" s="168">
        <f t="shared" si="19"/>
        <v>330.2</v>
      </c>
      <c r="S238" s="166">
        <v>4124</v>
      </c>
      <c r="T238" s="166">
        <v>1696</v>
      </c>
      <c r="U238" s="166">
        <f t="shared" si="16"/>
        <v>0</v>
      </c>
      <c r="V238" s="166">
        <f t="shared" si="14"/>
        <v>0</v>
      </c>
    </row>
    <row r="239" spans="1:22" x14ac:dyDescent="0.2">
      <c r="A239" s="153">
        <v>2020</v>
      </c>
      <c r="B239" s="153">
        <v>10</v>
      </c>
      <c r="C239" s="168"/>
      <c r="D239" s="168"/>
      <c r="E239" s="173">
        <v>13.424370704735015</v>
      </c>
      <c r="F239" s="281">
        <f t="shared" si="15"/>
        <v>13.378954184877426</v>
      </c>
      <c r="G239" s="173"/>
      <c r="H239" s="173">
        <v>29.71</v>
      </c>
      <c r="I239" s="154">
        <v>786821.5724571445</v>
      </c>
      <c r="J239" s="190">
        <f>VLOOKUP($A239&amp;$B239,'LE Inputs'!$C$2:$J$505,MATCH('LE UtilityData'!J$1,'LE Inputs'!$C$1:$J$1,0),0)*1000</f>
        <v>1397669.9795618462</v>
      </c>
      <c r="K239" s="190">
        <v>563527.23044376762</v>
      </c>
      <c r="L239" s="164">
        <v>378314.02753153275</v>
      </c>
      <c r="M239" s="299">
        <v>374569.22</v>
      </c>
      <c r="N239" s="156">
        <v>54827.863419289301</v>
      </c>
      <c r="O239" s="190" t="e">
        <f>VLOOKUP($A239&amp;$B239,'LE Inputs'!$C$2:$J$505,MATCH('LE UtilityData'!O$1,'LE Inputs'!$C$1:$J$1,0),0)</f>
        <v>#N/A</v>
      </c>
      <c r="P239" s="190" t="e">
        <f>VLOOKUP($A239&amp;$B239,'LE Inputs'!$C$2:$J$505,MATCH('LE UtilityData'!P$1,'LE Inputs'!$C$1:$J$1,0),0)</f>
        <v>#N/A</v>
      </c>
      <c r="Q239" s="168">
        <f t="shared" si="19"/>
        <v>99.3</v>
      </c>
      <c r="R239" s="168">
        <f t="shared" si="19"/>
        <v>100.05</v>
      </c>
      <c r="S239" s="166">
        <v>4124</v>
      </c>
      <c r="T239" s="166">
        <v>1696</v>
      </c>
      <c r="U239" s="166">
        <f t="shared" si="16"/>
        <v>0</v>
      </c>
      <c r="V239" s="166">
        <f t="shared" si="14"/>
        <v>0</v>
      </c>
    </row>
    <row r="240" spans="1:22" x14ac:dyDescent="0.2">
      <c r="A240" s="153">
        <v>2020</v>
      </c>
      <c r="B240" s="153">
        <v>11</v>
      </c>
      <c r="C240" s="168"/>
      <c r="D240" s="168"/>
      <c r="E240" s="173">
        <v>13.424370704735015</v>
      </c>
      <c r="F240" s="281">
        <f t="shared" si="15"/>
        <v>13.378954184877426</v>
      </c>
      <c r="G240" s="173"/>
      <c r="H240" s="173">
        <v>29.57</v>
      </c>
      <c r="I240" s="154">
        <v>787267.5724571445</v>
      </c>
      <c r="J240" s="190">
        <f>VLOOKUP($A240&amp;$B240,'LE Inputs'!$C$2:$J$505,MATCH('LE UtilityData'!J$1,'LE Inputs'!$C$1:$J$1,0),0)*1000</f>
        <v>1397669.9795618462</v>
      </c>
      <c r="K240" s="190">
        <v>563527.23044376762</v>
      </c>
      <c r="L240" s="164">
        <v>378528.47012205824</v>
      </c>
      <c r="M240" s="299">
        <v>374569.32</v>
      </c>
      <c r="N240" s="156">
        <v>54827.863419289301</v>
      </c>
      <c r="O240" s="190" t="e">
        <f>VLOOKUP($A240&amp;$B240,'LE Inputs'!$C$2:$J$505,MATCH('LE UtilityData'!O$1,'LE Inputs'!$C$1:$J$1,0),0)</f>
        <v>#N/A</v>
      </c>
      <c r="P240" s="190" t="e">
        <f>VLOOKUP($A240&amp;$B240,'LE Inputs'!$C$2:$J$505,MATCH('LE UtilityData'!P$1,'LE Inputs'!$C$1:$J$1,0),0)</f>
        <v>#N/A</v>
      </c>
      <c r="Q240" s="168">
        <f t="shared" si="19"/>
        <v>352.6</v>
      </c>
      <c r="R240" s="168">
        <f t="shared" si="19"/>
        <v>12.75</v>
      </c>
      <c r="S240" s="166">
        <v>4124</v>
      </c>
      <c r="T240" s="166">
        <v>1696</v>
      </c>
      <c r="U240" s="166">
        <f t="shared" si="16"/>
        <v>0</v>
      </c>
      <c r="V240" s="166">
        <f t="shared" si="14"/>
        <v>0</v>
      </c>
    </row>
    <row r="241" spans="1:22" x14ac:dyDescent="0.2">
      <c r="A241" s="153">
        <v>2020</v>
      </c>
      <c r="B241" s="153">
        <v>12</v>
      </c>
      <c r="C241" s="176"/>
      <c r="D241" s="176"/>
      <c r="E241" s="173">
        <v>13.424370704735015</v>
      </c>
      <c r="F241" s="281">
        <f t="shared" si="15"/>
        <v>13.378954184877426</v>
      </c>
      <c r="G241" s="173"/>
      <c r="H241" s="173">
        <v>32.619999999999997</v>
      </c>
      <c r="I241" s="160">
        <v>787713.5724571445</v>
      </c>
      <c r="J241" s="190">
        <f>VLOOKUP($A241&amp;$B241,'LE Inputs'!$C$2:$J$505,MATCH('LE UtilityData'!J$1,'LE Inputs'!$C$1:$J$1,0),0)*1000</f>
        <v>1397669.9795618462</v>
      </c>
      <c r="K241" s="190">
        <v>563527.23044376762</v>
      </c>
      <c r="L241" s="164">
        <v>378742.91271258373</v>
      </c>
      <c r="M241" s="299">
        <v>374569.42</v>
      </c>
      <c r="N241" s="159">
        <v>54827.863419289301</v>
      </c>
      <c r="O241" s="190" t="e">
        <f>VLOOKUP($A241&amp;$B241,'LE Inputs'!$C$2:$J$505,MATCH('LE UtilityData'!O$1,'LE Inputs'!$C$1:$J$1,0),0)</f>
        <v>#N/A</v>
      </c>
      <c r="P241" s="190" t="e">
        <f>VLOOKUP($A241&amp;$B241,'LE Inputs'!$C$2:$J$505,MATCH('LE UtilityData'!P$1,'LE Inputs'!$C$1:$J$1,0),0)</f>
        <v>#N/A</v>
      </c>
      <c r="Q241" s="168">
        <f t="shared" si="19"/>
        <v>669.9</v>
      </c>
      <c r="R241" s="168">
        <f t="shared" si="19"/>
        <v>1.05</v>
      </c>
      <c r="S241" s="166">
        <v>4124</v>
      </c>
      <c r="T241" s="166">
        <v>1696</v>
      </c>
      <c r="U241" s="166">
        <f t="shared" si="16"/>
        <v>0</v>
      </c>
      <c r="V241" s="166">
        <f t="shared" si="14"/>
        <v>0</v>
      </c>
    </row>
    <row r="242" spans="1:22" x14ac:dyDescent="0.2">
      <c r="A242" s="153">
        <v>2021</v>
      </c>
      <c r="B242" s="153">
        <v>1</v>
      </c>
      <c r="C242" s="176"/>
      <c r="D242" s="300"/>
      <c r="E242" s="173">
        <v>13.75997997235339</v>
      </c>
      <c r="F242" s="281">
        <f t="shared" si="15"/>
        <v>13.646533268574974</v>
      </c>
      <c r="G242" s="173"/>
      <c r="H242" s="173">
        <v>33.049999999999997</v>
      </c>
      <c r="I242" s="154">
        <v>788159.5724571445</v>
      </c>
      <c r="J242" s="190">
        <f>VLOOKUP($A242&amp;$B242,'LE Inputs'!$C$2:$J$505,MATCH('LE UtilityData'!J$1,'LE Inputs'!$C$1:$J$1,0),0)*1000</f>
        <v>1400304.2071178607</v>
      </c>
      <c r="K242" s="190">
        <v>564499.55793077149</v>
      </c>
      <c r="L242" s="164">
        <v>378957.35530310927</v>
      </c>
      <c r="M242" s="299">
        <v>375080.99</v>
      </c>
      <c r="N242" s="156">
        <v>55407.6271323908</v>
      </c>
      <c r="O242" s="190" t="e">
        <f>VLOOKUP($A242&amp;$B242,'LE Inputs'!$C$2:$J$505,MATCH('LE UtilityData'!O$1,'LE Inputs'!$C$1:$J$1,0),0)</f>
        <v>#N/A</v>
      </c>
      <c r="P242" s="190" t="e">
        <f>VLOOKUP($A242&amp;$B242,'LE Inputs'!$C$2:$J$505,MATCH('LE UtilityData'!P$1,'LE Inputs'!$C$1:$J$1,0),0)</f>
        <v>#N/A</v>
      </c>
      <c r="Q242" s="168">
        <f t="shared" si="19"/>
        <v>932.4</v>
      </c>
      <c r="R242" s="168">
        <f t="shared" si="19"/>
        <v>0.35</v>
      </c>
      <c r="S242" s="166">
        <v>4124</v>
      </c>
      <c r="T242" s="166">
        <v>1696</v>
      </c>
      <c r="U242" s="166">
        <f t="shared" si="16"/>
        <v>0</v>
      </c>
      <c r="V242" s="166">
        <f t="shared" si="14"/>
        <v>0</v>
      </c>
    </row>
    <row r="243" spans="1:22" x14ac:dyDescent="0.2">
      <c r="A243" s="153">
        <v>2021</v>
      </c>
      <c r="B243" s="153">
        <v>2</v>
      </c>
      <c r="C243" s="176"/>
      <c r="D243" s="176"/>
      <c r="E243" s="173">
        <v>13.75997997235339</v>
      </c>
      <c r="F243" s="281">
        <f t="shared" si="15"/>
        <v>13.646533268574974</v>
      </c>
      <c r="G243" s="173"/>
      <c r="H243" s="173">
        <v>30.14</v>
      </c>
      <c r="I243" s="154">
        <v>788605.5724571445</v>
      </c>
      <c r="J243" s="190">
        <f>VLOOKUP($A243&amp;$B243,'LE Inputs'!$C$2:$J$505,MATCH('LE UtilityData'!J$1,'LE Inputs'!$C$1:$J$1,0),0)*1000</f>
        <v>1400304.2071178607</v>
      </c>
      <c r="K243" s="190">
        <v>564499.55793077149</v>
      </c>
      <c r="L243" s="164">
        <v>379171.79789363482</v>
      </c>
      <c r="M243" s="299">
        <v>375081.08</v>
      </c>
      <c r="N243" s="156">
        <v>55407.6271323908</v>
      </c>
      <c r="O243" s="190" t="e">
        <f>VLOOKUP($A243&amp;$B243,'LE Inputs'!$C$2:$J$505,MATCH('LE UtilityData'!O$1,'LE Inputs'!$C$1:$J$1,0),0)</f>
        <v>#N/A</v>
      </c>
      <c r="P243" s="190" t="e">
        <f>VLOOKUP($A243&amp;$B243,'LE Inputs'!$C$2:$J$505,MATCH('LE UtilityData'!P$1,'LE Inputs'!$C$1:$J$1,0),0)</f>
        <v>#N/A</v>
      </c>
      <c r="Q243" s="168">
        <f t="shared" si="19"/>
        <v>864.1</v>
      </c>
      <c r="R243" s="168">
        <f t="shared" si="19"/>
        <v>0.05</v>
      </c>
      <c r="S243" s="166">
        <v>4124</v>
      </c>
      <c r="T243" s="166">
        <v>1696</v>
      </c>
      <c r="U243" s="166">
        <f t="shared" si="16"/>
        <v>0</v>
      </c>
      <c r="V243" s="166">
        <f t="shared" si="14"/>
        <v>0</v>
      </c>
    </row>
    <row r="244" spans="1:22" x14ac:dyDescent="0.2">
      <c r="A244" s="153">
        <v>2021</v>
      </c>
      <c r="B244" s="153">
        <v>3</v>
      </c>
      <c r="C244" s="176"/>
      <c r="D244" s="176"/>
      <c r="E244" s="173">
        <v>13.75997997235339</v>
      </c>
      <c r="F244" s="281">
        <f t="shared" si="15"/>
        <v>13.646533268574974</v>
      </c>
      <c r="G244" s="173"/>
      <c r="H244" s="173">
        <v>30</v>
      </c>
      <c r="I244" s="154">
        <v>789051.5724571445</v>
      </c>
      <c r="J244" s="190">
        <f>VLOOKUP($A244&amp;$B244,'LE Inputs'!$C$2:$J$505,MATCH('LE UtilityData'!J$1,'LE Inputs'!$C$1:$J$1,0),0)*1000</f>
        <v>1400304.2071178607</v>
      </c>
      <c r="K244" s="190">
        <v>564499.55793077149</v>
      </c>
      <c r="L244" s="164">
        <v>379386.24048416037</v>
      </c>
      <c r="M244" s="299">
        <v>375081.16</v>
      </c>
      <c r="N244" s="156">
        <v>55407.6271323908</v>
      </c>
      <c r="O244" s="190" t="e">
        <f>VLOOKUP($A244&amp;$B244,'LE Inputs'!$C$2:$J$505,MATCH('LE UtilityData'!O$1,'LE Inputs'!$C$1:$J$1,0),0)</f>
        <v>#N/A</v>
      </c>
      <c r="P244" s="190" t="e">
        <f>VLOOKUP($A244&amp;$B244,'LE Inputs'!$C$2:$J$505,MATCH('LE UtilityData'!P$1,'LE Inputs'!$C$1:$J$1,0),0)</f>
        <v>#N/A</v>
      </c>
      <c r="Q244" s="168">
        <f t="shared" si="19"/>
        <v>674.3</v>
      </c>
      <c r="R244" s="168">
        <f t="shared" si="19"/>
        <v>1.1499999999999999</v>
      </c>
      <c r="S244" s="166">
        <v>4124</v>
      </c>
      <c r="T244" s="166">
        <v>1696</v>
      </c>
      <c r="U244" s="166">
        <f t="shared" si="16"/>
        <v>0</v>
      </c>
      <c r="V244" s="166">
        <f t="shared" si="14"/>
        <v>0</v>
      </c>
    </row>
    <row r="245" spans="1:22" x14ac:dyDescent="0.2">
      <c r="A245" s="153">
        <v>2021</v>
      </c>
      <c r="B245" s="153">
        <v>4</v>
      </c>
      <c r="C245" s="176"/>
      <c r="D245" s="176"/>
      <c r="E245" s="173">
        <v>13.75997997235339</v>
      </c>
      <c r="F245" s="281">
        <f t="shared" si="15"/>
        <v>13.646533268574974</v>
      </c>
      <c r="G245" s="173"/>
      <c r="H245" s="173">
        <v>30.86</v>
      </c>
      <c r="I245" s="154">
        <v>789497.5724571445</v>
      </c>
      <c r="J245" s="190">
        <f>VLOOKUP($A245&amp;$B245,'LE Inputs'!$C$2:$J$505,MATCH('LE UtilityData'!J$1,'LE Inputs'!$C$1:$J$1,0),0)*1000</f>
        <v>1403594.6446527613</v>
      </c>
      <c r="K245" s="190">
        <v>565701.4840063944</v>
      </c>
      <c r="L245" s="164">
        <v>379600.68307468586</v>
      </c>
      <c r="M245" s="299">
        <v>375712.57</v>
      </c>
      <c r="N245" s="156">
        <v>55792.319972705402</v>
      </c>
      <c r="O245" s="190" t="e">
        <f>VLOOKUP($A245&amp;$B245,'LE Inputs'!$C$2:$J$505,MATCH('LE UtilityData'!O$1,'LE Inputs'!$C$1:$J$1,0),0)</f>
        <v>#N/A</v>
      </c>
      <c r="P245" s="190" t="e">
        <f>VLOOKUP($A245&amp;$B245,'LE Inputs'!$C$2:$J$505,MATCH('LE UtilityData'!P$1,'LE Inputs'!$C$1:$J$1,0),0)</f>
        <v>#N/A</v>
      </c>
      <c r="Q245" s="168">
        <f t="shared" si="19"/>
        <v>377.1</v>
      </c>
      <c r="R245" s="168">
        <f t="shared" si="19"/>
        <v>20.25</v>
      </c>
      <c r="S245" s="166">
        <v>4124</v>
      </c>
      <c r="T245" s="166">
        <v>1696</v>
      </c>
      <c r="U245" s="166">
        <f t="shared" si="16"/>
        <v>0</v>
      </c>
      <c r="V245" s="166">
        <f t="shared" si="14"/>
        <v>0</v>
      </c>
    </row>
    <row r="246" spans="1:22" x14ac:dyDescent="0.2">
      <c r="A246" s="153">
        <v>2021</v>
      </c>
      <c r="B246" s="153">
        <v>5</v>
      </c>
      <c r="C246" s="176"/>
      <c r="D246" s="176"/>
      <c r="E246" s="173">
        <v>13.75997997235339</v>
      </c>
      <c r="F246" s="281">
        <f t="shared" si="15"/>
        <v>13.646533268574974</v>
      </c>
      <c r="G246" s="173"/>
      <c r="H246" s="173">
        <v>29.48</v>
      </c>
      <c r="I246" s="154">
        <v>789943.5724571445</v>
      </c>
      <c r="J246" s="190">
        <f>VLOOKUP($A246&amp;$B246,'LE Inputs'!$C$2:$J$505,MATCH('LE UtilityData'!J$1,'LE Inputs'!$C$1:$J$1,0),0)*1000</f>
        <v>1403594.6446527613</v>
      </c>
      <c r="K246" s="190">
        <v>565701.4840063944</v>
      </c>
      <c r="L246" s="164">
        <v>379815.12566521141</v>
      </c>
      <c r="M246" s="299">
        <v>375712.64</v>
      </c>
      <c r="N246" s="156">
        <v>55792.319972705402</v>
      </c>
      <c r="O246" s="190" t="e">
        <f>VLOOKUP($A246&amp;$B246,'LE Inputs'!$C$2:$J$505,MATCH('LE UtilityData'!O$1,'LE Inputs'!$C$1:$J$1,0),0)</f>
        <v>#N/A</v>
      </c>
      <c r="P246" s="190" t="e">
        <f>VLOOKUP($A246&amp;$B246,'LE Inputs'!$C$2:$J$505,MATCH('LE UtilityData'!P$1,'LE Inputs'!$C$1:$J$1,0),0)</f>
        <v>#N/A</v>
      </c>
      <c r="Q246" s="168">
        <f t="shared" si="19"/>
        <v>141</v>
      </c>
      <c r="R246" s="168">
        <f t="shared" si="19"/>
        <v>69.349999999999994</v>
      </c>
      <c r="S246" s="166">
        <v>4124</v>
      </c>
      <c r="T246" s="166">
        <v>1696</v>
      </c>
      <c r="U246" s="166">
        <f t="shared" si="16"/>
        <v>0</v>
      </c>
      <c r="V246" s="166">
        <f t="shared" si="14"/>
        <v>0</v>
      </c>
    </row>
    <row r="247" spans="1:22" x14ac:dyDescent="0.2">
      <c r="A247" s="153">
        <v>2021</v>
      </c>
      <c r="B247" s="153">
        <v>6</v>
      </c>
      <c r="C247" s="176"/>
      <c r="D247" s="176"/>
      <c r="E247" s="173">
        <v>13.75997997235339</v>
      </c>
      <c r="F247" s="281">
        <f t="shared" si="15"/>
        <v>13.646533268574974</v>
      </c>
      <c r="G247" s="173"/>
      <c r="H247" s="173">
        <v>30.67</v>
      </c>
      <c r="I247" s="154">
        <v>790383.68878406181</v>
      </c>
      <c r="J247" s="190">
        <f>VLOOKUP($A247&amp;$B247,'LE Inputs'!$C$2:$J$505,MATCH('LE UtilityData'!J$1,'LE Inputs'!$C$1:$J$1,0),0)*1000</f>
        <v>1403594.6446527613</v>
      </c>
      <c r="K247" s="190">
        <v>565701.4840063944</v>
      </c>
      <c r="L247" s="164">
        <v>380026.7393093296</v>
      </c>
      <c r="M247" s="299">
        <v>375712.72</v>
      </c>
      <c r="N247" s="156">
        <v>55792.319972705402</v>
      </c>
      <c r="O247" s="190" t="e">
        <f>VLOOKUP($A247&amp;$B247,'LE Inputs'!$C$2:$J$505,MATCH('LE UtilityData'!O$1,'LE Inputs'!$C$1:$J$1,0),0)</f>
        <v>#N/A</v>
      </c>
      <c r="P247" s="190" t="e">
        <f>VLOOKUP($A247&amp;$B247,'LE Inputs'!$C$2:$J$505,MATCH('LE UtilityData'!P$1,'LE Inputs'!$C$1:$J$1,0),0)</f>
        <v>#N/A</v>
      </c>
      <c r="Q247" s="168">
        <f t="shared" si="19"/>
        <v>29.5</v>
      </c>
      <c r="R247" s="168">
        <f t="shared" si="19"/>
        <v>224.8</v>
      </c>
      <c r="S247" s="166">
        <v>4124</v>
      </c>
      <c r="T247" s="166">
        <v>1696</v>
      </c>
      <c r="U247" s="166">
        <f t="shared" si="16"/>
        <v>0</v>
      </c>
      <c r="V247" s="166">
        <f t="shared" si="14"/>
        <v>0</v>
      </c>
    </row>
    <row r="248" spans="1:22" x14ac:dyDescent="0.2">
      <c r="A248" s="153">
        <v>2021</v>
      </c>
      <c r="B248" s="153">
        <v>7</v>
      </c>
      <c r="C248" s="176"/>
      <c r="D248" s="176"/>
      <c r="E248" s="173">
        <v>13.75997997235339</v>
      </c>
      <c r="F248" s="281">
        <f t="shared" si="15"/>
        <v>13.646533268574974</v>
      </c>
      <c r="G248" s="173"/>
      <c r="H248" s="173">
        <v>30.71</v>
      </c>
      <c r="I248" s="154">
        <v>790825.68878406181</v>
      </c>
      <c r="J248" s="190">
        <f>VLOOKUP($A248&amp;$B248,'LE Inputs'!$C$2:$J$505,MATCH('LE UtilityData'!J$1,'LE Inputs'!$C$1:$J$1,0),0)*1000</f>
        <v>1407336.8286541724</v>
      </c>
      <c r="K248" s="190">
        <v>567024.73947974201</v>
      </c>
      <c r="L248" s="164">
        <v>380239.25864792214</v>
      </c>
      <c r="M248" s="299">
        <v>376408.77</v>
      </c>
      <c r="N248" s="156">
        <v>56127.638712663997</v>
      </c>
      <c r="O248" s="190" t="e">
        <f>VLOOKUP($A248&amp;$B248,'LE Inputs'!$C$2:$J$505,MATCH('LE UtilityData'!O$1,'LE Inputs'!$C$1:$J$1,0),0)</f>
        <v>#N/A</v>
      </c>
      <c r="P248" s="190" t="e">
        <f>VLOOKUP($A248&amp;$B248,'LE Inputs'!$C$2:$J$505,MATCH('LE UtilityData'!P$1,'LE Inputs'!$C$1:$J$1,0),0)</f>
        <v>#N/A</v>
      </c>
      <c r="Q248" s="168">
        <f t="shared" si="19"/>
        <v>0.55000000000000004</v>
      </c>
      <c r="R248" s="168">
        <f t="shared" si="19"/>
        <v>396.4</v>
      </c>
      <c r="S248" s="166">
        <v>4124</v>
      </c>
      <c r="T248" s="166">
        <v>1696</v>
      </c>
      <c r="U248" s="166">
        <f t="shared" si="16"/>
        <v>0</v>
      </c>
      <c r="V248" s="166">
        <f t="shared" si="14"/>
        <v>0</v>
      </c>
    </row>
    <row r="249" spans="1:22" x14ac:dyDescent="0.2">
      <c r="A249" s="153">
        <v>2021</v>
      </c>
      <c r="B249" s="153">
        <v>8</v>
      </c>
      <c r="C249" s="176"/>
      <c r="D249" s="176"/>
      <c r="E249" s="173">
        <v>13.75997997235339</v>
      </c>
      <c r="F249" s="281">
        <f t="shared" si="15"/>
        <v>13.646533268574974</v>
      </c>
      <c r="G249" s="173"/>
      <c r="H249" s="173">
        <v>29.52</v>
      </c>
      <c r="I249" s="154">
        <v>791267.68878406181</v>
      </c>
      <c r="J249" s="190">
        <f>VLOOKUP($A249&amp;$B249,'LE Inputs'!$C$2:$J$505,MATCH('LE UtilityData'!J$1,'LE Inputs'!$C$1:$J$1,0),0)*1000</f>
        <v>1407336.8286541724</v>
      </c>
      <c r="K249" s="190">
        <v>567024.73947974201</v>
      </c>
      <c r="L249" s="164">
        <v>380451.77798651467</v>
      </c>
      <c r="M249" s="299">
        <v>376408.84</v>
      </c>
      <c r="N249" s="156">
        <v>56127.638712663997</v>
      </c>
      <c r="O249" s="190" t="e">
        <f>VLOOKUP($A249&amp;$B249,'LE Inputs'!$C$2:$J$505,MATCH('LE UtilityData'!O$1,'LE Inputs'!$C$1:$J$1,0),0)</f>
        <v>#N/A</v>
      </c>
      <c r="P249" s="190" t="e">
        <f>VLOOKUP($A249&amp;$B249,'LE Inputs'!$C$2:$J$505,MATCH('LE UtilityData'!P$1,'LE Inputs'!$C$1:$J$1,0),0)</f>
        <v>#N/A</v>
      </c>
      <c r="Q249" s="168">
        <f t="shared" si="19"/>
        <v>0.1</v>
      </c>
      <c r="R249" s="168">
        <f t="shared" si="19"/>
        <v>417.05</v>
      </c>
      <c r="S249" s="166">
        <v>4124</v>
      </c>
      <c r="T249" s="166">
        <v>1696</v>
      </c>
      <c r="U249" s="166">
        <f t="shared" si="16"/>
        <v>0</v>
      </c>
      <c r="V249" s="166">
        <f t="shared" si="14"/>
        <v>0</v>
      </c>
    </row>
    <row r="250" spans="1:22" x14ac:dyDescent="0.2">
      <c r="A250" s="153">
        <v>2021</v>
      </c>
      <c r="B250" s="153">
        <v>9</v>
      </c>
      <c r="C250" s="176"/>
      <c r="D250" s="176"/>
      <c r="E250" s="173">
        <v>13.75997997235339</v>
      </c>
      <c r="F250" s="281">
        <f t="shared" si="15"/>
        <v>13.646533268574974</v>
      </c>
      <c r="G250" s="173"/>
      <c r="H250" s="173">
        <v>30.52</v>
      </c>
      <c r="I250" s="154">
        <v>791709.68878406181</v>
      </c>
      <c r="J250" s="190">
        <f>VLOOKUP($A250&amp;$B250,'LE Inputs'!$C$2:$J$505,MATCH('LE UtilityData'!J$1,'LE Inputs'!$C$1:$J$1,0),0)*1000</f>
        <v>1407336.8286541724</v>
      </c>
      <c r="K250" s="190">
        <v>567024.73947974201</v>
      </c>
      <c r="L250" s="164">
        <v>380664.29732510721</v>
      </c>
      <c r="M250" s="299">
        <v>376408.9</v>
      </c>
      <c r="N250" s="156">
        <v>56127.638712663997</v>
      </c>
      <c r="O250" s="190" t="e">
        <f>VLOOKUP($A250&amp;$B250,'LE Inputs'!$C$2:$J$505,MATCH('LE UtilityData'!O$1,'LE Inputs'!$C$1:$J$1,0),0)</f>
        <v>#N/A</v>
      </c>
      <c r="P250" s="190" t="e">
        <f>VLOOKUP($A250&amp;$B250,'LE Inputs'!$C$2:$J$505,MATCH('LE UtilityData'!P$1,'LE Inputs'!$C$1:$J$1,0),0)</f>
        <v>#N/A</v>
      </c>
      <c r="Q250" s="168">
        <f t="shared" si="19"/>
        <v>5.35</v>
      </c>
      <c r="R250" s="168">
        <f t="shared" si="19"/>
        <v>330.2</v>
      </c>
      <c r="S250" s="166">
        <v>4124</v>
      </c>
      <c r="T250" s="166">
        <v>1696</v>
      </c>
      <c r="U250" s="166">
        <f t="shared" si="16"/>
        <v>0</v>
      </c>
      <c r="V250" s="166">
        <f t="shared" si="14"/>
        <v>0</v>
      </c>
    </row>
    <row r="251" spans="1:22" x14ac:dyDescent="0.2">
      <c r="A251" s="153">
        <v>2021</v>
      </c>
      <c r="B251" s="153">
        <v>10</v>
      </c>
      <c r="C251" s="176"/>
      <c r="D251" s="176"/>
      <c r="E251" s="173">
        <v>13.75997997235339</v>
      </c>
      <c r="F251" s="281">
        <f t="shared" si="15"/>
        <v>13.646533268574974</v>
      </c>
      <c r="G251" s="173"/>
      <c r="H251" s="173">
        <v>29.62</v>
      </c>
      <c r="I251" s="154">
        <v>792151.68878406181</v>
      </c>
      <c r="J251" s="190">
        <f>VLOOKUP($A251&amp;$B251,'LE Inputs'!$C$2:$J$505,MATCH('LE UtilityData'!J$1,'LE Inputs'!$C$1:$J$1,0),0)*1000</f>
        <v>1410541.4388105047</v>
      </c>
      <c r="K251" s="190">
        <v>568477.31185423571</v>
      </c>
      <c r="L251" s="164">
        <v>380876.81666369981</v>
      </c>
      <c r="M251" s="299">
        <v>377172.23</v>
      </c>
      <c r="N251" s="156">
        <v>56646.347107956601</v>
      </c>
      <c r="O251" s="190" t="e">
        <f>VLOOKUP($A251&amp;$B251,'LE Inputs'!$C$2:$J$505,MATCH('LE UtilityData'!O$1,'LE Inputs'!$C$1:$J$1,0),0)</f>
        <v>#N/A</v>
      </c>
      <c r="P251" s="190" t="e">
        <f>VLOOKUP($A251&amp;$B251,'LE Inputs'!$C$2:$J$505,MATCH('LE UtilityData'!P$1,'LE Inputs'!$C$1:$J$1,0),0)</f>
        <v>#N/A</v>
      </c>
      <c r="Q251" s="168">
        <f t="shared" si="19"/>
        <v>99.3</v>
      </c>
      <c r="R251" s="168">
        <f t="shared" si="19"/>
        <v>100.05</v>
      </c>
      <c r="S251" s="166">
        <v>4124</v>
      </c>
      <c r="T251" s="166">
        <v>1696</v>
      </c>
      <c r="U251" s="166">
        <f t="shared" si="16"/>
        <v>0</v>
      </c>
      <c r="V251" s="166">
        <f t="shared" si="14"/>
        <v>0</v>
      </c>
    </row>
    <row r="252" spans="1:22" x14ac:dyDescent="0.2">
      <c r="A252" s="153">
        <v>2021</v>
      </c>
      <c r="B252" s="153">
        <v>11</v>
      </c>
      <c r="C252" s="176"/>
      <c r="D252" s="176"/>
      <c r="E252" s="173">
        <v>13.75997997235339</v>
      </c>
      <c r="F252" s="281">
        <f t="shared" si="15"/>
        <v>13.646533268574974</v>
      </c>
      <c r="G252" s="173"/>
      <c r="H252" s="173">
        <v>29.1</v>
      </c>
      <c r="I252" s="154">
        <v>792593.68878406181</v>
      </c>
      <c r="J252" s="190">
        <f>VLOOKUP($A252&amp;$B252,'LE Inputs'!$C$2:$J$505,MATCH('LE UtilityData'!J$1,'LE Inputs'!$C$1:$J$1,0),0)*1000</f>
        <v>1410541.4388105047</v>
      </c>
      <c r="K252" s="190">
        <v>568477.31185423571</v>
      </c>
      <c r="L252" s="164">
        <v>381089.33600229234</v>
      </c>
      <c r="M252" s="299">
        <v>377172.29</v>
      </c>
      <c r="N252" s="156">
        <v>56646.347107956601</v>
      </c>
      <c r="O252" s="190" t="e">
        <f>VLOOKUP($A252&amp;$B252,'LE Inputs'!$C$2:$J$505,MATCH('LE UtilityData'!O$1,'LE Inputs'!$C$1:$J$1,0),0)</f>
        <v>#N/A</v>
      </c>
      <c r="P252" s="190" t="e">
        <f>VLOOKUP($A252&amp;$B252,'LE Inputs'!$C$2:$J$505,MATCH('LE UtilityData'!P$1,'LE Inputs'!$C$1:$J$1,0),0)</f>
        <v>#N/A</v>
      </c>
      <c r="Q252" s="168">
        <f t="shared" si="19"/>
        <v>352.6</v>
      </c>
      <c r="R252" s="168">
        <f t="shared" si="19"/>
        <v>12.75</v>
      </c>
      <c r="S252" s="166">
        <v>4124</v>
      </c>
      <c r="T252" s="166">
        <v>1696</v>
      </c>
      <c r="U252" s="166">
        <f t="shared" si="16"/>
        <v>0</v>
      </c>
      <c r="V252" s="166">
        <f t="shared" si="14"/>
        <v>0</v>
      </c>
    </row>
    <row r="253" spans="1:22" x14ac:dyDescent="0.2">
      <c r="A253" s="153">
        <v>2021</v>
      </c>
      <c r="B253" s="153">
        <v>12</v>
      </c>
      <c r="C253" s="176"/>
      <c r="D253" s="176"/>
      <c r="E253" s="173">
        <v>13.75997997235339</v>
      </c>
      <c r="F253" s="281">
        <f t="shared" si="15"/>
        <v>13.646533268574974</v>
      </c>
      <c r="G253" s="173"/>
      <c r="H253" s="173">
        <v>31.67</v>
      </c>
      <c r="I253" s="154">
        <v>793035.68878406181</v>
      </c>
      <c r="J253" s="190">
        <f>VLOOKUP($A253&amp;$B253,'LE Inputs'!$C$2:$J$505,MATCH('LE UtilityData'!J$1,'LE Inputs'!$C$1:$J$1,0),0)*1000</f>
        <v>1410541.4388105047</v>
      </c>
      <c r="K253" s="190">
        <v>568477.31185423571</v>
      </c>
      <c r="L253" s="164">
        <v>381301.85534088488</v>
      </c>
      <c r="M253" s="299">
        <v>377172.34</v>
      </c>
      <c r="N253" s="156">
        <v>56646.347107956601</v>
      </c>
      <c r="O253" s="190" t="e">
        <f>VLOOKUP($A253&amp;$B253,'LE Inputs'!$C$2:$J$505,MATCH('LE UtilityData'!O$1,'LE Inputs'!$C$1:$J$1,0),0)</f>
        <v>#N/A</v>
      </c>
      <c r="P253" s="190" t="e">
        <f>VLOOKUP($A253&amp;$B253,'LE Inputs'!$C$2:$J$505,MATCH('LE UtilityData'!P$1,'LE Inputs'!$C$1:$J$1,0),0)</f>
        <v>#N/A</v>
      </c>
      <c r="Q253" s="168">
        <f t="shared" si="19"/>
        <v>669.9</v>
      </c>
      <c r="R253" s="168">
        <f t="shared" si="19"/>
        <v>1.05</v>
      </c>
      <c r="S253" s="166">
        <v>4124</v>
      </c>
      <c r="T253" s="166">
        <v>1696</v>
      </c>
      <c r="U253" s="166">
        <f t="shared" si="16"/>
        <v>0</v>
      </c>
      <c r="V253" s="166">
        <f t="shared" si="14"/>
        <v>0</v>
      </c>
    </row>
    <row r="254" spans="1:22" x14ac:dyDescent="0.2">
      <c r="A254" s="153">
        <v>2022</v>
      </c>
      <c r="B254" s="153">
        <v>1</v>
      </c>
      <c r="C254" s="176"/>
      <c r="D254" s="176"/>
      <c r="E254" s="173">
        <v>14.103979471662223</v>
      </c>
      <c r="F254" s="281">
        <f t="shared" si="15"/>
        <v>13.919463933946473</v>
      </c>
      <c r="G254" s="173"/>
      <c r="H254" s="173">
        <v>32.71</v>
      </c>
      <c r="I254" s="154">
        <v>793477.68878406181</v>
      </c>
      <c r="J254" s="190">
        <f>VLOOKUP($A254&amp;$B254,'LE Inputs'!$C$2:$J$505,MATCH('LE UtilityData'!J$1,'LE Inputs'!$C$1:$J$1,0),0)*1000</f>
        <v>1413661.4308768339</v>
      </c>
      <c r="K254" s="190">
        <v>569396.91159972001</v>
      </c>
      <c r="L254" s="164">
        <v>381514.37467947742</v>
      </c>
      <c r="M254" s="299">
        <v>377656.01</v>
      </c>
      <c r="N254" s="156">
        <v>57126.3159283364</v>
      </c>
      <c r="O254" s="190" t="e">
        <f>VLOOKUP($A254&amp;$B254,'LE Inputs'!$C$2:$J$505,MATCH('LE UtilityData'!O$1,'LE Inputs'!$C$1:$J$1,0),0)</f>
        <v>#N/A</v>
      </c>
      <c r="P254" s="190" t="e">
        <f>VLOOKUP($A254&amp;$B254,'LE Inputs'!$C$2:$J$505,MATCH('LE UtilityData'!P$1,'LE Inputs'!$C$1:$J$1,0),0)</f>
        <v>#N/A</v>
      </c>
      <c r="Q254" s="168">
        <f t="shared" ref="Q254:R269" si="20">Q242</f>
        <v>932.4</v>
      </c>
      <c r="R254" s="168">
        <f t="shared" si="20"/>
        <v>0.35</v>
      </c>
      <c r="S254" s="166">
        <v>4124</v>
      </c>
      <c r="T254" s="166">
        <v>1696</v>
      </c>
      <c r="U254" s="166">
        <f t="shared" si="16"/>
        <v>0</v>
      </c>
      <c r="V254" s="166">
        <f t="shared" si="14"/>
        <v>0</v>
      </c>
    </row>
    <row r="255" spans="1:22" x14ac:dyDescent="0.2">
      <c r="A255" s="153">
        <v>2022</v>
      </c>
      <c r="B255" s="153">
        <v>2</v>
      </c>
      <c r="C255" s="176"/>
      <c r="D255" s="176"/>
      <c r="E255" s="173">
        <v>14.103979471662223</v>
      </c>
      <c r="F255" s="281">
        <f t="shared" si="15"/>
        <v>13.919463933946473</v>
      </c>
      <c r="G255" s="173"/>
      <c r="H255" s="173">
        <v>29.81</v>
      </c>
      <c r="I255" s="154">
        <v>793919.68878406181</v>
      </c>
      <c r="J255" s="190">
        <f>VLOOKUP($A255&amp;$B255,'LE Inputs'!$C$2:$J$505,MATCH('LE UtilityData'!J$1,'LE Inputs'!$C$1:$J$1,0),0)*1000</f>
        <v>1413661.4308768339</v>
      </c>
      <c r="K255" s="190">
        <v>569396.91159972001</v>
      </c>
      <c r="L255" s="164">
        <v>381726.89401806996</v>
      </c>
      <c r="M255" s="299">
        <v>377656.06</v>
      </c>
      <c r="N255" s="156">
        <v>57126.3159283364</v>
      </c>
      <c r="O255" s="190" t="e">
        <f>VLOOKUP($A255&amp;$B255,'LE Inputs'!$C$2:$J$505,MATCH('LE UtilityData'!O$1,'LE Inputs'!$C$1:$J$1,0),0)</f>
        <v>#N/A</v>
      </c>
      <c r="P255" s="190" t="e">
        <f>VLOOKUP($A255&amp;$B255,'LE Inputs'!$C$2:$J$505,MATCH('LE UtilityData'!P$1,'LE Inputs'!$C$1:$J$1,0),0)</f>
        <v>#N/A</v>
      </c>
      <c r="Q255" s="168">
        <f t="shared" si="20"/>
        <v>864.1</v>
      </c>
      <c r="R255" s="168">
        <f t="shared" si="20"/>
        <v>0.05</v>
      </c>
      <c r="S255" s="166">
        <v>4124</v>
      </c>
      <c r="T255" s="166">
        <v>1696</v>
      </c>
      <c r="U255" s="166">
        <f t="shared" si="16"/>
        <v>0</v>
      </c>
      <c r="V255" s="166">
        <f t="shared" si="14"/>
        <v>0</v>
      </c>
    </row>
    <row r="256" spans="1:22" x14ac:dyDescent="0.2">
      <c r="A256" s="153">
        <v>2022</v>
      </c>
      <c r="B256" s="153">
        <v>3</v>
      </c>
      <c r="C256" s="176"/>
      <c r="D256" s="176"/>
      <c r="E256" s="173">
        <v>14.103979471662223</v>
      </c>
      <c r="F256" s="281">
        <f t="shared" si="15"/>
        <v>13.919463933946473</v>
      </c>
      <c r="G256" s="173"/>
      <c r="H256" s="173">
        <v>30.33</v>
      </c>
      <c r="I256" s="154">
        <v>794361.68878406181</v>
      </c>
      <c r="J256" s="190">
        <f>VLOOKUP($A256&amp;$B256,'LE Inputs'!$C$2:$J$505,MATCH('LE UtilityData'!J$1,'LE Inputs'!$C$1:$J$1,0),0)*1000</f>
        <v>1413661.4308768339</v>
      </c>
      <c r="K256" s="190">
        <v>569396.91159972001</v>
      </c>
      <c r="L256" s="164">
        <v>381939.4133566625</v>
      </c>
      <c r="M256" s="299">
        <v>377656.11</v>
      </c>
      <c r="N256" s="156">
        <v>57126.3159283364</v>
      </c>
      <c r="O256" s="190" t="e">
        <f>VLOOKUP($A256&amp;$B256,'LE Inputs'!$C$2:$J$505,MATCH('LE UtilityData'!O$1,'LE Inputs'!$C$1:$J$1,0),0)</f>
        <v>#N/A</v>
      </c>
      <c r="P256" s="190" t="e">
        <f>VLOOKUP($A256&amp;$B256,'LE Inputs'!$C$2:$J$505,MATCH('LE UtilityData'!P$1,'LE Inputs'!$C$1:$J$1,0),0)</f>
        <v>#N/A</v>
      </c>
      <c r="Q256" s="168">
        <f t="shared" si="20"/>
        <v>674.3</v>
      </c>
      <c r="R256" s="168">
        <f t="shared" si="20"/>
        <v>1.1499999999999999</v>
      </c>
      <c r="S256" s="166">
        <v>4124</v>
      </c>
      <c r="T256" s="166">
        <v>1696</v>
      </c>
      <c r="U256" s="166">
        <f t="shared" si="16"/>
        <v>0</v>
      </c>
      <c r="V256" s="166">
        <f t="shared" si="14"/>
        <v>0</v>
      </c>
    </row>
    <row r="257" spans="1:22" x14ac:dyDescent="0.2">
      <c r="A257" s="153">
        <v>2022</v>
      </c>
      <c r="B257" s="153">
        <v>4</v>
      </c>
      <c r="C257" s="176"/>
      <c r="D257" s="176"/>
      <c r="E257" s="173">
        <v>14.103979471662223</v>
      </c>
      <c r="F257" s="281">
        <f t="shared" si="15"/>
        <v>13.919463933946473</v>
      </c>
      <c r="G257" s="173"/>
      <c r="H257" s="173">
        <v>30.19</v>
      </c>
      <c r="I257" s="154">
        <v>794803.68878406181</v>
      </c>
      <c r="J257" s="190">
        <f>VLOOKUP($A257&amp;$B257,'LE Inputs'!$C$2:$J$505,MATCH('LE UtilityData'!J$1,'LE Inputs'!$C$1:$J$1,0),0)*1000</f>
        <v>1416936.4853411675</v>
      </c>
      <c r="K257" s="190">
        <v>570632.49671426986</v>
      </c>
      <c r="L257" s="164">
        <v>382151.93269525497</v>
      </c>
      <c r="M257" s="299">
        <v>378305.35</v>
      </c>
      <c r="N257" s="156">
        <v>57444.975609944202</v>
      </c>
      <c r="O257" s="190" t="e">
        <f>VLOOKUP($A257&amp;$B257,'LE Inputs'!$C$2:$J$505,MATCH('LE UtilityData'!O$1,'LE Inputs'!$C$1:$J$1,0),0)</f>
        <v>#N/A</v>
      </c>
      <c r="P257" s="190" t="e">
        <f>VLOOKUP($A257&amp;$B257,'LE Inputs'!$C$2:$J$505,MATCH('LE UtilityData'!P$1,'LE Inputs'!$C$1:$J$1,0),0)</f>
        <v>#N/A</v>
      </c>
      <c r="Q257" s="168">
        <f t="shared" si="20"/>
        <v>377.1</v>
      </c>
      <c r="R257" s="168">
        <f t="shared" si="20"/>
        <v>20.25</v>
      </c>
      <c r="S257" s="166">
        <v>4124</v>
      </c>
      <c r="T257" s="166">
        <v>1696</v>
      </c>
      <c r="U257" s="166">
        <f t="shared" si="16"/>
        <v>0</v>
      </c>
      <c r="V257" s="166">
        <f t="shared" si="14"/>
        <v>0</v>
      </c>
    </row>
    <row r="258" spans="1:22" x14ac:dyDescent="0.2">
      <c r="A258" s="153">
        <v>2022</v>
      </c>
      <c r="B258" s="153">
        <v>5</v>
      </c>
      <c r="C258" s="176"/>
      <c r="D258" s="176"/>
      <c r="E258" s="173">
        <v>14.103979471662223</v>
      </c>
      <c r="F258" s="281">
        <f t="shared" si="15"/>
        <v>13.919463933946473</v>
      </c>
      <c r="G258" s="173"/>
      <c r="H258" s="173">
        <v>30.14</v>
      </c>
      <c r="I258" s="154">
        <v>795245.68878406181</v>
      </c>
      <c r="J258" s="190">
        <f>VLOOKUP($A258&amp;$B258,'LE Inputs'!$C$2:$J$505,MATCH('LE UtilityData'!J$1,'LE Inputs'!$C$1:$J$1,0),0)*1000</f>
        <v>1416936.4853411675</v>
      </c>
      <c r="K258" s="190">
        <v>570632.49671426986</v>
      </c>
      <c r="L258" s="164">
        <v>382364.45203384751</v>
      </c>
      <c r="M258" s="299">
        <v>378305.4</v>
      </c>
      <c r="N258" s="156">
        <v>57444.975609944202</v>
      </c>
      <c r="O258" s="190" t="e">
        <f>VLOOKUP($A258&amp;$B258,'LE Inputs'!$C$2:$J$505,MATCH('LE UtilityData'!O$1,'LE Inputs'!$C$1:$J$1,0),0)</f>
        <v>#N/A</v>
      </c>
      <c r="P258" s="190" t="e">
        <f>VLOOKUP($A258&amp;$B258,'LE Inputs'!$C$2:$J$505,MATCH('LE UtilityData'!P$1,'LE Inputs'!$C$1:$J$1,0),0)</f>
        <v>#N/A</v>
      </c>
      <c r="Q258" s="168">
        <f t="shared" si="20"/>
        <v>141</v>
      </c>
      <c r="R258" s="168">
        <f t="shared" si="20"/>
        <v>69.349999999999994</v>
      </c>
      <c r="S258" s="166">
        <v>4124</v>
      </c>
      <c r="T258" s="166">
        <v>1696</v>
      </c>
      <c r="U258" s="166">
        <f t="shared" si="16"/>
        <v>0</v>
      </c>
      <c r="V258" s="166">
        <f t="shared" ref="V258:V321" si="21">C258/L258*1000</f>
        <v>0</v>
      </c>
    </row>
    <row r="259" spans="1:22" x14ac:dyDescent="0.2">
      <c r="A259" s="153">
        <v>2022</v>
      </c>
      <c r="B259" s="153">
        <v>6</v>
      </c>
      <c r="C259" s="176"/>
      <c r="D259" s="176"/>
      <c r="E259" s="173">
        <v>14.103979471662223</v>
      </c>
      <c r="F259" s="281">
        <f t="shared" ref="F259:F322" si="22">F247*(1+0.02)</f>
        <v>13.919463933946473</v>
      </c>
      <c r="G259" s="173"/>
      <c r="H259" s="173">
        <v>30.67</v>
      </c>
      <c r="I259" s="154">
        <v>795684.99497850868</v>
      </c>
      <c r="J259" s="190">
        <f>VLOOKUP($A259&amp;$B259,'LE Inputs'!$C$2:$J$505,MATCH('LE UtilityData'!J$1,'LE Inputs'!$C$1:$J$1,0),0)*1000</f>
        <v>1416936.4853411675</v>
      </c>
      <c r="K259" s="190">
        <v>570632.49671426986</v>
      </c>
      <c r="L259" s="164">
        <v>382575.67615575582</v>
      </c>
      <c r="M259" s="299">
        <v>378305.44</v>
      </c>
      <c r="N259" s="156">
        <v>57444.975609944202</v>
      </c>
      <c r="O259" s="190" t="e">
        <f>VLOOKUP($A259&amp;$B259,'LE Inputs'!$C$2:$J$505,MATCH('LE UtilityData'!O$1,'LE Inputs'!$C$1:$J$1,0),0)</f>
        <v>#N/A</v>
      </c>
      <c r="P259" s="190" t="e">
        <f>VLOOKUP($A259&amp;$B259,'LE Inputs'!$C$2:$J$505,MATCH('LE UtilityData'!P$1,'LE Inputs'!$C$1:$J$1,0),0)</f>
        <v>#N/A</v>
      </c>
      <c r="Q259" s="168">
        <f t="shared" si="20"/>
        <v>29.5</v>
      </c>
      <c r="R259" s="168">
        <f t="shared" si="20"/>
        <v>224.8</v>
      </c>
      <c r="S259" s="166">
        <v>4124</v>
      </c>
      <c r="T259" s="166">
        <v>1696</v>
      </c>
      <c r="U259" s="166">
        <f t="shared" ref="U259:U322" si="23">D259/M259*1000</f>
        <v>0</v>
      </c>
      <c r="V259" s="166">
        <f t="shared" si="21"/>
        <v>0</v>
      </c>
    </row>
    <row r="260" spans="1:22" x14ac:dyDescent="0.2">
      <c r="A260" s="153">
        <v>2022</v>
      </c>
      <c r="B260" s="153">
        <v>7</v>
      </c>
      <c r="C260" s="176"/>
      <c r="D260" s="176"/>
      <c r="E260" s="173">
        <v>14.103979471662223</v>
      </c>
      <c r="F260" s="281">
        <f t="shared" si="22"/>
        <v>13.919463933946473</v>
      </c>
      <c r="G260" s="173"/>
      <c r="H260" s="173">
        <v>30.71</v>
      </c>
      <c r="I260" s="154">
        <v>796121.99497850868</v>
      </c>
      <c r="J260" s="190">
        <f>VLOOKUP($A260&amp;$B260,'LE Inputs'!$C$2:$J$505,MATCH('LE UtilityData'!J$1,'LE Inputs'!$C$1:$J$1,0),0)*1000</f>
        <v>1419335.5879434561</v>
      </c>
      <c r="K260" s="190">
        <v>571486.18687233201</v>
      </c>
      <c r="L260" s="164">
        <v>382785.79142943217</v>
      </c>
      <c r="M260" s="299">
        <v>378754.4</v>
      </c>
      <c r="N260" s="156">
        <v>57942.890111002402</v>
      </c>
      <c r="O260" s="190" t="e">
        <f>VLOOKUP($A260&amp;$B260,'LE Inputs'!$C$2:$J$505,MATCH('LE UtilityData'!O$1,'LE Inputs'!$C$1:$J$1,0),0)</f>
        <v>#N/A</v>
      </c>
      <c r="P260" s="190" t="e">
        <f>VLOOKUP($A260&amp;$B260,'LE Inputs'!$C$2:$J$505,MATCH('LE UtilityData'!P$1,'LE Inputs'!$C$1:$J$1,0),0)</f>
        <v>#N/A</v>
      </c>
      <c r="Q260" s="168">
        <f t="shared" si="20"/>
        <v>0.55000000000000004</v>
      </c>
      <c r="R260" s="168">
        <f t="shared" si="20"/>
        <v>396.4</v>
      </c>
      <c r="S260" s="166">
        <v>4124</v>
      </c>
      <c r="T260" s="166">
        <v>1696</v>
      </c>
      <c r="U260" s="166">
        <f t="shared" si="23"/>
        <v>0</v>
      </c>
      <c r="V260" s="166">
        <f t="shared" si="21"/>
        <v>0</v>
      </c>
    </row>
    <row r="261" spans="1:22" x14ac:dyDescent="0.2">
      <c r="A261" s="153">
        <v>2022</v>
      </c>
      <c r="B261" s="153">
        <v>8</v>
      </c>
      <c r="C261" s="176"/>
      <c r="D261" s="176"/>
      <c r="E261" s="173">
        <v>14.103979471662223</v>
      </c>
      <c r="F261" s="281">
        <f t="shared" si="22"/>
        <v>13.919463933946473</v>
      </c>
      <c r="G261" s="173"/>
      <c r="H261" s="173">
        <v>29.52</v>
      </c>
      <c r="I261" s="154">
        <v>796558.99497850868</v>
      </c>
      <c r="J261" s="190">
        <f>VLOOKUP($A261&amp;$B261,'LE Inputs'!$C$2:$J$505,MATCH('LE UtilityData'!J$1,'LE Inputs'!$C$1:$J$1,0),0)*1000</f>
        <v>1419335.5879434561</v>
      </c>
      <c r="K261" s="190">
        <v>571486.18687233201</v>
      </c>
      <c r="L261" s="164">
        <v>382995.90670310846</v>
      </c>
      <c r="M261" s="299">
        <v>378754.44</v>
      </c>
      <c r="N261" s="156">
        <v>57942.890111002402</v>
      </c>
      <c r="O261" s="190" t="e">
        <f>VLOOKUP($A261&amp;$B261,'LE Inputs'!$C$2:$J$505,MATCH('LE UtilityData'!O$1,'LE Inputs'!$C$1:$J$1,0),0)</f>
        <v>#N/A</v>
      </c>
      <c r="P261" s="190" t="e">
        <f>VLOOKUP($A261&amp;$B261,'LE Inputs'!$C$2:$J$505,MATCH('LE UtilityData'!P$1,'LE Inputs'!$C$1:$J$1,0),0)</f>
        <v>#N/A</v>
      </c>
      <c r="Q261" s="168">
        <f t="shared" si="20"/>
        <v>0.1</v>
      </c>
      <c r="R261" s="168">
        <f t="shared" si="20"/>
        <v>417.05</v>
      </c>
      <c r="S261" s="166">
        <v>4124</v>
      </c>
      <c r="T261" s="166">
        <v>1696</v>
      </c>
      <c r="U261" s="166">
        <f t="shared" si="23"/>
        <v>0</v>
      </c>
      <c r="V261" s="166">
        <f t="shared" si="21"/>
        <v>0</v>
      </c>
    </row>
    <row r="262" spans="1:22" x14ac:dyDescent="0.2">
      <c r="A262" s="153">
        <v>2022</v>
      </c>
      <c r="B262" s="153">
        <v>9</v>
      </c>
      <c r="C262" s="176"/>
      <c r="D262" s="176"/>
      <c r="E262" s="173">
        <v>14.103979471662223</v>
      </c>
      <c r="F262" s="281">
        <f t="shared" si="22"/>
        <v>13.919463933946473</v>
      </c>
      <c r="G262" s="173"/>
      <c r="H262" s="173">
        <v>30.52</v>
      </c>
      <c r="I262" s="154">
        <v>796995.99497850868</v>
      </c>
      <c r="J262" s="190">
        <f>VLOOKUP($A262&amp;$B262,'LE Inputs'!$C$2:$J$505,MATCH('LE UtilityData'!J$1,'LE Inputs'!$C$1:$J$1,0),0)*1000</f>
        <v>1419335.5879434561</v>
      </c>
      <c r="K262" s="190">
        <v>571486.18687233201</v>
      </c>
      <c r="L262" s="164">
        <v>383206.0219767848</v>
      </c>
      <c r="M262" s="299">
        <v>378754.47</v>
      </c>
      <c r="N262" s="156">
        <v>57942.890111002402</v>
      </c>
      <c r="O262" s="190" t="e">
        <f>VLOOKUP($A262&amp;$B262,'LE Inputs'!$C$2:$J$505,MATCH('LE UtilityData'!O$1,'LE Inputs'!$C$1:$J$1,0),0)</f>
        <v>#N/A</v>
      </c>
      <c r="P262" s="190" t="e">
        <f>VLOOKUP($A262&amp;$B262,'LE Inputs'!$C$2:$J$505,MATCH('LE UtilityData'!P$1,'LE Inputs'!$C$1:$J$1,0),0)</f>
        <v>#N/A</v>
      </c>
      <c r="Q262" s="168">
        <f t="shared" si="20"/>
        <v>5.35</v>
      </c>
      <c r="R262" s="168">
        <f t="shared" si="20"/>
        <v>330.2</v>
      </c>
      <c r="S262" s="166">
        <v>4124</v>
      </c>
      <c r="T262" s="166">
        <v>1696</v>
      </c>
      <c r="U262" s="166">
        <f t="shared" si="23"/>
        <v>0</v>
      </c>
      <c r="V262" s="166">
        <f t="shared" si="21"/>
        <v>0</v>
      </c>
    </row>
    <row r="263" spans="1:22" x14ac:dyDescent="0.2">
      <c r="A263" s="153">
        <v>2022</v>
      </c>
      <c r="B263" s="153">
        <v>10</v>
      </c>
      <c r="C263" s="176"/>
      <c r="D263" s="176"/>
      <c r="E263" s="173">
        <v>14.103979471662223</v>
      </c>
      <c r="F263" s="281">
        <f t="shared" si="22"/>
        <v>13.919463933946473</v>
      </c>
      <c r="G263" s="173"/>
      <c r="H263" s="173">
        <v>29.62</v>
      </c>
      <c r="I263" s="154">
        <v>797432.99497850868</v>
      </c>
      <c r="J263" s="190">
        <f>VLOOKUP($A263&amp;$B263,'LE Inputs'!$C$2:$J$505,MATCH('LE UtilityData'!J$1,'LE Inputs'!$C$1:$J$1,0),0)*1000</f>
        <v>1423052.7256474458</v>
      </c>
      <c r="K263" s="190">
        <v>572912.07387827756</v>
      </c>
      <c r="L263" s="164">
        <v>383416.13725046109</v>
      </c>
      <c r="M263" s="299">
        <v>379504.11</v>
      </c>
      <c r="N263" s="156">
        <v>58273.783860789503</v>
      </c>
      <c r="O263" s="190" t="e">
        <f>VLOOKUP($A263&amp;$B263,'LE Inputs'!$C$2:$J$505,MATCH('LE UtilityData'!O$1,'LE Inputs'!$C$1:$J$1,0),0)</f>
        <v>#N/A</v>
      </c>
      <c r="P263" s="190" t="e">
        <f>VLOOKUP($A263&amp;$B263,'LE Inputs'!$C$2:$J$505,MATCH('LE UtilityData'!P$1,'LE Inputs'!$C$1:$J$1,0),0)</f>
        <v>#N/A</v>
      </c>
      <c r="Q263" s="168">
        <f t="shared" si="20"/>
        <v>99.3</v>
      </c>
      <c r="R263" s="168">
        <f t="shared" si="20"/>
        <v>100.05</v>
      </c>
      <c r="S263" s="166">
        <v>4124</v>
      </c>
      <c r="T263" s="166">
        <v>1696</v>
      </c>
      <c r="U263" s="166">
        <f t="shared" si="23"/>
        <v>0</v>
      </c>
      <c r="V263" s="166">
        <f t="shared" si="21"/>
        <v>0</v>
      </c>
    </row>
    <row r="264" spans="1:22" x14ac:dyDescent="0.2">
      <c r="A264" s="153">
        <v>2022</v>
      </c>
      <c r="B264" s="153">
        <v>11</v>
      </c>
      <c r="C264" s="176"/>
      <c r="D264" s="176"/>
      <c r="E264" s="173">
        <v>14.103979471662223</v>
      </c>
      <c r="F264" s="281">
        <f t="shared" si="22"/>
        <v>13.919463933946473</v>
      </c>
      <c r="G264" s="173"/>
      <c r="H264" s="173">
        <v>29.95</v>
      </c>
      <c r="I264" s="154">
        <v>797869.99497850868</v>
      </c>
      <c r="J264" s="190">
        <f>VLOOKUP($A264&amp;$B264,'LE Inputs'!$C$2:$J$505,MATCH('LE UtilityData'!J$1,'LE Inputs'!$C$1:$J$1,0),0)*1000</f>
        <v>1423052.7256474458</v>
      </c>
      <c r="K264" s="190">
        <v>572912.07387827756</v>
      </c>
      <c r="L264" s="164">
        <v>383626.25252413744</v>
      </c>
      <c r="M264" s="299">
        <v>379504.14</v>
      </c>
      <c r="N264" s="156">
        <v>58273.783860789503</v>
      </c>
      <c r="O264" s="190" t="e">
        <f>VLOOKUP($A264&amp;$B264,'LE Inputs'!$C$2:$J$505,MATCH('LE UtilityData'!O$1,'LE Inputs'!$C$1:$J$1,0),0)</f>
        <v>#N/A</v>
      </c>
      <c r="P264" s="190" t="e">
        <f>VLOOKUP($A264&amp;$B264,'LE Inputs'!$C$2:$J$505,MATCH('LE UtilityData'!P$1,'LE Inputs'!$C$1:$J$1,0),0)</f>
        <v>#N/A</v>
      </c>
      <c r="Q264" s="168">
        <f t="shared" si="20"/>
        <v>352.6</v>
      </c>
      <c r="R264" s="168">
        <f t="shared" si="20"/>
        <v>12.75</v>
      </c>
      <c r="S264" s="166">
        <v>4124</v>
      </c>
      <c r="T264" s="166">
        <v>1696</v>
      </c>
      <c r="U264" s="166">
        <f t="shared" si="23"/>
        <v>0</v>
      </c>
      <c r="V264" s="166">
        <f t="shared" si="21"/>
        <v>0</v>
      </c>
    </row>
    <row r="265" spans="1:22" x14ac:dyDescent="0.2">
      <c r="A265" s="153">
        <v>2022</v>
      </c>
      <c r="B265" s="153">
        <v>12</v>
      </c>
      <c r="C265" s="176"/>
      <c r="D265" s="176"/>
      <c r="E265" s="173">
        <v>14.103979471662223</v>
      </c>
      <c r="F265" s="281">
        <f t="shared" si="22"/>
        <v>13.919463933946473</v>
      </c>
      <c r="G265" s="173"/>
      <c r="H265" s="173">
        <v>31.24</v>
      </c>
      <c r="I265" s="154">
        <v>798306.99497850868</v>
      </c>
      <c r="J265" s="190">
        <f>VLOOKUP($A265&amp;$B265,'LE Inputs'!$C$2:$J$505,MATCH('LE UtilityData'!J$1,'LE Inputs'!$C$1:$J$1,0),0)*1000</f>
        <v>1423052.7256474458</v>
      </c>
      <c r="K265" s="190">
        <v>572912.07387827756</v>
      </c>
      <c r="L265" s="164">
        <v>383836.36779781379</v>
      </c>
      <c r="M265" s="299">
        <v>379504.17</v>
      </c>
      <c r="N265" s="156">
        <v>58273.783860789503</v>
      </c>
      <c r="O265" s="190" t="e">
        <f>VLOOKUP($A265&amp;$B265,'LE Inputs'!$C$2:$J$505,MATCH('LE UtilityData'!O$1,'LE Inputs'!$C$1:$J$1,0),0)</f>
        <v>#N/A</v>
      </c>
      <c r="P265" s="190" t="e">
        <f>VLOOKUP($A265&amp;$B265,'LE Inputs'!$C$2:$J$505,MATCH('LE UtilityData'!P$1,'LE Inputs'!$C$1:$J$1,0),0)</f>
        <v>#N/A</v>
      </c>
      <c r="Q265" s="168">
        <f t="shared" si="20"/>
        <v>669.9</v>
      </c>
      <c r="R265" s="168">
        <f t="shared" si="20"/>
        <v>1.05</v>
      </c>
      <c r="S265" s="166">
        <v>4124</v>
      </c>
      <c r="T265" s="166">
        <v>1696</v>
      </c>
      <c r="U265" s="166">
        <f t="shared" si="23"/>
        <v>0</v>
      </c>
      <c r="V265" s="166">
        <f t="shared" si="21"/>
        <v>0</v>
      </c>
    </row>
    <row r="266" spans="1:22" x14ac:dyDescent="0.2">
      <c r="A266" s="153">
        <v>2023</v>
      </c>
      <c r="B266" s="153">
        <v>1</v>
      </c>
      <c r="C266" s="176"/>
      <c r="D266" s="176"/>
      <c r="E266" s="173">
        <v>14.456578958453777</v>
      </c>
      <c r="F266" s="281">
        <f t="shared" si="22"/>
        <v>14.197853212625402</v>
      </c>
      <c r="G266" s="173"/>
      <c r="H266" s="173">
        <v>32.67</v>
      </c>
      <c r="I266" s="154">
        <v>798743.99497850868</v>
      </c>
      <c r="J266" s="190">
        <f>VLOOKUP($A266&amp;$B266,'LE Inputs'!$C$2:$J$505,MATCH('LE UtilityData'!J$1,'LE Inputs'!$C$1:$J$1,0),0)*1000</f>
        <v>1425541.6288180705</v>
      </c>
      <c r="K266" s="190">
        <v>573930.57831627422</v>
      </c>
      <c r="L266" s="164">
        <v>384046.48307149007</v>
      </c>
      <c r="M266" s="299">
        <v>380039.85</v>
      </c>
      <c r="N266" s="156">
        <v>58847.561093530501</v>
      </c>
      <c r="O266" s="190" t="e">
        <f>VLOOKUP($A266&amp;$B266,'LE Inputs'!$C$2:$J$505,MATCH('LE UtilityData'!O$1,'LE Inputs'!$C$1:$J$1,0),0)</f>
        <v>#N/A</v>
      </c>
      <c r="P266" s="190" t="e">
        <f>VLOOKUP($A266&amp;$B266,'LE Inputs'!$C$2:$J$505,MATCH('LE UtilityData'!P$1,'LE Inputs'!$C$1:$J$1,0),0)</f>
        <v>#N/A</v>
      </c>
      <c r="Q266" s="168">
        <f t="shared" si="20"/>
        <v>932.4</v>
      </c>
      <c r="R266" s="168">
        <f t="shared" si="20"/>
        <v>0.35</v>
      </c>
      <c r="S266" s="166">
        <v>4124</v>
      </c>
      <c r="T266" s="166">
        <v>1696</v>
      </c>
      <c r="U266" s="166">
        <f t="shared" si="23"/>
        <v>0</v>
      </c>
      <c r="V266" s="166">
        <f t="shared" si="21"/>
        <v>0</v>
      </c>
    </row>
    <row r="267" spans="1:22" x14ac:dyDescent="0.2">
      <c r="A267" s="153">
        <v>2023</v>
      </c>
      <c r="B267" s="153">
        <v>2</v>
      </c>
      <c r="C267" s="176"/>
      <c r="D267" s="176"/>
      <c r="E267" s="173">
        <v>14.456578958453777</v>
      </c>
      <c r="F267" s="281">
        <f t="shared" si="22"/>
        <v>14.197853212625402</v>
      </c>
      <c r="G267" s="173"/>
      <c r="H267" s="173">
        <v>29.86</v>
      </c>
      <c r="I267" s="154">
        <v>799180.99497850868</v>
      </c>
      <c r="J267" s="190">
        <f>VLOOKUP($A267&amp;$B267,'LE Inputs'!$C$2:$J$505,MATCH('LE UtilityData'!J$1,'LE Inputs'!$C$1:$J$1,0),0)*1000</f>
        <v>1425541.6288180705</v>
      </c>
      <c r="K267" s="190">
        <v>573930.57831627422</v>
      </c>
      <c r="L267" s="164">
        <v>384256.59834516642</v>
      </c>
      <c r="M267" s="299">
        <v>380039.88</v>
      </c>
      <c r="N267" s="156">
        <v>58847.561093530501</v>
      </c>
      <c r="O267" s="190" t="e">
        <f>VLOOKUP($A267&amp;$B267,'LE Inputs'!$C$2:$J$505,MATCH('LE UtilityData'!O$1,'LE Inputs'!$C$1:$J$1,0),0)</f>
        <v>#N/A</v>
      </c>
      <c r="P267" s="190" t="e">
        <f>VLOOKUP($A267&amp;$B267,'LE Inputs'!$C$2:$J$505,MATCH('LE UtilityData'!P$1,'LE Inputs'!$C$1:$J$1,0),0)</f>
        <v>#N/A</v>
      </c>
      <c r="Q267" s="168">
        <f t="shared" si="20"/>
        <v>864.1</v>
      </c>
      <c r="R267" s="168">
        <f t="shared" si="20"/>
        <v>0.05</v>
      </c>
      <c r="S267" s="166">
        <v>4124</v>
      </c>
      <c r="T267" s="166">
        <v>1696</v>
      </c>
      <c r="U267" s="166">
        <f t="shared" si="23"/>
        <v>0</v>
      </c>
      <c r="V267" s="166">
        <f t="shared" si="21"/>
        <v>0</v>
      </c>
    </row>
    <row r="268" spans="1:22" x14ac:dyDescent="0.2">
      <c r="A268" s="153">
        <v>2023</v>
      </c>
      <c r="B268" s="153">
        <v>3</v>
      </c>
      <c r="C268" s="176"/>
      <c r="D268" s="176"/>
      <c r="E268" s="173">
        <v>14.456578958453777</v>
      </c>
      <c r="F268" s="281">
        <f t="shared" si="22"/>
        <v>14.197853212625402</v>
      </c>
      <c r="G268" s="173"/>
      <c r="H268" s="173">
        <v>30.29</v>
      </c>
      <c r="I268" s="154">
        <v>799617.99497850868</v>
      </c>
      <c r="J268" s="190">
        <f>VLOOKUP($A268&amp;$B268,'LE Inputs'!$C$2:$J$505,MATCH('LE UtilityData'!J$1,'LE Inputs'!$C$1:$J$1,0),0)*1000</f>
        <v>1425541.6288180705</v>
      </c>
      <c r="K268" s="190">
        <v>573930.57831627422</v>
      </c>
      <c r="L268" s="164">
        <v>384466.71361884277</v>
      </c>
      <c r="M268" s="299">
        <v>380039.91</v>
      </c>
      <c r="N268" s="156">
        <v>58847.561093530501</v>
      </c>
      <c r="O268" s="190" t="e">
        <f>VLOOKUP($A268&amp;$B268,'LE Inputs'!$C$2:$J$505,MATCH('LE UtilityData'!O$1,'LE Inputs'!$C$1:$J$1,0),0)</f>
        <v>#N/A</v>
      </c>
      <c r="P268" s="190" t="e">
        <f>VLOOKUP($A268&amp;$B268,'LE Inputs'!$C$2:$J$505,MATCH('LE UtilityData'!P$1,'LE Inputs'!$C$1:$J$1,0),0)</f>
        <v>#N/A</v>
      </c>
      <c r="Q268" s="168">
        <f t="shared" si="20"/>
        <v>674.3</v>
      </c>
      <c r="R268" s="168">
        <f t="shared" si="20"/>
        <v>1.1499999999999999</v>
      </c>
      <c r="S268" s="166">
        <v>4124</v>
      </c>
      <c r="T268" s="166">
        <v>1696</v>
      </c>
      <c r="U268" s="166">
        <f t="shared" si="23"/>
        <v>0</v>
      </c>
      <c r="V268" s="166">
        <f t="shared" si="21"/>
        <v>0</v>
      </c>
    </row>
    <row r="269" spans="1:22" x14ac:dyDescent="0.2">
      <c r="A269" s="153">
        <v>2023</v>
      </c>
      <c r="B269" s="153">
        <v>4</v>
      </c>
      <c r="C269" s="176"/>
      <c r="D269" s="176"/>
      <c r="E269" s="173">
        <v>14.456578958453777</v>
      </c>
      <c r="F269" s="281">
        <f t="shared" si="22"/>
        <v>14.197853212625402</v>
      </c>
      <c r="G269" s="173"/>
      <c r="H269" s="173">
        <v>30.67</v>
      </c>
      <c r="I269" s="154">
        <v>800054.99497850868</v>
      </c>
      <c r="J269" s="190">
        <f>VLOOKUP($A269&amp;$B269,'LE Inputs'!$C$2:$J$505,MATCH('LE UtilityData'!J$1,'LE Inputs'!$C$1:$J$1,0),0)*1000</f>
        <v>1428657.6286441742</v>
      </c>
      <c r="K269" s="190">
        <v>575166.98820090585</v>
      </c>
      <c r="L269" s="164">
        <v>384676.82889251912</v>
      </c>
      <c r="M269" s="299">
        <v>380689.66</v>
      </c>
      <c r="N269" s="156">
        <v>59322.4023923071</v>
      </c>
      <c r="O269" s="190" t="e">
        <f>VLOOKUP($A269&amp;$B269,'LE Inputs'!$C$2:$J$505,MATCH('LE UtilityData'!O$1,'LE Inputs'!$C$1:$J$1,0),0)</f>
        <v>#N/A</v>
      </c>
      <c r="P269" s="190" t="e">
        <f>VLOOKUP($A269&amp;$B269,'LE Inputs'!$C$2:$J$505,MATCH('LE UtilityData'!P$1,'LE Inputs'!$C$1:$J$1,0),0)</f>
        <v>#N/A</v>
      </c>
      <c r="Q269" s="168">
        <f t="shared" si="20"/>
        <v>377.1</v>
      </c>
      <c r="R269" s="168">
        <f t="shared" si="20"/>
        <v>20.25</v>
      </c>
      <c r="S269" s="166">
        <v>4124</v>
      </c>
      <c r="T269" s="166">
        <v>1696</v>
      </c>
      <c r="U269" s="166">
        <f t="shared" si="23"/>
        <v>0</v>
      </c>
      <c r="V269" s="166">
        <f t="shared" si="21"/>
        <v>0</v>
      </c>
    </row>
    <row r="270" spans="1:22" x14ac:dyDescent="0.2">
      <c r="A270" s="153">
        <v>2023</v>
      </c>
      <c r="B270" s="153">
        <v>5</v>
      </c>
      <c r="C270" s="176"/>
      <c r="D270" s="176"/>
      <c r="E270" s="173">
        <v>14.456578958453777</v>
      </c>
      <c r="F270" s="281">
        <f t="shared" si="22"/>
        <v>14.197853212625402</v>
      </c>
      <c r="G270" s="173"/>
      <c r="H270" s="173">
        <v>29.71</v>
      </c>
      <c r="I270" s="154">
        <v>800491.99497850868</v>
      </c>
      <c r="J270" s="190">
        <f>VLOOKUP($A270&amp;$B270,'LE Inputs'!$C$2:$J$505,MATCH('LE UtilityData'!J$1,'LE Inputs'!$C$1:$J$1,0),0)*1000</f>
        <v>1428657.6286441742</v>
      </c>
      <c r="K270" s="190">
        <v>575166.98820090585</v>
      </c>
      <c r="L270" s="164">
        <v>384886.94416619546</v>
      </c>
      <c r="M270" s="299">
        <v>380689.68</v>
      </c>
      <c r="N270" s="156">
        <v>59322.4023923071</v>
      </c>
      <c r="O270" s="190" t="e">
        <f>VLOOKUP($A270&amp;$B270,'LE Inputs'!$C$2:$J$505,MATCH('LE UtilityData'!O$1,'LE Inputs'!$C$1:$J$1,0),0)</f>
        <v>#N/A</v>
      </c>
      <c r="P270" s="190" t="e">
        <f>VLOOKUP($A270&amp;$B270,'LE Inputs'!$C$2:$J$505,MATCH('LE UtilityData'!P$1,'LE Inputs'!$C$1:$J$1,0),0)</f>
        <v>#N/A</v>
      </c>
      <c r="Q270" s="168">
        <f t="shared" ref="Q270:R285" si="24">Q258</f>
        <v>141</v>
      </c>
      <c r="R270" s="168">
        <f t="shared" si="24"/>
        <v>69.349999999999994</v>
      </c>
      <c r="S270" s="166">
        <v>4124</v>
      </c>
      <c r="T270" s="166">
        <v>1696</v>
      </c>
      <c r="U270" s="166">
        <f t="shared" si="23"/>
        <v>0</v>
      </c>
      <c r="V270" s="166">
        <f t="shared" si="21"/>
        <v>0</v>
      </c>
    </row>
    <row r="271" spans="1:22" x14ac:dyDescent="0.2">
      <c r="A271" s="153">
        <v>2023</v>
      </c>
      <c r="B271" s="153">
        <v>6</v>
      </c>
      <c r="C271" s="176"/>
      <c r="D271" s="176"/>
      <c r="E271" s="173">
        <v>14.456578958453777</v>
      </c>
      <c r="F271" s="281">
        <f t="shared" si="22"/>
        <v>14.197853212625402</v>
      </c>
      <c r="G271" s="173"/>
      <c r="H271" s="173">
        <v>30.62</v>
      </c>
      <c r="I271" s="154">
        <v>800930.95731531468</v>
      </c>
      <c r="J271" s="190">
        <f>VLOOKUP($A271&amp;$B271,'LE Inputs'!$C$2:$J$505,MATCH('LE UtilityData'!J$1,'LE Inputs'!$C$1:$J$1,0),0)*1000</f>
        <v>1428657.6286441742</v>
      </c>
      <c r="K271" s="190">
        <v>575166.98820090585</v>
      </c>
      <c r="L271" s="164">
        <v>385098.00295688561</v>
      </c>
      <c r="M271" s="299">
        <v>380689.71</v>
      </c>
      <c r="N271" s="156">
        <v>59322.4023923071</v>
      </c>
      <c r="O271" s="190" t="e">
        <f>VLOOKUP($A271&amp;$B271,'LE Inputs'!$C$2:$J$505,MATCH('LE UtilityData'!O$1,'LE Inputs'!$C$1:$J$1,0),0)</f>
        <v>#N/A</v>
      </c>
      <c r="P271" s="190" t="e">
        <f>VLOOKUP($A271&amp;$B271,'LE Inputs'!$C$2:$J$505,MATCH('LE UtilityData'!P$1,'LE Inputs'!$C$1:$J$1,0),0)</f>
        <v>#N/A</v>
      </c>
      <c r="Q271" s="168">
        <f t="shared" si="24"/>
        <v>29.5</v>
      </c>
      <c r="R271" s="168">
        <f t="shared" si="24"/>
        <v>224.8</v>
      </c>
      <c r="S271" s="166">
        <v>4124</v>
      </c>
      <c r="T271" s="166">
        <v>1696</v>
      </c>
      <c r="U271" s="166">
        <f t="shared" si="23"/>
        <v>0</v>
      </c>
      <c r="V271" s="166">
        <f t="shared" si="21"/>
        <v>0</v>
      </c>
    </row>
    <row r="272" spans="1:22" x14ac:dyDescent="0.2">
      <c r="A272" s="153">
        <v>2023</v>
      </c>
      <c r="B272" s="153">
        <v>7</v>
      </c>
      <c r="C272" s="176"/>
      <c r="D272" s="176"/>
      <c r="E272" s="173">
        <v>14.456578958453777</v>
      </c>
      <c r="F272" s="281">
        <f t="shared" si="22"/>
        <v>14.197853212625402</v>
      </c>
      <c r="G272" s="173"/>
      <c r="H272" s="173">
        <v>30.81</v>
      </c>
      <c r="I272" s="154">
        <v>801363.95731531468</v>
      </c>
      <c r="J272" s="190">
        <f>VLOOKUP($A272&amp;$B272,'LE Inputs'!$C$2:$J$505,MATCH('LE UtilityData'!J$1,'LE Inputs'!$C$1:$J$1,0),0)*1000</f>
        <v>1431917.9997949624</v>
      </c>
      <c r="K272" s="190">
        <v>576445.93176762422</v>
      </c>
      <c r="L272" s="164">
        <v>385306.19497862895</v>
      </c>
      <c r="M272" s="299">
        <v>381362.06</v>
      </c>
      <c r="N272" s="156">
        <v>59791.580090029602</v>
      </c>
      <c r="O272" s="190" t="e">
        <f>VLOOKUP($A272&amp;$B272,'LE Inputs'!$C$2:$J$505,MATCH('LE UtilityData'!O$1,'LE Inputs'!$C$1:$J$1,0),0)</f>
        <v>#N/A</v>
      </c>
      <c r="P272" s="190" t="e">
        <f>VLOOKUP($A272&amp;$B272,'LE Inputs'!$C$2:$J$505,MATCH('LE UtilityData'!P$1,'LE Inputs'!$C$1:$J$1,0),0)</f>
        <v>#N/A</v>
      </c>
      <c r="Q272" s="168">
        <f t="shared" si="24"/>
        <v>0.55000000000000004</v>
      </c>
      <c r="R272" s="168">
        <f t="shared" si="24"/>
        <v>396.4</v>
      </c>
      <c r="S272" s="166">
        <v>4124</v>
      </c>
      <c r="T272" s="166">
        <v>1696</v>
      </c>
      <c r="U272" s="166">
        <f t="shared" si="23"/>
        <v>0</v>
      </c>
      <c r="V272" s="166">
        <f t="shared" si="21"/>
        <v>0</v>
      </c>
    </row>
    <row r="273" spans="1:22" x14ac:dyDescent="0.2">
      <c r="A273" s="153">
        <v>2023</v>
      </c>
      <c r="B273" s="153">
        <v>8</v>
      </c>
      <c r="C273" s="176"/>
      <c r="D273" s="176"/>
      <c r="E273" s="173">
        <v>14.456578958453777</v>
      </c>
      <c r="F273" s="281">
        <f t="shared" si="22"/>
        <v>14.197853212625402</v>
      </c>
      <c r="G273" s="173"/>
      <c r="H273" s="173">
        <v>29.43</v>
      </c>
      <c r="I273" s="154">
        <v>801796.95731531468</v>
      </c>
      <c r="J273" s="190">
        <f>VLOOKUP($A273&amp;$B273,'LE Inputs'!$C$2:$J$505,MATCH('LE UtilityData'!J$1,'LE Inputs'!$C$1:$J$1,0),0)*1000</f>
        <v>1431917.9997949624</v>
      </c>
      <c r="K273" s="190">
        <v>576445.93176762422</v>
      </c>
      <c r="L273" s="164">
        <v>385514.38700037228</v>
      </c>
      <c r="M273" s="299">
        <v>381362.08</v>
      </c>
      <c r="N273" s="156">
        <v>59791.580090029602</v>
      </c>
      <c r="O273" s="190" t="e">
        <f>VLOOKUP($A273&amp;$B273,'LE Inputs'!$C$2:$J$505,MATCH('LE UtilityData'!O$1,'LE Inputs'!$C$1:$J$1,0),0)</f>
        <v>#N/A</v>
      </c>
      <c r="P273" s="190" t="e">
        <f>VLOOKUP($A273&amp;$B273,'LE Inputs'!$C$2:$J$505,MATCH('LE UtilityData'!P$1,'LE Inputs'!$C$1:$J$1,0),0)</f>
        <v>#N/A</v>
      </c>
      <c r="Q273" s="168">
        <f t="shared" si="24"/>
        <v>0.1</v>
      </c>
      <c r="R273" s="168">
        <f t="shared" si="24"/>
        <v>417.05</v>
      </c>
      <c r="S273" s="166">
        <v>4124</v>
      </c>
      <c r="T273" s="166">
        <v>1696</v>
      </c>
      <c r="U273" s="166">
        <f t="shared" si="23"/>
        <v>0</v>
      </c>
      <c r="V273" s="166">
        <f t="shared" si="21"/>
        <v>0</v>
      </c>
    </row>
    <row r="274" spans="1:22" x14ac:dyDescent="0.2">
      <c r="A274" s="153">
        <v>2023</v>
      </c>
      <c r="B274" s="153">
        <v>9</v>
      </c>
      <c r="C274" s="176"/>
      <c r="D274" s="176"/>
      <c r="E274" s="173">
        <v>14.456578958453777</v>
      </c>
      <c r="F274" s="281">
        <f t="shared" si="22"/>
        <v>14.197853212625402</v>
      </c>
      <c r="G274" s="173"/>
      <c r="H274" s="173">
        <v>30.57</v>
      </c>
      <c r="I274" s="154">
        <v>802229.95731531468</v>
      </c>
      <c r="J274" s="190">
        <f>VLOOKUP($A274&amp;$B274,'LE Inputs'!$C$2:$J$505,MATCH('LE UtilityData'!J$1,'LE Inputs'!$C$1:$J$1,0),0)*1000</f>
        <v>1431917.9997949624</v>
      </c>
      <c r="K274" s="190">
        <v>576445.93176762422</v>
      </c>
      <c r="L274" s="164">
        <v>385722.57902211568</v>
      </c>
      <c r="M274" s="299">
        <v>381362.1</v>
      </c>
      <c r="N274" s="156">
        <v>59791.580090029602</v>
      </c>
      <c r="O274" s="190" t="e">
        <f>VLOOKUP($A274&amp;$B274,'LE Inputs'!$C$2:$J$505,MATCH('LE UtilityData'!O$1,'LE Inputs'!$C$1:$J$1,0),0)</f>
        <v>#N/A</v>
      </c>
      <c r="P274" s="190" t="e">
        <f>VLOOKUP($A274&amp;$B274,'LE Inputs'!$C$2:$J$505,MATCH('LE UtilityData'!P$1,'LE Inputs'!$C$1:$J$1,0),0)</f>
        <v>#N/A</v>
      </c>
      <c r="Q274" s="168">
        <f t="shared" si="24"/>
        <v>5.35</v>
      </c>
      <c r="R274" s="168">
        <f t="shared" si="24"/>
        <v>330.2</v>
      </c>
      <c r="S274" s="166">
        <v>4124</v>
      </c>
      <c r="T274" s="166">
        <v>1696</v>
      </c>
      <c r="U274" s="166">
        <f t="shared" si="23"/>
        <v>0</v>
      </c>
      <c r="V274" s="166">
        <f t="shared" si="21"/>
        <v>0</v>
      </c>
    </row>
    <row r="275" spans="1:22" x14ac:dyDescent="0.2">
      <c r="A275" s="153">
        <v>2023</v>
      </c>
      <c r="B275" s="153">
        <v>10</v>
      </c>
      <c r="C275" s="176"/>
      <c r="D275" s="176"/>
      <c r="E275" s="173">
        <v>14.456578958453777</v>
      </c>
      <c r="F275" s="281">
        <f t="shared" si="22"/>
        <v>14.197853212625402</v>
      </c>
      <c r="G275" s="173"/>
      <c r="H275" s="173">
        <v>29.67</v>
      </c>
      <c r="I275" s="154">
        <v>802662.95731531468</v>
      </c>
      <c r="J275" s="190">
        <f>VLOOKUP($A275&amp;$B275,'LE Inputs'!$C$2:$J$505,MATCH('LE UtilityData'!J$1,'LE Inputs'!$C$1:$J$1,0),0)*1000</f>
        <v>1435680.7229889657</v>
      </c>
      <c r="K275" s="190">
        <v>578400.56670692784</v>
      </c>
      <c r="L275" s="164">
        <v>385930.77104385907</v>
      </c>
      <c r="M275" s="299">
        <v>382389.79</v>
      </c>
      <c r="N275" s="156">
        <v>60193.897117292698</v>
      </c>
      <c r="O275" s="190" t="e">
        <f>VLOOKUP($A275&amp;$B275,'LE Inputs'!$C$2:$J$505,MATCH('LE UtilityData'!O$1,'LE Inputs'!$C$1:$J$1,0),0)</f>
        <v>#N/A</v>
      </c>
      <c r="P275" s="190" t="e">
        <f>VLOOKUP($A275&amp;$B275,'LE Inputs'!$C$2:$J$505,MATCH('LE UtilityData'!P$1,'LE Inputs'!$C$1:$J$1,0),0)</f>
        <v>#N/A</v>
      </c>
      <c r="Q275" s="168">
        <f t="shared" si="24"/>
        <v>99.3</v>
      </c>
      <c r="R275" s="168">
        <f t="shared" si="24"/>
        <v>100.05</v>
      </c>
      <c r="S275" s="166">
        <v>4124</v>
      </c>
      <c r="T275" s="166">
        <v>1696</v>
      </c>
      <c r="U275" s="166">
        <f t="shared" si="23"/>
        <v>0</v>
      </c>
      <c r="V275" s="166">
        <f t="shared" si="21"/>
        <v>0</v>
      </c>
    </row>
    <row r="276" spans="1:22" x14ac:dyDescent="0.2">
      <c r="A276" s="153">
        <v>2023</v>
      </c>
      <c r="B276" s="153">
        <v>11</v>
      </c>
      <c r="C276" s="176"/>
      <c r="D276" s="176"/>
      <c r="E276" s="173">
        <v>14.456578958453777</v>
      </c>
      <c r="F276" s="281">
        <f t="shared" si="22"/>
        <v>14.197853212625402</v>
      </c>
      <c r="G276" s="173"/>
      <c r="H276" s="173">
        <v>30.05</v>
      </c>
      <c r="I276" s="154">
        <v>803095.95731531468</v>
      </c>
      <c r="J276" s="190">
        <f>VLOOKUP($A276&amp;$B276,'LE Inputs'!$C$2:$J$505,MATCH('LE UtilityData'!J$1,'LE Inputs'!$C$1:$J$1,0),0)*1000</f>
        <v>1435680.7229889657</v>
      </c>
      <c r="K276" s="190">
        <v>578400.56670692784</v>
      </c>
      <c r="L276" s="164">
        <v>386138.96306560247</v>
      </c>
      <c r="M276" s="299">
        <v>382389.81</v>
      </c>
      <c r="N276" s="156">
        <v>60193.897117292698</v>
      </c>
      <c r="O276" s="190" t="e">
        <f>VLOOKUP($A276&amp;$B276,'LE Inputs'!$C$2:$J$505,MATCH('LE UtilityData'!O$1,'LE Inputs'!$C$1:$J$1,0),0)</f>
        <v>#N/A</v>
      </c>
      <c r="P276" s="190" t="e">
        <f>VLOOKUP($A276&amp;$B276,'LE Inputs'!$C$2:$J$505,MATCH('LE UtilityData'!P$1,'LE Inputs'!$C$1:$J$1,0),0)</f>
        <v>#N/A</v>
      </c>
      <c r="Q276" s="168">
        <f t="shared" si="24"/>
        <v>352.6</v>
      </c>
      <c r="R276" s="168">
        <f t="shared" si="24"/>
        <v>12.75</v>
      </c>
      <c r="S276" s="166">
        <v>4124</v>
      </c>
      <c r="T276" s="166">
        <v>1696</v>
      </c>
      <c r="U276" s="166">
        <f t="shared" si="23"/>
        <v>0</v>
      </c>
      <c r="V276" s="166">
        <f t="shared" si="21"/>
        <v>0</v>
      </c>
    </row>
    <row r="277" spans="1:22" x14ac:dyDescent="0.2">
      <c r="A277" s="153">
        <v>2023</v>
      </c>
      <c r="B277" s="153">
        <v>12</v>
      </c>
      <c r="C277" s="176"/>
      <c r="D277" s="176"/>
      <c r="E277" s="173">
        <v>14.456578958453777</v>
      </c>
      <c r="F277" s="281">
        <f t="shared" si="22"/>
        <v>14.197853212625402</v>
      </c>
      <c r="G277" s="173"/>
      <c r="H277" s="173">
        <v>30.67</v>
      </c>
      <c r="I277" s="154">
        <v>803528.95731531468</v>
      </c>
      <c r="J277" s="190">
        <f>VLOOKUP($A277&amp;$B277,'LE Inputs'!$C$2:$J$505,MATCH('LE UtilityData'!J$1,'LE Inputs'!$C$1:$J$1,0),0)*1000</f>
        <v>1435680.7229889657</v>
      </c>
      <c r="K277" s="190">
        <v>578400.56670692784</v>
      </c>
      <c r="L277" s="164">
        <v>386347.15508734586</v>
      </c>
      <c r="M277" s="299">
        <v>382389.83</v>
      </c>
      <c r="N277" s="156">
        <v>60193.897117292698</v>
      </c>
      <c r="O277" s="190" t="e">
        <f>VLOOKUP($A277&amp;$B277,'LE Inputs'!$C$2:$J$505,MATCH('LE UtilityData'!O$1,'LE Inputs'!$C$1:$J$1,0),0)</f>
        <v>#N/A</v>
      </c>
      <c r="P277" s="190" t="e">
        <f>VLOOKUP($A277&amp;$B277,'LE Inputs'!$C$2:$J$505,MATCH('LE UtilityData'!P$1,'LE Inputs'!$C$1:$J$1,0),0)</f>
        <v>#N/A</v>
      </c>
      <c r="Q277" s="168">
        <f t="shared" si="24"/>
        <v>669.9</v>
      </c>
      <c r="R277" s="168">
        <f t="shared" si="24"/>
        <v>1.05</v>
      </c>
      <c r="S277" s="166">
        <v>4124</v>
      </c>
      <c r="T277" s="166">
        <v>1696</v>
      </c>
      <c r="U277" s="166">
        <f t="shared" si="23"/>
        <v>0</v>
      </c>
      <c r="V277" s="166">
        <f t="shared" si="21"/>
        <v>0</v>
      </c>
    </row>
    <row r="278" spans="1:22" x14ac:dyDescent="0.2">
      <c r="A278" s="153">
        <v>2024</v>
      </c>
      <c r="B278" s="153">
        <v>1</v>
      </c>
      <c r="C278" s="176"/>
      <c r="D278" s="176"/>
      <c r="E278" s="173">
        <v>14.817993432415122</v>
      </c>
      <c r="F278" s="281">
        <f t="shared" si="22"/>
        <v>14.48181027687791</v>
      </c>
      <c r="G278" s="173"/>
      <c r="H278" s="173">
        <v>32.67</v>
      </c>
      <c r="I278" s="154">
        <v>803961.95731531468</v>
      </c>
      <c r="J278" s="190">
        <f>VLOOKUP($A278&amp;$B278,'LE Inputs'!$C$2:$J$505,MATCH('LE UtilityData'!J$1,'LE Inputs'!$C$1:$J$1,0),0)*1000</f>
        <v>1438016.4946277356</v>
      </c>
      <c r="K278" s="190">
        <v>579128.99336216215</v>
      </c>
      <c r="L278" s="164">
        <v>386555.3471090892</v>
      </c>
      <c r="M278" s="299">
        <v>382772.53</v>
      </c>
      <c r="N278" s="156">
        <v>60864.283289977902</v>
      </c>
      <c r="O278" s="190" t="e">
        <f>VLOOKUP($A278&amp;$B278,'LE Inputs'!$C$2:$J$505,MATCH('LE UtilityData'!O$1,'LE Inputs'!$C$1:$J$1,0),0)</f>
        <v>#N/A</v>
      </c>
      <c r="P278" s="190" t="e">
        <f>VLOOKUP($A278&amp;$B278,'LE Inputs'!$C$2:$J$505,MATCH('LE UtilityData'!P$1,'LE Inputs'!$C$1:$J$1,0),0)</f>
        <v>#N/A</v>
      </c>
      <c r="Q278" s="168">
        <f t="shared" si="24"/>
        <v>932.4</v>
      </c>
      <c r="R278" s="168">
        <f t="shared" si="24"/>
        <v>0.35</v>
      </c>
      <c r="S278" s="166">
        <v>4124</v>
      </c>
      <c r="T278" s="166">
        <v>1696</v>
      </c>
      <c r="U278" s="166">
        <f t="shared" si="23"/>
        <v>0</v>
      </c>
      <c r="V278" s="166">
        <f t="shared" si="21"/>
        <v>0</v>
      </c>
    </row>
    <row r="279" spans="1:22" x14ac:dyDescent="0.2">
      <c r="A279" s="153">
        <v>2024</v>
      </c>
      <c r="B279" s="153">
        <v>2</v>
      </c>
      <c r="C279" s="176"/>
      <c r="D279" s="176"/>
      <c r="E279" s="173">
        <v>14.817993432415122</v>
      </c>
      <c r="F279" s="281">
        <f t="shared" si="22"/>
        <v>14.48181027687791</v>
      </c>
      <c r="G279" s="173"/>
      <c r="H279" s="173">
        <v>29.86</v>
      </c>
      <c r="I279" s="154">
        <v>804394.95731531468</v>
      </c>
      <c r="J279" s="190">
        <f>VLOOKUP($A279&amp;$B279,'LE Inputs'!$C$2:$J$505,MATCH('LE UtilityData'!J$1,'LE Inputs'!$C$1:$J$1,0),0)*1000</f>
        <v>1438016.4946277356</v>
      </c>
      <c r="K279" s="190">
        <v>579128.99336216215</v>
      </c>
      <c r="L279" s="164">
        <v>386763.53913083259</v>
      </c>
      <c r="M279" s="299">
        <v>382772.55</v>
      </c>
      <c r="N279" s="156">
        <v>60864.283289977902</v>
      </c>
      <c r="O279" s="190" t="e">
        <f>VLOOKUP($A279&amp;$B279,'LE Inputs'!$C$2:$J$505,MATCH('LE UtilityData'!O$1,'LE Inputs'!$C$1:$J$1,0),0)</f>
        <v>#N/A</v>
      </c>
      <c r="P279" s="190" t="e">
        <f>VLOOKUP($A279&amp;$B279,'LE Inputs'!$C$2:$J$505,MATCH('LE UtilityData'!P$1,'LE Inputs'!$C$1:$J$1,0),0)</f>
        <v>#N/A</v>
      </c>
      <c r="Q279" s="168">
        <f t="shared" si="24"/>
        <v>864.1</v>
      </c>
      <c r="R279" s="168">
        <f t="shared" si="24"/>
        <v>0.05</v>
      </c>
      <c r="S279" s="166">
        <v>4124</v>
      </c>
      <c r="T279" s="166">
        <v>1696</v>
      </c>
      <c r="U279" s="166">
        <f t="shared" si="23"/>
        <v>0</v>
      </c>
      <c r="V279" s="166">
        <f t="shared" si="21"/>
        <v>0</v>
      </c>
    </row>
    <row r="280" spans="1:22" x14ac:dyDescent="0.2">
      <c r="A280" s="153">
        <v>2024</v>
      </c>
      <c r="B280" s="153">
        <v>3</v>
      </c>
      <c r="C280" s="176"/>
      <c r="D280" s="176"/>
      <c r="E280" s="173">
        <v>14.817993432415122</v>
      </c>
      <c r="F280" s="281">
        <f t="shared" si="22"/>
        <v>14.48181027687791</v>
      </c>
      <c r="G280" s="173"/>
      <c r="H280" s="173">
        <v>30.43</v>
      </c>
      <c r="I280" s="154">
        <v>804827.95731531468</v>
      </c>
      <c r="J280" s="190">
        <f>VLOOKUP($A280&amp;$B280,'LE Inputs'!$C$2:$J$505,MATCH('LE UtilityData'!J$1,'LE Inputs'!$C$1:$J$1,0),0)*1000</f>
        <v>1438016.4946277356</v>
      </c>
      <c r="K280" s="190">
        <v>579128.99336216215</v>
      </c>
      <c r="L280" s="164">
        <v>386971.73115257593</v>
      </c>
      <c r="M280" s="299">
        <v>382772.57</v>
      </c>
      <c r="N280" s="156">
        <v>60864.283289977902</v>
      </c>
      <c r="O280" s="190" t="e">
        <f>VLOOKUP($A280&amp;$B280,'LE Inputs'!$C$2:$J$505,MATCH('LE UtilityData'!O$1,'LE Inputs'!$C$1:$J$1,0),0)</f>
        <v>#N/A</v>
      </c>
      <c r="P280" s="190" t="e">
        <f>VLOOKUP($A280&amp;$B280,'LE Inputs'!$C$2:$J$505,MATCH('LE UtilityData'!P$1,'LE Inputs'!$C$1:$J$1,0),0)</f>
        <v>#N/A</v>
      </c>
      <c r="Q280" s="168">
        <f t="shared" si="24"/>
        <v>674.3</v>
      </c>
      <c r="R280" s="168">
        <f t="shared" si="24"/>
        <v>1.1499999999999999</v>
      </c>
      <c r="S280" s="166">
        <v>4124</v>
      </c>
      <c r="T280" s="166">
        <v>1696</v>
      </c>
      <c r="U280" s="166">
        <f t="shared" si="23"/>
        <v>0</v>
      </c>
      <c r="V280" s="166">
        <f t="shared" si="21"/>
        <v>0</v>
      </c>
    </row>
    <row r="281" spans="1:22" x14ac:dyDescent="0.2">
      <c r="A281" s="153">
        <v>2024</v>
      </c>
      <c r="B281" s="153">
        <v>4</v>
      </c>
      <c r="C281" s="176"/>
      <c r="D281" s="176"/>
      <c r="E281" s="173">
        <v>14.817993432415122</v>
      </c>
      <c r="F281" s="281">
        <f t="shared" si="22"/>
        <v>14.48181027687791</v>
      </c>
      <c r="G281" s="173"/>
      <c r="H281" s="173">
        <v>30.71</v>
      </c>
      <c r="I281" s="154">
        <v>805260.95731531468</v>
      </c>
      <c r="J281" s="190">
        <f>VLOOKUP($A281&amp;$B281,'LE Inputs'!$C$2:$J$505,MATCH('LE UtilityData'!J$1,'LE Inputs'!$C$1:$J$1,0),0)*1000</f>
        <v>1441692.4171035907</v>
      </c>
      <c r="K281" s="190">
        <v>580436.55654475931</v>
      </c>
      <c r="L281" s="164">
        <v>387179.92317431932</v>
      </c>
      <c r="M281" s="299">
        <v>383460.15</v>
      </c>
      <c r="N281" s="156">
        <v>61119.177155117599</v>
      </c>
      <c r="O281" s="190" t="e">
        <f>VLOOKUP($A281&amp;$B281,'LE Inputs'!$C$2:$J$505,MATCH('LE UtilityData'!O$1,'LE Inputs'!$C$1:$J$1,0),0)</f>
        <v>#N/A</v>
      </c>
      <c r="P281" s="190" t="e">
        <f>VLOOKUP($A281&amp;$B281,'LE Inputs'!$C$2:$J$505,MATCH('LE UtilityData'!P$1,'LE Inputs'!$C$1:$J$1,0),0)</f>
        <v>#N/A</v>
      </c>
      <c r="Q281" s="168">
        <f t="shared" si="24"/>
        <v>377.1</v>
      </c>
      <c r="R281" s="168">
        <f t="shared" si="24"/>
        <v>20.25</v>
      </c>
      <c r="S281" s="166">
        <v>4124</v>
      </c>
      <c r="T281" s="166">
        <v>1696</v>
      </c>
      <c r="U281" s="166">
        <f t="shared" si="23"/>
        <v>0</v>
      </c>
      <c r="V281" s="166">
        <f t="shared" si="21"/>
        <v>0</v>
      </c>
    </row>
    <row r="282" spans="1:22" x14ac:dyDescent="0.2">
      <c r="A282" s="153">
        <v>2024</v>
      </c>
      <c r="B282" s="153">
        <v>5</v>
      </c>
      <c r="C282" s="176"/>
      <c r="D282" s="176"/>
      <c r="E282" s="173">
        <v>14.817993432415122</v>
      </c>
      <c r="F282" s="281">
        <f t="shared" si="22"/>
        <v>14.48181027687791</v>
      </c>
      <c r="G282" s="173"/>
      <c r="H282" s="173">
        <v>29.52</v>
      </c>
      <c r="I282" s="154">
        <v>805693.95731531468</v>
      </c>
      <c r="J282" s="190">
        <f>VLOOKUP($A282&amp;$B282,'LE Inputs'!$C$2:$J$505,MATCH('LE UtilityData'!J$1,'LE Inputs'!$C$1:$J$1,0),0)*1000</f>
        <v>1441692.4171035907</v>
      </c>
      <c r="K282" s="190">
        <v>580436.55654475931</v>
      </c>
      <c r="L282" s="164">
        <v>387388.11519606272</v>
      </c>
      <c r="M282" s="299">
        <v>383460.16</v>
      </c>
      <c r="N282" s="156">
        <v>61119.177155117599</v>
      </c>
      <c r="O282" s="190" t="e">
        <f>VLOOKUP($A282&amp;$B282,'LE Inputs'!$C$2:$J$505,MATCH('LE UtilityData'!O$1,'LE Inputs'!$C$1:$J$1,0),0)</f>
        <v>#N/A</v>
      </c>
      <c r="P282" s="190" t="e">
        <f>VLOOKUP($A282&amp;$B282,'LE Inputs'!$C$2:$J$505,MATCH('LE UtilityData'!P$1,'LE Inputs'!$C$1:$J$1,0),0)</f>
        <v>#N/A</v>
      </c>
      <c r="Q282" s="168">
        <f t="shared" si="24"/>
        <v>141</v>
      </c>
      <c r="R282" s="168">
        <f t="shared" si="24"/>
        <v>69.349999999999994</v>
      </c>
      <c r="S282" s="166">
        <v>4124</v>
      </c>
      <c r="T282" s="166">
        <v>1696</v>
      </c>
      <c r="U282" s="166">
        <f t="shared" si="23"/>
        <v>0</v>
      </c>
      <c r="V282" s="166">
        <f t="shared" si="21"/>
        <v>0</v>
      </c>
    </row>
    <row r="283" spans="1:22" x14ac:dyDescent="0.2">
      <c r="A283" s="153">
        <v>2024</v>
      </c>
      <c r="B283" s="153">
        <v>6</v>
      </c>
      <c r="C283" s="176"/>
      <c r="D283" s="176"/>
      <c r="E283" s="173">
        <v>14.817993432415122</v>
      </c>
      <c r="F283" s="281">
        <f t="shared" si="22"/>
        <v>14.48181027687791</v>
      </c>
      <c r="G283" s="173"/>
      <c r="H283" s="173">
        <v>30.62</v>
      </c>
      <c r="I283" s="154">
        <v>806123.58221832186</v>
      </c>
      <c r="J283" s="190">
        <f>VLOOKUP($A283&amp;$B283,'LE Inputs'!$C$2:$J$505,MATCH('LE UtilityData'!J$1,'LE Inputs'!$C$1:$J$1,0),0)*1000</f>
        <v>1441692.4171035907</v>
      </c>
      <c r="K283" s="190">
        <v>580436.55654475931</v>
      </c>
      <c r="L283" s="164">
        <v>387594.68442735221</v>
      </c>
      <c r="M283" s="299">
        <v>383460.18</v>
      </c>
      <c r="N283" s="156">
        <v>61119.177155117599</v>
      </c>
      <c r="O283" s="190" t="e">
        <f>VLOOKUP($A283&amp;$B283,'LE Inputs'!$C$2:$J$505,MATCH('LE UtilityData'!O$1,'LE Inputs'!$C$1:$J$1,0),0)</f>
        <v>#N/A</v>
      </c>
      <c r="P283" s="190" t="e">
        <f>VLOOKUP($A283&amp;$B283,'LE Inputs'!$C$2:$J$505,MATCH('LE UtilityData'!P$1,'LE Inputs'!$C$1:$J$1,0),0)</f>
        <v>#N/A</v>
      </c>
      <c r="Q283" s="168">
        <f t="shared" si="24"/>
        <v>29.5</v>
      </c>
      <c r="R283" s="168">
        <f t="shared" si="24"/>
        <v>224.8</v>
      </c>
      <c r="S283" s="166">
        <v>4124</v>
      </c>
      <c r="T283" s="166">
        <v>1696</v>
      </c>
      <c r="U283" s="166">
        <f t="shared" si="23"/>
        <v>0</v>
      </c>
      <c r="V283" s="166">
        <f t="shared" si="21"/>
        <v>0</v>
      </c>
    </row>
    <row r="284" spans="1:22" x14ac:dyDescent="0.2">
      <c r="A284" s="153">
        <v>2024</v>
      </c>
      <c r="B284" s="153">
        <v>7</v>
      </c>
      <c r="C284" s="176"/>
      <c r="D284" s="176"/>
      <c r="E284" s="173">
        <v>14.817993432415122</v>
      </c>
      <c r="F284" s="281">
        <f t="shared" si="22"/>
        <v>14.48181027687791</v>
      </c>
      <c r="G284" s="173"/>
      <c r="H284" s="173">
        <v>30.71</v>
      </c>
      <c r="I284" s="154">
        <v>806550.58221832186</v>
      </c>
      <c r="J284" s="190">
        <f>VLOOKUP($A284&amp;$B284,'LE Inputs'!$C$2:$J$505,MATCH('LE UtilityData'!J$1,'LE Inputs'!$C$1:$J$1,0),0)*1000</f>
        <v>1444953.4456805738</v>
      </c>
      <c r="K284" s="190">
        <v>581568.45771979121</v>
      </c>
      <c r="L284" s="164">
        <v>387799.99157119612</v>
      </c>
      <c r="M284" s="299">
        <v>384054.72</v>
      </c>
      <c r="N284" s="156">
        <v>61534.153839436003</v>
      </c>
      <c r="O284" s="190" t="e">
        <f>VLOOKUP($A284&amp;$B284,'LE Inputs'!$C$2:$J$505,MATCH('LE UtilityData'!O$1,'LE Inputs'!$C$1:$J$1,0),0)</f>
        <v>#N/A</v>
      </c>
      <c r="P284" s="190" t="e">
        <f>VLOOKUP($A284&amp;$B284,'LE Inputs'!$C$2:$J$505,MATCH('LE UtilityData'!P$1,'LE Inputs'!$C$1:$J$1,0),0)</f>
        <v>#N/A</v>
      </c>
      <c r="Q284" s="168">
        <f t="shared" si="24"/>
        <v>0.55000000000000004</v>
      </c>
      <c r="R284" s="168">
        <f t="shared" si="24"/>
        <v>396.4</v>
      </c>
      <c r="S284" s="166">
        <v>4124</v>
      </c>
      <c r="T284" s="166">
        <v>1696</v>
      </c>
      <c r="U284" s="166">
        <f t="shared" si="23"/>
        <v>0</v>
      </c>
      <c r="V284" s="166">
        <f t="shared" si="21"/>
        <v>0</v>
      </c>
    </row>
    <row r="285" spans="1:22" x14ac:dyDescent="0.2">
      <c r="A285" s="153">
        <v>2024</v>
      </c>
      <c r="B285" s="153">
        <v>8</v>
      </c>
      <c r="C285" s="176"/>
      <c r="D285" s="176"/>
      <c r="E285" s="173">
        <v>14.817993432415122</v>
      </c>
      <c r="F285" s="281">
        <f t="shared" si="22"/>
        <v>14.48181027687791</v>
      </c>
      <c r="G285" s="173"/>
      <c r="H285" s="173">
        <v>29.52</v>
      </c>
      <c r="I285" s="154">
        <v>806977.58221832186</v>
      </c>
      <c r="J285" s="190">
        <f>VLOOKUP($A285&amp;$B285,'LE Inputs'!$C$2:$J$505,MATCH('LE UtilityData'!J$1,'LE Inputs'!$C$1:$J$1,0),0)*1000</f>
        <v>1444953.4456805738</v>
      </c>
      <c r="K285" s="190">
        <v>581568.45771979121</v>
      </c>
      <c r="L285" s="164">
        <v>388005.29871504003</v>
      </c>
      <c r="M285" s="299">
        <v>384054.73</v>
      </c>
      <c r="N285" s="156">
        <v>61534.153839436003</v>
      </c>
      <c r="O285" s="190" t="e">
        <f>VLOOKUP($A285&amp;$B285,'LE Inputs'!$C$2:$J$505,MATCH('LE UtilityData'!O$1,'LE Inputs'!$C$1:$J$1,0),0)</f>
        <v>#N/A</v>
      </c>
      <c r="P285" s="190" t="e">
        <f>VLOOKUP($A285&amp;$B285,'LE Inputs'!$C$2:$J$505,MATCH('LE UtilityData'!P$1,'LE Inputs'!$C$1:$J$1,0),0)</f>
        <v>#N/A</v>
      </c>
      <c r="Q285" s="168">
        <f t="shared" si="24"/>
        <v>0.1</v>
      </c>
      <c r="R285" s="168">
        <f t="shared" si="24"/>
        <v>417.05</v>
      </c>
      <c r="S285" s="166">
        <v>4124</v>
      </c>
      <c r="T285" s="166">
        <v>1696</v>
      </c>
      <c r="U285" s="166">
        <f t="shared" si="23"/>
        <v>0</v>
      </c>
      <c r="V285" s="166">
        <f t="shared" si="21"/>
        <v>0</v>
      </c>
    </row>
    <row r="286" spans="1:22" x14ac:dyDescent="0.2">
      <c r="A286" s="153">
        <v>2024</v>
      </c>
      <c r="B286" s="153">
        <v>9</v>
      </c>
      <c r="C286" s="176"/>
      <c r="D286" s="176"/>
      <c r="E286" s="173">
        <v>14.817993432415122</v>
      </c>
      <c r="F286" s="281">
        <f t="shared" si="22"/>
        <v>14.48181027687791</v>
      </c>
      <c r="G286" s="173"/>
      <c r="H286" s="173">
        <v>30.57</v>
      </c>
      <c r="I286" s="154">
        <v>807404.58221832186</v>
      </c>
      <c r="J286" s="190">
        <f>VLOOKUP($A286&amp;$B286,'LE Inputs'!$C$2:$J$505,MATCH('LE UtilityData'!J$1,'LE Inputs'!$C$1:$J$1,0),0)*1000</f>
        <v>1444953.4456805738</v>
      </c>
      <c r="K286" s="190">
        <v>581568.45771979121</v>
      </c>
      <c r="L286" s="164">
        <v>388210.60585888394</v>
      </c>
      <c r="M286" s="299">
        <v>384054.74</v>
      </c>
      <c r="N286" s="156">
        <v>61534.153839436003</v>
      </c>
      <c r="O286" s="190" t="e">
        <f>VLOOKUP($A286&amp;$B286,'LE Inputs'!$C$2:$J$505,MATCH('LE UtilityData'!O$1,'LE Inputs'!$C$1:$J$1,0),0)</f>
        <v>#N/A</v>
      </c>
      <c r="P286" s="190" t="e">
        <f>VLOOKUP($A286&amp;$B286,'LE Inputs'!$C$2:$J$505,MATCH('LE UtilityData'!P$1,'LE Inputs'!$C$1:$J$1,0),0)</f>
        <v>#N/A</v>
      </c>
      <c r="Q286" s="168">
        <f t="shared" ref="Q286:R301" si="25">Q274</f>
        <v>5.35</v>
      </c>
      <c r="R286" s="168">
        <f t="shared" si="25"/>
        <v>330.2</v>
      </c>
      <c r="S286" s="166">
        <v>4124</v>
      </c>
      <c r="T286" s="166">
        <v>1696</v>
      </c>
      <c r="U286" s="166">
        <f t="shared" si="23"/>
        <v>0</v>
      </c>
      <c r="V286" s="166">
        <f t="shared" si="21"/>
        <v>0</v>
      </c>
    </row>
    <row r="287" spans="1:22" x14ac:dyDescent="0.2">
      <c r="A287" s="153">
        <v>2024</v>
      </c>
      <c r="B287" s="153">
        <v>10</v>
      </c>
      <c r="C287" s="176"/>
      <c r="D287" s="176"/>
      <c r="E287" s="173">
        <v>14.817993432415122</v>
      </c>
      <c r="F287" s="281">
        <f t="shared" si="22"/>
        <v>14.48181027687791</v>
      </c>
      <c r="G287" s="173"/>
      <c r="H287" s="173">
        <v>29.67</v>
      </c>
      <c r="I287" s="154">
        <v>807831.58221832186</v>
      </c>
      <c r="J287" s="190">
        <f>VLOOKUP($A287&amp;$B287,'LE Inputs'!$C$2:$J$505,MATCH('LE UtilityData'!J$1,'LE Inputs'!$C$1:$J$1,0),0)*1000</f>
        <v>1448203.3166898021</v>
      </c>
      <c r="K287" s="190">
        <v>582666.20952961768</v>
      </c>
      <c r="L287" s="164">
        <v>388415.91300272784</v>
      </c>
      <c r="M287" s="299">
        <v>384631.93</v>
      </c>
      <c r="N287" s="156">
        <v>61984.265067182001</v>
      </c>
      <c r="O287" s="190" t="e">
        <f>VLOOKUP($A287&amp;$B287,'LE Inputs'!$C$2:$J$505,MATCH('LE UtilityData'!O$1,'LE Inputs'!$C$1:$J$1,0),0)</f>
        <v>#N/A</v>
      </c>
      <c r="P287" s="190" t="e">
        <f>VLOOKUP($A287&amp;$B287,'LE Inputs'!$C$2:$J$505,MATCH('LE UtilityData'!P$1,'LE Inputs'!$C$1:$J$1,0),0)</f>
        <v>#N/A</v>
      </c>
      <c r="Q287" s="168">
        <f t="shared" si="25"/>
        <v>99.3</v>
      </c>
      <c r="R287" s="168">
        <f t="shared" si="25"/>
        <v>100.05</v>
      </c>
      <c r="S287" s="166">
        <v>4124</v>
      </c>
      <c r="T287" s="166">
        <v>1696</v>
      </c>
      <c r="U287" s="166">
        <f t="shared" si="23"/>
        <v>0</v>
      </c>
      <c r="V287" s="166">
        <f t="shared" si="21"/>
        <v>0</v>
      </c>
    </row>
    <row r="288" spans="1:22" x14ac:dyDescent="0.2">
      <c r="A288" s="153">
        <v>2024</v>
      </c>
      <c r="B288" s="153">
        <v>11</v>
      </c>
      <c r="C288" s="176"/>
      <c r="D288" s="176"/>
      <c r="E288" s="173">
        <v>14.817993432415122</v>
      </c>
      <c r="F288" s="281">
        <f t="shared" si="22"/>
        <v>14.48181027687791</v>
      </c>
      <c r="G288" s="173"/>
      <c r="H288" s="173">
        <v>29.38</v>
      </c>
      <c r="I288" s="154">
        <v>808258.58221832186</v>
      </c>
      <c r="J288" s="190">
        <f>VLOOKUP($A288&amp;$B288,'LE Inputs'!$C$2:$J$505,MATCH('LE UtilityData'!J$1,'LE Inputs'!$C$1:$J$1,0),0)*1000</f>
        <v>1448203.3166898021</v>
      </c>
      <c r="K288" s="190">
        <v>582666.20952961768</v>
      </c>
      <c r="L288" s="164">
        <v>388621.22014657181</v>
      </c>
      <c r="M288" s="299">
        <v>384631.95</v>
      </c>
      <c r="N288" s="156">
        <v>61984.265067182001</v>
      </c>
      <c r="O288" s="190" t="e">
        <f>VLOOKUP($A288&amp;$B288,'LE Inputs'!$C$2:$J$505,MATCH('LE UtilityData'!O$1,'LE Inputs'!$C$1:$J$1,0),0)</f>
        <v>#N/A</v>
      </c>
      <c r="P288" s="190" t="e">
        <f>VLOOKUP($A288&amp;$B288,'LE Inputs'!$C$2:$J$505,MATCH('LE UtilityData'!P$1,'LE Inputs'!$C$1:$J$1,0),0)</f>
        <v>#N/A</v>
      </c>
      <c r="Q288" s="168">
        <f t="shared" si="25"/>
        <v>352.6</v>
      </c>
      <c r="R288" s="168">
        <f t="shared" si="25"/>
        <v>12.75</v>
      </c>
      <c r="S288" s="166">
        <v>4124</v>
      </c>
      <c r="T288" s="166">
        <v>1696</v>
      </c>
      <c r="U288" s="166">
        <f t="shared" si="23"/>
        <v>0</v>
      </c>
      <c r="V288" s="166">
        <f t="shared" si="21"/>
        <v>0</v>
      </c>
    </row>
    <row r="289" spans="1:22" x14ac:dyDescent="0.2">
      <c r="A289" s="153">
        <v>2024</v>
      </c>
      <c r="B289" s="153">
        <v>12</v>
      </c>
      <c r="C289" s="176"/>
      <c r="D289" s="176"/>
      <c r="E289" s="173">
        <v>14.817993432415122</v>
      </c>
      <c r="F289" s="281">
        <f t="shared" si="22"/>
        <v>14.48181027687791</v>
      </c>
      <c r="G289" s="173"/>
      <c r="H289" s="173">
        <v>32.43</v>
      </c>
      <c r="I289" s="154">
        <v>808685.58221832186</v>
      </c>
      <c r="J289" s="190">
        <f>VLOOKUP($A289&amp;$B289,'LE Inputs'!$C$2:$J$505,MATCH('LE UtilityData'!J$1,'LE Inputs'!$C$1:$J$1,0),0)*1000</f>
        <v>1448203.3166898021</v>
      </c>
      <c r="K289" s="190">
        <v>582666.20952961768</v>
      </c>
      <c r="L289" s="164">
        <v>388826.52729041572</v>
      </c>
      <c r="M289" s="299">
        <v>384631.96</v>
      </c>
      <c r="N289" s="156">
        <v>61984.265067182001</v>
      </c>
      <c r="O289" s="190" t="e">
        <f>VLOOKUP($A289&amp;$B289,'LE Inputs'!$C$2:$J$505,MATCH('LE UtilityData'!O$1,'LE Inputs'!$C$1:$J$1,0),0)</f>
        <v>#N/A</v>
      </c>
      <c r="P289" s="190" t="e">
        <f>VLOOKUP($A289&amp;$B289,'LE Inputs'!$C$2:$J$505,MATCH('LE UtilityData'!P$1,'LE Inputs'!$C$1:$J$1,0),0)</f>
        <v>#N/A</v>
      </c>
      <c r="Q289" s="168">
        <f t="shared" si="25"/>
        <v>669.9</v>
      </c>
      <c r="R289" s="168">
        <f t="shared" si="25"/>
        <v>1.05</v>
      </c>
      <c r="S289" s="166">
        <v>4124</v>
      </c>
      <c r="T289" s="166">
        <v>1696</v>
      </c>
      <c r="U289" s="166">
        <f t="shared" si="23"/>
        <v>0</v>
      </c>
      <c r="V289" s="166">
        <f t="shared" si="21"/>
        <v>0</v>
      </c>
    </row>
    <row r="290" spans="1:22" x14ac:dyDescent="0.2">
      <c r="A290" s="153">
        <v>2025</v>
      </c>
      <c r="B290" s="153">
        <v>1</v>
      </c>
      <c r="C290" s="176"/>
      <c r="D290" s="176"/>
      <c r="E290" s="173">
        <v>15.188443268225498</v>
      </c>
      <c r="F290" s="281">
        <f t="shared" si="22"/>
        <v>14.771446482415469</v>
      </c>
      <c r="G290" s="173"/>
      <c r="H290" s="173">
        <v>32.33</v>
      </c>
      <c r="I290" s="154">
        <v>809112.58221832186</v>
      </c>
      <c r="J290" s="190">
        <f>VLOOKUP($A290&amp;$B290,'LE Inputs'!$C$2:$J$505,MATCH('LE UtilityData'!J$1,'LE Inputs'!$C$1:$J$1,0),0)*1000</f>
        <v>1450701.1352829402</v>
      </c>
      <c r="K290" s="190">
        <v>583844.34500018775</v>
      </c>
      <c r="L290" s="164">
        <v>389031.83443425962</v>
      </c>
      <c r="M290" s="299">
        <v>385251.2</v>
      </c>
      <c r="N290" s="156">
        <v>62484.505041018398</v>
      </c>
      <c r="O290" s="190" t="e">
        <f>VLOOKUP($A290&amp;$B290,'LE Inputs'!$C$2:$J$505,MATCH('LE UtilityData'!O$1,'LE Inputs'!$C$1:$J$1,0),0)</f>
        <v>#N/A</v>
      </c>
      <c r="P290" s="190" t="e">
        <f>VLOOKUP($A290&amp;$B290,'LE Inputs'!$C$2:$J$505,MATCH('LE UtilityData'!P$1,'LE Inputs'!$C$1:$J$1,0),0)</f>
        <v>#N/A</v>
      </c>
      <c r="Q290" s="168">
        <f t="shared" si="25"/>
        <v>932.4</v>
      </c>
      <c r="R290" s="168">
        <f t="shared" si="25"/>
        <v>0.35</v>
      </c>
      <c r="S290" s="166">
        <v>4124</v>
      </c>
      <c r="T290" s="166">
        <v>1696</v>
      </c>
      <c r="U290" s="166">
        <f t="shared" si="23"/>
        <v>0</v>
      </c>
      <c r="V290" s="166">
        <f t="shared" si="21"/>
        <v>0</v>
      </c>
    </row>
    <row r="291" spans="1:22" x14ac:dyDescent="0.2">
      <c r="A291" s="153">
        <v>2025</v>
      </c>
      <c r="B291" s="153">
        <v>2</v>
      </c>
      <c r="C291" s="176"/>
      <c r="D291" s="176"/>
      <c r="E291" s="173">
        <v>15.188443268225498</v>
      </c>
      <c r="F291" s="281">
        <f t="shared" si="22"/>
        <v>14.771446482415469</v>
      </c>
      <c r="G291" s="173"/>
      <c r="H291" s="173">
        <v>30.05</v>
      </c>
      <c r="I291" s="154">
        <v>809539.58221832186</v>
      </c>
      <c r="J291" s="190">
        <f>VLOOKUP($A291&amp;$B291,'LE Inputs'!$C$2:$J$505,MATCH('LE UtilityData'!J$1,'LE Inputs'!$C$1:$J$1,0),0)*1000</f>
        <v>1450701.1352829402</v>
      </c>
      <c r="K291" s="190">
        <v>583844.34500018775</v>
      </c>
      <c r="L291" s="164">
        <v>389237.14157810353</v>
      </c>
      <c r="M291" s="299">
        <v>385251.21</v>
      </c>
      <c r="N291" s="156">
        <v>62484.505041018398</v>
      </c>
      <c r="O291" s="190" t="e">
        <f>VLOOKUP($A291&amp;$B291,'LE Inputs'!$C$2:$J$505,MATCH('LE UtilityData'!O$1,'LE Inputs'!$C$1:$J$1,0),0)</f>
        <v>#N/A</v>
      </c>
      <c r="P291" s="190" t="e">
        <f>VLOOKUP($A291&amp;$B291,'LE Inputs'!$C$2:$J$505,MATCH('LE UtilityData'!P$1,'LE Inputs'!$C$1:$J$1,0),0)</f>
        <v>#N/A</v>
      </c>
      <c r="Q291" s="168">
        <f t="shared" si="25"/>
        <v>864.1</v>
      </c>
      <c r="R291" s="168">
        <f t="shared" si="25"/>
        <v>0.05</v>
      </c>
      <c r="S291" s="166">
        <v>4124</v>
      </c>
      <c r="T291" s="166">
        <v>1696</v>
      </c>
      <c r="U291" s="166">
        <f t="shared" si="23"/>
        <v>0</v>
      </c>
      <c r="V291" s="166">
        <f t="shared" si="21"/>
        <v>0</v>
      </c>
    </row>
    <row r="292" spans="1:22" x14ac:dyDescent="0.2">
      <c r="A292" s="153">
        <v>2025</v>
      </c>
      <c r="B292" s="153">
        <v>3</v>
      </c>
      <c r="C292" s="176"/>
      <c r="D292" s="176"/>
      <c r="E292" s="173">
        <v>15.188443268225498</v>
      </c>
      <c r="F292" s="281">
        <f t="shared" si="22"/>
        <v>14.771446482415469</v>
      </c>
      <c r="G292" s="173"/>
      <c r="H292" s="173">
        <v>30.19</v>
      </c>
      <c r="I292" s="154">
        <v>809966.58221832186</v>
      </c>
      <c r="J292" s="190">
        <f>VLOOKUP($A292&amp;$B292,'LE Inputs'!$C$2:$J$505,MATCH('LE UtilityData'!J$1,'LE Inputs'!$C$1:$J$1,0),0)*1000</f>
        <v>1450701.1352829402</v>
      </c>
      <c r="K292" s="190">
        <v>583844.34500018775</v>
      </c>
      <c r="L292" s="164">
        <v>389442.44872194744</v>
      </c>
      <c r="M292" s="299">
        <v>385251.22</v>
      </c>
      <c r="N292" s="156">
        <v>62484.505041018398</v>
      </c>
      <c r="O292" s="190" t="e">
        <f>VLOOKUP($A292&amp;$B292,'LE Inputs'!$C$2:$J$505,MATCH('LE UtilityData'!O$1,'LE Inputs'!$C$1:$J$1,0),0)</f>
        <v>#N/A</v>
      </c>
      <c r="P292" s="190" t="e">
        <f>VLOOKUP($A292&amp;$B292,'LE Inputs'!$C$2:$J$505,MATCH('LE UtilityData'!P$1,'LE Inputs'!$C$1:$J$1,0),0)</f>
        <v>#N/A</v>
      </c>
      <c r="Q292" s="168">
        <f t="shared" si="25"/>
        <v>674.3</v>
      </c>
      <c r="R292" s="168">
        <f t="shared" si="25"/>
        <v>1.1499999999999999</v>
      </c>
      <c r="S292" s="166">
        <v>4124</v>
      </c>
      <c r="T292" s="166">
        <v>1696</v>
      </c>
      <c r="U292" s="166">
        <f t="shared" si="23"/>
        <v>0</v>
      </c>
      <c r="V292" s="166">
        <f t="shared" si="21"/>
        <v>0</v>
      </c>
    </row>
    <row r="293" spans="1:22" x14ac:dyDescent="0.2">
      <c r="A293" s="153">
        <v>2025</v>
      </c>
      <c r="B293" s="153">
        <v>4</v>
      </c>
      <c r="C293" s="176"/>
      <c r="D293" s="176"/>
      <c r="E293" s="173">
        <v>15.188443268225498</v>
      </c>
      <c r="F293" s="281">
        <f t="shared" si="22"/>
        <v>14.771446482415469</v>
      </c>
      <c r="G293" s="173"/>
      <c r="H293" s="173">
        <v>30</v>
      </c>
      <c r="I293" s="154">
        <v>810393.58221832186</v>
      </c>
      <c r="J293" s="190">
        <f>VLOOKUP($A293&amp;$B293,'LE Inputs'!$C$2:$J$505,MATCH('LE UtilityData'!J$1,'LE Inputs'!$C$1:$J$1,0),0)*1000</f>
        <v>1453947.1250160732</v>
      </c>
      <c r="K293" s="190">
        <v>585284.12774609006</v>
      </c>
      <c r="L293" s="164">
        <v>389647.75586579135</v>
      </c>
      <c r="M293" s="299">
        <v>386008.18</v>
      </c>
      <c r="N293" s="156">
        <v>62889.614843554598</v>
      </c>
      <c r="O293" s="190" t="e">
        <f>VLOOKUP($A293&amp;$B293,'LE Inputs'!$C$2:$J$505,MATCH('LE UtilityData'!O$1,'LE Inputs'!$C$1:$J$1,0),0)</f>
        <v>#N/A</v>
      </c>
      <c r="P293" s="190" t="e">
        <f>VLOOKUP($A293&amp;$B293,'LE Inputs'!$C$2:$J$505,MATCH('LE UtilityData'!P$1,'LE Inputs'!$C$1:$J$1,0),0)</f>
        <v>#N/A</v>
      </c>
      <c r="Q293" s="168">
        <f t="shared" si="25"/>
        <v>377.1</v>
      </c>
      <c r="R293" s="168">
        <f t="shared" si="25"/>
        <v>20.25</v>
      </c>
      <c r="S293" s="166">
        <v>4124</v>
      </c>
      <c r="T293" s="166">
        <v>1696</v>
      </c>
      <c r="U293" s="166">
        <f t="shared" si="23"/>
        <v>0</v>
      </c>
      <c r="V293" s="166">
        <f t="shared" si="21"/>
        <v>0</v>
      </c>
    </row>
    <row r="294" spans="1:22" x14ac:dyDescent="0.2">
      <c r="A294" s="153">
        <v>2025</v>
      </c>
      <c r="B294" s="153">
        <v>5</v>
      </c>
      <c r="C294" s="176"/>
      <c r="D294" s="176"/>
      <c r="E294" s="173">
        <v>15.188443268225498</v>
      </c>
      <c r="F294" s="281">
        <f t="shared" si="22"/>
        <v>14.771446482415469</v>
      </c>
      <c r="G294" s="173"/>
      <c r="H294" s="173">
        <v>30.48</v>
      </c>
      <c r="I294" s="154">
        <v>810820.58221832186</v>
      </c>
      <c r="J294" s="190">
        <f>VLOOKUP($A294&amp;$B294,'LE Inputs'!$C$2:$J$505,MATCH('LE UtilityData'!J$1,'LE Inputs'!$C$1:$J$1,0),0)*1000</f>
        <v>1453947.1250160732</v>
      </c>
      <c r="K294" s="190">
        <v>585284.12774609006</v>
      </c>
      <c r="L294" s="164">
        <v>389853.06300963531</v>
      </c>
      <c r="M294" s="299">
        <v>386008.19</v>
      </c>
      <c r="N294" s="156">
        <v>62889.614843554598</v>
      </c>
      <c r="O294" s="190" t="e">
        <f>VLOOKUP($A294&amp;$B294,'LE Inputs'!$C$2:$J$505,MATCH('LE UtilityData'!O$1,'LE Inputs'!$C$1:$J$1,0),0)</f>
        <v>#N/A</v>
      </c>
      <c r="P294" s="190" t="e">
        <f>VLOOKUP($A294&amp;$B294,'LE Inputs'!$C$2:$J$505,MATCH('LE UtilityData'!P$1,'LE Inputs'!$C$1:$J$1,0),0)</f>
        <v>#N/A</v>
      </c>
      <c r="Q294" s="168">
        <f t="shared" si="25"/>
        <v>141</v>
      </c>
      <c r="R294" s="168">
        <f t="shared" si="25"/>
        <v>69.349999999999994</v>
      </c>
      <c r="S294" s="166">
        <v>4124</v>
      </c>
      <c r="T294" s="166">
        <v>1696</v>
      </c>
      <c r="U294" s="166">
        <f t="shared" si="23"/>
        <v>0</v>
      </c>
      <c r="V294" s="166">
        <f t="shared" si="21"/>
        <v>0</v>
      </c>
    </row>
    <row r="295" spans="1:22" x14ac:dyDescent="0.2">
      <c r="A295" s="153">
        <v>2025</v>
      </c>
      <c r="B295" s="153">
        <v>6</v>
      </c>
      <c r="C295" s="176"/>
      <c r="D295" s="176"/>
      <c r="E295" s="173">
        <v>15.188443268225498</v>
      </c>
      <c r="F295" s="281">
        <f t="shared" si="22"/>
        <v>14.771446482415469</v>
      </c>
      <c r="G295" s="173"/>
      <c r="H295" s="173">
        <v>30.52</v>
      </c>
      <c r="I295" s="154">
        <v>811253.17197229387</v>
      </c>
      <c r="J295" s="190">
        <f>VLOOKUP($A295&amp;$B295,'LE Inputs'!$C$2:$J$505,MATCH('LE UtilityData'!J$1,'LE Inputs'!$C$1:$J$1,0),0)*1000</f>
        <v>1453947.1250160732</v>
      </c>
      <c r="K295" s="190">
        <v>585284.12774609006</v>
      </c>
      <c r="L295" s="164">
        <v>390061.05777976214</v>
      </c>
      <c r="M295" s="299">
        <v>386008.2</v>
      </c>
      <c r="N295" s="156">
        <v>62889.614843554598</v>
      </c>
      <c r="O295" s="190" t="e">
        <f>VLOOKUP($A295&amp;$B295,'LE Inputs'!$C$2:$J$505,MATCH('LE UtilityData'!O$1,'LE Inputs'!$C$1:$J$1,0),0)</f>
        <v>#N/A</v>
      </c>
      <c r="P295" s="190" t="e">
        <f>VLOOKUP($A295&amp;$B295,'LE Inputs'!$C$2:$J$505,MATCH('LE UtilityData'!P$1,'LE Inputs'!$C$1:$J$1,0),0)</f>
        <v>#N/A</v>
      </c>
      <c r="Q295" s="168">
        <f t="shared" si="25"/>
        <v>29.5</v>
      </c>
      <c r="R295" s="168">
        <f t="shared" si="25"/>
        <v>224.8</v>
      </c>
      <c r="S295" s="166">
        <v>4124</v>
      </c>
      <c r="T295" s="166">
        <v>1696</v>
      </c>
      <c r="U295" s="166">
        <f t="shared" si="23"/>
        <v>0</v>
      </c>
      <c r="V295" s="166">
        <f t="shared" si="21"/>
        <v>0</v>
      </c>
    </row>
    <row r="296" spans="1:22" x14ac:dyDescent="0.2">
      <c r="A296" s="153">
        <v>2025</v>
      </c>
      <c r="B296" s="153">
        <v>7</v>
      </c>
      <c r="C296" s="176"/>
      <c r="D296" s="176"/>
      <c r="E296" s="173">
        <v>15.188443268225498</v>
      </c>
      <c r="F296" s="281">
        <f t="shared" si="22"/>
        <v>14.771446482415469</v>
      </c>
      <c r="G296" s="173"/>
      <c r="H296" s="173">
        <v>30.67</v>
      </c>
      <c r="I296" s="154">
        <v>811673.17197229387</v>
      </c>
      <c r="J296" s="190">
        <f>VLOOKUP($A296&amp;$B296,'LE Inputs'!$C$2:$J$505,MATCH('LE UtilityData'!J$1,'LE Inputs'!$C$1:$J$1,0),0)*1000</f>
        <v>1457194.2335058653</v>
      </c>
      <c r="K296" s="190">
        <v>586717.69037746685</v>
      </c>
      <c r="L296" s="164">
        <v>390262.99923272338</v>
      </c>
      <c r="M296" s="299">
        <v>386762.01</v>
      </c>
      <c r="N296" s="156">
        <v>63352.1842004793</v>
      </c>
      <c r="O296" s="190" t="e">
        <f>VLOOKUP($A296&amp;$B296,'LE Inputs'!$C$2:$J$505,MATCH('LE UtilityData'!O$1,'LE Inputs'!$C$1:$J$1,0),0)</f>
        <v>#N/A</v>
      </c>
      <c r="P296" s="190" t="e">
        <f>VLOOKUP($A296&amp;$B296,'LE Inputs'!$C$2:$J$505,MATCH('LE UtilityData'!P$1,'LE Inputs'!$C$1:$J$1,0),0)</f>
        <v>#N/A</v>
      </c>
      <c r="Q296" s="168">
        <f t="shared" si="25"/>
        <v>0.55000000000000004</v>
      </c>
      <c r="R296" s="168">
        <f t="shared" si="25"/>
        <v>396.4</v>
      </c>
      <c r="S296" s="166">
        <v>4124</v>
      </c>
      <c r="T296" s="166">
        <v>1696</v>
      </c>
      <c r="U296" s="166">
        <f t="shared" si="23"/>
        <v>0</v>
      </c>
      <c r="V296" s="166">
        <f t="shared" si="21"/>
        <v>0</v>
      </c>
    </row>
    <row r="297" spans="1:22" x14ac:dyDescent="0.2">
      <c r="A297" s="153">
        <v>2025</v>
      </c>
      <c r="B297" s="153">
        <v>8</v>
      </c>
      <c r="C297" s="176"/>
      <c r="D297" s="176"/>
      <c r="E297" s="173">
        <v>15.188443268225498</v>
      </c>
      <c r="F297" s="281">
        <f t="shared" si="22"/>
        <v>14.771446482415469</v>
      </c>
      <c r="G297" s="173"/>
      <c r="H297" s="173">
        <v>29.48</v>
      </c>
      <c r="I297" s="154">
        <v>812093.17197229387</v>
      </c>
      <c r="J297" s="190">
        <f>VLOOKUP($A297&amp;$B297,'LE Inputs'!$C$2:$J$505,MATCH('LE UtilityData'!J$1,'LE Inputs'!$C$1:$J$1,0),0)*1000</f>
        <v>1457194.2335058653</v>
      </c>
      <c r="K297" s="190">
        <v>586717.69037746685</v>
      </c>
      <c r="L297" s="164">
        <v>390464.94068568468</v>
      </c>
      <c r="M297" s="299">
        <v>386762.02</v>
      </c>
      <c r="N297" s="156">
        <v>63352.1842004793</v>
      </c>
      <c r="O297" s="190" t="e">
        <f>VLOOKUP($A297&amp;$B297,'LE Inputs'!$C$2:$J$505,MATCH('LE UtilityData'!O$1,'LE Inputs'!$C$1:$J$1,0),0)</f>
        <v>#N/A</v>
      </c>
      <c r="P297" s="190" t="e">
        <f>VLOOKUP($A297&amp;$B297,'LE Inputs'!$C$2:$J$505,MATCH('LE UtilityData'!P$1,'LE Inputs'!$C$1:$J$1,0),0)</f>
        <v>#N/A</v>
      </c>
      <c r="Q297" s="168">
        <f t="shared" si="25"/>
        <v>0.1</v>
      </c>
      <c r="R297" s="168">
        <f t="shared" si="25"/>
        <v>417.05</v>
      </c>
      <c r="S297" s="166">
        <v>4124</v>
      </c>
      <c r="T297" s="166">
        <v>1696</v>
      </c>
      <c r="U297" s="166">
        <f t="shared" si="23"/>
        <v>0</v>
      </c>
      <c r="V297" s="166">
        <f t="shared" si="21"/>
        <v>0</v>
      </c>
    </row>
    <row r="298" spans="1:22" x14ac:dyDescent="0.2">
      <c r="A298" s="153">
        <v>2025</v>
      </c>
      <c r="B298" s="153">
        <v>9</v>
      </c>
      <c r="C298" s="176"/>
      <c r="D298" s="176"/>
      <c r="E298" s="173">
        <v>15.188443268225498</v>
      </c>
      <c r="F298" s="281">
        <f t="shared" si="22"/>
        <v>14.771446482415469</v>
      </c>
      <c r="G298" s="173"/>
      <c r="H298" s="173">
        <v>30.86</v>
      </c>
      <c r="I298" s="154">
        <v>812513.17197229387</v>
      </c>
      <c r="J298" s="190">
        <f>VLOOKUP($A298&amp;$B298,'LE Inputs'!$C$2:$J$505,MATCH('LE UtilityData'!J$1,'LE Inputs'!$C$1:$J$1,0),0)*1000</f>
        <v>1457194.2335058653</v>
      </c>
      <c r="K298" s="190">
        <v>586717.69037746685</v>
      </c>
      <c r="L298" s="164">
        <v>390666.88213864592</v>
      </c>
      <c r="M298" s="299">
        <v>386762.02</v>
      </c>
      <c r="N298" s="156">
        <v>63352.1842004793</v>
      </c>
      <c r="O298" s="190" t="e">
        <f>VLOOKUP($A298&amp;$B298,'LE Inputs'!$C$2:$J$505,MATCH('LE UtilityData'!O$1,'LE Inputs'!$C$1:$J$1,0),0)</f>
        <v>#N/A</v>
      </c>
      <c r="P298" s="190" t="e">
        <f>VLOOKUP($A298&amp;$B298,'LE Inputs'!$C$2:$J$505,MATCH('LE UtilityData'!P$1,'LE Inputs'!$C$1:$J$1,0),0)</f>
        <v>#N/A</v>
      </c>
      <c r="Q298" s="168">
        <f t="shared" si="25"/>
        <v>5.35</v>
      </c>
      <c r="R298" s="168">
        <f t="shared" si="25"/>
        <v>330.2</v>
      </c>
      <c r="S298" s="166">
        <v>4124</v>
      </c>
      <c r="T298" s="166">
        <v>1696</v>
      </c>
      <c r="U298" s="166">
        <f t="shared" si="23"/>
        <v>0</v>
      </c>
      <c r="V298" s="166">
        <f t="shared" si="21"/>
        <v>0</v>
      </c>
    </row>
    <row r="299" spans="1:22" x14ac:dyDescent="0.2">
      <c r="A299" s="153">
        <v>2025</v>
      </c>
      <c r="B299" s="153">
        <v>10</v>
      </c>
      <c r="C299" s="176"/>
      <c r="D299" s="176"/>
      <c r="E299" s="173">
        <v>15.188443268225498</v>
      </c>
      <c r="F299" s="281">
        <f t="shared" si="22"/>
        <v>14.771446482415469</v>
      </c>
      <c r="G299" s="173"/>
      <c r="H299" s="173">
        <v>29.38</v>
      </c>
      <c r="I299" s="154">
        <v>812933.17197229387</v>
      </c>
      <c r="J299" s="190">
        <f>VLOOKUP($A299&amp;$B299,'LE Inputs'!$C$2:$J$505,MATCH('LE UtilityData'!J$1,'LE Inputs'!$C$1:$J$1,0),0)*1000</f>
        <v>1460821.1194182308</v>
      </c>
      <c r="K299" s="190">
        <v>588282.58891207736</v>
      </c>
      <c r="L299" s="164">
        <v>390868.82359160716</v>
      </c>
      <c r="M299" s="299">
        <v>387584.7</v>
      </c>
      <c r="N299" s="156">
        <v>63780.539950120001</v>
      </c>
      <c r="O299" s="190" t="e">
        <f>VLOOKUP($A299&amp;$B299,'LE Inputs'!$C$2:$J$505,MATCH('LE UtilityData'!O$1,'LE Inputs'!$C$1:$J$1,0),0)</f>
        <v>#N/A</v>
      </c>
      <c r="P299" s="190" t="e">
        <f>VLOOKUP($A299&amp;$B299,'LE Inputs'!$C$2:$J$505,MATCH('LE UtilityData'!P$1,'LE Inputs'!$C$1:$J$1,0),0)</f>
        <v>#N/A</v>
      </c>
      <c r="Q299" s="168">
        <f t="shared" si="25"/>
        <v>99.3</v>
      </c>
      <c r="R299" s="168">
        <f t="shared" si="25"/>
        <v>100.05</v>
      </c>
      <c r="S299" s="166">
        <v>4124</v>
      </c>
      <c r="T299" s="166">
        <v>1696</v>
      </c>
      <c r="U299" s="166">
        <f t="shared" si="23"/>
        <v>0</v>
      </c>
      <c r="V299" s="166">
        <f t="shared" si="21"/>
        <v>0</v>
      </c>
    </row>
    <row r="300" spans="1:22" x14ac:dyDescent="0.2">
      <c r="A300" s="153">
        <v>2025</v>
      </c>
      <c r="B300" s="153">
        <v>11</v>
      </c>
      <c r="C300" s="176"/>
      <c r="D300" s="176"/>
      <c r="E300" s="173">
        <v>15.188443268225498</v>
      </c>
      <c r="F300" s="281">
        <f t="shared" si="22"/>
        <v>14.771446482415469</v>
      </c>
      <c r="G300" s="173"/>
      <c r="H300" s="173">
        <v>29.57</v>
      </c>
      <c r="I300" s="154">
        <v>813353.17197229387</v>
      </c>
      <c r="J300" s="190">
        <f>VLOOKUP($A300&amp;$B300,'LE Inputs'!$C$2:$J$505,MATCH('LE UtilityData'!J$1,'LE Inputs'!$C$1:$J$1,0),0)*1000</f>
        <v>1460821.1194182308</v>
      </c>
      <c r="K300" s="190">
        <v>588282.58891207736</v>
      </c>
      <c r="L300" s="164">
        <v>391070.76504456834</v>
      </c>
      <c r="M300" s="299">
        <v>387584.7</v>
      </c>
      <c r="N300" s="156">
        <v>63780.539950120001</v>
      </c>
      <c r="O300" s="190" t="e">
        <f>VLOOKUP($A300&amp;$B300,'LE Inputs'!$C$2:$J$505,MATCH('LE UtilityData'!O$1,'LE Inputs'!$C$1:$J$1,0),0)</f>
        <v>#N/A</v>
      </c>
      <c r="P300" s="190" t="e">
        <f>VLOOKUP($A300&amp;$B300,'LE Inputs'!$C$2:$J$505,MATCH('LE UtilityData'!P$1,'LE Inputs'!$C$1:$J$1,0),0)</f>
        <v>#N/A</v>
      </c>
      <c r="Q300" s="168">
        <f t="shared" si="25"/>
        <v>352.6</v>
      </c>
      <c r="R300" s="168">
        <f t="shared" si="25"/>
        <v>12.75</v>
      </c>
      <c r="S300" s="166">
        <v>4124</v>
      </c>
      <c r="T300" s="166">
        <v>1696</v>
      </c>
      <c r="U300" s="166">
        <f t="shared" si="23"/>
        <v>0</v>
      </c>
      <c r="V300" s="166">
        <f t="shared" si="21"/>
        <v>0</v>
      </c>
    </row>
    <row r="301" spans="1:22" x14ac:dyDescent="0.2">
      <c r="A301" s="153">
        <v>2025</v>
      </c>
      <c r="B301" s="153">
        <v>12</v>
      </c>
      <c r="C301" s="176"/>
      <c r="D301" s="176"/>
      <c r="E301" s="173">
        <v>15.188443268225498</v>
      </c>
      <c r="F301" s="281">
        <f t="shared" si="22"/>
        <v>14.771446482415469</v>
      </c>
      <c r="G301" s="173"/>
      <c r="H301" s="173">
        <v>31.81</v>
      </c>
      <c r="I301" s="154">
        <v>813773.17197229387</v>
      </c>
      <c r="J301" s="190">
        <f>VLOOKUP($A301&amp;$B301,'LE Inputs'!$C$2:$J$505,MATCH('LE UtilityData'!J$1,'LE Inputs'!$C$1:$J$1,0),0)*1000</f>
        <v>1460821.1194182308</v>
      </c>
      <c r="K301" s="190">
        <v>588282.58891207736</v>
      </c>
      <c r="L301" s="164">
        <v>391272.70649752952</v>
      </c>
      <c r="M301" s="299">
        <v>387584.71</v>
      </c>
      <c r="N301" s="156">
        <v>63780.539950120001</v>
      </c>
      <c r="O301" s="190" t="e">
        <f>VLOOKUP($A301&amp;$B301,'LE Inputs'!$C$2:$J$505,MATCH('LE UtilityData'!O$1,'LE Inputs'!$C$1:$J$1,0),0)</f>
        <v>#N/A</v>
      </c>
      <c r="P301" s="190" t="e">
        <f>VLOOKUP($A301&amp;$B301,'LE Inputs'!$C$2:$J$505,MATCH('LE UtilityData'!P$1,'LE Inputs'!$C$1:$J$1,0),0)</f>
        <v>#N/A</v>
      </c>
      <c r="Q301" s="168">
        <f t="shared" si="25"/>
        <v>669.9</v>
      </c>
      <c r="R301" s="168">
        <f t="shared" si="25"/>
        <v>1.05</v>
      </c>
      <c r="S301" s="166">
        <v>4124</v>
      </c>
      <c r="T301" s="166">
        <v>1696</v>
      </c>
      <c r="U301" s="166">
        <f t="shared" si="23"/>
        <v>0</v>
      </c>
      <c r="V301" s="166">
        <f t="shared" si="21"/>
        <v>0</v>
      </c>
    </row>
    <row r="302" spans="1:22" x14ac:dyDescent="0.2">
      <c r="A302" s="153">
        <v>2026</v>
      </c>
      <c r="B302" s="153">
        <v>1</v>
      </c>
      <c r="E302" s="173">
        <v>15.568154349931135</v>
      </c>
      <c r="F302" s="281">
        <f t="shared" si="22"/>
        <v>15.066875412063778</v>
      </c>
      <c r="G302" s="173"/>
      <c r="H302" s="173">
        <v>32.380000000000003</v>
      </c>
      <c r="I302" s="154">
        <v>814193.17197229387</v>
      </c>
      <c r="J302" s="190">
        <f>VLOOKUP($A302&amp;$B302,'LE Inputs'!$C$2:$J$505,MATCH('LE UtilityData'!J$1,'LE Inputs'!$C$1:$J$1,0),0)*1000</f>
        <v>1463215.9553176831</v>
      </c>
      <c r="K302" s="190">
        <v>589378.3010509765</v>
      </c>
      <c r="L302" s="164">
        <v>391474.64795049082</v>
      </c>
      <c r="M302" s="299">
        <v>388160.32</v>
      </c>
      <c r="N302" s="156">
        <v>64434.356815373998</v>
      </c>
      <c r="O302" s="190" t="e">
        <f>VLOOKUP($A302&amp;$B302,'LE Inputs'!$C$2:$J$505,MATCH('LE UtilityData'!O$1,'LE Inputs'!$C$1:$J$1,0),0)</f>
        <v>#N/A</v>
      </c>
      <c r="P302" s="190" t="e">
        <f>VLOOKUP($A302&amp;$B302,'LE Inputs'!$C$2:$J$505,MATCH('LE UtilityData'!P$1,'LE Inputs'!$C$1:$J$1,0),0)</f>
        <v>#N/A</v>
      </c>
      <c r="Q302" s="168">
        <f t="shared" ref="Q302:R317" si="26">Q290</f>
        <v>932.4</v>
      </c>
      <c r="R302" s="168">
        <f t="shared" si="26"/>
        <v>0.35</v>
      </c>
      <c r="S302" s="166">
        <v>4124</v>
      </c>
      <c r="T302" s="166">
        <v>1696</v>
      </c>
      <c r="U302" s="166">
        <f t="shared" si="23"/>
        <v>0</v>
      </c>
      <c r="V302" s="166">
        <f t="shared" si="21"/>
        <v>0</v>
      </c>
    </row>
    <row r="303" spans="1:22" x14ac:dyDescent="0.2">
      <c r="A303" s="153">
        <v>2026</v>
      </c>
      <c r="B303" s="153">
        <v>2</v>
      </c>
      <c r="E303" s="173">
        <v>15.568154349931135</v>
      </c>
      <c r="F303" s="281">
        <f t="shared" si="22"/>
        <v>15.066875412063778</v>
      </c>
      <c r="G303" s="173"/>
      <c r="H303" s="173">
        <v>30.19</v>
      </c>
      <c r="I303" s="154">
        <v>814613.17197229387</v>
      </c>
      <c r="J303" s="190">
        <f>VLOOKUP($A303&amp;$B303,'LE Inputs'!$C$2:$J$505,MATCH('LE UtilityData'!J$1,'LE Inputs'!$C$1:$J$1,0),0)*1000</f>
        <v>1463215.9553176831</v>
      </c>
      <c r="K303" s="190">
        <v>589378.3010509765</v>
      </c>
      <c r="L303" s="164">
        <v>391676.58940345206</v>
      </c>
      <c r="M303" s="299">
        <v>388160.32</v>
      </c>
      <c r="N303" s="156">
        <v>64434.356815373998</v>
      </c>
      <c r="O303" s="190" t="e">
        <f>VLOOKUP($A303&amp;$B303,'LE Inputs'!$C$2:$J$505,MATCH('LE UtilityData'!O$1,'LE Inputs'!$C$1:$J$1,0),0)</f>
        <v>#N/A</v>
      </c>
      <c r="P303" s="190" t="e">
        <f>VLOOKUP($A303&amp;$B303,'LE Inputs'!$C$2:$J$505,MATCH('LE UtilityData'!P$1,'LE Inputs'!$C$1:$J$1,0),0)</f>
        <v>#N/A</v>
      </c>
      <c r="Q303" s="168">
        <f t="shared" si="26"/>
        <v>864.1</v>
      </c>
      <c r="R303" s="168">
        <f t="shared" si="26"/>
        <v>0.05</v>
      </c>
      <c r="S303" s="166">
        <v>4124</v>
      </c>
      <c r="T303" s="166">
        <v>1696</v>
      </c>
      <c r="U303" s="166">
        <f t="shared" si="23"/>
        <v>0</v>
      </c>
      <c r="V303" s="166">
        <f t="shared" si="21"/>
        <v>0</v>
      </c>
    </row>
    <row r="304" spans="1:22" x14ac:dyDescent="0.2">
      <c r="A304" s="153">
        <v>2026</v>
      </c>
      <c r="B304" s="153">
        <v>3</v>
      </c>
      <c r="E304" s="173">
        <v>15.568154349931135</v>
      </c>
      <c r="F304" s="281">
        <f t="shared" si="22"/>
        <v>15.066875412063778</v>
      </c>
      <c r="G304" s="173"/>
      <c r="H304" s="173">
        <v>30.05</v>
      </c>
      <c r="I304" s="154">
        <v>815033.17197229387</v>
      </c>
      <c r="J304" s="190">
        <f>VLOOKUP($A304&amp;$B304,'LE Inputs'!$C$2:$J$505,MATCH('LE UtilityData'!J$1,'LE Inputs'!$C$1:$J$1,0),0)*1000</f>
        <v>1463215.9553176831</v>
      </c>
      <c r="K304" s="190">
        <v>589378.3010509765</v>
      </c>
      <c r="L304" s="164">
        <v>391878.5308564133</v>
      </c>
      <c r="M304" s="299">
        <v>388160.33</v>
      </c>
      <c r="N304" s="156">
        <v>64434.356815373998</v>
      </c>
      <c r="O304" s="190" t="e">
        <f>VLOOKUP($A304&amp;$B304,'LE Inputs'!$C$2:$J$505,MATCH('LE UtilityData'!O$1,'LE Inputs'!$C$1:$J$1,0),0)</f>
        <v>#N/A</v>
      </c>
      <c r="P304" s="190" t="e">
        <f>VLOOKUP($A304&amp;$B304,'LE Inputs'!$C$2:$J$505,MATCH('LE UtilityData'!P$1,'LE Inputs'!$C$1:$J$1,0),0)</f>
        <v>#N/A</v>
      </c>
      <c r="Q304" s="168">
        <f t="shared" si="26"/>
        <v>674.3</v>
      </c>
      <c r="R304" s="168">
        <f t="shared" si="26"/>
        <v>1.1499999999999999</v>
      </c>
      <c r="S304" s="166">
        <v>4124</v>
      </c>
      <c r="T304" s="166">
        <v>1696</v>
      </c>
      <c r="U304" s="166">
        <f t="shared" si="23"/>
        <v>0</v>
      </c>
      <c r="V304" s="166">
        <f t="shared" si="21"/>
        <v>0</v>
      </c>
    </row>
    <row r="305" spans="1:22" x14ac:dyDescent="0.2">
      <c r="A305" s="153">
        <v>2026</v>
      </c>
      <c r="B305" s="153">
        <v>4</v>
      </c>
      <c r="E305" s="173">
        <v>15.568154349931135</v>
      </c>
      <c r="F305" s="281">
        <f t="shared" si="22"/>
        <v>15.066875412063778</v>
      </c>
      <c r="G305" s="173"/>
      <c r="H305" s="173">
        <v>30.71</v>
      </c>
      <c r="I305" s="154">
        <v>815453.17197229387</v>
      </c>
      <c r="J305" s="190">
        <f>VLOOKUP($A305&amp;$B305,'LE Inputs'!$C$2:$J$505,MATCH('LE UtilityData'!J$1,'LE Inputs'!$C$1:$J$1,0),0)*1000</f>
        <v>1466456.4562701636</v>
      </c>
      <c r="K305" s="190">
        <v>590835.63704066817</v>
      </c>
      <c r="L305" s="164">
        <v>392080.4723093746</v>
      </c>
      <c r="M305" s="299">
        <v>388926.75</v>
      </c>
      <c r="N305" s="156">
        <v>64785.054748465504</v>
      </c>
      <c r="O305" s="190" t="e">
        <f>VLOOKUP($A305&amp;$B305,'LE Inputs'!$C$2:$J$505,MATCH('LE UtilityData'!O$1,'LE Inputs'!$C$1:$J$1,0),0)</f>
        <v>#N/A</v>
      </c>
      <c r="P305" s="190" t="e">
        <f>VLOOKUP($A305&amp;$B305,'LE Inputs'!$C$2:$J$505,MATCH('LE UtilityData'!P$1,'LE Inputs'!$C$1:$J$1,0),0)</f>
        <v>#N/A</v>
      </c>
      <c r="Q305" s="168">
        <f t="shared" si="26"/>
        <v>377.1</v>
      </c>
      <c r="R305" s="168">
        <f t="shared" si="26"/>
        <v>20.25</v>
      </c>
      <c r="S305" s="166">
        <v>4124</v>
      </c>
      <c r="T305" s="166">
        <v>1696</v>
      </c>
      <c r="U305" s="166">
        <f t="shared" si="23"/>
        <v>0</v>
      </c>
      <c r="V305" s="166">
        <f t="shared" si="21"/>
        <v>0</v>
      </c>
    </row>
    <row r="306" spans="1:22" x14ac:dyDescent="0.2">
      <c r="A306" s="153">
        <v>2026</v>
      </c>
      <c r="B306" s="153">
        <v>5</v>
      </c>
      <c r="E306" s="173">
        <v>15.568154349931135</v>
      </c>
      <c r="F306" s="281">
        <f t="shared" si="22"/>
        <v>15.066875412063778</v>
      </c>
      <c r="G306" s="173"/>
      <c r="H306" s="173">
        <v>29.9</v>
      </c>
      <c r="I306" s="154">
        <v>815873.17197229387</v>
      </c>
      <c r="J306" s="190">
        <f>VLOOKUP($A306&amp;$B306,'LE Inputs'!$C$2:$J$505,MATCH('LE UtilityData'!J$1,'LE Inputs'!$C$1:$J$1,0),0)*1000</f>
        <v>1466456.4562701636</v>
      </c>
      <c r="K306" s="190">
        <v>590835.63704066817</v>
      </c>
      <c r="L306" s="164">
        <v>392282.41376233584</v>
      </c>
      <c r="M306" s="299">
        <v>388926.76</v>
      </c>
      <c r="N306" s="156">
        <v>64785.054748465504</v>
      </c>
      <c r="O306" s="190" t="e">
        <f>VLOOKUP($A306&amp;$B306,'LE Inputs'!$C$2:$J$505,MATCH('LE UtilityData'!O$1,'LE Inputs'!$C$1:$J$1,0),0)</f>
        <v>#N/A</v>
      </c>
      <c r="P306" s="190" t="e">
        <f>VLOOKUP($A306&amp;$B306,'LE Inputs'!$C$2:$J$505,MATCH('LE UtilityData'!P$1,'LE Inputs'!$C$1:$J$1,0),0)</f>
        <v>#N/A</v>
      </c>
      <c r="Q306" s="168">
        <f t="shared" si="26"/>
        <v>141</v>
      </c>
      <c r="R306" s="168">
        <f t="shared" si="26"/>
        <v>69.349999999999994</v>
      </c>
      <c r="S306" s="166">
        <v>4124</v>
      </c>
      <c r="T306" s="166">
        <v>1696</v>
      </c>
      <c r="U306" s="166">
        <f t="shared" si="23"/>
        <v>0</v>
      </c>
      <c r="V306" s="166">
        <f t="shared" si="21"/>
        <v>0</v>
      </c>
    </row>
    <row r="307" spans="1:22" x14ac:dyDescent="0.2">
      <c r="A307" s="153">
        <v>2026</v>
      </c>
      <c r="B307" s="153">
        <v>6</v>
      </c>
      <c r="E307" s="173">
        <v>15.568154349931135</v>
      </c>
      <c r="F307" s="281">
        <f t="shared" si="22"/>
        <v>15.066875412063778</v>
      </c>
      <c r="G307" s="173"/>
      <c r="H307" s="173">
        <v>30.38</v>
      </c>
      <c r="I307" s="154">
        <v>816296.98710702162</v>
      </c>
      <c r="J307" s="190">
        <f>VLOOKUP($A307&amp;$B307,'LE Inputs'!$C$2:$J$505,MATCH('LE UtilityData'!J$1,'LE Inputs'!$C$1:$J$1,0),0)*1000</f>
        <v>1466456.4562701636</v>
      </c>
      <c r="K307" s="190">
        <v>590835.63704066817</v>
      </c>
      <c r="L307" s="164">
        <v>392486.189581607</v>
      </c>
      <c r="M307" s="299">
        <v>388926.76</v>
      </c>
      <c r="N307" s="156">
        <v>64785.054748465504</v>
      </c>
      <c r="O307" s="190" t="e">
        <f>VLOOKUP($A307&amp;$B307,'LE Inputs'!$C$2:$J$505,MATCH('LE UtilityData'!O$1,'LE Inputs'!$C$1:$J$1,0),0)</f>
        <v>#N/A</v>
      </c>
      <c r="P307" s="190" t="e">
        <f>VLOOKUP($A307&amp;$B307,'LE Inputs'!$C$2:$J$505,MATCH('LE UtilityData'!P$1,'LE Inputs'!$C$1:$J$1,0),0)</f>
        <v>#N/A</v>
      </c>
      <c r="Q307" s="168">
        <f t="shared" si="26"/>
        <v>29.5</v>
      </c>
      <c r="R307" s="168">
        <f t="shared" si="26"/>
        <v>224.8</v>
      </c>
      <c r="S307" s="166">
        <v>4124</v>
      </c>
      <c r="T307" s="166">
        <v>1696</v>
      </c>
      <c r="U307" s="166">
        <f t="shared" si="23"/>
        <v>0</v>
      </c>
      <c r="V307" s="166">
        <f t="shared" si="21"/>
        <v>0</v>
      </c>
    </row>
    <row r="308" spans="1:22" x14ac:dyDescent="0.2">
      <c r="A308" s="153">
        <v>2026</v>
      </c>
      <c r="B308" s="153">
        <v>7</v>
      </c>
      <c r="E308" s="173">
        <v>15.568154349931135</v>
      </c>
      <c r="F308" s="281">
        <f t="shared" si="22"/>
        <v>15.066875412063778</v>
      </c>
      <c r="G308" s="173"/>
      <c r="H308" s="173">
        <v>30.71</v>
      </c>
      <c r="I308" s="154">
        <v>816710.98710702162</v>
      </c>
      <c r="J308" s="190">
        <f>VLOOKUP($A308&amp;$B308,'LE Inputs'!$C$2:$J$505,MATCH('LE UtilityData'!J$1,'LE Inputs'!$C$1:$J$1,0),0)*1000</f>
        <v>1468961.3247427074</v>
      </c>
      <c r="K308" s="190">
        <v>592037.050251849</v>
      </c>
      <c r="L308" s="164">
        <v>392685.24615666881</v>
      </c>
      <c r="M308" s="299">
        <v>389558.09</v>
      </c>
      <c r="N308" s="156">
        <v>65281.970342822002</v>
      </c>
      <c r="O308" s="190" t="e">
        <f>VLOOKUP($A308&amp;$B308,'LE Inputs'!$C$2:$J$505,MATCH('LE UtilityData'!O$1,'LE Inputs'!$C$1:$J$1,0),0)</f>
        <v>#N/A</v>
      </c>
      <c r="P308" s="190" t="e">
        <f>VLOOKUP($A308&amp;$B308,'LE Inputs'!$C$2:$J$505,MATCH('LE UtilityData'!P$1,'LE Inputs'!$C$1:$J$1,0),0)</f>
        <v>#N/A</v>
      </c>
      <c r="Q308" s="168">
        <f t="shared" si="26"/>
        <v>0.55000000000000004</v>
      </c>
      <c r="R308" s="168">
        <f t="shared" si="26"/>
        <v>396.4</v>
      </c>
      <c r="S308" s="166">
        <v>4124</v>
      </c>
      <c r="T308" s="166">
        <v>1696</v>
      </c>
      <c r="U308" s="166">
        <f t="shared" si="23"/>
        <v>0</v>
      </c>
      <c r="V308" s="166">
        <f t="shared" si="21"/>
        <v>0</v>
      </c>
    </row>
    <row r="309" spans="1:22" x14ac:dyDescent="0.2">
      <c r="A309" s="153">
        <v>2026</v>
      </c>
      <c r="B309" s="153">
        <v>8</v>
      </c>
      <c r="E309" s="173">
        <v>15.568154349931135</v>
      </c>
      <c r="F309" s="281">
        <f t="shared" si="22"/>
        <v>15.066875412063778</v>
      </c>
      <c r="G309" s="173"/>
      <c r="H309" s="173">
        <v>29.52</v>
      </c>
      <c r="I309" s="154">
        <v>817124.98710702162</v>
      </c>
      <c r="J309" s="190">
        <f>VLOOKUP($A309&amp;$B309,'LE Inputs'!$C$2:$J$505,MATCH('LE UtilityData'!J$1,'LE Inputs'!$C$1:$J$1,0),0)*1000</f>
        <v>1468961.3247427074</v>
      </c>
      <c r="K309" s="190">
        <v>592037.050251849</v>
      </c>
      <c r="L309" s="164">
        <v>392884.30273173057</v>
      </c>
      <c r="M309" s="299">
        <v>389558.09</v>
      </c>
      <c r="N309" s="156">
        <v>65281.970342822002</v>
      </c>
      <c r="O309" s="190" t="e">
        <f>VLOOKUP($A309&amp;$B309,'LE Inputs'!$C$2:$J$505,MATCH('LE UtilityData'!O$1,'LE Inputs'!$C$1:$J$1,0),0)</f>
        <v>#N/A</v>
      </c>
      <c r="P309" s="190" t="e">
        <f>VLOOKUP($A309&amp;$B309,'LE Inputs'!$C$2:$J$505,MATCH('LE UtilityData'!P$1,'LE Inputs'!$C$1:$J$1,0),0)</f>
        <v>#N/A</v>
      </c>
      <c r="Q309" s="168">
        <f t="shared" si="26"/>
        <v>0.1</v>
      </c>
      <c r="R309" s="168">
        <f t="shared" si="26"/>
        <v>417.05</v>
      </c>
      <c r="S309" s="166">
        <v>4124</v>
      </c>
      <c r="T309" s="166">
        <v>1696</v>
      </c>
      <c r="U309" s="166">
        <f t="shared" si="23"/>
        <v>0</v>
      </c>
      <c r="V309" s="166">
        <f t="shared" si="21"/>
        <v>0</v>
      </c>
    </row>
    <row r="310" spans="1:22" x14ac:dyDescent="0.2">
      <c r="A310" s="153">
        <v>2026</v>
      </c>
      <c r="B310" s="153">
        <v>9</v>
      </c>
      <c r="E310" s="173">
        <v>15.568154349931135</v>
      </c>
      <c r="F310" s="281">
        <f t="shared" si="22"/>
        <v>15.066875412063778</v>
      </c>
      <c r="G310" s="173"/>
      <c r="H310" s="173">
        <v>30.48</v>
      </c>
      <c r="I310" s="154">
        <v>817538.98710702162</v>
      </c>
      <c r="J310" s="190">
        <f>VLOOKUP($A310&amp;$B310,'LE Inputs'!$C$2:$J$505,MATCH('LE UtilityData'!J$1,'LE Inputs'!$C$1:$J$1,0),0)*1000</f>
        <v>1468961.3247427074</v>
      </c>
      <c r="K310" s="190">
        <v>592037.050251849</v>
      </c>
      <c r="L310" s="164">
        <v>393083.35930679238</v>
      </c>
      <c r="M310" s="299">
        <v>389558.1</v>
      </c>
      <c r="N310" s="156">
        <v>65281.970342822002</v>
      </c>
      <c r="O310" s="190" t="e">
        <f>VLOOKUP($A310&amp;$B310,'LE Inputs'!$C$2:$J$505,MATCH('LE UtilityData'!O$1,'LE Inputs'!$C$1:$J$1,0),0)</f>
        <v>#N/A</v>
      </c>
      <c r="P310" s="190" t="e">
        <f>VLOOKUP($A310&amp;$B310,'LE Inputs'!$C$2:$J$505,MATCH('LE UtilityData'!P$1,'LE Inputs'!$C$1:$J$1,0),0)</f>
        <v>#N/A</v>
      </c>
      <c r="Q310" s="168">
        <f t="shared" si="26"/>
        <v>5.35</v>
      </c>
      <c r="R310" s="168">
        <f t="shared" si="26"/>
        <v>330.2</v>
      </c>
      <c r="S310" s="166">
        <v>4124</v>
      </c>
      <c r="T310" s="166">
        <v>1696</v>
      </c>
      <c r="U310" s="166">
        <f t="shared" si="23"/>
        <v>0</v>
      </c>
      <c r="V310" s="166">
        <f t="shared" si="21"/>
        <v>0</v>
      </c>
    </row>
    <row r="311" spans="1:22" x14ac:dyDescent="0.2">
      <c r="A311" s="153">
        <v>2026</v>
      </c>
      <c r="B311" s="153">
        <v>10</v>
      </c>
      <c r="E311" s="173">
        <v>15.568154349931135</v>
      </c>
      <c r="F311" s="281">
        <f t="shared" si="22"/>
        <v>15.066875412063778</v>
      </c>
      <c r="G311" s="173"/>
      <c r="H311" s="173">
        <v>29.67</v>
      </c>
      <c r="I311" s="154">
        <v>817952.98710702162</v>
      </c>
      <c r="J311" s="190">
        <f>VLOOKUP($A311&amp;$B311,'LE Inputs'!$C$2:$J$505,MATCH('LE UtilityData'!J$1,'LE Inputs'!$C$1:$J$1,0),0)*1000</f>
        <v>1472189.1344308439</v>
      </c>
      <c r="K311" s="190">
        <v>593447.00159440713</v>
      </c>
      <c r="L311" s="164">
        <v>393282.41588185419</v>
      </c>
      <c r="M311" s="299">
        <v>390299.29</v>
      </c>
      <c r="N311" s="156">
        <v>65796.272207832502</v>
      </c>
      <c r="O311" s="190" t="e">
        <f>VLOOKUP($A311&amp;$B311,'LE Inputs'!$C$2:$J$505,MATCH('LE UtilityData'!O$1,'LE Inputs'!$C$1:$J$1,0),0)</f>
        <v>#N/A</v>
      </c>
      <c r="P311" s="190" t="e">
        <f>VLOOKUP($A311&amp;$B311,'LE Inputs'!$C$2:$J$505,MATCH('LE UtilityData'!P$1,'LE Inputs'!$C$1:$J$1,0),0)</f>
        <v>#N/A</v>
      </c>
      <c r="Q311" s="168">
        <f t="shared" si="26"/>
        <v>99.3</v>
      </c>
      <c r="R311" s="168">
        <f t="shared" si="26"/>
        <v>100.05</v>
      </c>
      <c r="S311" s="166">
        <v>4124</v>
      </c>
      <c r="T311" s="166">
        <v>1696</v>
      </c>
      <c r="U311" s="166">
        <f t="shared" si="23"/>
        <v>0</v>
      </c>
      <c r="V311" s="166">
        <f t="shared" si="21"/>
        <v>0</v>
      </c>
    </row>
    <row r="312" spans="1:22" x14ac:dyDescent="0.2">
      <c r="A312" s="153">
        <v>2026</v>
      </c>
      <c r="B312" s="153">
        <v>11</v>
      </c>
      <c r="E312" s="173">
        <v>15.568154349931135</v>
      </c>
      <c r="F312" s="281">
        <f t="shared" si="22"/>
        <v>15.066875412063778</v>
      </c>
      <c r="G312" s="173"/>
      <c r="H312" s="173">
        <v>29.76</v>
      </c>
      <c r="I312" s="154">
        <v>818366.98710702162</v>
      </c>
      <c r="J312" s="190">
        <f>VLOOKUP($A312&amp;$B312,'LE Inputs'!$C$2:$J$505,MATCH('LE UtilityData'!J$1,'LE Inputs'!$C$1:$J$1,0),0)*1000</f>
        <v>1472189.1344308439</v>
      </c>
      <c r="K312" s="190">
        <v>593447.00159440713</v>
      </c>
      <c r="L312" s="164">
        <v>393481.472456916</v>
      </c>
      <c r="M312" s="299">
        <v>390299.29</v>
      </c>
      <c r="N312" s="156">
        <v>65796.272207832502</v>
      </c>
      <c r="O312" s="190" t="e">
        <f>VLOOKUP($A312&amp;$B312,'LE Inputs'!$C$2:$J$505,MATCH('LE UtilityData'!O$1,'LE Inputs'!$C$1:$J$1,0),0)</f>
        <v>#N/A</v>
      </c>
      <c r="P312" s="190" t="e">
        <f>VLOOKUP($A312&amp;$B312,'LE Inputs'!$C$2:$J$505,MATCH('LE UtilityData'!P$1,'LE Inputs'!$C$1:$J$1,0),0)</f>
        <v>#N/A</v>
      </c>
      <c r="Q312" s="168">
        <f t="shared" si="26"/>
        <v>352.6</v>
      </c>
      <c r="R312" s="168">
        <f t="shared" si="26"/>
        <v>12.75</v>
      </c>
      <c r="S312" s="166">
        <v>4124</v>
      </c>
      <c r="T312" s="166">
        <v>1696</v>
      </c>
      <c r="U312" s="166">
        <f t="shared" si="23"/>
        <v>0</v>
      </c>
      <c r="V312" s="166">
        <f t="shared" si="21"/>
        <v>0</v>
      </c>
    </row>
    <row r="313" spans="1:22" x14ac:dyDescent="0.2">
      <c r="A313" s="153">
        <v>2026</v>
      </c>
      <c r="B313" s="153">
        <v>12</v>
      </c>
      <c r="E313" s="173">
        <v>15.568154349931135</v>
      </c>
      <c r="F313" s="281">
        <f t="shared" si="22"/>
        <v>15.066875412063778</v>
      </c>
      <c r="G313" s="173"/>
      <c r="H313" s="173">
        <v>31.57</v>
      </c>
      <c r="I313" s="154">
        <v>818780.98710702162</v>
      </c>
      <c r="J313" s="190">
        <f>VLOOKUP($A313&amp;$B313,'LE Inputs'!$C$2:$J$505,MATCH('LE UtilityData'!J$1,'LE Inputs'!$C$1:$J$1,0),0)*1000</f>
        <v>1472189.1344308439</v>
      </c>
      <c r="K313" s="190">
        <v>593447.00159440713</v>
      </c>
      <c r="L313" s="164">
        <v>393680.52903197776</v>
      </c>
      <c r="M313" s="299">
        <v>390299.29</v>
      </c>
      <c r="N313" s="156">
        <v>65796.272207832502</v>
      </c>
      <c r="O313" s="190" t="e">
        <f>VLOOKUP($A313&amp;$B313,'LE Inputs'!$C$2:$J$505,MATCH('LE UtilityData'!O$1,'LE Inputs'!$C$1:$J$1,0),0)</f>
        <v>#N/A</v>
      </c>
      <c r="P313" s="190" t="e">
        <f>VLOOKUP($A313&amp;$B313,'LE Inputs'!$C$2:$J$505,MATCH('LE UtilityData'!P$1,'LE Inputs'!$C$1:$J$1,0),0)</f>
        <v>#N/A</v>
      </c>
      <c r="Q313" s="168">
        <f t="shared" si="26"/>
        <v>669.9</v>
      </c>
      <c r="R313" s="168">
        <f t="shared" si="26"/>
        <v>1.05</v>
      </c>
      <c r="S313" s="166">
        <v>4124</v>
      </c>
      <c r="T313" s="166">
        <v>1696</v>
      </c>
      <c r="U313" s="166">
        <f t="shared" si="23"/>
        <v>0</v>
      </c>
      <c r="V313" s="166">
        <f t="shared" si="21"/>
        <v>0</v>
      </c>
    </row>
    <row r="314" spans="1:22" x14ac:dyDescent="0.2">
      <c r="A314" s="153">
        <v>2027</v>
      </c>
      <c r="B314" s="153">
        <v>1</v>
      </c>
      <c r="E314" s="173">
        <v>15.957358208679413</v>
      </c>
      <c r="F314" s="281">
        <f t="shared" si="22"/>
        <v>15.368212920305053</v>
      </c>
      <c r="G314" s="173"/>
      <c r="H314" s="173">
        <v>32.520000000000003</v>
      </c>
      <c r="I314" s="154">
        <v>819194.98710702162</v>
      </c>
      <c r="J314" s="190">
        <f>VLOOKUP($A314&amp;$B314,'LE Inputs'!$C$2:$J$505,MATCH('LE UtilityData'!J$1,'LE Inputs'!$C$1:$J$1,0),0)*1000</f>
        <v>1475298.0818535744</v>
      </c>
      <c r="K314" s="190">
        <v>594820.95610078215</v>
      </c>
      <c r="L314" s="164">
        <v>393879.58560703957</v>
      </c>
      <c r="M314" s="299">
        <v>391021.56</v>
      </c>
      <c r="N314" s="156">
        <v>66405.544222341996</v>
      </c>
      <c r="O314" s="190" t="e">
        <f>VLOOKUP($A314&amp;$B314,'LE Inputs'!$C$2:$J$505,MATCH('LE UtilityData'!O$1,'LE Inputs'!$C$1:$J$1,0),0)</f>
        <v>#N/A</v>
      </c>
      <c r="P314" s="190" t="e">
        <f>VLOOKUP($A314&amp;$B314,'LE Inputs'!$C$2:$J$505,MATCH('LE UtilityData'!P$1,'LE Inputs'!$C$1:$J$1,0),0)</f>
        <v>#N/A</v>
      </c>
      <c r="Q314" s="168">
        <f t="shared" si="26"/>
        <v>932.4</v>
      </c>
      <c r="R314" s="168">
        <f t="shared" si="26"/>
        <v>0.35</v>
      </c>
      <c r="S314" s="166">
        <v>4124</v>
      </c>
      <c r="T314" s="166">
        <v>1696</v>
      </c>
      <c r="U314" s="166">
        <f t="shared" si="23"/>
        <v>0</v>
      </c>
      <c r="V314" s="166">
        <f t="shared" si="21"/>
        <v>0</v>
      </c>
    </row>
    <row r="315" spans="1:22" x14ac:dyDescent="0.2">
      <c r="A315" s="153">
        <v>2027</v>
      </c>
      <c r="B315" s="153">
        <v>2</v>
      </c>
      <c r="E315" s="173">
        <v>15.957358208679413</v>
      </c>
      <c r="F315" s="281">
        <f t="shared" si="22"/>
        <v>15.368212920305053</v>
      </c>
      <c r="G315" s="173"/>
      <c r="H315" s="173">
        <v>30.14</v>
      </c>
      <c r="I315" s="154">
        <v>819608.98710702162</v>
      </c>
      <c r="J315" s="190">
        <f>VLOOKUP($A315&amp;$B315,'LE Inputs'!$C$2:$J$505,MATCH('LE UtilityData'!J$1,'LE Inputs'!$C$1:$J$1,0),0)*1000</f>
        <v>1475298.0818535744</v>
      </c>
      <c r="K315" s="190">
        <v>594820.95610078215</v>
      </c>
      <c r="L315" s="164">
        <v>394078.64218210138</v>
      </c>
      <c r="M315" s="299">
        <v>391021.56</v>
      </c>
      <c r="N315" s="156">
        <v>66405.544222341996</v>
      </c>
      <c r="O315" s="190" t="e">
        <f>VLOOKUP($A315&amp;$B315,'LE Inputs'!$C$2:$J$505,MATCH('LE UtilityData'!O$1,'LE Inputs'!$C$1:$J$1,0),0)</f>
        <v>#N/A</v>
      </c>
      <c r="P315" s="190" t="e">
        <f>VLOOKUP($A315&amp;$B315,'LE Inputs'!$C$2:$J$505,MATCH('LE UtilityData'!P$1,'LE Inputs'!$C$1:$J$1,0),0)</f>
        <v>#N/A</v>
      </c>
      <c r="Q315" s="168">
        <f t="shared" si="26"/>
        <v>864.1</v>
      </c>
      <c r="R315" s="168">
        <f t="shared" si="26"/>
        <v>0.05</v>
      </c>
      <c r="S315" s="166">
        <v>4124</v>
      </c>
      <c r="T315" s="166">
        <v>1696</v>
      </c>
      <c r="U315" s="166">
        <f t="shared" si="23"/>
        <v>0</v>
      </c>
      <c r="V315" s="166">
        <f t="shared" si="21"/>
        <v>0</v>
      </c>
    </row>
    <row r="316" spans="1:22" x14ac:dyDescent="0.2">
      <c r="A316" s="153">
        <v>2027</v>
      </c>
      <c r="B316" s="153">
        <v>3</v>
      </c>
      <c r="E316" s="173">
        <v>15.957358208679413</v>
      </c>
      <c r="F316" s="281">
        <f t="shared" si="22"/>
        <v>15.368212920305053</v>
      </c>
      <c r="G316" s="173"/>
      <c r="H316" s="173">
        <v>30.33</v>
      </c>
      <c r="I316" s="154">
        <v>820022.98710702162</v>
      </c>
      <c r="J316" s="190">
        <f>VLOOKUP($A316&amp;$B316,'LE Inputs'!$C$2:$J$505,MATCH('LE UtilityData'!J$1,'LE Inputs'!$C$1:$J$1,0),0)*1000</f>
        <v>1475298.0818535744</v>
      </c>
      <c r="K316" s="190">
        <v>594820.95610078215</v>
      </c>
      <c r="L316" s="164">
        <v>394277.69875716319</v>
      </c>
      <c r="M316" s="299">
        <v>391021.57</v>
      </c>
      <c r="N316" s="156">
        <v>66405.544222341996</v>
      </c>
      <c r="O316" s="190" t="e">
        <f>VLOOKUP($A316&amp;$B316,'LE Inputs'!$C$2:$J$505,MATCH('LE UtilityData'!O$1,'LE Inputs'!$C$1:$J$1,0),0)</f>
        <v>#N/A</v>
      </c>
      <c r="P316" s="190" t="e">
        <f>VLOOKUP($A316&amp;$B316,'LE Inputs'!$C$2:$J$505,MATCH('LE UtilityData'!P$1,'LE Inputs'!$C$1:$J$1,0),0)</f>
        <v>#N/A</v>
      </c>
      <c r="Q316" s="168">
        <f t="shared" si="26"/>
        <v>674.3</v>
      </c>
      <c r="R316" s="168">
        <f t="shared" si="26"/>
        <v>1.1499999999999999</v>
      </c>
      <c r="S316" s="166">
        <v>4124</v>
      </c>
      <c r="T316" s="166">
        <v>1696</v>
      </c>
      <c r="U316" s="166">
        <f t="shared" si="23"/>
        <v>0</v>
      </c>
      <c r="V316" s="166">
        <f t="shared" si="21"/>
        <v>0</v>
      </c>
    </row>
    <row r="317" spans="1:22" x14ac:dyDescent="0.2">
      <c r="A317" s="153">
        <v>2027</v>
      </c>
      <c r="B317" s="153">
        <v>4</v>
      </c>
      <c r="E317" s="173">
        <v>15.957358208679413</v>
      </c>
      <c r="F317" s="281">
        <f t="shared" si="22"/>
        <v>15.368212920305053</v>
      </c>
      <c r="G317" s="173"/>
      <c r="H317" s="173">
        <v>30.52</v>
      </c>
      <c r="I317" s="154">
        <v>820436.98710702162</v>
      </c>
      <c r="J317" s="190">
        <f>VLOOKUP($A317&amp;$B317,'LE Inputs'!$C$2:$J$505,MATCH('LE UtilityData'!J$1,'LE Inputs'!$C$1:$J$1,0),0)*1000</f>
        <v>1478307.8936440053</v>
      </c>
      <c r="K317" s="190">
        <v>596179.89665720169</v>
      </c>
      <c r="L317" s="164">
        <v>394476.755332225</v>
      </c>
      <c r="M317" s="299">
        <v>391735.95</v>
      </c>
      <c r="N317" s="156">
        <v>66804.413148161198</v>
      </c>
      <c r="O317" s="190" t="e">
        <f>VLOOKUP($A317&amp;$B317,'LE Inputs'!$C$2:$J$505,MATCH('LE UtilityData'!O$1,'LE Inputs'!$C$1:$J$1,0),0)</f>
        <v>#N/A</v>
      </c>
      <c r="P317" s="190" t="e">
        <f>VLOOKUP($A317&amp;$B317,'LE Inputs'!$C$2:$J$505,MATCH('LE UtilityData'!P$1,'LE Inputs'!$C$1:$J$1,0),0)</f>
        <v>#N/A</v>
      </c>
      <c r="Q317" s="168">
        <f t="shared" si="26"/>
        <v>377.1</v>
      </c>
      <c r="R317" s="168">
        <f t="shared" si="26"/>
        <v>20.25</v>
      </c>
      <c r="S317" s="166">
        <v>4124</v>
      </c>
      <c r="T317" s="166">
        <v>1696</v>
      </c>
      <c r="U317" s="166">
        <f t="shared" si="23"/>
        <v>0</v>
      </c>
      <c r="V317" s="166">
        <f t="shared" si="21"/>
        <v>0</v>
      </c>
    </row>
    <row r="318" spans="1:22" x14ac:dyDescent="0.2">
      <c r="A318" s="153">
        <v>2027</v>
      </c>
      <c r="B318" s="153">
        <v>5</v>
      </c>
      <c r="E318" s="173">
        <v>15.957358208679413</v>
      </c>
      <c r="F318" s="281">
        <f t="shared" si="22"/>
        <v>15.368212920305053</v>
      </c>
      <c r="G318" s="173"/>
      <c r="H318" s="173">
        <v>29.48</v>
      </c>
      <c r="I318" s="154">
        <v>820850.98710702162</v>
      </c>
      <c r="J318" s="190">
        <f>VLOOKUP($A318&amp;$B318,'LE Inputs'!$C$2:$J$505,MATCH('LE UtilityData'!J$1,'LE Inputs'!$C$1:$J$1,0),0)*1000</f>
        <v>1478307.8936440053</v>
      </c>
      <c r="K318" s="190">
        <v>596179.89665720169</v>
      </c>
      <c r="L318" s="164">
        <v>394675.81190728681</v>
      </c>
      <c r="M318" s="299">
        <v>391735.95</v>
      </c>
      <c r="N318" s="156">
        <v>66804.413148161198</v>
      </c>
      <c r="O318" s="190" t="e">
        <f>VLOOKUP($A318&amp;$B318,'LE Inputs'!$C$2:$J$505,MATCH('LE UtilityData'!O$1,'LE Inputs'!$C$1:$J$1,0),0)</f>
        <v>#N/A</v>
      </c>
      <c r="P318" s="190" t="e">
        <f>VLOOKUP($A318&amp;$B318,'LE Inputs'!$C$2:$J$505,MATCH('LE UtilityData'!P$1,'LE Inputs'!$C$1:$J$1,0),0)</f>
        <v>#N/A</v>
      </c>
      <c r="Q318" s="168">
        <f t="shared" ref="Q318:R333" si="27">Q306</f>
        <v>141</v>
      </c>
      <c r="R318" s="168">
        <f t="shared" si="27"/>
        <v>69.349999999999994</v>
      </c>
      <c r="S318" s="166">
        <v>4124</v>
      </c>
      <c r="T318" s="166">
        <v>1696</v>
      </c>
      <c r="U318" s="166">
        <f t="shared" si="23"/>
        <v>0</v>
      </c>
      <c r="V318" s="166">
        <f t="shared" si="21"/>
        <v>0</v>
      </c>
    </row>
    <row r="319" spans="1:22" x14ac:dyDescent="0.2">
      <c r="A319" s="153">
        <v>2027</v>
      </c>
      <c r="B319" s="153">
        <v>6</v>
      </c>
      <c r="E319" s="173">
        <v>15.957358208679413</v>
      </c>
      <c r="F319" s="281">
        <f t="shared" si="22"/>
        <v>15.368212920305053</v>
      </c>
      <c r="G319" s="173"/>
      <c r="H319" s="173">
        <v>30.67</v>
      </c>
      <c r="I319" s="154">
        <v>821260.71249005781</v>
      </c>
      <c r="J319" s="190">
        <f>VLOOKUP($A319&amp;$B319,'LE Inputs'!$C$2:$J$505,MATCH('LE UtilityData'!J$1,'LE Inputs'!$C$1:$J$1,0),0)*1000</f>
        <v>1478307.8936440053</v>
      </c>
      <c r="K319" s="190">
        <v>596179.89665720169</v>
      </c>
      <c r="L319" s="164">
        <v>394872.81319101399</v>
      </c>
      <c r="M319" s="299">
        <v>391735.95</v>
      </c>
      <c r="N319" s="156">
        <v>66804.413148161198</v>
      </c>
      <c r="O319" s="190" t="e">
        <f>VLOOKUP($A319&amp;$B319,'LE Inputs'!$C$2:$J$505,MATCH('LE UtilityData'!O$1,'LE Inputs'!$C$1:$J$1,0),0)</f>
        <v>#N/A</v>
      </c>
      <c r="P319" s="190" t="e">
        <f>VLOOKUP($A319&amp;$B319,'LE Inputs'!$C$2:$J$505,MATCH('LE UtilityData'!P$1,'LE Inputs'!$C$1:$J$1,0),0)</f>
        <v>#N/A</v>
      </c>
      <c r="Q319" s="168">
        <f t="shared" si="27"/>
        <v>29.5</v>
      </c>
      <c r="R319" s="168">
        <f t="shared" si="27"/>
        <v>224.8</v>
      </c>
      <c r="S319" s="166">
        <v>4124</v>
      </c>
      <c r="T319" s="166">
        <v>1696</v>
      </c>
      <c r="U319" s="166">
        <f t="shared" si="23"/>
        <v>0</v>
      </c>
      <c r="V319" s="166">
        <f t="shared" si="21"/>
        <v>0</v>
      </c>
    </row>
    <row r="320" spans="1:22" x14ac:dyDescent="0.2">
      <c r="A320" s="153">
        <v>2027</v>
      </c>
      <c r="B320" s="153">
        <v>7</v>
      </c>
      <c r="E320" s="173">
        <v>15.957358208679413</v>
      </c>
      <c r="F320" s="281">
        <f t="shared" si="22"/>
        <v>15.368212920305053</v>
      </c>
      <c r="G320" s="173"/>
      <c r="H320" s="173">
        <v>30.71</v>
      </c>
      <c r="I320" s="154">
        <v>821665.71249005781</v>
      </c>
      <c r="J320" s="190">
        <f>VLOOKUP($A320&amp;$B320,'LE Inputs'!$C$2:$J$505,MATCH('LE UtilityData'!J$1,'LE Inputs'!$C$1:$J$1,0),0)*1000</f>
        <v>1481495.3488555888</v>
      </c>
      <c r="K320" s="190">
        <v>598222.16419318225</v>
      </c>
      <c r="L320" s="164">
        <v>395067.54244922666</v>
      </c>
      <c r="M320" s="299">
        <v>392809.36</v>
      </c>
      <c r="N320" s="156">
        <v>67274.290936591598</v>
      </c>
      <c r="O320" s="190" t="e">
        <f>VLOOKUP($A320&amp;$B320,'LE Inputs'!$C$2:$J$505,MATCH('LE UtilityData'!O$1,'LE Inputs'!$C$1:$J$1,0),0)</f>
        <v>#N/A</v>
      </c>
      <c r="P320" s="190" t="e">
        <f>VLOOKUP($A320&amp;$B320,'LE Inputs'!$C$2:$J$505,MATCH('LE UtilityData'!P$1,'LE Inputs'!$C$1:$J$1,0),0)</f>
        <v>#N/A</v>
      </c>
      <c r="Q320" s="168">
        <f t="shared" si="27"/>
        <v>0.55000000000000004</v>
      </c>
      <c r="R320" s="168">
        <f t="shared" si="27"/>
        <v>396.4</v>
      </c>
      <c r="S320" s="166">
        <v>4124</v>
      </c>
      <c r="T320" s="166">
        <v>1696</v>
      </c>
      <c r="U320" s="166">
        <f t="shared" si="23"/>
        <v>0</v>
      </c>
      <c r="V320" s="166">
        <f t="shared" si="21"/>
        <v>0</v>
      </c>
    </row>
    <row r="321" spans="1:22" x14ac:dyDescent="0.2">
      <c r="A321" s="153">
        <v>2027</v>
      </c>
      <c r="B321" s="153">
        <v>8</v>
      </c>
      <c r="E321" s="173">
        <v>15.957358208679413</v>
      </c>
      <c r="F321" s="281">
        <f t="shared" si="22"/>
        <v>15.368212920305053</v>
      </c>
      <c r="G321" s="173"/>
      <c r="H321" s="173">
        <v>29.52</v>
      </c>
      <c r="I321" s="154">
        <v>822070.71249005781</v>
      </c>
      <c r="J321" s="190">
        <f>VLOOKUP($A321&amp;$B321,'LE Inputs'!$C$2:$J$505,MATCH('LE UtilityData'!J$1,'LE Inputs'!$C$1:$J$1,0),0)*1000</f>
        <v>1481495.3488555888</v>
      </c>
      <c r="K321" s="190">
        <v>598222.16419318225</v>
      </c>
      <c r="L321" s="164">
        <v>395262.27170743927</v>
      </c>
      <c r="M321" s="299">
        <v>392809.36</v>
      </c>
      <c r="N321" s="156">
        <v>67274.290936591598</v>
      </c>
      <c r="O321" s="190" t="e">
        <f>VLOOKUP($A321&amp;$B321,'LE Inputs'!$C$2:$J$505,MATCH('LE UtilityData'!O$1,'LE Inputs'!$C$1:$J$1,0),0)</f>
        <v>#N/A</v>
      </c>
      <c r="P321" s="190" t="e">
        <f>VLOOKUP($A321&amp;$B321,'LE Inputs'!$C$2:$J$505,MATCH('LE UtilityData'!P$1,'LE Inputs'!$C$1:$J$1,0),0)</f>
        <v>#N/A</v>
      </c>
      <c r="Q321" s="168">
        <f t="shared" si="27"/>
        <v>0.1</v>
      </c>
      <c r="R321" s="168">
        <f t="shared" si="27"/>
        <v>417.05</v>
      </c>
      <c r="S321" s="166">
        <v>4124</v>
      </c>
      <c r="T321" s="166">
        <v>1696</v>
      </c>
      <c r="U321" s="166">
        <f t="shared" si="23"/>
        <v>0</v>
      </c>
      <c r="V321" s="166">
        <f t="shared" si="21"/>
        <v>0</v>
      </c>
    </row>
    <row r="322" spans="1:22" x14ac:dyDescent="0.2">
      <c r="A322" s="153">
        <v>2027</v>
      </c>
      <c r="B322" s="153">
        <v>9</v>
      </c>
      <c r="E322" s="173">
        <v>15.957358208679413</v>
      </c>
      <c r="F322" s="281">
        <f t="shared" si="22"/>
        <v>15.368212920305053</v>
      </c>
      <c r="G322" s="173"/>
      <c r="H322" s="173">
        <v>30.52</v>
      </c>
      <c r="I322" s="154">
        <v>822475.71249005781</v>
      </c>
      <c r="J322" s="190">
        <f>VLOOKUP($A322&amp;$B322,'LE Inputs'!$C$2:$J$505,MATCH('LE UtilityData'!J$1,'LE Inputs'!$C$1:$J$1,0),0)*1000</f>
        <v>1481495.3488555888</v>
      </c>
      <c r="K322" s="190">
        <v>598222.16419318225</v>
      </c>
      <c r="L322" s="164">
        <v>395457.00096565194</v>
      </c>
      <c r="M322" s="299">
        <v>392809.37</v>
      </c>
      <c r="N322" s="156">
        <v>67274.290936591598</v>
      </c>
      <c r="O322" s="190" t="e">
        <f>VLOOKUP($A322&amp;$B322,'LE Inputs'!$C$2:$J$505,MATCH('LE UtilityData'!O$1,'LE Inputs'!$C$1:$J$1,0),0)</f>
        <v>#N/A</v>
      </c>
      <c r="P322" s="190" t="e">
        <f>VLOOKUP($A322&amp;$B322,'LE Inputs'!$C$2:$J$505,MATCH('LE UtilityData'!P$1,'LE Inputs'!$C$1:$J$1,0),0)</f>
        <v>#N/A</v>
      </c>
      <c r="Q322" s="168">
        <f t="shared" si="27"/>
        <v>5.35</v>
      </c>
      <c r="R322" s="168">
        <f t="shared" si="27"/>
        <v>330.2</v>
      </c>
      <c r="S322" s="166">
        <v>4124</v>
      </c>
      <c r="T322" s="166">
        <v>1696</v>
      </c>
      <c r="U322" s="166">
        <f t="shared" si="23"/>
        <v>0</v>
      </c>
      <c r="V322" s="166">
        <f t="shared" ref="V322:V385" si="28">C322/L322*1000</f>
        <v>0</v>
      </c>
    </row>
    <row r="323" spans="1:22" x14ac:dyDescent="0.2">
      <c r="A323" s="153">
        <v>2027</v>
      </c>
      <c r="B323" s="153">
        <v>10</v>
      </c>
      <c r="E323" s="173">
        <v>15.957358208679413</v>
      </c>
      <c r="F323" s="281">
        <f t="shared" ref="F323:F386" si="29">F311*(1+0.02)</f>
        <v>15.368212920305053</v>
      </c>
      <c r="G323" s="173"/>
      <c r="H323" s="173">
        <v>29.62</v>
      </c>
      <c r="I323" s="154">
        <v>822880.71249005781</v>
      </c>
      <c r="J323" s="190">
        <f>VLOOKUP($A323&amp;$B323,'LE Inputs'!$C$2:$J$505,MATCH('LE UtilityData'!J$1,'LE Inputs'!$C$1:$J$1,0),0)*1000</f>
        <v>1483984.9116873886</v>
      </c>
      <c r="K323" s="190">
        <v>599127.21202533296</v>
      </c>
      <c r="L323" s="164">
        <v>395651.73022386455</v>
      </c>
      <c r="M323" s="299">
        <v>393285.1</v>
      </c>
      <c r="N323" s="156">
        <v>67675.154679376501</v>
      </c>
      <c r="O323" s="190" t="e">
        <f>VLOOKUP($A323&amp;$B323,'LE Inputs'!$C$2:$J$505,MATCH('LE UtilityData'!O$1,'LE Inputs'!$C$1:$J$1,0),0)</f>
        <v>#N/A</v>
      </c>
      <c r="P323" s="190" t="e">
        <f>VLOOKUP($A323&amp;$B323,'LE Inputs'!$C$2:$J$505,MATCH('LE UtilityData'!P$1,'LE Inputs'!$C$1:$J$1,0),0)</f>
        <v>#N/A</v>
      </c>
      <c r="Q323" s="168">
        <f t="shared" si="27"/>
        <v>99.3</v>
      </c>
      <c r="R323" s="168">
        <f t="shared" si="27"/>
        <v>100.05</v>
      </c>
      <c r="S323" s="166">
        <v>4124</v>
      </c>
      <c r="T323" s="166">
        <v>1696</v>
      </c>
      <c r="U323" s="166">
        <f t="shared" ref="U323:U386" si="30">D323/M323*1000</f>
        <v>0</v>
      </c>
      <c r="V323" s="166">
        <f t="shared" si="28"/>
        <v>0</v>
      </c>
    </row>
    <row r="324" spans="1:22" x14ac:dyDescent="0.2">
      <c r="A324" s="153">
        <v>2027</v>
      </c>
      <c r="B324" s="153">
        <v>11</v>
      </c>
      <c r="E324" s="173">
        <v>15.957358208679413</v>
      </c>
      <c r="F324" s="281">
        <f t="shared" si="29"/>
        <v>15.368212920305053</v>
      </c>
      <c r="G324" s="173"/>
      <c r="H324" s="173">
        <v>29.1</v>
      </c>
      <c r="I324" s="154">
        <v>823285.71249005781</v>
      </c>
      <c r="J324" s="190">
        <f>VLOOKUP($A324&amp;$B324,'LE Inputs'!$C$2:$J$505,MATCH('LE UtilityData'!J$1,'LE Inputs'!$C$1:$J$1,0),0)*1000</f>
        <v>1483984.9116873886</v>
      </c>
      <c r="K324" s="190">
        <v>599127.21202533296</v>
      </c>
      <c r="L324" s="164">
        <v>395846.45948207722</v>
      </c>
      <c r="M324" s="299">
        <v>393285.1</v>
      </c>
      <c r="N324" s="156">
        <v>67675.154679376501</v>
      </c>
      <c r="O324" s="190" t="e">
        <f>VLOOKUP($A324&amp;$B324,'LE Inputs'!$C$2:$J$505,MATCH('LE UtilityData'!O$1,'LE Inputs'!$C$1:$J$1,0),0)</f>
        <v>#N/A</v>
      </c>
      <c r="P324" s="190" t="e">
        <f>VLOOKUP($A324&amp;$B324,'LE Inputs'!$C$2:$J$505,MATCH('LE UtilityData'!P$1,'LE Inputs'!$C$1:$J$1,0),0)</f>
        <v>#N/A</v>
      </c>
      <c r="Q324" s="168">
        <f t="shared" si="27"/>
        <v>352.6</v>
      </c>
      <c r="R324" s="168">
        <f t="shared" si="27"/>
        <v>12.75</v>
      </c>
      <c r="S324" s="166">
        <v>4124</v>
      </c>
      <c r="T324" s="166">
        <v>1696</v>
      </c>
      <c r="U324" s="166">
        <f t="shared" si="30"/>
        <v>0</v>
      </c>
      <c r="V324" s="166">
        <f t="shared" si="28"/>
        <v>0</v>
      </c>
    </row>
    <row r="325" spans="1:22" x14ac:dyDescent="0.2">
      <c r="A325" s="153">
        <v>2027</v>
      </c>
      <c r="B325" s="153">
        <v>12</v>
      </c>
      <c r="E325" s="173">
        <v>15.957358208679413</v>
      </c>
      <c r="F325" s="281">
        <f t="shared" si="29"/>
        <v>15.368212920305053</v>
      </c>
      <c r="G325" s="173"/>
      <c r="H325" s="173">
        <v>31.67</v>
      </c>
      <c r="I325" s="154">
        <v>823690.71249005781</v>
      </c>
      <c r="J325" s="190">
        <f>VLOOKUP($A325&amp;$B325,'LE Inputs'!$C$2:$J$505,MATCH('LE UtilityData'!J$1,'LE Inputs'!$C$1:$J$1,0),0)*1000</f>
        <v>1483984.9116873886</v>
      </c>
      <c r="K325" s="190">
        <v>599127.21202533296</v>
      </c>
      <c r="L325" s="164">
        <v>396041.18874028989</v>
      </c>
      <c r="M325" s="299">
        <v>393285.1</v>
      </c>
      <c r="N325" s="156">
        <v>67675.154679376501</v>
      </c>
      <c r="O325" s="190" t="e">
        <f>VLOOKUP($A325&amp;$B325,'LE Inputs'!$C$2:$J$505,MATCH('LE UtilityData'!O$1,'LE Inputs'!$C$1:$J$1,0),0)</f>
        <v>#N/A</v>
      </c>
      <c r="P325" s="190" t="e">
        <f>VLOOKUP($A325&amp;$B325,'LE Inputs'!$C$2:$J$505,MATCH('LE UtilityData'!P$1,'LE Inputs'!$C$1:$J$1,0),0)</f>
        <v>#N/A</v>
      </c>
      <c r="Q325" s="168">
        <f t="shared" si="27"/>
        <v>669.9</v>
      </c>
      <c r="R325" s="168">
        <f t="shared" si="27"/>
        <v>1.05</v>
      </c>
      <c r="S325" s="166">
        <v>4124</v>
      </c>
      <c r="T325" s="166">
        <v>1696</v>
      </c>
      <c r="U325" s="166">
        <f t="shared" si="30"/>
        <v>0</v>
      </c>
      <c r="V325" s="166">
        <f t="shared" si="28"/>
        <v>0</v>
      </c>
    </row>
    <row r="326" spans="1:22" x14ac:dyDescent="0.2">
      <c r="A326" s="153">
        <v>2028</v>
      </c>
      <c r="B326" s="153">
        <v>1</v>
      </c>
      <c r="E326" s="173">
        <v>16.356292163896395</v>
      </c>
      <c r="F326" s="281">
        <f t="shared" si="29"/>
        <v>15.675577178711155</v>
      </c>
      <c r="G326" s="173"/>
      <c r="H326" s="173">
        <v>32.71</v>
      </c>
      <c r="I326" s="154">
        <v>824095.71249005781</v>
      </c>
      <c r="J326" s="190">
        <f>VLOOKUP($A326&amp;$B326,'LE Inputs'!$C$2:$J$505,MATCH('LE UtilityData'!J$1,'LE Inputs'!$C$1:$J$1,0),0)*1000</f>
        <v>1487111.3560323031</v>
      </c>
      <c r="K326" s="190">
        <v>600216.01911545487</v>
      </c>
      <c r="L326" s="164">
        <v>396235.91799850255</v>
      </c>
      <c r="M326" s="299">
        <v>393857.55</v>
      </c>
      <c r="N326" s="156">
        <v>68295.019243598595</v>
      </c>
      <c r="O326" s="190" t="e">
        <f>VLOOKUP($A326&amp;$B326,'LE Inputs'!$C$2:$J$505,MATCH('LE UtilityData'!O$1,'LE Inputs'!$C$1:$J$1,0),0)</f>
        <v>#N/A</v>
      </c>
      <c r="P326" s="190" t="e">
        <f>VLOOKUP($A326&amp;$B326,'LE Inputs'!$C$2:$J$505,MATCH('LE UtilityData'!P$1,'LE Inputs'!$C$1:$J$1,0),0)</f>
        <v>#N/A</v>
      </c>
      <c r="Q326" s="168">
        <f t="shared" si="27"/>
        <v>932.4</v>
      </c>
      <c r="R326" s="168">
        <f t="shared" si="27"/>
        <v>0.35</v>
      </c>
      <c r="S326" s="166">
        <v>4124</v>
      </c>
      <c r="T326" s="166">
        <v>1696</v>
      </c>
      <c r="U326" s="166">
        <f t="shared" si="30"/>
        <v>0</v>
      </c>
      <c r="V326" s="166">
        <f t="shared" si="28"/>
        <v>0</v>
      </c>
    </row>
    <row r="327" spans="1:22" x14ac:dyDescent="0.2">
      <c r="A327" s="153">
        <v>2028</v>
      </c>
      <c r="B327" s="153">
        <v>2</v>
      </c>
      <c r="E327" s="173">
        <v>16.356292163896395</v>
      </c>
      <c r="F327" s="281">
        <f t="shared" si="29"/>
        <v>15.675577178711155</v>
      </c>
      <c r="G327" s="173"/>
      <c r="H327" s="173">
        <v>29.81</v>
      </c>
      <c r="I327" s="154">
        <v>824500.71249005781</v>
      </c>
      <c r="J327" s="190">
        <f>VLOOKUP($A327&amp;$B327,'LE Inputs'!$C$2:$J$505,MATCH('LE UtilityData'!J$1,'LE Inputs'!$C$1:$J$1,0),0)*1000</f>
        <v>1487111.3560323031</v>
      </c>
      <c r="K327" s="190">
        <v>600216.01911545487</v>
      </c>
      <c r="L327" s="164">
        <v>396430.64725671516</v>
      </c>
      <c r="M327" s="299">
        <v>393857.55</v>
      </c>
      <c r="N327" s="156">
        <v>68295.019243598595</v>
      </c>
      <c r="O327" s="190" t="e">
        <f>VLOOKUP($A327&amp;$B327,'LE Inputs'!$C$2:$J$505,MATCH('LE UtilityData'!O$1,'LE Inputs'!$C$1:$J$1,0),0)</f>
        <v>#N/A</v>
      </c>
      <c r="P327" s="190" t="e">
        <f>VLOOKUP($A327&amp;$B327,'LE Inputs'!$C$2:$J$505,MATCH('LE UtilityData'!P$1,'LE Inputs'!$C$1:$J$1,0),0)</f>
        <v>#N/A</v>
      </c>
      <c r="Q327" s="168">
        <f t="shared" si="27"/>
        <v>864.1</v>
      </c>
      <c r="R327" s="168">
        <f t="shared" si="27"/>
        <v>0.05</v>
      </c>
      <c r="S327" s="166">
        <v>4124</v>
      </c>
      <c r="T327" s="166">
        <v>1696</v>
      </c>
      <c r="U327" s="166">
        <f t="shared" si="30"/>
        <v>0</v>
      </c>
      <c r="V327" s="166">
        <f t="shared" si="28"/>
        <v>0</v>
      </c>
    </row>
    <row r="328" spans="1:22" x14ac:dyDescent="0.2">
      <c r="A328" s="153">
        <v>2028</v>
      </c>
      <c r="B328" s="153">
        <v>3</v>
      </c>
      <c r="E328" s="173">
        <v>16.356292163896395</v>
      </c>
      <c r="F328" s="281">
        <f t="shared" si="29"/>
        <v>15.675577178711155</v>
      </c>
      <c r="G328" s="173"/>
      <c r="H328" s="173">
        <v>30.33</v>
      </c>
      <c r="I328" s="154">
        <v>824905.71249005781</v>
      </c>
      <c r="J328" s="190">
        <f>VLOOKUP($A328&amp;$B328,'LE Inputs'!$C$2:$J$505,MATCH('LE UtilityData'!J$1,'LE Inputs'!$C$1:$J$1,0),0)*1000</f>
        <v>1487111.3560323031</v>
      </c>
      <c r="K328" s="190">
        <v>600216.01911545487</v>
      </c>
      <c r="L328" s="164">
        <v>396625.37651492783</v>
      </c>
      <c r="M328" s="299">
        <v>393857.55</v>
      </c>
      <c r="N328" s="156">
        <v>68295.019243598595</v>
      </c>
      <c r="O328" s="190" t="e">
        <f>VLOOKUP($A328&amp;$B328,'LE Inputs'!$C$2:$J$505,MATCH('LE UtilityData'!O$1,'LE Inputs'!$C$1:$J$1,0),0)</f>
        <v>#N/A</v>
      </c>
      <c r="P328" s="190" t="e">
        <f>VLOOKUP($A328&amp;$B328,'LE Inputs'!$C$2:$J$505,MATCH('LE UtilityData'!P$1,'LE Inputs'!$C$1:$J$1,0),0)</f>
        <v>#N/A</v>
      </c>
      <c r="Q328" s="168">
        <f t="shared" si="27"/>
        <v>674.3</v>
      </c>
      <c r="R328" s="168">
        <f t="shared" si="27"/>
        <v>1.1499999999999999</v>
      </c>
      <c r="S328" s="166">
        <v>4124</v>
      </c>
      <c r="T328" s="166">
        <v>1696</v>
      </c>
      <c r="U328" s="166">
        <f t="shared" si="30"/>
        <v>0</v>
      </c>
      <c r="V328" s="166">
        <f t="shared" si="28"/>
        <v>0</v>
      </c>
    </row>
    <row r="329" spans="1:22" x14ac:dyDescent="0.2">
      <c r="A329" s="153">
        <v>2028</v>
      </c>
      <c r="B329" s="153">
        <v>4</v>
      </c>
      <c r="E329" s="173">
        <v>16.356292163896395</v>
      </c>
      <c r="F329" s="281">
        <f t="shared" si="29"/>
        <v>15.675577178711155</v>
      </c>
      <c r="G329" s="173"/>
      <c r="H329" s="173">
        <v>30.19</v>
      </c>
      <c r="I329" s="154">
        <v>825310.71249005781</v>
      </c>
      <c r="J329" s="190">
        <f>VLOOKUP($A329&amp;$B329,'LE Inputs'!$C$2:$J$505,MATCH('LE UtilityData'!J$1,'LE Inputs'!$C$1:$J$1,0),0)*1000</f>
        <v>1490208.1646802681</v>
      </c>
      <c r="K329" s="190">
        <v>601325.05611233145</v>
      </c>
      <c r="L329" s="164">
        <v>396820.1057731405</v>
      </c>
      <c r="M329" s="299">
        <v>394440.52</v>
      </c>
      <c r="N329" s="156">
        <v>68710.208257642604</v>
      </c>
      <c r="O329" s="190" t="e">
        <f>VLOOKUP($A329&amp;$B329,'LE Inputs'!$C$2:$J$505,MATCH('LE UtilityData'!O$1,'LE Inputs'!$C$1:$J$1,0),0)</f>
        <v>#N/A</v>
      </c>
      <c r="P329" s="190" t="e">
        <f>VLOOKUP($A329&amp;$B329,'LE Inputs'!$C$2:$J$505,MATCH('LE UtilityData'!P$1,'LE Inputs'!$C$1:$J$1,0),0)</f>
        <v>#N/A</v>
      </c>
      <c r="Q329" s="168">
        <f t="shared" si="27"/>
        <v>377.1</v>
      </c>
      <c r="R329" s="168">
        <f t="shared" si="27"/>
        <v>20.25</v>
      </c>
      <c r="S329" s="166">
        <v>4124</v>
      </c>
      <c r="T329" s="166">
        <v>1696</v>
      </c>
      <c r="U329" s="166">
        <f t="shared" si="30"/>
        <v>0</v>
      </c>
      <c r="V329" s="166">
        <f t="shared" si="28"/>
        <v>0</v>
      </c>
    </row>
    <row r="330" spans="1:22" x14ac:dyDescent="0.2">
      <c r="A330" s="153">
        <v>2028</v>
      </c>
      <c r="B330" s="153">
        <v>5</v>
      </c>
      <c r="E330" s="173">
        <v>16.356292163896395</v>
      </c>
      <c r="F330" s="281">
        <f t="shared" si="29"/>
        <v>15.675577178711155</v>
      </c>
      <c r="G330" s="173"/>
      <c r="H330" s="173">
        <v>30.14</v>
      </c>
      <c r="I330" s="154">
        <v>825715.71249005781</v>
      </c>
      <c r="J330" s="190">
        <f>VLOOKUP($A330&amp;$B330,'LE Inputs'!$C$2:$J$505,MATCH('LE UtilityData'!J$1,'LE Inputs'!$C$1:$J$1,0),0)*1000</f>
        <v>1490208.1646802681</v>
      </c>
      <c r="K330" s="190">
        <v>601325.05611233145</v>
      </c>
      <c r="L330" s="164">
        <v>397014.83503135311</v>
      </c>
      <c r="M330" s="299">
        <v>394440.52</v>
      </c>
      <c r="N330" s="156">
        <v>68710.208257642604</v>
      </c>
      <c r="O330" s="190" t="e">
        <f>VLOOKUP($A330&amp;$B330,'LE Inputs'!$C$2:$J$505,MATCH('LE UtilityData'!O$1,'LE Inputs'!$C$1:$J$1,0),0)</f>
        <v>#N/A</v>
      </c>
      <c r="P330" s="190" t="e">
        <f>VLOOKUP($A330&amp;$B330,'LE Inputs'!$C$2:$J$505,MATCH('LE UtilityData'!P$1,'LE Inputs'!$C$1:$J$1,0),0)</f>
        <v>#N/A</v>
      </c>
      <c r="Q330" s="168">
        <f t="shared" si="27"/>
        <v>141</v>
      </c>
      <c r="R330" s="168">
        <f t="shared" si="27"/>
        <v>69.349999999999994</v>
      </c>
      <c r="S330" s="166">
        <v>4124</v>
      </c>
      <c r="T330" s="166">
        <v>1696</v>
      </c>
      <c r="U330" s="166">
        <f t="shared" si="30"/>
        <v>0</v>
      </c>
      <c r="V330" s="166">
        <f t="shared" si="28"/>
        <v>0</v>
      </c>
    </row>
    <row r="331" spans="1:22" x14ac:dyDescent="0.2">
      <c r="A331" s="153">
        <v>2028</v>
      </c>
      <c r="B331" s="153">
        <v>6</v>
      </c>
      <c r="E331" s="173">
        <v>16.356292163896395</v>
      </c>
      <c r="F331" s="281">
        <f t="shared" si="29"/>
        <v>15.675577178711155</v>
      </c>
      <c r="G331" s="173"/>
      <c r="H331" s="173">
        <v>30.67</v>
      </c>
      <c r="I331" s="154">
        <v>826117.42860152258</v>
      </c>
      <c r="J331" s="190">
        <f>VLOOKUP($A331&amp;$B331,'LE Inputs'!$C$2:$J$505,MATCH('LE UtilityData'!J$1,'LE Inputs'!$C$1:$J$1,0),0)*1000</f>
        <v>1490208.1646802681</v>
      </c>
      <c r="K331" s="190">
        <v>601325.05611233145</v>
      </c>
      <c r="L331" s="164">
        <v>397207.98535332247</v>
      </c>
      <c r="M331" s="299">
        <v>394440.52</v>
      </c>
      <c r="N331" s="156">
        <v>68710.208257642604</v>
      </c>
      <c r="O331" s="190" t="e">
        <f>VLOOKUP($A331&amp;$B331,'LE Inputs'!$C$2:$J$505,MATCH('LE UtilityData'!O$1,'LE Inputs'!$C$1:$J$1,0),0)</f>
        <v>#N/A</v>
      </c>
      <c r="P331" s="190" t="e">
        <f>VLOOKUP($A331&amp;$B331,'LE Inputs'!$C$2:$J$505,MATCH('LE UtilityData'!P$1,'LE Inputs'!$C$1:$J$1,0),0)</f>
        <v>#N/A</v>
      </c>
      <c r="Q331" s="168">
        <f t="shared" si="27"/>
        <v>29.5</v>
      </c>
      <c r="R331" s="168">
        <f t="shared" si="27"/>
        <v>224.8</v>
      </c>
      <c r="S331" s="166">
        <v>4124</v>
      </c>
      <c r="T331" s="166">
        <v>1696</v>
      </c>
      <c r="U331" s="166">
        <f t="shared" si="30"/>
        <v>0</v>
      </c>
      <c r="V331" s="166">
        <f t="shared" si="28"/>
        <v>0</v>
      </c>
    </row>
    <row r="332" spans="1:22" x14ac:dyDescent="0.2">
      <c r="A332" s="153">
        <v>2028</v>
      </c>
      <c r="B332" s="153">
        <v>7</v>
      </c>
      <c r="E332" s="173">
        <v>16.356292163896395</v>
      </c>
      <c r="F332" s="281">
        <f t="shared" si="29"/>
        <v>15.675577178711155</v>
      </c>
      <c r="G332" s="173"/>
      <c r="H332" s="173">
        <v>30.67</v>
      </c>
      <c r="I332" s="154">
        <v>826512.42860152258</v>
      </c>
      <c r="J332" s="190">
        <f>VLOOKUP($A332&amp;$B332,'LE Inputs'!$C$2:$J$505,MATCH('LE UtilityData'!J$1,'LE Inputs'!$C$1:$J$1,0),0)*1000</f>
        <v>1493299.9206794384</v>
      </c>
      <c r="K332" s="190">
        <v>602429.08481717634</v>
      </c>
      <c r="L332" s="164">
        <v>397397.90648170264</v>
      </c>
      <c r="M332" s="299">
        <v>395020.86</v>
      </c>
      <c r="N332" s="156">
        <v>69148.861070697996</v>
      </c>
      <c r="O332" s="190" t="e">
        <f>VLOOKUP($A332&amp;$B332,'LE Inputs'!$C$2:$J$505,MATCH('LE UtilityData'!O$1,'LE Inputs'!$C$1:$J$1,0),0)</f>
        <v>#N/A</v>
      </c>
      <c r="P332" s="190" t="e">
        <f>VLOOKUP($A332&amp;$B332,'LE Inputs'!$C$2:$J$505,MATCH('LE UtilityData'!P$1,'LE Inputs'!$C$1:$J$1,0),0)</f>
        <v>#N/A</v>
      </c>
      <c r="Q332" s="168">
        <f t="shared" si="27"/>
        <v>0.55000000000000004</v>
      </c>
      <c r="R332" s="168">
        <f t="shared" si="27"/>
        <v>396.4</v>
      </c>
      <c r="S332" s="166">
        <v>4124</v>
      </c>
      <c r="T332" s="166">
        <v>1696</v>
      </c>
      <c r="U332" s="166">
        <f t="shared" si="30"/>
        <v>0</v>
      </c>
      <c r="V332" s="166">
        <f t="shared" si="28"/>
        <v>0</v>
      </c>
    </row>
    <row r="333" spans="1:22" x14ac:dyDescent="0.2">
      <c r="A333" s="153">
        <v>2028</v>
      </c>
      <c r="B333" s="153">
        <v>8</v>
      </c>
      <c r="E333" s="173">
        <v>16.356292163896395</v>
      </c>
      <c r="F333" s="281">
        <f t="shared" si="29"/>
        <v>15.675577178711155</v>
      </c>
      <c r="G333" s="173"/>
      <c r="H333" s="173">
        <v>29.57</v>
      </c>
      <c r="I333" s="154">
        <v>826907.42860152258</v>
      </c>
      <c r="J333" s="190">
        <f>VLOOKUP($A333&amp;$B333,'LE Inputs'!$C$2:$J$505,MATCH('LE UtilityData'!J$1,'LE Inputs'!$C$1:$J$1,0),0)*1000</f>
        <v>1493299.9206794384</v>
      </c>
      <c r="K333" s="190">
        <v>602429.08481717634</v>
      </c>
      <c r="L333" s="164">
        <v>397587.82761008281</v>
      </c>
      <c r="M333" s="299">
        <v>395020.86</v>
      </c>
      <c r="N333" s="156">
        <v>69148.861070697996</v>
      </c>
      <c r="O333" s="190" t="e">
        <f>VLOOKUP($A333&amp;$B333,'LE Inputs'!$C$2:$J$505,MATCH('LE UtilityData'!O$1,'LE Inputs'!$C$1:$J$1,0),0)</f>
        <v>#N/A</v>
      </c>
      <c r="P333" s="190" t="e">
        <f>VLOOKUP($A333&amp;$B333,'LE Inputs'!$C$2:$J$505,MATCH('LE UtilityData'!P$1,'LE Inputs'!$C$1:$J$1,0),0)</f>
        <v>#N/A</v>
      </c>
      <c r="Q333" s="168">
        <f t="shared" si="27"/>
        <v>0.1</v>
      </c>
      <c r="R333" s="168">
        <f t="shared" si="27"/>
        <v>417.05</v>
      </c>
      <c r="S333" s="166">
        <v>4124</v>
      </c>
      <c r="T333" s="166">
        <v>1696</v>
      </c>
      <c r="U333" s="166">
        <f t="shared" si="30"/>
        <v>0</v>
      </c>
      <c r="V333" s="166">
        <f t="shared" si="28"/>
        <v>0</v>
      </c>
    </row>
    <row r="334" spans="1:22" x14ac:dyDescent="0.2">
      <c r="A334" s="153">
        <v>2028</v>
      </c>
      <c r="B334" s="153">
        <v>9</v>
      </c>
      <c r="E334" s="173">
        <v>16.356292163896395</v>
      </c>
      <c r="F334" s="281">
        <f t="shared" si="29"/>
        <v>15.675577178711155</v>
      </c>
      <c r="G334" s="173"/>
      <c r="H334" s="173">
        <v>30.52</v>
      </c>
      <c r="I334" s="154">
        <v>827302.42860152258</v>
      </c>
      <c r="J334" s="190">
        <f>VLOOKUP($A334&amp;$B334,'LE Inputs'!$C$2:$J$505,MATCH('LE UtilityData'!J$1,'LE Inputs'!$C$1:$J$1,0),0)*1000</f>
        <v>1493299.9206794384</v>
      </c>
      <c r="K334" s="190">
        <v>602429.08481717634</v>
      </c>
      <c r="L334" s="164">
        <v>397777.74873846298</v>
      </c>
      <c r="M334" s="299">
        <v>395020.86</v>
      </c>
      <c r="N334" s="156">
        <v>69148.861070697996</v>
      </c>
      <c r="O334" s="190" t="e">
        <f>VLOOKUP($A334&amp;$B334,'LE Inputs'!$C$2:$J$505,MATCH('LE UtilityData'!O$1,'LE Inputs'!$C$1:$J$1,0),0)</f>
        <v>#N/A</v>
      </c>
      <c r="P334" s="190" t="e">
        <f>VLOOKUP($A334&amp;$B334,'LE Inputs'!$C$2:$J$505,MATCH('LE UtilityData'!P$1,'LE Inputs'!$C$1:$J$1,0),0)</f>
        <v>#N/A</v>
      </c>
      <c r="Q334" s="168">
        <f t="shared" ref="Q334:R349" si="31">Q322</f>
        <v>5.35</v>
      </c>
      <c r="R334" s="168">
        <f t="shared" si="31"/>
        <v>330.2</v>
      </c>
      <c r="S334" s="166">
        <v>4124</v>
      </c>
      <c r="T334" s="166">
        <v>1696</v>
      </c>
      <c r="U334" s="166">
        <f t="shared" si="30"/>
        <v>0</v>
      </c>
      <c r="V334" s="166">
        <f t="shared" si="28"/>
        <v>0</v>
      </c>
    </row>
    <row r="335" spans="1:22" x14ac:dyDescent="0.2">
      <c r="A335" s="153">
        <v>2028</v>
      </c>
      <c r="B335" s="153">
        <v>10</v>
      </c>
      <c r="E335" s="173">
        <v>16.356292163896395</v>
      </c>
      <c r="F335" s="281">
        <f t="shared" si="29"/>
        <v>15.675577178711155</v>
      </c>
      <c r="G335" s="173"/>
      <c r="H335" s="173">
        <v>29.62</v>
      </c>
      <c r="I335" s="154">
        <v>827697.42860152258</v>
      </c>
      <c r="J335" s="190">
        <f>VLOOKUP($A335&amp;$B335,'LE Inputs'!$C$2:$J$505,MATCH('LE UtilityData'!J$1,'LE Inputs'!$C$1:$J$1,0),0)*1000</f>
        <v>1496411.4701198251</v>
      </c>
      <c r="K335" s="190">
        <v>603774.02706422308</v>
      </c>
      <c r="L335" s="164">
        <v>397967.66986684321</v>
      </c>
      <c r="M335" s="299">
        <v>395727.88</v>
      </c>
      <c r="N335" s="156">
        <v>69544.800962140507</v>
      </c>
      <c r="O335" s="190" t="e">
        <f>VLOOKUP($A335&amp;$B335,'LE Inputs'!$C$2:$J$505,MATCH('LE UtilityData'!O$1,'LE Inputs'!$C$1:$J$1,0),0)</f>
        <v>#N/A</v>
      </c>
      <c r="P335" s="190" t="e">
        <f>VLOOKUP($A335&amp;$B335,'LE Inputs'!$C$2:$J$505,MATCH('LE UtilityData'!P$1,'LE Inputs'!$C$1:$J$1,0),0)</f>
        <v>#N/A</v>
      </c>
      <c r="Q335" s="168">
        <f t="shared" si="31"/>
        <v>99.3</v>
      </c>
      <c r="R335" s="168">
        <f t="shared" si="31"/>
        <v>100.05</v>
      </c>
      <c r="S335" s="166">
        <v>4124</v>
      </c>
      <c r="T335" s="166">
        <v>1696</v>
      </c>
      <c r="U335" s="166">
        <f t="shared" si="30"/>
        <v>0</v>
      </c>
      <c r="V335" s="166">
        <f t="shared" si="28"/>
        <v>0</v>
      </c>
    </row>
    <row r="336" spans="1:22" x14ac:dyDescent="0.2">
      <c r="A336" s="153">
        <v>2028</v>
      </c>
      <c r="B336" s="153">
        <v>11</v>
      </c>
      <c r="E336" s="173">
        <v>16.356292163896395</v>
      </c>
      <c r="F336" s="281">
        <f t="shared" si="29"/>
        <v>15.675577178711155</v>
      </c>
      <c r="G336" s="173"/>
      <c r="H336" s="173">
        <v>29.95</v>
      </c>
      <c r="I336" s="154">
        <v>828092.42860152258</v>
      </c>
      <c r="J336" s="190">
        <f>VLOOKUP($A336&amp;$B336,'LE Inputs'!$C$2:$J$505,MATCH('LE UtilityData'!J$1,'LE Inputs'!$C$1:$J$1,0),0)*1000</f>
        <v>1496411.4701198251</v>
      </c>
      <c r="K336" s="190">
        <v>603774.02706422308</v>
      </c>
      <c r="L336" s="164">
        <v>398157.59099522338</v>
      </c>
      <c r="M336" s="299">
        <v>395727.88</v>
      </c>
      <c r="N336" s="156">
        <v>69544.800962140507</v>
      </c>
      <c r="O336" s="190" t="e">
        <f>VLOOKUP($A336&amp;$B336,'LE Inputs'!$C$2:$J$505,MATCH('LE UtilityData'!O$1,'LE Inputs'!$C$1:$J$1,0),0)</f>
        <v>#N/A</v>
      </c>
      <c r="P336" s="190" t="e">
        <f>VLOOKUP($A336&amp;$B336,'LE Inputs'!$C$2:$J$505,MATCH('LE UtilityData'!P$1,'LE Inputs'!$C$1:$J$1,0),0)</f>
        <v>#N/A</v>
      </c>
      <c r="Q336" s="168">
        <f t="shared" si="31"/>
        <v>352.6</v>
      </c>
      <c r="R336" s="168">
        <f t="shared" si="31"/>
        <v>12.75</v>
      </c>
      <c r="S336" s="166">
        <v>4124</v>
      </c>
      <c r="T336" s="166">
        <v>1696</v>
      </c>
      <c r="U336" s="166">
        <f t="shared" si="30"/>
        <v>0</v>
      </c>
      <c r="V336" s="166">
        <f t="shared" si="28"/>
        <v>0</v>
      </c>
    </row>
    <row r="337" spans="1:22" x14ac:dyDescent="0.2">
      <c r="A337" s="153">
        <v>2028</v>
      </c>
      <c r="B337" s="153">
        <v>12</v>
      </c>
      <c r="E337" s="173">
        <v>16.356292163896395</v>
      </c>
      <c r="F337" s="281">
        <f t="shared" si="29"/>
        <v>15.675577178711155</v>
      </c>
      <c r="G337" s="173"/>
      <c r="H337" s="173">
        <v>31.24</v>
      </c>
      <c r="I337" s="154">
        <v>828487.42860152258</v>
      </c>
      <c r="J337" s="190">
        <f>VLOOKUP($A337&amp;$B337,'LE Inputs'!$C$2:$J$505,MATCH('LE UtilityData'!J$1,'LE Inputs'!$C$1:$J$1,0),0)*1000</f>
        <v>1496411.4701198251</v>
      </c>
      <c r="K337" s="190">
        <v>603774.02706422308</v>
      </c>
      <c r="L337" s="164">
        <v>398347.51212360361</v>
      </c>
      <c r="M337" s="299">
        <v>395727.88</v>
      </c>
      <c r="N337" s="156">
        <v>69544.800962140507</v>
      </c>
      <c r="O337" s="190" t="e">
        <f>VLOOKUP($A337&amp;$B337,'LE Inputs'!$C$2:$J$505,MATCH('LE UtilityData'!O$1,'LE Inputs'!$C$1:$J$1,0),0)</f>
        <v>#N/A</v>
      </c>
      <c r="P337" s="190" t="e">
        <f>VLOOKUP($A337&amp;$B337,'LE Inputs'!$C$2:$J$505,MATCH('LE UtilityData'!P$1,'LE Inputs'!$C$1:$J$1,0),0)</f>
        <v>#N/A</v>
      </c>
      <c r="Q337" s="168">
        <f t="shared" si="31"/>
        <v>669.9</v>
      </c>
      <c r="R337" s="168">
        <f t="shared" si="31"/>
        <v>1.05</v>
      </c>
      <c r="S337" s="166">
        <v>4124</v>
      </c>
      <c r="T337" s="166">
        <v>1696</v>
      </c>
      <c r="U337" s="166">
        <f t="shared" si="30"/>
        <v>0</v>
      </c>
      <c r="V337" s="166">
        <f t="shared" si="28"/>
        <v>0</v>
      </c>
    </row>
    <row r="338" spans="1:22" x14ac:dyDescent="0.2">
      <c r="A338" s="153">
        <v>2029</v>
      </c>
      <c r="B338" s="153">
        <v>1</v>
      </c>
      <c r="E338" s="173">
        <v>16.765199467993806</v>
      </c>
      <c r="F338" s="281">
        <f t="shared" si="29"/>
        <v>15.989088722285379</v>
      </c>
      <c r="G338" s="173"/>
      <c r="H338" s="173">
        <v>32.67</v>
      </c>
      <c r="I338" s="154">
        <v>828882.42860152258</v>
      </c>
      <c r="J338" s="190">
        <f>VLOOKUP($A338&amp;$B338,'LE Inputs'!$C$2:$J$505,MATCH('LE UtilityData'!J$1,'LE Inputs'!$C$1:$J$1,0),0)*1000</f>
        <v>1498894.0832056841</v>
      </c>
      <c r="K338" s="190">
        <v>604875.79551826511</v>
      </c>
      <c r="L338" s="164">
        <v>398537.43325198378</v>
      </c>
      <c r="M338" s="299">
        <v>396307.16</v>
      </c>
      <c r="N338" s="156">
        <v>70263.641262346093</v>
      </c>
      <c r="O338" s="190" t="e">
        <f>VLOOKUP($A338&amp;$B338,'LE Inputs'!$C$2:$J$505,MATCH('LE UtilityData'!O$1,'LE Inputs'!$C$1:$J$1,0),0)</f>
        <v>#N/A</v>
      </c>
      <c r="P338" s="190" t="e">
        <f>VLOOKUP($A338&amp;$B338,'LE Inputs'!$C$2:$J$505,MATCH('LE UtilityData'!P$1,'LE Inputs'!$C$1:$J$1,0),0)</f>
        <v>#N/A</v>
      </c>
      <c r="Q338" s="168">
        <f t="shared" si="31"/>
        <v>932.4</v>
      </c>
      <c r="R338" s="168">
        <f t="shared" si="31"/>
        <v>0.35</v>
      </c>
      <c r="S338" s="166">
        <v>4124</v>
      </c>
      <c r="T338" s="166">
        <v>1696</v>
      </c>
      <c r="U338" s="166">
        <f t="shared" si="30"/>
        <v>0</v>
      </c>
      <c r="V338" s="166">
        <f t="shared" si="28"/>
        <v>0</v>
      </c>
    </row>
    <row r="339" spans="1:22" x14ac:dyDescent="0.2">
      <c r="A339" s="153">
        <v>2029</v>
      </c>
      <c r="B339" s="153">
        <v>2</v>
      </c>
      <c r="E339" s="173">
        <v>16.765199467993806</v>
      </c>
      <c r="F339" s="281">
        <f t="shared" si="29"/>
        <v>15.989088722285379</v>
      </c>
      <c r="G339" s="173"/>
      <c r="H339" s="173">
        <v>29.86</v>
      </c>
      <c r="I339" s="154">
        <v>829277.42860152258</v>
      </c>
      <c r="J339" s="190">
        <f>VLOOKUP($A339&amp;$B339,'LE Inputs'!$C$2:$J$505,MATCH('LE UtilityData'!J$1,'LE Inputs'!$C$1:$J$1,0),0)*1000</f>
        <v>1498894.0832056841</v>
      </c>
      <c r="K339" s="190">
        <v>604875.79551826511</v>
      </c>
      <c r="L339" s="164">
        <v>398727.35438036395</v>
      </c>
      <c r="M339" s="299">
        <v>396307.16</v>
      </c>
      <c r="N339" s="156">
        <v>70263.641262346093</v>
      </c>
      <c r="O339" s="190" t="e">
        <f>VLOOKUP($A339&amp;$B339,'LE Inputs'!$C$2:$J$505,MATCH('LE UtilityData'!O$1,'LE Inputs'!$C$1:$J$1,0),0)</f>
        <v>#N/A</v>
      </c>
      <c r="P339" s="190" t="e">
        <f>VLOOKUP($A339&amp;$B339,'LE Inputs'!$C$2:$J$505,MATCH('LE UtilityData'!P$1,'LE Inputs'!$C$1:$J$1,0),0)</f>
        <v>#N/A</v>
      </c>
      <c r="Q339" s="168">
        <f t="shared" si="31"/>
        <v>864.1</v>
      </c>
      <c r="R339" s="168">
        <f t="shared" si="31"/>
        <v>0.05</v>
      </c>
      <c r="S339" s="166">
        <v>4124</v>
      </c>
      <c r="T339" s="166">
        <v>1696</v>
      </c>
      <c r="U339" s="166">
        <f t="shared" si="30"/>
        <v>0</v>
      </c>
      <c r="V339" s="166">
        <f t="shared" si="28"/>
        <v>0</v>
      </c>
    </row>
    <row r="340" spans="1:22" x14ac:dyDescent="0.2">
      <c r="A340" s="153">
        <v>2029</v>
      </c>
      <c r="B340" s="153">
        <v>3</v>
      </c>
      <c r="E340" s="173">
        <v>16.765199467993806</v>
      </c>
      <c r="F340" s="281">
        <f t="shared" si="29"/>
        <v>15.989088722285379</v>
      </c>
      <c r="G340" s="173"/>
      <c r="H340" s="173">
        <v>30.43</v>
      </c>
      <c r="I340" s="154">
        <v>829672.42860152258</v>
      </c>
      <c r="J340" s="190">
        <f>VLOOKUP($A340&amp;$B340,'LE Inputs'!$C$2:$J$505,MATCH('LE UtilityData'!J$1,'LE Inputs'!$C$1:$J$1,0),0)*1000</f>
        <v>1498894.0832056841</v>
      </c>
      <c r="K340" s="190">
        <v>604875.79551826511</v>
      </c>
      <c r="L340" s="164">
        <v>398917.27550874418</v>
      </c>
      <c r="M340" s="299">
        <v>396307.17</v>
      </c>
      <c r="N340" s="156">
        <v>70263.641262346093</v>
      </c>
      <c r="O340" s="190" t="e">
        <f>VLOOKUP($A340&amp;$B340,'LE Inputs'!$C$2:$J$505,MATCH('LE UtilityData'!O$1,'LE Inputs'!$C$1:$J$1,0),0)</f>
        <v>#N/A</v>
      </c>
      <c r="P340" s="190" t="e">
        <f>VLOOKUP($A340&amp;$B340,'LE Inputs'!$C$2:$J$505,MATCH('LE UtilityData'!P$1,'LE Inputs'!$C$1:$J$1,0),0)</f>
        <v>#N/A</v>
      </c>
      <c r="Q340" s="168">
        <f t="shared" si="31"/>
        <v>674.3</v>
      </c>
      <c r="R340" s="168">
        <f t="shared" si="31"/>
        <v>1.1499999999999999</v>
      </c>
      <c r="S340" s="166">
        <v>4124</v>
      </c>
      <c r="T340" s="166">
        <v>1696</v>
      </c>
      <c r="U340" s="166">
        <f t="shared" si="30"/>
        <v>0</v>
      </c>
      <c r="V340" s="166">
        <f t="shared" si="28"/>
        <v>0</v>
      </c>
    </row>
    <row r="341" spans="1:22" x14ac:dyDescent="0.2">
      <c r="A341" s="153">
        <v>2029</v>
      </c>
      <c r="B341" s="153">
        <v>4</v>
      </c>
      <c r="E341" s="173">
        <v>16.765199467993806</v>
      </c>
      <c r="F341" s="281">
        <f t="shared" si="29"/>
        <v>15.989088722285379</v>
      </c>
      <c r="G341" s="173"/>
      <c r="H341" s="173">
        <v>30.71</v>
      </c>
      <c r="I341" s="154">
        <v>830067.42860152258</v>
      </c>
      <c r="J341" s="190">
        <f>VLOOKUP($A341&amp;$B341,'LE Inputs'!$C$2:$J$505,MATCH('LE UtilityData'!J$1,'LE Inputs'!$C$1:$J$1,0),0)*1000</f>
        <v>1501971.6137818422</v>
      </c>
      <c r="K341" s="190">
        <v>606217.69491659617</v>
      </c>
      <c r="L341" s="164">
        <v>399107.19663712435</v>
      </c>
      <c r="M341" s="299">
        <v>397012.61</v>
      </c>
      <c r="N341" s="156">
        <v>70779.985971175498</v>
      </c>
      <c r="O341" s="190" t="e">
        <f>VLOOKUP($A341&amp;$B341,'LE Inputs'!$C$2:$J$505,MATCH('LE UtilityData'!O$1,'LE Inputs'!$C$1:$J$1,0),0)</f>
        <v>#N/A</v>
      </c>
      <c r="P341" s="190" t="e">
        <f>VLOOKUP($A341&amp;$B341,'LE Inputs'!$C$2:$J$505,MATCH('LE UtilityData'!P$1,'LE Inputs'!$C$1:$J$1,0),0)</f>
        <v>#N/A</v>
      </c>
      <c r="Q341" s="168">
        <f t="shared" si="31"/>
        <v>377.1</v>
      </c>
      <c r="R341" s="168">
        <f t="shared" si="31"/>
        <v>20.25</v>
      </c>
      <c r="S341" s="166">
        <v>4124</v>
      </c>
      <c r="T341" s="166">
        <v>1696</v>
      </c>
      <c r="U341" s="166">
        <f t="shared" si="30"/>
        <v>0</v>
      </c>
      <c r="V341" s="166">
        <f t="shared" si="28"/>
        <v>0</v>
      </c>
    </row>
    <row r="342" spans="1:22" x14ac:dyDescent="0.2">
      <c r="A342" s="153">
        <v>2029</v>
      </c>
      <c r="B342" s="153">
        <v>5</v>
      </c>
      <c r="E342" s="173">
        <v>16.765199467993806</v>
      </c>
      <c r="F342" s="281">
        <f t="shared" si="29"/>
        <v>15.989088722285379</v>
      </c>
      <c r="G342" s="173"/>
      <c r="H342" s="173">
        <v>29.52</v>
      </c>
      <c r="I342" s="154">
        <v>830462.42860152258</v>
      </c>
      <c r="J342" s="190">
        <f>VLOOKUP($A342&amp;$B342,'LE Inputs'!$C$2:$J$505,MATCH('LE UtilityData'!J$1,'LE Inputs'!$C$1:$J$1,0),0)*1000</f>
        <v>1501971.6137818422</v>
      </c>
      <c r="K342" s="190">
        <v>606217.69491659617</v>
      </c>
      <c r="L342" s="164">
        <v>399297.11776550452</v>
      </c>
      <c r="M342" s="299">
        <v>397012.61</v>
      </c>
      <c r="N342" s="156">
        <v>70779.985971175498</v>
      </c>
      <c r="O342" s="190" t="e">
        <f>VLOOKUP($A342&amp;$B342,'LE Inputs'!$C$2:$J$505,MATCH('LE UtilityData'!O$1,'LE Inputs'!$C$1:$J$1,0),0)</f>
        <v>#N/A</v>
      </c>
      <c r="P342" s="190" t="e">
        <f>VLOOKUP($A342&amp;$B342,'LE Inputs'!$C$2:$J$505,MATCH('LE UtilityData'!P$1,'LE Inputs'!$C$1:$J$1,0),0)</f>
        <v>#N/A</v>
      </c>
      <c r="Q342" s="168">
        <f t="shared" si="31"/>
        <v>141</v>
      </c>
      <c r="R342" s="168">
        <f t="shared" si="31"/>
        <v>69.349999999999994</v>
      </c>
      <c r="S342" s="166">
        <v>4124</v>
      </c>
      <c r="T342" s="166">
        <v>1696</v>
      </c>
      <c r="U342" s="166">
        <f t="shared" si="30"/>
        <v>0</v>
      </c>
      <c r="V342" s="166">
        <f t="shared" si="28"/>
        <v>0</v>
      </c>
    </row>
    <row r="343" spans="1:22" x14ac:dyDescent="0.2">
      <c r="A343" s="153">
        <v>2029</v>
      </c>
      <c r="B343" s="153">
        <v>6</v>
      </c>
      <c r="E343" s="173">
        <v>16.765199467993806</v>
      </c>
      <c r="F343" s="281">
        <f t="shared" si="29"/>
        <v>15.989088722285379</v>
      </c>
      <c r="G343" s="173"/>
      <c r="H343" s="173">
        <v>30.62</v>
      </c>
      <c r="I343" s="154">
        <v>830857.27052419272</v>
      </c>
      <c r="J343" s="190">
        <f>VLOOKUP($A343&amp;$B343,'LE Inputs'!$C$2:$J$505,MATCH('LE UtilityData'!J$1,'LE Inputs'!$C$1:$J$1,0),0)*1000</f>
        <v>1501971.6137818422</v>
      </c>
      <c r="K343" s="190">
        <v>606217.69491659617</v>
      </c>
      <c r="L343" s="164">
        <v>399486.96288825216</v>
      </c>
      <c r="M343" s="299">
        <v>397012.61</v>
      </c>
      <c r="N343" s="156">
        <v>70779.985971175498</v>
      </c>
      <c r="O343" s="190" t="e">
        <f>VLOOKUP($A343&amp;$B343,'LE Inputs'!$C$2:$J$505,MATCH('LE UtilityData'!O$1,'LE Inputs'!$C$1:$J$1,0),0)</f>
        <v>#N/A</v>
      </c>
      <c r="P343" s="190" t="e">
        <f>VLOOKUP($A343&amp;$B343,'LE Inputs'!$C$2:$J$505,MATCH('LE UtilityData'!P$1,'LE Inputs'!$C$1:$J$1,0),0)</f>
        <v>#N/A</v>
      </c>
      <c r="Q343" s="168">
        <f t="shared" si="31"/>
        <v>29.5</v>
      </c>
      <c r="R343" s="168">
        <f t="shared" si="31"/>
        <v>224.8</v>
      </c>
      <c r="S343" s="166">
        <v>4124</v>
      </c>
      <c r="T343" s="166">
        <v>1696</v>
      </c>
      <c r="U343" s="166">
        <f t="shared" si="30"/>
        <v>0</v>
      </c>
      <c r="V343" s="166">
        <f t="shared" si="28"/>
        <v>0</v>
      </c>
    </row>
    <row r="344" spans="1:22" x14ac:dyDescent="0.2">
      <c r="A344" s="153">
        <v>2029</v>
      </c>
      <c r="B344" s="153">
        <v>7</v>
      </c>
      <c r="E344" s="173">
        <v>16.765199467993806</v>
      </c>
      <c r="F344" s="281">
        <f t="shared" si="29"/>
        <v>15.989088722285379</v>
      </c>
      <c r="G344" s="173"/>
      <c r="H344" s="173">
        <v>30.76</v>
      </c>
      <c r="I344" s="154">
        <v>831242.27052419272</v>
      </c>
      <c r="J344" s="190">
        <f>VLOOKUP($A344&amp;$B344,'LE Inputs'!$C$2:$J$505,MATCH('LE UtilityData'!J$1,'LE Inputs'!$C$1:$J$1,0),0)*1000</f>
        <v>1505038.3744277996</v>
      </c>
      <c r="K344" s="190">
        <v>607554.40562869469</v>
      </c>
      <c r="L344" s="164">
        <v>399672.07588680001</v>
      </c>
      <c r="M344" s="299">
        <v>397714.9</v>
      </c>
      <c r="N344" s="156">
        <v>71219.646974355695</v>
      </c>
      <c r="O344" s="190" t="e">
        <f>VLOOKUP($A344&amp;$B344,'LE Inputs'!$C$2:$J$505,MATCH('LE UtilityData'!O$1,'LE Inputs'!$C$1:$J$1,0),0)</f>
        <v>#N/A</v>
      </c>
      <c r="P344" s="190" t="e">
        <f>VLOOKUP($A344&amp;$B344,'LE Inputs'!$C$2:$J$505,MATCH('LE UtilityData'!P$1,'LE Inputs'!$C$1:$J$1,0),0)</f>
        <v>#N/A</v>
      </c>
      <c r="Q344" s="168">
        <f t="shared" si="31"/>
        <v>0.55000000000000004</v>
      </c>
      <c r="R344" s="168">
        <f t="shared" si="31"/>
        <v>396.4</v>
      </c>
      <c r="S344" s="166">
        <v>4124</v>
      </c>
      <c r="T344" s="166">
        <v>1696</v>
      </c>
      <c r="U344" s="166">
        <f t="shared" si="30"/>
        <v>0</v>
      </c>
      <c r="V344" s="166">
        <f t="shared" si="28"/>
        <v>0</v>
      </c>
    </row>
    <row r="345" spans="1:22" x14ac:dyDescent="0.2">
      <c r="A345" s="153">
        <v>2029</v>
      </c>
      <c r="B345" s="153">
        <v>8</v>
      </c>
      <c r="E345" s="173">
        <v>16.765199467993806</v>
      </c>
      <c r="F345" s="281">
        <f t="shared" si="29"/>
        <v>15.989088722285379</v>
      </c>
      <c r="G345" s="173"/>
      <c r="H345" s="173">
        <v>29.48</v>
      </c>
      <c r="I345" s="154">
        <v>831627.27052419272</v>
      </c>
      <c r="J345" s="190">
        <f>VLOOKUP($A345&amp;$B345,'LE Inputs'!$C$2:$J$505,MATCH('LE UtilityData'!J$1,'LE Inputs'!$C$1:$J$1,0),0)*1000</f>
        <v>1505038.3744277996</v>
      </c>
      <c r="K345" s="190">
        <v>607554.40562869469</v>
      </c>
      <c r="L345" s="164">
        <v>399857.1888853478</v>
      </c>
      <c r="M345" s="299">
        <v>397714.9</v>
      </c>
      <c r="N345" s="156">
        <v>71219.646974355695</v>
      </c>
      <c r="O345" s="190" t="e">
        <f>VLOOKUP($A345&amp;$B345,'LE Inputs'!$C$2:$J$505,MATCH('LE UtilityData'!O$1,'LE Inputs'!$C$1:$J$1,0),0)</f>
        <v>#N/A</v>
      </c>
      <c r="P345" s="190" t="e">
        <f>VLOOKUP($A345&amp;$B345,'LE Inputs'!$C$2:$J$505,MATCH('LE UtilityData'!P$1,'LE Inputs'!$C$1:$J$1,0),0)</f>
        <v>#N/A</v>
      </c>
      <c r="Q345" s="168">
        <f t="shared" si="31"/>
        <v>0.1</v>
      </c>
      <c r="R345" s="168">
        <f t="shared" si="31"/>
        <v>417.05</v>
      </c>
      <c r="S345" s="166">
        <v>4124</v>
      </c>
      <c r="T345" s="166">
        <v>1696</v>
      </c>
      <c r="U345" s="166">
        <f t="shared" si="30"/>
        <v>0</v>
      </c>
      <c r="V345" s="166">
        <f t="shared" si="28"/>
        <v>0</v>
      </c>
    </row>
    <row r="346" spans="1:22" x14ac:dyDescent="0.2">
      <c r="A346" s="153">
        <v>2029</v>
      </c>
      <c r="B346" s="153">
        <v>9</v>
      </c>
      <c r="E346" s="173">
        <v>16.765199467993806</v>
      </c>
      <c r="F346" s="281">
        <f t="shared" si="29"/>
        <v>15.989088722285379</v>
      </c>
      <c r="G346" s="173"/>
      <c r="H346" s="173">
        <v>30.57</v>
      </c>
      <c r="I346" s="154">
        <v>832012.27052419272</v>
      </c>
      <c r="J346" s="190">
        <f>VLOOKUP($A346&amp;$B346,'LE Inputs'!$C$2:$J$505,MATCH('LE UtilityData'!J$1,'LE Inputs'!$C$1:$J$1,0),0)*1000</f>
        <v>1505038.3744277996</v>
      </c>
      <c r="K346" s="190">
        <v>607554.40562869469</v>
      </c>
      <c r="L346" s="164">
        <v>400042.30188389565</v>
      </c>
      <c r="M346" s="299">
        <v>397714.9</v>
      </c>
      <c r="N346" s="156">
        <v>71219.646974355695</v>
      </c>
      <c r="O346" s="190" t="e">
        <f>VLOOKUP($A346&amp;$B346,'LE Inputs'!$C$2:$J$505,MATCH('LE UtilityData'!O$1,'LE Inputs'!$C$1:$J$1,0),0)</f>
        <v>#N/A</v>
      </c>
      <c r="P346" s="190" t="e">
        <f>VLOOKUP($A346&amp;$B346,'LE Inputs'!$C$2:$J$505,MATCH('LE UtilityData'!P$1,'LE Inputs'!$C$1:$J$1,0),0)</f>
        <v>#N/A</v>
      </c>
      <c r="Q346" s="168">
        <f t="shared" si="31"/>
        <v>5.35</v>
      </c>
      <c r="R346" s="168">
        <f t="shared" si="31"/>
        <v>330.2</v>
      </c>
      <c r="S346" s="166">
        <v>4124</v>
      </c>
      <c r="T346" s="166">
        <v>1696</v>
      </c>
      <c r="U346" s="166">
        <f t="shared" si="30"/>
        <v>0</v>
      </c>
      <c r="V346" s="166">
        <f t="shared" si="28"/>
        <v>0</v>
      </c>
    </row>
    <row r="347" spans="1:22" x14ac:dyDescent="0.2">
      <c r="A347" s="153">
        <v>2029</v>
      </c>
      <c r="B347" s="153">
        <v>10</v>
      </c>
      <c r="E347" s="173">
        <v>16.765199467993806</v>
      </c>
      <c r="F347" s="281">
        <f t="shared" si="29"/>
        <v>15.989088722285379</v>
      </c>
      <c r="G347" s="173"/>
      <c r="H347" s="173">
        <v>29.67</v>
      </c>
      <c r="I347" s="154">
        <v>832397.27052419272</v>
      </c>
      <c r="J347" s="190">
        <f>VLOOKUP($A347&amp;$B347,'LE Inputs'!$C$2:$J$505,MATCH('LE UtilityData'!J$1,'LE Inputs'!$C$1:$J$1,0),0)*1000</f>
        <v>1508096.9329650397</v>
      </c>
      <c r="K347" s="190">
        <v>608867.89054647123</v>
      </c>
      <c r="L347" s="164">
        <v>400227.41488244344</v>
      </c>
      <c r="M347" s="299">
        <v>398405.62</v>
      </c>
      <c r="N347" s="156">
        <v>71642.540533496707</v>
      </c>
      <c r="O347" s="190" t="e">
        <f>VLOOKUP($A347&amp;$B347,'LE Inputs'!$C$2:$J$505,MATCH('LE UtilityData'!O$1,'LE Inputs'!$C$1:$J$1,0),0)</f>
        <v>#N/A</v>
      </c>
      <c r="P347" s="190" t="e">
        <f>VLOOKUP($A347&amp;$B347,'LE Inputs'!$C$2:$J$505,MATCH('LE UtilityData'!P$1,'LE Inputs'!$C$1:$J$1,0),0)</f>
        <v>#N/A</v>
      </c>
      <c r="Q347" s="168">
        <f t="shared" si="31"/>
        <v>99.3</v>
      </c>
      <c r="R347" s="168">
        <f t="shared" si="31"/>
        <v>100.05</v>
      </c>
      <c r="S347" s="166">
        <v>4124</v>
      </c>
      <c r="T347" s="166">
        <v>1696</v>
      </c>
      <c r="U347" s="166">
        <f t="shared" si="30"/>
        <v>0</v>
      </c>
      <c r="V347" s="166">
        <f t="shared" si="28"/>
        <v>0</v>
      </c>
    </row>
    <row r="348" spans="1:22" x14ac:dyDescent="0.2">
      <c r="A348" s="153">
        <v>2029</v>
      </c>
      <c r="B348" s="153">
        <v>11</v>
      </c>
      <c r="E348" s="173">
        <v>16.765199467993806</v>
      </c>
      <c r="F348" s="281">
        <f t="shared" si="29"/>
        <v>15.989088722285379</v>
      </c>
      <c r="G348" s="173"/>
      <c r="H348" s="173">
        <v>29.95</v>
      </c>
      <c r="I348" s="154">
        <v>832782.27052419272</v>
      </c>
      <c r="J348" s="190">
        <f>VLOOKUP($A348&amp;$B348,'LE Inputs'!$C$2:$J$505,MATCH('LE UtilityData'!J$1,'LE Inputs'!$C$1:$J$1,0),0)*1000</f>
        <v>1508096.9329650397</v>
      </c>
      <c r="K348" s="190">
        <v>608867.89054647123</v>
      </c>
      <c r="L348" s="164">
        <v>400412.52788099123</v>
      </c>
      <c r="M348" s="299">
        <v>398405.63</v>
      </c>
      <c r="N348" s="156">
        <v>71642.540533496707</v>
      </c>
      <c r="O348" s="190" t="e">
        <f>VLOOKUP($A348&amp;$B348,'LE Inputs'!$C$2:$J$505,MATCH('LE UtilityData'!O$1,'LE Inputs'!$C$1:$J$1,0),0)</f>
        <v>#N/A</v>
      </c>
      <c r="P348" s="190" t="e">
        <f>VLOOKUP($A348&amp;$B348,'LE Inputs'!$C$2:$J$505,MATCH('LE UtilityData'!P$1,'LE Inputs'!$C$1:$J$1,0),0)</f>
        <v>#N/A</v>
      </c>
      <c r="Q348" s="168">
        <f t="shared" si="31"/>
        <v>352.6</v>
      </c>
      <c r="R348" s="168">
        <f t="shared" si="31"/>
        <v>12.75</v>
      </c>
      <c r="S348" s="166">
        <v>4124</v>
      </c>
      <c r="T348" s="166">
        <v>1696</v>
      </c>
      <c r="U348" s="166">
        <f t="shared" si="30"/>
        <v>0</v>
      </c>
      <c r="V348" s="166">
        <f t="shared" si="28"/>
        <v>0</v>
      </c>
    </row>
    <row r="349" spans="1:22" x14ac:dyDescent="0.2">
      <c r="A349" s="153">
        <v>2029</v>
      </c>
      <c r="B349" s="153">
        <v>12</v>
      </c>
      <c r="E349" s="173">
        <v>16.765199467993806</v>
      </c>
      <c r="F349" s="281">
        <f t="shared" si="29"/>
        <v>15.989088722285379</v>
      </c>
      <c r="G349" s="173"/>
      <c r="H349" s="173">
        <v>31.1</v>
      </c>
      <c r="I349" s="154">
        <v>833167.27052419272</v>
      </c>
      <c r="J349" s="190">
        <f>VLOOKUP($A349&amp;$B349,'LE Inputs'!$C$2:$J$505,MATCH('LE UtilityData'!J$1,'LE Inputs'!$C$1:$J$1,0),0)*1000</f>
        <v>1508096.9329650397</v>
      </c>
      <c r="K349" s="190">
        <v>608867.89054647123</v>
      </c>
      <c r="L349" s="164">
        <v>400597.64087953907</v>
      </c>
      <c r="M349" s="299">
        <v>398405.63</v>
      </c>
      <c r="N349" s="156">
        <v>71642.540533496707</v>
      </c>
      <c r="O349" s="190" t="e">
        <f>VLOOKUP($A349&amp;$B349,'LE Inputs'!$C$2:$J$505,MATCH('LE UtilityData'!O$1,'LE Inputs'!$C$1:$J$1,0),0)</f>
        <v>#N/A</v>
      </c>
      <c r="P349" s="190" t="e">
        <f>VLOOKUP($A349&amp;$B349,'LE Inputs'!$C$2:$J$505,MATCH('LE UtilityData'!P$1,'LE Inputs'!$C$1:$J$1,0),0)</f>
        <v>#N/A</v>
      </c>
      <c r="Q349" s="168">
        <f t="shared" si="31"/>
        <v>669.9</v>
      </c>
      <c r="R349" s="168">
        <f t="shared" si="31"/>
        <v>1.05</v>
      </c>
      <c r="S349" s="166">
        <v>4124</v>
      </c>
      <c r="T349" s="166">
        <v>1696</v>
      </c>
      <c r="U349" s="166">
        <f t="shared" si="30"/>
        <v>0</v>
      </c>
      <c r="V349" s="166">
        <f t="shared" si="28"/>
        <v>0</v>
      </c>
    </row>
    <row r="350" spans="1:22" x14ac:dyDescent="0.2">
      <c r="A350" s="153">
        <v>2030</v>
      </c>
      <c r="B350" s="153">
        <v>1</v>
      </c>
      <c r="E350" s="173">
        <v>17.184329454693646</v>
      </c>
      <c r="F350" s="281">
        <f t="shared" si="29"/>
        <v>16.308870496731085</v>
      </c>
      <c r="G350" s="173"/>
      <c r="H350" s="173">
        <v>32.71</v>
      </c>
      <c r="I350" s="154">
        <v>833552.27052419272</v>
      </c>
      <c r="J350" s="190">
        <f>VLOOKUP($A350&amp;$B350,'LE Inputs'!$C$2:$J$505,MATCH('LE UtilityData'!J$1,'LE Inputs'!$C$1:$J$1,0),0)*1000</f>
        <v>1511151.4067649504</v>
      </c>
      <c r="K350" s="190">
        <v>610185.24311972142</v>
      </c>
      <c r="L350" s="164">
        <v>400782.75387808686</v>
      </c>
      <c r="M350" s="299">
        <v>399097.93</v>
      </c>
      <c r="N350" s="156">
        <v>72415.687035380193</v>
      </c>
      <c r="O350" s="190" t="e">
        <f>VLOOKUP($A350&amp;$B350,'LE Inputs'!$C$2:$J$505,MATCH('LE UtilityData'!O$1,'LE Inputs'!$C$1:$J$1,0),0)</f>
        <v>#N/A</v>
      </c>
      <c r="P350" s="190" t="e">
        <f>VLOOKUP($A350&amp;$B350,'LE Inputs'!$C$2:$J$505,MATCH('LE UtilityData'!P$1,'LE Inputs'!$C$1:$J$1,0),0)</f>
        <v>#N/A</v>
      </c>
      <c r="Q350" s="168">
        <f t="shared" ref="Q350:R365" si="32">Q338</f>
        <v>932.4</v>
      </c>
      <c r="R350" s="168">
        <f t="shared" si="32"/>
        <v>0.35</v>
      </c>
      <c r="S350" s="166">
        <v>4124</v>
      </c>
      <c r="T350" s="166">
        <v>1696</v>
      </c>
      <c r="U350" s="166">
        <f t="shared" si="30"/>
        <v>0</v>
      </c>
      <c r="V350" s="166">
        <f t="shared" si="28"/>
        <v>0</v>
      </c>
    </row>
    <row r="351" spans="1:22" x14ac:dyDescent="0.2">
      <c r="A351" s="153">
        <v>2030</v>
      </c>
      <c r="B351" s="153">
        <v>2</v>
      </c>
      <c r="E351" s="173">
        <v>17.184329454693646</v>
      </c>
      <c r="F351" s="281">
        <f t="shared" si="29"/>
        <v>16.308870496731085</v>
      </c>
      <c r="G351" s="173"/>
      <c r="H351" s="173">
        <v>29.9</v>
      </c>
      <c r="I351" s="154">
        <v>833937.27052419272</v>
      </c>
      <c r="J351" s="190">
        <f>VLOOKUP($A351&amp;$B351,'LE Inputs'!$C$2:$J$505,MATCH('LE UtilityData'!J$1,'LE Inputs'!$C$1:$J$1,0),0)*1000</f>
        <v>1511151.4067649504</v>
      </c>
      <c r="K351" s="190">
        <v>610185.24311972142</v>
      </c>
      <c r="L351" s="164">
        <v>400967.86687663465</v>
      </c>
      <c r="M351" s="299">
        <v>399097.93</v>
      </c>
      <c r="N351" s="156">
        <v>72415.687035380193</v>
      </c>
      <c r="O351" s="190" t="e">
        <f>VLOOKUP($A351&amp;$B351,'LE Inputs'!$C$2:$J$505,MATCH('LE UtilityData'!O$1,'LE Inputs'!$C$1:$J$1,0),0)</f>
        <v>#N/A</v>
      </c>
      <c r="P351" s="190" t="e">
        <f>VLOOKUP($A351&amp;$B351,'LE Inputs'!$C$2:$J$505,MATCH('LE UtilityData'!P$1,'LE Inputs'!$C$1:$J$1,0),0)</f>
        <v>#N/A</v>
      </c>
      <c r="Q351" s="168">
        <f t="shared" si="32"/>
        <v>864.1</v>
      </c>
      <c r="R351" s="168">
        <f t="shared" si="32"/>
        <v>0.05</v>
      </c>
      <c r="S351" s="166">
        <v>4124</v>
      </c>
      <c r="T351" s="166">
        <v>1696</v>
      </c>
      <c r="U351" s="166">
        <f t="shared" si="30"/>
        <v>0</v>
      </c>
      <c r="V351" s="166">
        <f t="shared" si="28"/>
        <v>0</v>
      </c>
    </row>
    <row r="352" spans="1:22" x14ac:dyDescent="0.2">
      <c r="A352" s="153">
        <v>2030</v>
      </c>
      <c r="B352" s="153">
        <v>3</v>
      </c>
      <c r="E352" s="173">
        <v>17.184329454693646</v>
      </c>
      <c r="F352" s="281">
        <f t="shared" si="29"/>
        <v>16.308870496731085</v>
      </c>
      <c r="G352" s="173"/>
      <c r="H352" s="173">
        <v>30.33</v>
      </c>
      <c r="I352" s="154">
        <v>834322.27052419272</v>
      </c>
      <c r="J352" s="190">
        <f>VLOOKUP($A352&amp;$B352,'LE Inputs'!$C$2:$J$505,MATCH('LE UtilityData'!J$1,'LE Inputs'!$C$1:$J$1,0),0)*1000</f>
        <v>1511151.4067649504</v>
      </c>
      <c r="K352" s="190">
        <v>610185.24311972142</v>
      </c>
      <c r="L352" s="164">
        <v>401152.9798751825</v>
      </c>
      <c r="M352" s="299">
        <v>399097.93</v>
      </c>
      <c r="N352" s="156">
        <v>72415.687035380193</v>
      </c>
      <c r="O352" s="190" t="e">
        <f>VLOOKUP($A352&amp;$B352,'LE Inputs'!$C$2:$J$505,MATCH('LE UtilityData'!O$1,'LE Inputs'!$C$1:$J$1,0),0)</f>
        <v>#N/A</v>
      </c>
      <c r="P352" s="190" t="e">
        <f>VLOOKUP($A352&amp;$B352,'LE Inputs'!$C$2:$J$505,MATCH('LE UtilityData'!P$1,'LE Inputs'!$C$1:$J$1,0),0)</f>
        <v>#N/A</v>
      </c>
      <c r="Q352" s="168">
        <f t="shared" si="32"/>
        <v>674.3</v>
      </c>
      <c r="R352" s="168">
        <f t="shared" si="32"/>
        <v>1.1499999999999999</v>
      </c>
      <c r="S352" s="166">
        <v>4124</v>
      </c>
      <c r="T352" s="166">
        <v>1696</v>
      </c>
      <c r="U352" s="166">
        <f t="shared" si="30"/>
        <v>0</v>
      </c>
      <c r="V352" s="166">
        <f t="shared" si="28"/>
        <v>0</v>
      </c>
    </row>
    <row r="353" spans="1:22" x14ac:dyDescent="0.2">
      <c r="A353" s="153">
        <v>2030</v>
      </c>
      <c r="B353" s="153">
        <v>4</v>
      </c>
      <c r="E353" s="173">
        <v>17.184329454693646</v>
      </c>
      <c r="F353" s="281">
        <f t="shared" si="29"/>
        <v>16.308870496731085</v>
      </c>
      <c r="G353" s="173"/>
      <c r="H353" s="173">
        <v>29.95</v>
      </c>
      <c r="I353" s="154">
        <v>834707.27052419272</v>
      </c>
      <c r="J353" s="190">
        <f>VLOOKUP($A353&amp;$B353,'LE Inputs'!$C$2:$J$505,MATCH('LE UtilityData'!J$1,'LE Inputs'!$C$1:$J$1,0),0)*1000</f>
        <v>1513628.2170670941</v>
      </c>
      <c r="K353" s="190">
        <v>611354.7516287606</v>
      </c>
      <c r="L353" s="164">
        <v>401338.09287373035</v>
      </c>
      <c r="M353" s="299">
        <v>399712.96</v>
      </c>
      <c r="N353" s="156">
        <v>72846.467788140202</v>
      </c>
      <c r="O353" s="190" t="e">
        <f>VLOOKUP($A353&amp;$B353,'LE Inputs'!$C$2:$J$505,MATCH('LE UtilityData'!O$1,'LE Inputs'!$C$1:$J$1,0),0)</f>
        <v>#N/A</v>
      </c>
      <c r="P353" s="190" t="e">
        <f>VLOOKUP($A353&amp;$B353,'LE Inputs'!$C$2:$J$505,MATCH('LE UtilityData'!P$1,'LE Inputs'!$C$1:$J$1,0),0)</f>
        <v>#N/A</v>
      </c>
      <c r="Q353" s="168">
        <f t="shared" si="32"/>
        <v>377.1</v>
      </c>
      <c r="R353" s="168">
        <f t="shared" si="32"/>
        <v>20.25</v>
      </c>
      <c r="S353" s="166">
        <v>4124</v>
      </c>
      <c r="T353" s="166">
        <v>1696</v>
      </c>
      <c r="U353" s="166">
        <f t="shared" si="30"/>
        <v>0</v>
      </c>
      <c r="V353" s="166">
        <f t="shared" si="28"/>
        <v>0</v>
      </c>
    </row>
    <row r="354" spans="1:22" x14ac:dyDescent="0.2">
      <c r="A354" s="153">
        <v>2030</v>
      </c>
      <c r="B354" s="153">
        <v>5</v>
      </c>
      <c r="E354" s="173">
        <v>17.184329454693646</v>
      </c>
      <c r="F354" s="281">
        <f t="shared" si="29"/>
        <v>16.308870496731085</v>
      </c>
      <c r="G354" s="173"/>
      <c r="H354" s="173">
        <v>30.38</v>
      </c>
      <c r="I354" s="154">
        <v>835092.27052419272</v>
      </c>
      <c r="J354" s="190">
        <f>VLOOKUP($A354&amp;$B354,'LE Inputs'!$C$2:$J$505,MATCH('LE UtilityData'!J$1,'LE Inputs'!$C$1:$J$1,0),0)*1000</f>
        <v>1513628.2170670941</v>
      </c>
      <c r="K354" s="190">
        <v>611354.7516287606</v>
      </c>
      <c r="L354" s="164">
        <v>401523.20587227814</v>
      </c>
      <c r="M354" s="299">
        <v>399712.96</v>
      </c>
      <c r="N354" s="156">
        <v>72846.467788140202</v>
      </c>
      <c r="O354" s="190" t="e">
        <f>VLOOKUP($A354&amp;$B354,'LE Inputs'!$C$2:$J$505,MATCH('LE UtilityData'!O$1,'LE Inputs'!$C$1:$J$1,0),0)</f>
        <v>#N/A</v>
      </c>
      <c r="P354" s="190" t="e">
        <f>VLOOKUP($A354&amp;$B354,'LE Inputs'!$C$2:$J$505,MATCH('LE UtilityData'!P$1,'LE Inputs'!$C$1:$J$1,0),0)</f>
        <v>#N/A</v>
      </c>
      <c r="Q354" s="168">
        <f t="shared" si="32"/>
        <v>141</v>
      </c>
      <c r="R354" s="168">
        <f t="shared" si="32"/>
        <v>69.349999999999994</v>
      </c>
      <c r="S354" s="166">
        <v>4124</v>
      </c>
      <c r="T354" s="166">
        <v>1696</v>
      </c>
      <c r="U354" s="166">
        <f t="shared" si="30"/>
        <v>0</v>
      </c>
      <c r="V354" s="166">
        <f t="shared" si="28"/>
        <v>0</v>
      </c>
    </row>
    <row r="355" spans="1:22" x14ac:dyDescent="0.2">
      <c r="A355" s="153">
        <v>2030</v>
      </c>
      <c r="B355" s="153">
        <v>6</v>
      </c>
      <c r="E355" s="173">
        <v>17.184329454693646</v>
      </c>
      <c r="F355" s="281">
        <f t="shared" si="29"/>
        <v>16.308870496731085</v>
      </c>
      <c r="G355" s="173"/>
      <c r="H355" s="173">
        <v>30.67</v>
      </c>
      <c r="I355" s="154">
        <v>835482.24468191026</v>
      </c>
      <c r="J355" s="190">
        <f>VLOOKUP($A355&amp;$B355,'LE Inputs'!$C$2:$J$505,MATCH('LE UtilityData'!J$1,'LE Inputs'!$C$1:$J$1,0),0)*1000</f>
        <v>1513628.2170670941</v>
      </c>
      <c r="K355" s="190">
        <v>611354.7516287606</v>
      </c>
      <c r="L355" s="164">
        <v>401710.7105104372</v>
      </c>
      <c r="M355" s="299">
        <v>399712.96</v>
      </c>
      <c r="N355" s="156">
        <v>72846.467788140202</v>
      </c>
      <c r="O355" s="190" t="e">
        <f>VLOOKUP($A355&amp;$B355,'LE Inputs'!$C$2:$J$505,MATCH('LE UtilityData'!O$1,'LE Inputs'!$C$1:$J$1,0),0)</f>
        <v>#N/A</v>
      </c>
      <c r="P355" s="190" t="e">
        <f>VLOOKUP($A355&amp;$B355,'LE Inputs'!$C$2:$J$505,MATCH('LE UtilityData'!P$1,'LE Inputs'!$C$1:$J$1,0),0)</f>
        <v>#N/A</v>
      </c>
      <c r="Q355" s="168">
        <f t="shared" si="32"/>
        <v>29.5</v>
      </c>
      <c r="R355" s="168">
        <f t="shared" si="32"/>
        <v>224.8</v>
      </c>
      <c r="S355" s="166">
        <v>4124</v>
      </c>
      <c r="T355" s="166">
        <v>1696</v>
      </c>
      <c r="U355" s="166">
        <f t="shared" si="30"/>
        <v>0</v>
      </c>
      <c r="V355" s="166">
        <f t="shared" si="28"/>
        <v>0</v>
      </c>
    </row>
    <row r="356" spans="1:22" x14ac:dyDescent="0.2">
      <c r="A356" s="153">
        <v>2030</v>
      </c>
      <c r="B356" s="153">
        <v>7</v>
      </c>
      <c r="E356" s="173">
        <v>17.184329454693646</v>
      </c>
      <c r="F356" s="281">
        <f t="shared" si="29"/>
        <v>16.308870496731085</v>
      </c>
      <c r="G356" s="173"/>
      <c r="H356" s="173">
        <v>30.67</v>
      </c>
      <c r="I356" s="154">
        <v>835858.24468191026</v>
      </c>
      <c r="J356" s="190">
        <f>VLOOKUP($A356&amp;$B356,'LE Inputs'!$C$2:$J$505,MATCH('LE UtilityData'!J$1,'LE Inputs'!$C$1:$J$1,0),0)*1000</f>
        <v>1516664.6655985725</v>
      </c>
      <c r="K356" s="190">
        <v>612702.05142698972</v>
      </c>
      <c r="L356" s="164">
        <v>401891.49619213585</v>
      </c>
      <c r="M356" s="299">
        <v>400421.03</v>
      </c>
      <c r="N356" s="156">
        <v>73261.250582679102</v>
      </c>
      <c r="O356" s="190" t="e">
        <f>VLOOKUP($A356&amp;$B356,'LE Inputs'!$C$2:$J$505,MATCH('LE UtilityData'!O$1,'LE Inputs'!$C$1:$J$1,0),0)</f>
        <v>#N/A</v>
      </c>
      <c r="P356" s="190" t="e">
        <f>VLOOKUP($A356&amp;$B356,'LE Inputs'!$C$2:$J$505,MATCH('LE UtilityData'!P$1,'LE Inputs'!$C$1:$J$1,0),0)</f>
        <v>#N/A</v>
      </c>
      <c r="Q356" s="168">
        <f t="shared" si="32"/>
        <v>0.55000000000000004</v>
      </c>
      <c r="R356" s="168">
        <f t="shared" si="32"/>
        <v>396.4</v>
      </c>
      <c r="S356" s="166">
        <v>4124</v>
      </c>
      <c r="T356" s="166">
        <v>1696</v>
      </c>
      <c r="U356" s="166">
        <f t="shared" si="30"/>
        <v>0</v>
      </c>
      <c r="V356" s="166">
        <f t="shared" si="28"/>
        <v>0</v>
      </c>
    </row>
    <row r="357" spans="1:22" x14ac:dyDescent="0.2">
      <c r="A357" s="153">
        <v>2030</v>
      </c>
      <c r="B357" s="153">
        <v>8</v>
      </c>
      <c r="E357" s="173">
        <v>17.184329454693646</v>
      </c>
      <c r="F357" s="281">
        <f t="shared" si="29"/>
        <v>16.308870496731085</v>
      </c>
      <c r="G357" s="173"/>
      <c r="H357" s="173">
        <v>29.48</v>
      </c>
      <c r="I357" s="154">
        <v>836234.24468191026</v>
      </c>
      <c r="J357" s="190">
        <f>VLOOKUP($A357&amp;$B357,'LE Inputs'!$C$2:$J$505,MATCH('LE UtilityData'!J$1,'LE Inputs'!$C$1:$J$1,0),0)*1000</f>
        <v>1516664.6655985725</v>
      </c>
      <c r="K357" s="190">
        <v>612702.05142698972</v>
      </c>
      <c r="L357" s="164">
        <v>402072.28187383449</v>
      </c>
      <c r="M357" s="299">
        <v>400421.03</v>
      </c>
      <c r="N357" s="156">
        <v>73261.250582679102</v>
      </c>
      <c r="O357" s="190" t="e">
        <f>VLOOKUP($A357&amp;$B357,'LE Inputs'!$C$2:$J$505,MATCH('LE UtilityData'!O$1,'LE Inputs'!$C$1:$J$1,0),0)</f>
        <v>#N/A</v>
      </c>
      <c r="P357" s="190" t="e">
        <f>VLOOKUP($A357&amp;$B357,'LE Inputs'!$C$2:$J$505,MATCH('LE UtilityData'!P$1,'LE Inputs'!$C$1:$J$1,0),0)</f>
        <v>#N/A</v>
      </c>
      <c r="Q357" s="168">
        <f t="shared" si="32"/>
        <v>0.1</v>
      </c>
      <c r="R357" s="168">
        <f t="shared" si="32"/>
        <v>417.05</v>
      </c>
      <c r="S357" s="166">
        <v>4124</v>
      </c>
      <c r="T357" s="166">
        <v>1696</v>
      </c>
      <c r="U357" s="166">
        <f t="shared" si="30"/>
        <v>0</v>
      </c>
      <c r="V357" s="166">
        <f t="shared" si="28"/>
        <v>0</v>
      </c>
    </row>
    <row r="358" spans="1:22" x14ac:dyDescent="0.2">
      <c r="A358" s="153">
        <v>2030</v>
      </c>
      <c r="B358" s="153">
        <v>9</v>
      </c>
      <c r="E358" s="173">
        <v>17.184329454693646</v>
      </c>
      <c r="F358" s="281">
        <f t="shared" si="29"/>
        <v>16.308870496731085</v>
      </c>
      <c r="G358" s="173"/>
      <c r="H358" s="173">
        <v>30.71</v>
      </c>
      <c r="I358" s="154">
        <v>836610.24468191026</v>
      </c>
      <c r="J358" s="190">
        <f>VLOOKUP($A358&amp;$B358,'LE Inputs'!$C$2:$J$505,MATCH('LE UtilityData'!J$1,'LE Inputs'!$C$1:$J$1,0),0)*1000</f>
        <v>1516664.6655985725</v>
      </c>
      <c r="K358" s="190">
        <v>612702.05142698972</v>
      </c>
      <c r="L358" s="164">
        <v>402253.0675555332</v>
      </c>
      <c r="M358" s="299">
        <v>400421.03</v>
      </c>
      <c r="N358" s="156">
        <v>73261.250582679102</v>
      </c>
      <c r="O358" s="190" t="e">
        <f>VLOOKUP($A358&amp;$B358,'LE Inputs'!$C$2:$J$505,MATCH('LE UtilityData'!O$1,'LE Inputs'!$C$1:$J$1,0),0)</f>
        <v>#N/A</v>
      </c>
      <c r="P358" s="190" t="e">
        <f>VLOOKUP($A358&amp;$B358,'LE Inputs'!$C$2:$J$505,MATCH('LE UtilityData'!P$1,'LE Inputs'!$C$1:$J$1,0),0)</f>
        <v>#N/A</v>
      </c>
      <c r="Q358" s="168">
        <f t="shared" si="32"/>
        <v>5.35</v>
      </c>
      <c r="R358" s="168">
        <f t="shared" si="32"/>
        <v>330.2</v>
      </c>
      <c r="S358" s="166">
        <v>4124</v>
      </c>
      <c r="T358" s="166">
        <v>1696</v>
      </c>
      <c r="U358" s="166">
        <f t="shared" si="30"/>
        <v>0</v>
      </c>
      <c r="V358" s="166">
        <f t="shared" si="28"/>
        <v>0</v>
      </c>
    </row>
    <row r="359" spans="1:22" x14ac:dyDescent="0.2">
      <c r="A359" s="153">
        <v>2030</v>
      </c>
      <c r="B359" s="153">
        <v>10</v>
      </c>
      <c r="E359" s="173">
        <v>17.184329454693646</v>
      </c>
      <c r="F359" s="281">
        <f t="shared" si="29"/>
        <v>16.308870496731085</v>
      </c>
      <c r="G359" s="173"/>
      <c r="H359" s="173">
        <v>29.52</v>
      </c>
      <c r="I359" s="154">
        <v>836986.24468191026</v>
      </c>
      <c r="J359" s="190">
        <f>VLOOKUP($A359&amp;$B359,'LE Inputs'!$C$2:$J$505,MATCH('LE UtilityData'!J$1,'LE Inputs'!$C$1:$J$1,0),0)*1000</f>
        <v>1519689.3055405493</v>
      </c>
      <c r="K359" s="190">
        <v>614036.98657838604</v>
      </c>
      <c r="L359" s="164">
        <v>402433.85323723184</v>
      </c>
      <c r="M359" s="299">
        <v>401122.79</v>
      </c>
      <c r="N359" s="156">
        <v>73696.099448023393</v>
      </c>
      <c r="O359" s="190" t="e">
        <f>VLOOKUP($A359&amp;$B359,'LE Inputs'!$C$2:$J$505,MATCH('LE UtilityData'!O$1,'LE Inputs'!$C$1:$J$1,0),0)</f>
        <v>#N/A</v>
      </c>
      <c r="P359" s="190" t="e">
        <f>VLOOKUP($A359&amp;$B359,'LE Inputs'!$C$2:$J$505,MATCH('LE UtilityData'!P$1,'LE Inputs'!$C$1:$J$1,0),0)</f>
        <v>#N/A</v>
      </c>
      <c r="Q359" s="168">
        <f t="shared" si="32"/>
        <v>99.3</v>
      </c>
      <c r="R359" s="168">
        <f t="shared" si="32"/>
        <v>100.05</v>
      </c>
      <c r="S359" s="166">
        <v>4124</v>
      </c>
      <c r="T359" s="166">
        <v>1696</v>
      </c>
      <c r="U359" s="166">
        <f t="shared" si="30"/>
        <v>0</v>
      </c>
      <c r="V359" s="166">
        <f t="shared" si="28"/>
        <v>0</v>
      </c>
    </row>
    <row r="360" spans="1:22" x14ac:dyDescent="0.2">
      <c r="A360" s="153">
        <v>2030</v>
      </c>
      <c r="B360" s="153">
        <v>11</v>
      </c>
      <c r="E360" s="173">
        <v>17.184329454693646</v>
      </c>
      <c r="F360" s="281">
        <f t="shared" si="29"/>
        <v>16.308870496731085</v>
      </c>
      <c r="G360" s="173"/>
      <c r="H360" s="173">
        <v>29.38</v>
      </c>
      <c r="I360" s="154">
        <v>837362.24468191026</v>
      </c>
      <c r="J360" s="190">
        <f>VLOOKUP($A360&amp;$B360,'LE Inputs'!$C$2:$J$505,MATCH('LE UtilityData'!J$1,'LE Inputs'!$C$1:$J$1,0),0)*1000</f>
        <v>1519689.3055405493</v>
      </c>
      <c r="K360" s="190">
        <v>614036.98657838604</v>
      </c>
      <c r="L360" s="164">
        <v>402614.63891893049</v>
      </c>
      <c r="M360" s="299">
        <v>401122.79</v>
      </c>
      <c r="N360" s="156">
        <v>73696.099448023393</v>
      </c>
      <c r="O360" s="190" t="e">
        <f>VLOOKUP($A360&amp;$B360,'LE Inputs'!$C$2:$J$505,MATCH('LE UtilityData'!O$1,'LE Inputs'!$C$1:$J$1,0),0)</f>
        <v>#N/A</v>
      </c>
      <c r="P360" s="190" t="e">
        <f>VLOOKUP($A360&amp;$B360,'LE Inputs'!$C$2:$J$505,MATCH('LE UtilityData'!P$1,'LE Inputs'!$C$1:$J$1,0),0)</f>
        <v>#N/A</v>
      </c>
      <c r="Q360" s="168">
        <f t="shared" si="32"/>
        <v>352.6</v>
      </c>
      <c r="R360" s="168">
        <f t="shared" si="32"/>
        <v>12.75</v>
      </c>
      <c r="S360" s="166">
        <v>4124</v>
      </c>
      <c r="T360" s="166">
        <v>1696</v>
      </c>
      <c r="U360" s="166">
        <f t="shared" si="30"/>
        <v>0</v>
      </c>
      <c r="V360" s="166">
        <f t="shared" si="28"/>
        <v>0</v>
      </c>
    </row>
    <row r="361" spans="1:22" x14ac:dyDescent="0.2">
      <c r="A361" s="153">
        <v>2030</v>
      </c>
      <c r="B361" s="153">
        <v>12</v>
      </c>
      <c r="E361" s="173">
        <v>17.184329454693646</v>
      </c>
      <c r="F361" s="281">
        <f t="shared" si="29"/>
        <v>16.308870496731085</v>
      </c>
      <c r="G361" s="173"/>
      <c r="H361" s="173">
        <v>32.049999999999997</v>
      </c>
      <c r="I361" s="154">
        <v>837738.24468191026</v>
      </c>
      <c r="J361" s="190">
        <f>VLOOKUP($A361&amp;$B361,'LE Inputs'!$C$2:$J$505,MATCH('LE UtilityData'!J$1,'LE Inputs'!$C$1:$J$1,0),0)*1000</f>
        <v>1519689.3055405493</v>
      </c>
      <c r="K361" s="190">
        <v>614036.98657838604</v>
      </c>
      <c r="L361" s="164">
        <v>402795.42460062914</v>
      </c>
      <c r="M361" s="299">
        <v>401122.79</v>
      </c>
      <c r="N361" s="156">
        <v>73696.099448023393</v>
      </c>
      <c r="O361" s="190" t="e">
        <f>VLOOKUP($A361&amp;$B361,'LE Inputs'!$C$2:$J$505,MATCH('LE UtilityData'!O$1,'LE Inputs'!$C$1:$J$1,0),0)</f>
        <v>#N/A</v>
      </c>
      <c r="P361" s="190" t="e">
        <f>VLOOKUP($A361&amp;$B361,'LE Inputs'!$C$2:$J$505,MATCH('LE UtilityData'!P$1,'LE Inputs'!$C$1:$J$1,0),0)</f>
        <v>#N/A</v>
      </c>
      <c r="Q361" s="168">
        <f t="shared" si="32"/>
        <v>669.9</v>
      </c>
      <c r="R361" s="168">
        <f t="shared" si="32"/>
        <v>1.05</v>
      </c>
      <c r="S361" s="166">
        <v>4124</v>
      </c>
      <c r="T361" s="166">
        <v>1696</v>
      </c>
      <c r="U361" s="166">
        <f t="shared" si="30"/>
        <v>0</v>
      </c>
      <c r="V361" s="166">
        <f t="shared" si="28"/>
        <v>0</v>
      </c>
    </row>
    <row r="362" spans="1:22" x14ac:dyDescent="0.2">
      <c r="A362" s="153">
        <v>2031</v>
      </c>
      <c r="B362" s="153">
        <v>1</v>
      </c>
      <c r="E362" s="173">
        <v>17.61393769106099</v>
      </c>
      <c r="F362" s="281">
        <f t="shared" si="29"/>
        <v>16.635047906665708</v>
      </c>
      <c r="G362" s="173"/>
      <c r="H362" s="173">
        <v>32.33</v>
      </c>
      <c r="I362" s="154">
        <v>838114.24468191026</v>
      </c>
      <c r="J362" s="190">
        <f>VLOOKUP($A362&amp;$B362,'LE Inputs'!$C$2:$J$505,MATCH('LE UtilityData'!J$1,'LE Inputs'!$C$1:$J$1,0),0)*1000</f>
        <v>1522706.3615677708</v>
      </c>
      <c r="K362" s="190">
        <v>615332.49350408593</v>
      </c>
      <c r="L362" s="164">
        <v>402976.21028232772</v>
      </c>
      <c r="M362" s="299">
        <v>401803.53</v>
      </c>
      <c r="N362" s="156">
        <v>74385.334540804193</v>
      </c>
      <c r="O362" s="190" t="e">
        <f>VLOOKUP($A362&amp;$B362,'LE Inputs'!$C$2:$J$505,MATCH('LE UtilityData'!O$1,'LE Inputs'!$C$1:$J$1,0),0)</f>
        <v>#N/A</v>
      </c>
      <c r="P362" s="190" t="e">
        <f>VLOOKUP($A362&amp;$B362,'LE Inputs'!$C$2:$J$505,MATCH('LE UtilityData'!P$1,'LE Inputs'!$C$1:$J$1,0),0)</f>
        <v>#N/A</v>
      </c>
      <c r="Q362" s="168">
        <f t="shared" si="32"/>
        <v>932.4</v>
      </c>
      <c r="R362" s="168">
        <f t="shared" si="32"/>
        <v>0.35</v>
      </c>
      <c r="S362" s="166">
        <v>4124</v>
      </c>
      <c r="T362" s="166">
        <v>1696</v>
      </c>
      <c r="U362" s="166">
        <f t="shared" si="30"/>
        <v>0</v>
      </c>
      <c r="V362" s="166">
        <f t="shared" si="28"/>
        <v>0</v>
      </c>
    </row>
    <row r="363" spans="1:22" x14ac:dyDescent="0.2">
      <c r="A363" s="153">
        <v>2031</v>
      </c>
      <c r="B363" s="153">
        <v>2</v>
      </c>
      <c r="E363" s="173">
        <v>17.61393769106099</v>
      </c>
      <c r="F363" s="281">
        <f t="shared" si="29"/>
        <v>16.635047906665708</v>
      </c>
      <c r="G363" s="173"/>
      <c r="H363" s="173">
        <v>30.05</v>
      </c>
      <c r="I363" s="154">
        <v>838490.24468191026</v>
      </c>
      <c r="J363" s="190">
        <f>VLOOKUP($A363&amp;$B363,'LE Inputs'!$C$2:$J$505,MATCH('LE UtilityData'!J$1,'LE Inputs'!$C$1:$J$1,0),0)*1000</f>
        <v>1522706.3615677708</v>
      </c>
      <c r="K363" s="190">
        <v>615332.49350408593</v>
      </c>
      <c r="L363" s="164">
        <v>403156.99596402631</v>
      </c>
      <c r="M363" s="299">
        <v>401803.53</v>
      </c>
      <c r="N363" s="156">
        <v>74385.334540804193</v>
      </c>
      <c r="O363" s="190" t="e">
        <f>VLOOKUP($A363&amp;$B363,'LE Inputs'!$C$2:$J$505,MATCH('LE UtilityData'!O$1,'LE Inputs'!$C$1:$J$1,0),0)</f>
        <v>#N/A</v>
      </c>
      <c r="P363" s="190" t="e">
        <f>VLOOKUP($A363&amp;$B363,'LE Inputs'!$C$2:$J$505,MATCH('LE UtilityData'!P$1,'LE Inputs'!$C$1:$J$1,0),0)</f>
        <v>#N/A</v>
      </c>
      <c r="Q363" s="168">
        <f t="shared" si="32"/>
        <v>864.1</v>
      </c>
      <c r="R363" s="168">
        <f t="shared" si="32"/>
        <v>0.05</v>
      </c>
      <c r="S363" s="166">
        <v>4124</v>
      </c>
      <c r="T363" s="166">
        <v>1696</v>
      </c>
      <c r="U363" s="166">
        <f t="shared" si="30"/>
        <v>0</v>
      </c>
      <c r="V363" s="166">
        <f t="shared" si="28"/>
        <v>0</v>
      </c>
    </row>
    <row r="364" spans="1:22" x14ac:dyDescent="0.2">
      <c r="A364" s="153">
        <v>2031</v>
      </c>
      <c r="B364" s="153">
        <v>3</v>
      </c>
      <c r="E364" s="173">
        <v>17.61393769106099</v>
      </c>
      <c r="F364" s="281">
        <f t="shared" si="29"/>
        <v>16.635047906665708</v>
      </c>
      <c r="G364" s="173"/>
      <c r="H364" s="173">
        <v>30.19</v>
      </c>
      <c r="I364" s="154">
        <v>838866.24468191026</v>
      </c>
      <c r="J364" s="190">
        <f>VLOOKUP($A364&amp;$B364,'LE Inputs'!$C$2:$J$505,MATCH('LE UtilityData'!J$1,'LE Inputs'!$C$1:$J$1,0),0)*1000</f>
        <v>1522706.3615677708</v>
      </c>
      <c r="K364" s="190">
        <v>615332.49350408593</v>
      </c>
      <c r="L364" s="164">
        <v>403337.78164572496</v>
      </c>
      <c r="M364" s="299">
        <v>401803.53</v>
      </c>
      <c r="N364" s="156">
        <v>74385.334540804193</v>
      </c>
      <c r="O364" s="190" t="e">
        <f>VLOOKUP($A364&amp;$B364,'LE Inputs'!$C$2:$J$505,MATCH('LE UtilityData'!O$1,'LE Inputs'!$C$1:$J$1,0),0)</f>
        <v>#N/A</v>
      </c>
      <c r="P364" s="190" t="e">
        <f>VLOOKUP($A364&amp;$B364,'LE Inputs'!$C$2:$J$505,MATCH('LE UtilityData'!P$1,'LE Inputs'!$C$1:$J$1,0),0)</f>
        <v>#N/A</v>
      </c>
      <c r="Q364" s="168">
        <f t="shared" si="32"/>
        <v>674.3</v>
      </c>
      <c r="R364" s="168">
        <f t="shared" si="32"/>
        <v>1.1499999999999999</v>
      </c>
      <c r="S364" s="166">
        <v>4124</v>
      </c>
      <c r="T364" s="166">
        <v>1696</v>
      </c>
      <c r="U364" s="166">
        <f t="shared" si="30"/>
        <v>0</v>
      </c>
      <c r="V364" s="166">
        <f t="shared" si="28"/>
        <v>0</v>
      </c>
    </row>
    <row r="365" spans="1:22" x14ac:dyDescent="0.2">
      <c r="A365" s="153">
        <v>2031</v>
      </c>
      <c r="B365" s="153">
        <v>4</v>
      </c>
      <c r="E365" s="173">
        <v>17.61393769106099</v>
      </c>
      <c r="F365" s="281">
        <f t="shared" si="29"/>
        <v>16.635047906665708</v>
      </c>
      <c r="G365" s="173"/>
      <c r="H365" s="173">
        <v>30.33</v>
      </c>
      <c r="I365" s="154">
        <v>839242.24468191026</v>
      </c>
      <c r="J365" s="190">
        <f>VLOOKUP($A365&amp;$B365,'LE Inputs'!$C$2:$J$505,MATCH('LE UtilityData'!J$1,'LE Inputs'!$C$1:$J$1,0),0)*1000</f>
        <v>1525717.5629361912</v>
      </c>
      <c r="K365" s="190">
        <v>616638.5398831385</v>
      </c>
      <c r="L365" s="164">
        <v>403518.56732742355</v>
      </c>
      <c r="M365" s="299">
        <v>402490.57</v>
      </c>
      <c r="N365" s="156">
        <v>74850.764891557599</v>
      </c>
      <c r="O365" s="190" t="e">
        <f>VLOOKUP($A365&amp;$B365,'LE Inputs'!$C$2:$J$505,MATCH('LE UtilityData'!O$1,'LE Inputs'!$C$1:$J$1,0),0)</f>
        <v>#N/A</v>
      </c>
      <c r="P365" s="190" t="e">
        <f>VLOOKUP($A365&amp;$B365,'LE Inputs'!$C$2:$J$505,MATCH('LE UtilityData'!P$1,'LE Inputs'!$C$1:$J$1,0),0)</f>
        <v>#N/A</v>
      </c>
      <c r="Q365" s="168">
        <f t="shared" si="32"/>
        <v>377.1</v>
      </c>
      <c r="R365" s="168">
        <f t="shared" si="32"/>
        <v>20.25</v>
      </c>
      <c r="S365" s="166">
        <v>4124</v>
      </c>
      <c r="T365" s="166">
        <v>1696</v>
      </c>
      <c r="U365" s="166">
        <f t="shared" si="30"/>
        <v>0</v>
      </c>
      <c r="V365" s="166">
        <f t="shared" si="28"/>
        <v>0</v>
      </c>
    </row>
    <row r="366" spans="1:22" x14ac:dyDescent="0.2">
      <c r="A366" s="153">
        <v>2031</v>
      </c>
      <c r="B366" s="153">
        <v>5</v>
      </c>
      <c r="E366" s="173">
        <v>17.61393769106099</v>
      </c>
      <c r="F366" s="281">
        <f t="shared" si="29"/>
        <v>16.635047906665708</v>
      </c>
      <c r="G366" s="173"/>
      <c r="H366" s="173">
        <v>30.14</v>
      </c>
      <c r="I366" s="154">
        <v>839618.24468191026</v>
      </c>
      <c r="J366" s="190">
        <f>VLOOKUP($A366&amp;$B366,'LE Inputs'!$C$2:$J$505,MATCH('LE UtilityData'!J$1,'LE Inputs'!$C$1:$J$1,0),0)*1000</f>
        <v>1525717.5629361912</v>
      </c>
      <c r="K366" s="190">
        <v>616638.5398831385</v>
      </c>
      <c r="L366" s="164">
        <v>403699.35300912219</v>
      </c>
      <c r="M366" s="299">
        <v>402490.57</v>
      </c>
      <c r="N366" s="156">
        <v>74850.764891557599</v>
      </c>
      <c r="O366" s="190" t="e">
        <f>VLOOKUP($A366&amp;$B366,'LE Inputs'!$C$2:$J$505,MATCH('LE UtilityData'!O$1,'LE Inputs'!$C$1:$J$1,0),0)</f>
        <v>#N/A</v>
      </c>
      <c r="P366" s="190" t="e">
        <f>VLOOKUP($A366&amp;$B366,'LE Inputs'!$C$2:$J$505,MATCH('LE UtilityData'!P$1,'LE Inputs'!$C$1:$J$1,0),0)</f>
        <v>#N/A</v>
      </c>
      <c r="Q366" s="168">
        <f t="shared" ref="Q366:R381" si="33">Q354</f>
        <v>141</v>
      </c>
      <c r="R366" s="168">
        <f t="shared" si="33"/>
        <v>69.349999999999994</v>
      </c>
      <c r="S366" s="166">
        <v>4124</v>
      </c>
      <c r="T366" s="166">
        <v>1696</v>
      </c>
      <c r="U366" s="166">
        <f t="shared" si="30"/>
        <v>0</v>
      </c>
      <c r="V366" s="166">
        <f t="shared" si="28"/>
        <v>0</v>
      </c>
    </row>
    <row r="367" spans="1:22" x14ac:dyDescent="0.2">
      <c r="A367" s="153">
        <v>2031</v>
      </c>
      <c r="B367" s="153">
        <v>6</v>
      </c>
      <c r="E367" s="173">
        <v>17.61393769106099</v>
      </c>
      <c r="F367" s="281">
        <f t="shared" si="29"/>
        <v>16.635047906665708</v>
      </c>
      <c r="G367" s="173"/>
      <c r="H367" s="173">
        <v>30.52</v>
      </c>
      <c r="I367" s="154">
        <v>840000.04236606951</v>
      </c>
      <c r="J367" s="190">
        <f>VLOOKUP($A367&amp;$B367,'LE Inputs'!$C$2:$J$505,MATCH('LE UtilityData'!J$1,'LE Inputs'!$C$1:$J$1,0),0)*1000</f>
        <v>1525717.5629361912</v>
      </c>
      <c r="K367" s="190">
        <v>616638.5398831385</v>
      </c>
      <c r="L367" s="164">
        <v>403882.92629263736</v>
      </c>
      <c r="M367" s="299">
        <v>402490.57</v>
      </c>
      <c r="N367" s="156">
        <v>74850.764891557599</v>
      </c>
      <c r="O367" s="190" t="e">
        <f>VLOOKUP($A367&amp;$B367,'LE Inputs'!$C$2:$J$505,MATCH('LE UtilityData'!O$1,'LE Inputs'!$C$1:$J$1,0),0)</f>
        <v>#N/A</v>
      </c>
      <c r="P367" s="190" t="e">
        <f>VLOOKUP($A367&amp;$B367,'LE Inputs'!$C$2:$J$505,MATCH('LE UtilityData'!P$1,'LE Inputs'!$C$1:$J$1,0),0)</f>
        <v>#N/A</v>
      </c>
      <c r="Q367" s="168">
        <f t="shared" si="33"/>
        <v>29.5</v>
      </c>
      <c r="R367" s="168">
        <f t="shared" si="33"/>
        <v>224.8</v>
      </c>
      <c r="S367" s="166">
        <v>4124</v>
      </c>
      <c r="T367" s="166">
        <v>1696</v>
      </c>
      <c r="U367" s="166">
        <f t="shared" si="30"/>
        <v>0</v>
      </c>
      <c r="V367" s="166">
        <f t="shared" si="28"/>
        <v>0</v>
      </c>
    </row>
    <row r="368" spans="1:22" x14ac:dyDescent="0.2">
      <c r="A368" s="153">
        <v>2031</v>
      </c>
      <c r="B368" s="153">
        <v>7</v>
      </c>
      <c r="E368" s="173">
        <v>17.61393769106099</v>
      </c>
      <c r="F368" s="281">
        <f t="shared" si="29"/>
        <v>16.635047906665708</v>
      </c>
      <c r="G368" s="173"/>
      <c r="H368" s="173">
        <v>30.67</v>
      </c>
      <c r="I368" s="154">
        <v>840367.04236606951</v>
      </c>
      <c r="J368" s="190">
        <f>VLOOKUP($A368&amp;$B368,'LE Inputs'!$C$2:$J$505,MATCH('LE UtilityData'!J$1,'LE Inputs'!$C$1:$J$1,0),0)*1000</f>
        <v>1528191.1768049849</v>
      </c>
      <c r="K368" s="190">
        <v>617739.89758699783</v>
      </c>
      <c r="L368" s="164">
        <v>404059.38465748681</v>
      </c>
      <c r="M368" s="299">
        <v>403069.33</v>
      </c>
      <c r="N368" s="156">
        <v>75324.334601894298</v>
      </c>
      <c r="O368" s="190" t="e">
        <f>VLOOKUP($A368&amp;$B368,'LE Inputs'!$C$2:$J$505,MATCH('LE UtilityData'!O$1,'LE Inputs'!$C$1:$J$1,0),0)</f>
        <v>#N/A</v>
      </c>
      <c r="P368" s="190" t="e">
        <f>VLOOKUP($A368&amp;$B368,'LE Inputs'!$C$2:$J$505,MATCH('LE UtilityData'!P$1,'LE Inputs'!$C$1:$J$1,0),0)</f>
        <v>#N/A</v>
      </c>
      <c r="Q368" s="168">
        <f t="shared" si="33"/>
        <v>0.55000000000000004</v>
      </c>
      <c r="R368" s="168">
        <f t="shared" si="33"/>
        <v>396.4</v>
      </c>
      <c r="S368" s="166">
        <v>4124</v>
      </c>
      <c r="T368" s="166">
        <v>1696</v>
      </c>
      <c r="U368" s="166">
        <f t="shared" si="30"/>
        <v>0</v>
      </c>
      <c r="V368" s="166">
        <f t="shared" si="28"/>
        <v>0</v>
      </c>
    </row>
    <row r="369" spans="1:22" x14ac:dyDescent="0.2">
      <c r="A369" s="153">
        <v>2031</v>
      </c>
      <c r="B369" s="153">
        <v>8</v>
      </c>
      <c r="E369" s="173">
        <v>17.61393769106099</v>
      </c>
      <c r="F369" s="281">
        <f t="shared" si="29"/>
        <v>16.635047906665708</v>
      </c>
      <c r="G369" s="173"/>
      <c r="H369" s="173">
        <v>29.48</v>
      </c>
      <c r="I369" s="154">
        <v>840734.04236606951</v>
      </c>
      <c r="J369" s="190">
        <f>VLOOKUP($A369&amp;$B369,'LE Inputs'!$C$2:$J$505,MATCH('LE UtilityData'!J$1,'LE Inputs'!$C$1:$J$1,0),0)*1000</f>
        <v>1528191.1768049849</v>
      </c>
      <c r="K369" s="190">
        <v>617739.89758699783</v>
      </c>
      <c r="L369" s="164">
        <v>404235.84302233631</v>
      </c>
      <c r="M369" s="299">
        <v>403069.33</v>
      </c>
      <c r="N369" s="156">
        <v>75324.334601894298</v>
      </c>
      <c r="O369" s="190" t="e">
        <f>VLOOKUP($A369&amp;$B369,'LE Inputs'!$C$2:$J$505,MATCH('LE UtilityData'!O$1,'LE Inputs'!$C$1:$J$1,0),0)</f>
        <v>#N/A</v>
      </c>
      <c r="P369" s="190" t="e">
        <f>VLOOKUP($A369&amp;$B369,'LE Inputs'!$C$2:$J$505,MATCH('LE UtilityData'!P$1,'LE Inputs'!$C$1:$J$1,0),0)</f>
        <v>#N/A</v>
      </c>
      <c r="Q369" s="168">
        <f t="shared" si="33"/>
        <v>0.1</v>
      </c>
      <c r="R369" s="168">
        <f t="shared" si="33"/>
        <v>417.05</v>
      </c>
      <c r="S369" s="166">
        <v>4124</v>
      </c>
      <c r="T369" s="166">
        <v>1696</v>
      </c>
      <c r="U369" s="166">
        <f t="shared" si="30"/>
        <v>0</v>
      </c>
      <c r="V369" s="166">
        <f t="shared" si="28"/>
        <v>0</v>
      </c>
    </row>
    <row r="370" spans="1:22" x14ac:dyDescent="0.2">
      <c r="A370" s="153">
        <v>2031</v>
      </c>
      <c r="B370" s="153">
        <v>9</v>
      </c>
      <c r="E370" s="173">
        <v>17.61393769106099</v>
      </c>
      <c r="F370" s="281">
        <f t="shared" si="29"/>
        <v>16.635047906665708</v>
      </c>
      <c r="G370" s="173"/>
      <c r="H370" s="173">
        <v>30.86</v>
      </c>
      <c r="I370" s="154">
        <v>841101.04236606951</v>
      </c>
      <c r="J370" s="190">
        <f>VLOOKUP($A370&amp;$B370,'LE Inputs'!$C$2:$J$505,MATCH('LE UtilityData'!J$1,'LE Inputs'!$C$1:$J$1,0),0)*1000</f>
        <v>1528191.1768049849</v>
      </c>
      <c r="K370" s="190">
        <v>617739.89758699783</v>
      </c>
      <c r="L370" s="164">
        <v>404412.30138718581</v>
      </c>
      <c r="M370" s="299">
        <v>403069.33</v>
      </c>
      <c r="N370" s="156">
        <v>75324.334601894298</v>
      </c>
      <c r="O370" s="190" t="e">
        <f>VLOOKUP($A370&amp;$B370,'LE Inputs'!$C$2:$J$505,MATCH('LE UtilityData'!O$1,'LE Inputs'!$C$1:$J$1,0),0)</f>
        <v>#N/A</v>
      </c>
      <c r="P370" s="190" t="e">
        <f>VLOOKUP($A370&amp;$B370,'LE Inputs'!$C$2:$J$505,MATCH('LE UtilityData'!P$1,'LE Inputs'!$C$1:$J$1,0),0)</f>
        <v>#N/A</v>
      </c>
      <c r="Q370" s="168">
        <f t="shared" si="33"/>
        <v>5.35</v>
      </c>
      <c r="R370" s="168">
        <f t="shared" si="33"/>
        <v>330.2</v>
      </c>
      <c r="S370" s="166">
        <v>4124</v>
      </c>
      <c r="T370" s="166">
        <v>1696</v>
      </c>
      <c r="U370" s="166">
        <f t="shared" si="30"/>
        <v>0</v>
      </c>
      <c r="V370" s="166">
        <f t="shared" si="28"/>
        <v>0</v>
      </c>
    </row>
    <row r="371" spans="1:22" x14ac:dyDescent="0.2">
      <c r="A371" s="153">
        <v>2031</v>
      </c>
      <c r="B371" s="153">
        <v>10</v>
      </c>
      <c r="E371" s="173">
        <v>17.61393769106099</v>
      </c>
      <c r="F371" s="281">
        <f t="shared" si="29"/>
        <v>16.635047906665708</v>
      </c>
      <c r="G371" s="173"/>
      <c r="H371" s="173">
        <v>29.38</v>
      </c>
      <c r="I371" s="154">
        <v>841468.04236606951</v>
      </c>
      <c r="J371" s="190">
        <f>VLOOKUP($A371&amp;$B371,'LE Inputs'!$C$2:$J$505,MATCH('LE UtilityData'!J$1,'LE Inputs'!$C$1:$J$1,0),0)*1000</f>
        <v>1531184.6149018744</v>
      </c>
      <c r="K371" s="190">
        <v>619045.03095209063</v>
      </c>
      <c r="L371" s="164">
        <v>404588.75975203526</v>
      </c>
      <c r="M371" s="299">
        <v>403755.32</v>
      </c>
      <c r="N371" s="156">
        <v>75775.0339438792</v>
      </c>
      <c r="O371" s="190" t="e">
        <f>VLOOKUP($A371&amp;$B371,'LE Inputs'!$C$2:$J$505,MATCH('LE UtilityData'!O$1,'LE Inputs'!$C$1:$J$1,0),0)</f>
        <v>#N/A</v>
      </c>
      <c r="P371" s="190" t="e">
        <f>VLOOKUP($A371&amp;$B371,'LE Inputs'!$C$2:$J$505,MATCH('LE UtilityData'!P$1,'LE Inputs'!$C$1:$J$1,0),0)</f>
        <v>#N/A</v>
      </c>
      <c r="Q371" s="168">
        <f t="shared" si="33"/>
        <v>99.3</v>
      </c>
      <c r="R371" s="168">
        <f t="shared" si="33"/>
        <v>100.05</v>
      </c>
      <c r="S371" s="166">
        <v>4124</v>
      </c>
      <c r="T371" s="166">
        <v>1696</v>
      </c>
      <c r="U371" s="166">
        <f t="shared" si="30"/>
        <v>0</v>
      </c>
      <c r="V371" s="166">
        <f t="shared" si="28"/>
        <v>0</v>
      </c>
    </row>
    <row r="372" spans="1:22" x14ac:dyDescent="0.2">
      <c r="A372" s="153">
        <v>2031</v>
      </c>
      <c r="B372" s="153">
        <v>11</v>
      </c>
      <c r="E372" s="173">
        <v>17.61393769106099</v>
      </c>
      <c r="F372" s="281">
        <f t="shared" si="29"/>
        <v>16.635047906665708</v>
      </c>
      <c r="G372" s="173"/>
      <c r="H372" s="173">
        <v>29.57</v>
      </c>
      <c r="I372" s="154">
        <v>841835.04236606951</v>
      </c>
      <c r="J372" s="190">
        <f>VLOOKUP($A372&amp;$B372,'LE Inputs'!$C$2:$J$505,MATCH('LE UtilityData'!J$1,'LE Inputs'!$C$1:$J$1,0),0)*1000</f>
        <v>1531184.6149018744</v>
      </c>
      <c r="K372" s="190">
        <v>619045.03095209063</v>
      </c>
      <c r="L372" s="164">
        <v>404765.2181168847</v>
      </c>
      <c r="M372" s="299">
        <v>403755.32</v>
      </c>
      <c r="N372" s="156">
        <v>75775.0339438792</v>
      </c>
      <c r="O372" s="190" t="e">
        <f>VLOOKUP($A372&amp;$B372,'LE Inputs'!$C$2:$J$505,MATCH('LE UtilityData'!O$1,'LE Inputs'!$C$1:$J$1,0),0)</f>
        <v>#N/A</v>
      </c>
      <c r="P372" s="190" t="e">
        <f>VLOOKUP($A372&amp;$B372,'LE Inputs'!$C$2:$J$505,MATCH('LE UtilityData'!P$1,'LE Inputs'!$C$1:$J$1,0),0)</f>
        <v>#N/A</v>
      </c>
      <c r="Q372" s="168">
        <f t="shared" si="33"/>
        <v>352.6</v>
      </c>
      <c r="R372" s="168">
        <f t="shared" si="33"/>
        <v>12.75</v>
      </c>
      <c r="S372" s="166">
        <v>4124</v>
      </c>
      <c r="T372" s="166">
        <v>1696</v>
      </c>
      <c r="U372" s="166">
        <f t="shared" si="30"/>
        <v>0</v>
      </c>
      <c r="V372" s="166">
        <f t="shared" si="28"/>
        <v>0</v>
      </c>
    </row>
    <row r="373" spans="1:22" x14ac:dyDescent="0.2">
      <c r="A373" s="153">
        <v>2031</v>
      </c>
      <c r="B373" s="153">
        <v>12</v>
      </c>
      <c r="E373" s="173">
        <v>17.61393769106099</v>
      </c>
      <c r="F373" s="281">
        <f t="shared" si="29"/>
        <v>16.635047906665708</v>
      </c>
      <c r="G373" s="173"/>
      <c r="H373" s="173">
        <v>31.81</v>
      </c>
      <c r="I373" s="154">
        <v>842202.04236606951</v>
      </c>
      <c r="J373" s="190">
        <f>VLOOKUP($A373&amp;$B373,'LE Inputs'!$C$2:$J$505,MATCH('LE UtilityData'!J$1,'LE Inputs'!$C$1:$J$1,0),0)*1000</f>
        <v>1531184.6149018744</v>
      </c>
      <c r="K373" s="190">
        <v>619045.03095209063</v>
      </c>
      <c r="L373" s="164">
        <v>404941.67648173415</v>
      </c>
      <c r="M373" s="299">
        <v>403755.32</v>
      </c>
      <c r="N373" s="156">
        <v>75775.0339438792</v>
      </c>
      <c r="O373" s="190" t="e">
        <f>VLOOKUP($A373&amp;$B373,'LE Inputs'!$C$2:$J$505,MATCH('LE UtilityData'!O$1,'LE Inputs'!$C$1:$J$1,0),0)</f>
        <v>#N/A</v>
      </c>
      <c r="P373" s="190" t="e">
        <f>VLOOKUP($A373&amp;$B373,'LE Inputs'!$C$2:$J$505,MATCH('LE UtilityData'!P$1,'LE Inputs'!$C$1:$J$1,0),0)</f>
        <v>#N/A</v>
      </c>
      <c r="Q373" s="168">
        <f t="shared" si="33"/>
        <v>669.9</v>
      </c>
      <c r="R373" s="168">
        <f t="shared" si="33"/>
        <v>1.05</v>
      </c>
      <c r="S373" s="166">
        <v>4124</v>
      </c>
      <c r="T373" s="166">
        <v>1696</v>
      </c>
      <c r="U373" s="166">
        <f t="shared" si="30"/>
        <v>0</v>
      </c>
      <c r="V373" s="166">
        <f t="shared" si="28"/>
        <v>0</v>
      </c>
    </row>
    <row r="374" spans="1:22" x14ac:dyDescent="0.2">
      <c r="A374" s="153">
        <v>2032</v>
      </c>
      <c r="B374" s="153">
        <v>1</v>
      </c>
      <c r="E374" s="173">
        <v>18.054286133337509</v>
      </c>
      <c r="F374" s="281">
        <f t="shared" si="29"/>
        <v>16.967748864799024</v>
      </c>
      <c r="G374" s="173"/>
      <c r="H374" s="173">
        <v>32.380000000000003</v>
      </c>
      <c r="I374" s="154">
        <v>842569.04236606951</v>
      </c>
      <c r="J374" s="190">
        <f>VLOOKUP($A374&amp;$B374,'LE Inputs'!$C$2:$J$505,MATCH('LE UtilityData'!J$1,'LE Inputs'!$C$1:$J$1,0),0)*1000</f>
        <v>1534173.2396647716</v>
      </c>
      <c r="K374" s="190">
        <v>620339.44280688954</v>
      </c>
      <c r="L374" s="164">
        <v>405118.13484658365</v>
      </c>
      <c r="M374" s="299">
        <v>404435.53</v>
      </c>
      <c r="N374" s="156">
        <v>76380.055581651599</v>
      </c>
      <c r="O374" s="190" t="e">
        <f>VLOOKUP($A374&amp;$B374,'LE Inputs'!$C$2:$J$505,MATCH('LE UtilityData'!O$1,'LE Inputs'!$C$1:$J$1,0),0)</f>
        <v>#N/A</v>
      </c>
      <c r="P374" s="190" t="e">
        <f>VLOOKUP($A374&amp;$B374,'LE Inputs'!$C$2:$J$505,MATCH('LE UtilityData'!P$1,'LE Inputs'!$C$1:$J$1,0),0)</f>
        <v>#N/A</v>
      </c>
      <c r="Q374" s="168">
        <f t="shared" si="33"/>
        <v>932.4</v>
      </c>
      <c r="R374" s="168">
        <f t="shared" si="33"/>
        <v>0.35</v>
      </c>
      <c r="S374" s="166">
        <v>4124</v>
      </c>
      <c r="T374" s="166">
        <v>1696</v>
      </c>
      <c r="U374" s="166">
        <f t="shared" si="30"/>
        <v>0</v>
      </c>
      <c r="V374" s="166">
        <f t="shared" si="28"/>
        <v>0</v>
      </c>
    </row>
    <row r="375" spans="1:22" x14ac:dyDescent="0.2">
      <c r="A375" s="153">
        <v>2032</v>
      </c>
      <c r="B375" s="153">
        <v>2</v>
      </c>
      <c r="E375" s="173">
        <v>18.054286133337509</v>
      </c>
      <c r="F375" s="281">
        <f t="shared" si="29"/>
        <v>16.967748864799024</v>
      </c>
      <c r="G375" s="173"/>
      <c r="H375" s="173">
        <v>30.19</v>
      </c>
      <c r="I375" s="154">
        <v>842936.04236606951</v>
      </c>
      <c r="J375" s="190">
        <f>VLOOKUP($A375&amp;$B375,'LE Inputs'!$C$2:$J$505,MATCH('LE UtilityData'!J$1,'LE Inputs'!$C$1:$J$1,0),0)*1000</f>
        <v>1534173.2396647716</v>
      </c>
      <c r="K375" s="190">
        <v>620339.44280688954</v>
      </c>
      <c r="L375" s="164">
        <v>405294.59321143315</v>
      </c>
      <c r="M375" s="299">
        <v>404435.53</v>
      </c>
      <c r="N375" s="156">
        <v>76380.055581651599</v>
      </c>
      <c r="O375" s="190" t="e">
        <f>VLOOKUP($A375&amp;$B375,'LE Inputs'!$C$2:$J$505,MATCH('LE UtilityData'!O$1,'LE Inputs'!$C$1:$J$1,0),0)</f>
        <v>#N/A</v>
      </c>
      <c r="P375" s="190" t="e">
        <f>VLOOKUP($A375&amp;$B375,'LE Inputs'!$C$2:$J$505,MATCH('LE UtilityData'!P$1,'LE Inputs'!$C$1:$J$1,0),0)</f>
        <v>#N/A</v>
      </c>
      <c r="Q375" s="168">
        <f t="shared" si="33"/>
        <v>864.1</v>
      </c>
      <c r="R375" s="168">
        <f t="shared" si="33"/>
        <v>0.05</v>
      </c>
      <c r="S375" s="166">
        <v>4124</v>
      </c>
      <c r="T375" s="166">
        <v>1696</v>
      </c>
      <c r="U375" s="166">
        <f t="shared" si="30"/>
        <v>0</v>
      </c>
      <c r="V375" s="166">
        <f t="shared" si="28"/>
        <v>0</v>
      </c>
    </row>
    <row r="376" spans="1:22" x14ac:dyDescent="0.2">
      <c r="A376" s="153">
        <v>2032</v>
      </c>
      <c r="B376" s="153">
        <v>3</v>
      </c>
      <c r="E376" s="173">
        <v>18.054286133337509</v>
      </c>
      <c r="F376" s="281">
        <f t="shared" si="29"/>
        <v>16.967748864799024</v>
      </c>
      <c r="G376" s="173"/>
      <c r="H376" s="173">
        <v>30.33</v>
      </c>
      <c r="I376" s="154">
        <v>843303.04236606951</v>
      </c>
      <c r="J376" s="190">
        <f>VLOOKUP($A376&amp;$B376,'LE Inputs'!$C$2:$J$505,MATCH('LE UtilityData'!J$1,'LE Inputs'!$C$1:$J$1,0),0)*1000</f>
        <v>1534173.2396647716</v>
      </c>
      <c r="K376" s="190">
        <v>620339.44280688954</v>
      </c>
      <c r="L376" s="164">
        <v>405471.05157628265</v>
      </c>
      <c r="M376" s="299">
        <v>404435.53</v>
      </c>
      <c r="N376" s="156">
        <v>76380.055581651599</v>
      </c>
      <c r="O376" s="190" t="e">
        <f>VLOOKUP($A376&amp;$B376,'LE Inputs'!$C$2:$J$505,MATCH('LE UtilityData'!O$1,'LE Inputs'!$C$1:$J$1,0),0)</f>
        <v>#N/A</v>
      </c>
      <c r="P376" s="190" t="e">
        <f>VLOOKUP($A376&amp;$B376,'LE Inputs'!$C$2:$J$505,MATCH('LE UtilityData'!P$1,'LE Inputs'!$C$1:$J$1,0),0)</f>
        <v>#N/A</v>
      </c>
      <c r="Q376" s="168">
        <f t="shared" si="33"/>
        <v>674.3</v>
      </c>
      <c r="R376" s="168">
        <f t="shared" si="33"/>
        <v>1.1499999999999999</v>
      </c>
      <c r="S376" s="166">
        <v>4124</v>
      </c>
      <c r="T376" s="166">
        <v>1696</v>
      </c>
      <c r="U376" s="166">
        <f t="shared" si="30"/>
        <v>0</v>
      </c>
      <c r="V376" s="166">
        <f t="shared" si="28"/>
        <v>0</v>
      </c>
    </row>
    <row r="377" spans="1:22" x14ac:dyDescent="0.2">
      <c r="A377" s="153">
        <v>2032</v>
      </c>
      <c r="B377" s="153">
        <v>4</v>
      </c>
      <c r="E377" s="173">
        <v>18.054286133337509</v>
      </c>
      <c r="F377" s="281">
        <f t="shared" si="29"/>
        <v>16.967748864799024</v>
      </c>
      <c r="G377" s="173"/>
      <c r="H377" s="173">
        <v>30.48</v>
      </c>
      <c r="I377" s="154">
        <v>843670.04236606951</v>
      </c>
      <c r="J377" s="190">
        <f>VLOOKUP($A377&amp;$B377,'LE Inputs'!$C$2:$J$505,MATCH('LE UtilityData'!J$1,'LE Inputs'!$C$1:$J$1,0),0)*1000</f>
        <v>1537153.3655279742</v>
      </c>
      <c r="K377" s="190">
        <v>621626.65257890266</v>
      </c>
      <c r="L377" s="164">
        <v>405647.5099411321</v>
      </c>
      <c r="M377" s="299">
        <v>405112.59</v>
      </c>
      <c r="N377" s="156">
        <v>76837.262051688798</v>
      </c>
      <c r="O377" s="190" t="e">
        <f>VLOOKUP($A377&amp;$B377,'LE Inputs'!$C$2:$J$505,MATCH('LE UtilityData'!O$1,'LE Inputs'!$C$1:$J$1,0),0)</f>
        <v>#N/A</v>
      </c>
      <c r="P377" s="190" t="e">
        <f>VLOOKUP($A377&amp;$B377,'LE Inputs'!$C$2:$J$505,MATCH('LE UtilityData'!P$1,'LE Inputs'!$C$1:$J$1,0),0)</f>
        <v>#N/A</v>
      </c>
      <c r="Q377" s="168">
        <f t="shared" si="33"/>
        <v>377.1</v>
      </c>
      <c r="R377" s="168">
        <f t="shared" si="33"/>
        <v>20.25</v>
      </c>
      <c r="S377" s="166">
        <v>4124</v>
      </c>
      <c r="T377" s="166">
        <v>1696</v>
      </c>
      <c r="U377" s="166">
        <f t="shared" si="30"/>
        <v>0</v>
      </c>
      <c r="V377" s="166">
        <f t="shared" si="28"/>
        <v>0</v>
      </c>
    </row>
    <row r="378" spans="1:22" x14ac:dyDescent="0.2">
      <c r="A378" s="153">
        <v>2032</v>
      </c>
      <c r="B378" s="153">
        <v>5</v>
      </c>
      <c r="E378" s="173">
        <v>18.054286133337509</v>
      </c>
      <c r="F378" s="281">
        <f t="shared" si="29"/>
        <v>16.967748864799024</v>
      </c>
      <c r="G378" s="173"/>
      <c r="H378" s="173">
        <v>29.52</v>
      </c>
      <c r="I378" s="154">
        <v>844037.04236606951</v>
      </c>
      <c r="J378" s="190">
        <f>VLOOKUP($A378&amp;$B378,'LE Inputs'!$C$2:$J$505,MATCH('LE UtilityData'!J$1,'LE Inputs'!$C$1:$J$1,0),0)*1000</f>
        <v>1537153.3655279742</v>
      </c>
      <c r="K378" s="190">
        <v>621626.65257890266</v>
      </c>
      <c r="L378" s="164">
        <v>405823.96830598154</v>
      </c>
      <c r="M378" s="299">
        <v>405112.59</v>
      </c>
      <c r="N378" s="156">
        <v>76837.262051688798</v>
      </c>
      <c r="O378" s="190" t="e">
        <f>VLOOKUP($A378&amp;$B378,'LE Inputs'!$C$2:$J$505,MATCH('LE UtilityData'!O$1,'LE Inputs'!$C$1:$J$1,0),0)</f>
        <v>#N/A</v>
      </c>
      <c r="P378" s="190" t="e">
        <f>VLOOKUP($A378&amp;$B378,'LE Inputs'!$C$2:$J$505,MATCH('LE UtilityData'!P$1,'LE Inputs'!$C$1:$J$1,0),0)</f>
        <v>#N/A</v>
      </c>
      <c r="Q378" s="168">
        <f t="shared" si="33"/>
        <v>141</v>
      </c>
      <c r="R378" s="168">
        <f t="shared" si="33"/>
        <v>69.349999999999994</v>
      </c>
      <c r="S378" s="166">
        <v>4124</v>
      </c>
      <c r="T378" s="166">
        <v>1696</v>
      </c>
      <c r="U378" s="166">
        <f t="shared" si="30"/>
        <v>0</v>
      </c>
      <c r="V378" s="166">
        <f t="shared" si="28"/>
        <v>0</v>
      </c>
    </row>
    <row r="379" spans="1:22" x14ac:dyDescent="0.2">
      <c r="A379" s="153">
        <v>2032</v>
      </c>
      <c r="B379" s="153">
        <v>6</v>
      </c>
      <c r="E379" s="173">
        <v>18.054286133337509</v>
      </c>
      <c r="F379" s="281">
        <f t="shared" si="29"/>
        <v>16.967748864799024</v>
      </c>
      <c r="G379" s="173"/>
      <c r="H379" s="173">
        <v>30.71</v>
      </c>
      <c r="I379" s="154">
        <v>844407.48673892079</v>
      </c>
      <c r="J379" s="190">
        <f>VLOOKUP($A379&amp;$B379,'LE Inputs'!$C$2:$J$505,MATCH('LE UtilityData'!J$1,'LE Inputs'!$C$1:$J$1,0),0)*1000</f>
        <v>1537153.3655279742</v>
      </c>
      <c r="K379" s="190">
        <v>621626.65257890266</v>
      </c>
      <c r="L379" s="164">
        <v>406002.08277001703</v>
      </c>
      <c r="M379" s="299">
        <v>405112.59</v>
      </c>
      <c r="N379" s="156">
        <v>76837.262051688798</v>
      </c>
      <c r="O379" s="190" t="e">
        <f>VLOOKUP($A379&amp;$B379,'LE Inputs'!$C$2:$J$505,MATCH('LE UtilityData'!O$1,'LE Inputs'!$C$1:$J$1,0),0)</f>
        <v>#N/A</v>
      </c>
      <c r="P379" s="190" t="e">
        <f>VLOOKUP($A379&amp;$B379,'LE Inputs'!$C$2:$J$505,MATCH('LE UtilityData'!P$1,'LE Inputs'!$C$1:$J$1,0),0)</f>
        <v>#N/A</v>
      </c>
      <c r="Q379" s="168">
        <f t="shared" si="33"/>
        <v>29.5</v>
      </c>
      <c r="R379" s="168">
        <f t="shared" si="33"/>
        <v>224.8</v>
      </c>
      <c r="S379" s="166">
        <v>4124</v>
      </c>
      <c r="T379" s="166">
        <v>1696</v>
      </c>
      <c r="U379" s="166">
        <f t="shared" si="30"/>
        <v>0</v>
      </c>
      <c r="V379" s="166">
        <f t="shared" si="28"/>
        <v>0</v>
      </c>
    </row>
    <row r="380" spans="1:22" x14ac:dyDescent="0.2">
      <c r="A380" s="153">
        <v>2032</v>
      </c>
      <c r="B380" s="153">
        <v>7</v>
      </c>
      <c r="E380" s="173">
        <v>18.054286133337509</v>
      </c>
      <c r="F380" s="281">
        <f t="shared" si="29"/>
        <v>16.967748864799024</v>
      </c>
      <c r="G380" s="173"/>
      <c r="H380" s="173">
        <v>30.57</v>
      </c>
      <c r="I380" s="154">
        <v>844766.48673892079</v>
      </c>
      <c r="J380" s="190">
        <f>VLOOKUP($A380&amp;$B380,'LE Inputs'!$C$2:$J$505,MATCH('LE UtilityData'!J$1,'LE Inputs'!$C$1:$J$1,0),0)*1000</f>
        <v>1540125.6757532456</v>
      </c>
      <c r="K380" s="190">
        <v>623378.24065720488</v>
      </c>
      <c r="L380" s="164">
        <v>406174.69463100057</v>
      </c>
      <c r="M380" s="299">
        <v>406033.03</v>
      </c>
      <c r="N380" s="156">
        <v>77319.473614208706</v>
      </c>
      <c r="O380" s="190" t="e">
        <f>VLOOKUP($A380&amp;$B380,'LE Inputs'!$C$2:$J$505,MATCH('LE UtilityData'!O$1,'LE Inputs'!$C$1:$J$1,0),0)</f>
        <v>#N/A</v>
      </c>
      <c r="P380" s="190" t="e">
        <f>VLOOKUP($A380&amp;$B380,'LE Inputs'!$C$2:$J$505,MATCH('LE UtilityData'!P$1,'LE Inputs'!$C$1:$J$1,0),0)</f>
        <v>#N/A</v>
      </c>
      <c r="Q380" s="168">
        <f t="shared" si="33"/>
        <v>0.55000000000000004</v>
      </c>
      <c r="R380" s="168">
        <f t="shared" si="33"/>
        <v>396.4</v>
      </c>
      <c r="S380" s="166">
        <v>4124</v>
      </c>
      <c r="T380" s="166">
        <v>1696</v>
      </c>
      <c r="U380" s="166">
        <f t="shared" si="30"/>
        <v>0</v>
      </c>
      <c r="V380" s="166">
        <f t="shared" si="28"/>
        <v>0</v>
      </c>
    </row>
    <row r="381" spans="1:22" x14ac:dyDescent="0.2">
      <c r="A381" s="153">
        <v>2032</v>
      </c>
      <c r="B381" s="153">
        <v>8</v>
      </c>
      <c r="E381" s="173">
        <v>18.054286133337509</v>
      </c>
      <c r="F381" s="281">
        <f t="shared" si="29"/>
        <v>16.967748864799024</v>
      </c>
      <c r="G381" s="173"/>
      <c r="H381" s="173">
        <v>29.67</v>
      </c>
      <c r="I381" s="154">
        <v>845125.48673892079</v>
      </c>
      <c r="J381" s="190">
        <f>VLOOKUP($A381&amp;$B381,'LE Inputs'!$C$2:$J$505,MATCH('LE UtilityData'!J$1,'LE Inputs'!$C$1:$J$1,0),0)*1000</f>
        <v>1540125.6757532456</v>
      </c>
      <c r="K381" s="190">
        <v>623378.24065720488</v>
      </c>
      <c r="L381" s="164">
        <v>406347.30649198405</v>
      </c>
      <c r="M381" s="299">
        <v>406033.03</v>
      </c>
      <c r="N381" s="156">
        <v>77319.473614208706</v>
      </c>
      <c r="O381" s="190" t="e">
        <f>VLOOKUP($A381&amp;$B381,'LE Inputs'!$C$2:$J$505,MATCH('LE UtilityData'!O$1,'LE Inputs'!$C$1:$J$1,0),0)</f>
        <v>#N/A</v>
      </c>
      <c r="P381" s="190" t="e">
        <f>VLOOKUP($A381&amp;$B381,'LE Inputs'!$C$2:$J$505,MATCH('LE UtilityData'!P$1,'LE Inputs'!$C$1:$J$1,0),0)</f>
        <v>#N/A</v>
      </c>
      <c r="Q381" s="168">
        <f t="shared" si="33"/>
        <v>0.1</v>
      </c>
      <c r="R381" s="168">
        <f t="shared" si="33"/>
        <v>417.05</v>
      </c>
      <c r="S381" s="166">
        <v>4124</v>
      </c>
      <c r="T381" s="166">
        <v>1696</v>
      </c>
      <c r="U381" s="166">
        <f t="shared" si="30"/>
        <v>0</v>
      </c>
      <c r="V381" s="166">
        <f t="shared" si="28"/>
        <v>0</v>
      </c>
    </row>
    <row r="382" spans="1:22" x14ac:dyDescent="0.2">
      <c r="A382" s="153">
        <v>2032</v>
      </c>
      <c r="B382" s="153">
        <v>9</v>
      </c>
      <c r="E382" s="173">
        <v>18.054286133337509</v>
      </c>
      <c r="F382" s="281">
        <f t="shared" si="29"/>
        <v>16.967748864799024</v>
      </c>
      <c r="G382" s="173"/>
      <c r="H382" s="173">
        <v>30.48</v>
      </c>
      <c r="I382" s="154">
        <v>845484.48673892079</v>
      </c>
      <c r="J382" s="190">
        <f>VLOOKUP($A382&amp;$B382,'LE Inputs'!$C$2:$J$505,MATCH('LE UtilityData'!J$1,'LE Inputs'!$C$1:$J$1,0),0)*1000</f>
        <v>1540125.6757532456</v>
      </c>
      <c r="K382" s="190">
        <v>623378.24065720488</v>
      </c>
      <c r="L382" s="164">
        <v>406519.91835296759</v>
      </c>
      <c r="M382" s="299">
        <v>406033.03</v>
      </c>
      <c r="N382" s="156">
        <v>77319.473614208706</v>
      </c>
      <c r="O382" s="190" t="e">
        <f>VLOOKUP($A382&amp;$B382,'LE Inputs'!$C$2:$J$505,MATCH('LE UtilityData'!O$1,'LE Inputs'!$C$1:$J$1,0),0)</f>
        <v>#N/A</v>
      </c>
      <c r="P382" s="190" t="e">
        <f>VLOOKUP($A382&amp;$B382,'LE Inputs'!$C$2:$J$505,MATCH('LE UtilityData'!P$1,'LE Inputs'!$C$1:$J$1,0),0)</f>
        <v>#N/A</v>
      </c>
      <c r="Q382" s="168">
        <f t="shared" ref="Q382:R397" si="34">Q370</f>
        <v>5.35</v>
      </c>
      <c r="R382" s="168">
        <f t="shared" si="34"/>
        <v>330.2</v>
      </c>
      <c r="S382" s="166">
        <v>4124</v>
      </c>
      <c r="T382" s="166">
        <v>1696</v>
      </c>
      <c r="U382" s="166">
        <f t="shared" si="30"/>
        <v>0</v>
      </c>
      <c r="V382" s="166">
        <f t="shared" si="28"/>
        <v>0</v>
      </c>
    </row>
    <row r="383" spans="1:22" x14ac:dyDescent="0.2">
      <c r="A383" s="153">
        <v>2032</v>
      </c>
      <c r="B383" s="153">
        <v>10</v>
      </c>
      <c r="E383" s="173">
        <v>18.054286133337509</v>
      </c>
      <c r="F383" s="281">
        <f t="shared" si="29"/>
        <v>16.967748864799024</v>
      </c>
      <c r="G383" s="173"/>
      <c r="H383" s="173">
        <v>29.67</v>
      </c>
      <c r="I383" s="154">
        <v>845843.48673892079</v>
      </c>
      <c r="J383" s="190">
        <f>VLOOKUP($A383&amp;$B383,'LE Inputs'!$C$2:$J$505,MATCH('LE UtilityData'!J$1,'LE Inputs'!$C$1:$J$1,0),0)*1000</f>
        <v>1543090.2552909947</v>
      </c>
      <c r="K383" s="190">
        <v>624455.61954078835</v>
      </c>
      <c r="L383" s="164">
        <v>406692.53021395113</v>
      </c>
      <c r="M383" s="299">
        <v>406599.7</v>
      </c>
      <c r="N383" s="156">
        <v>77747.9734077795</v>
      </c>
      <c r="O383" s="190" t="e">
        <f>VLOOKUP($A383&amp;$B383,'LE Inputs'!$C$2:$J$505,MATCH('LE UtilityData'!O$1,'LE Inputs'!$C$1:$J$1,0),0)</f>
        <v>#N/A</v>
      </c>
      <c r="P383" s="190" t="e">
        <f>VLOOKUP($A383&amp;$B383,'LE Inputs'!$C$2:$J$505,MATCH('LE UtilityData'!P$1,'LE Inputs'!$C$1:$J$1,0),0)</f>
        <v>#N/A</v>
      </c>
      <c r="Q383" s="168">
        <f t="shared" si="34"/>
        <v>99.3</v>
      </c>
      <c r="R383" s="168">
        <f t="shared" si="34"/>
        <v>100.05</v>
      </c>
      <c r="S383" s="166">
        <v>4124</v>
      </c>
      <c r="T383" s="166">
        <v>1696</v>
      </c>
      <c r="U383" s="166">
        <f t="shared" si="30"/>
        <v>0</v>
      </c>
      <c r="V383" s="166">
        <f t="shared" si="28"/>
        <v>0</v>
      </c>
    </row>
    <row r="384" spans="1:22" x14ac:dyDescent="0.2">
      <c r="A384" s="153">
        <v>2032</v>
      </c>
      <c r="B384" s="153">
        <v>11</v>
      </c>
      <c r="E384" s="173">
        <v>18.054286133337509</v>
      </c>
      <c r="F384" s="281">
        <f t="shared" si="29"/>
        <v>16.967748864799024</v>
      </c>
      <c r="G384" s="173"/>
      <c r="H384" s="173">
        <v>29.76</v>
      </c>
      <c r="I384" s="154">
        <v>846202.48673892079</v>
      </c>
      <c r="J384" s="190">
        <f>VLOOKUP($A384&amp;$B384,'LE Inputs'!$C$2:$J$505,MATCH('LE UtilityData'!J$1,'LE Inputs'!$C$1:$J$1,0),0)*1000</f>
        <v>1543090.2552909947</v>
      </c>
      <c r="K384" s="190">
        <v>624455.61954078835</v>
      </c>
      <c r="L384" s="164">
        <v>406865.14207493467</v>
      </c>
      <c r="M384" s="299">
        <v>406599.7</v>
      </c>
      <c r="N384" s="156">
        <v>77747.9734077795</v>
      </c>
      <c r="O384" s="190" t="e">
        <f>VLOOKUP($A384&amp;$B384,'LE Inputs'!$C$2:$J$505,MATCH('LE UtilityData'!O$1,'LE Inputs'!$C$1:$J$1,0),0)</f>
        <v>#N/A</v>
      </c>
      <c r="P384" s="190" t="e">
        <f>VLOOKUP($A384&amp;$B384,'LE Inputs'!$C$2:$J$505,MATCH('LE UtilityData'!P$1,'LE Inputs'!$C$1:$J$1,0),0)</f>
        <v>#N/A</v>
      </c>
      <c r="Q384" s="168">
        <f t="shared" si="34"/>
        <v>352.6</v>
      </c>
      <c r="R384" s="168">
        <f t="shared" si="34"/>
        <v>12.75</v>
      </c>
      <c r="S384" s="166">
        <v>4124</v>
      </c>
      <c r="T384" s="166">
        <v>1696</v>
      </c>
      <c r="U384" s="166">
        <f t="shared" si="30"/>
        <v>0</v>
      </c>
      <c r="V384" s="166">
        <f t="shared" si="28"/>
        <v>0</v>
      </c>
    </row>
    <row r="385" spans="1:22" x14ac:dyDescent="0.2">
      <c r="A385" s="153">
        <v>2032</v>
      </c>
      <c r="B385" s="153">
        <v>12</v>
      </c>
      <c r="E385" s="173">
        <v>18.054286133337509</v>
      </c>
      <c r="F385" s="281">
        <f t="shared" si="29"/>
        <v>16.967748864799024</v>
      </c>
      <c r="G385" s="173"/>
      <c r="H385" s="173">
        <v>31.38</v>
      </c>
      <c r="I385" s="154">
        <v>846561.48673892079</v>
      </c>
      <c r="J385" s="190">
        <f>VLOOKUP($A385&amp;$B385,'LE Inputs'!$C$2:$J$505,MATCH('LE UtilityData'!J$1,'LE Inputs'!$C$1:$J$1,0),0)*1000</f>
        <v>1543090.2552909947</v>
      </c>
      <c r="K385" s="190">
        <v>624455.61954078835</v>
      </c>
      <c r="L385" s="164">
        <v>407037.75393591821</v>
      </c>
      <c r="M385" s="299">
        <v>406599.7</v>
      </c>
      <c r="N385" s="156">
        <v>77747.9734077795</v>
      </c>
      <c r="O385" s="190" t="e">
        <f>VLOOKUP($A385&amp;$B385,'LE Inputs'!$C$2:$J$505,MATCH('LE UtilityData'!O$1,'LE Inputs'!$C$1:$J$1,0),0)</f>
        <v>#N/A</v>
      </c>
      <c r="P385" s="190" t="e">
        <f>VLOOKUP($A385&amp;$B385,'LE Inputs'!$C$2:$J$505,MATCH('LE UtilityData'!P$1,'LE Inputs'!$C$1:$J$1,0),0)</f>
        <v>#N/A</v>
      </c>
      <c r="Q385" s="168">
        <f t="shared" si="34"/>
        <v>669.9</v>
      </c>
      <c r="R385" s="168">
        <f t="shared" si="34"/>
        <v>1.05</v>
      </c>
      <c r="S385" s="166">
        <v>4124</v>
      </c>
      <c r="T385" s="166">
        <v>1696</v>
      </c>
      <c r="U385" s="166">
        <f t="shared" si="30"/>
        <v>0</v>
      </c>
      <c r="V385" s="166">
        <f t="shared" si="28"/>
        <v>0</v>
      </c>
    </row>
    <row r="386" spans="1:22" x14ac:dyDescent="0.2">
      <c r="A386" s="153">
        <v>2033</v>
      </c>
      <c r="B386" s="153">
        <v>1</v>
      </c>
      <c r="E386" s="173">
        <v>18.505643286670946</v>
      </c>
      <c r="F386" s="281">
        <f t="shared" si="29"/>
        <v>17.307103842095003</v>
      </c>
      <c r="G386" s="173"/>
      <c r="H386" s="173">
        <v>32.71</v>
      </c>
      <c r="I386" s="154">
        <v>846920.48673892079</v>
      </c>
      <c r="J386" s="190">
        <f>VLOOKUP($A386&amp;$B386,'LE Inputs'!$C$2:$J$505,MATCH('LE UtilityData'!J$1,'LE Inputs'!$C$1:$J$1,0),0)*1000</f>
        <v>1545557.7487173285</v>
      </c>
      <c r="K386" s="190">
        <v>625624.52554154862</v>
      </c>
      <c r="L386" s="164">
        <v>407210.36579690175</v>
      </c>
      <c r="M386" s="299">
        <v>407214.2</v>
      </c>
      <c r="N386" s="156">
        <v>78361.078754424001</v>
      </c>
      <c r="O386" s="190" t="e">
        <f>VLOOKUP($A386&amp;$B386,'LE Inputs'!$C$2:$J$505,MATCH('LE UtilityData'!O$1,'LE Inputs'!$C$1:$J$1,0),0)</f>
        <v>#N/A</v>
      </c>
      <c r="P386" s="190" t="e">
        <f>VLOOKUP($A386&amp;$B386,'LE Inputs'!$C$2:$J$505,MATCH('LE UtilityData'!P$1,'LE Inputs'!$C$1:$J$1,0),0)</f>
        <v>#N/A</v>
      </c>
      <c r="Q386" s="168">
        <f t="shared" si="34"/>
        <v>932.4</v>
      </c>
      <c r="R386" s="168">
        <f t="shared" si="34"/>
        <v>0.35</v>
      </c>
      <c r="S386" s="166">
        <v>4124</v>
      </c>
      <c r="T386" s="166">
        <v>1696</v>
      </c>
      <c r="U386" s="166">
        <f t="shared" si="30"/>
        <v>0</v>
      </c>
      <c r="V386" s="166">
        <f t="shared" ref="V386:V449" si="35">C386/L386*1000</f>
        <v>0</v>
      </c>
    </row>
    <row r="387" spans="1:22" x14ac:dyDescent="0.2">
      <c r="A387" s="153">
        <v>2033</v>
      </c>
      <c r="B387" s="153">
        <v>2</v>
      </c>
      <c r="E387" s="173">
        <v>18.505643286670946</v>
      </c>
      <c r="F387" s="281">
        <f t="shared" ref="F387:F450" si="36">F375*(1+0.02)</f>
        <v>17.307103842095003</v>
      </c>
      <c r="G387" s="173"/>
      <c r="H387" s="173">
        <v>29.81</v>
      </c>
      <c r="I387" s="154">
        <v>847279.48673892079</v>
      </c>
      <c r="J387" s="190">
        <f>VLOOKUP($A387&amp;$B387,'LE Inputs'!$C$2:$J$505,MATCH('LE UtilityData'!J$1,'LE Inputs'!$C$1:$J$1,0),0)*1000</f>
        <v>1545557.7487173285</v>
      </c>
      <c r="K387" s="190">
        <v>625624.52554154862</v>
      </c>
      <c r="L387" s="164">
        <v>407382.97765788529</v>
      </c>
      <c r="M387" s="299">
        <v>407214.2</v>
      </c>
      <c r="N387" s="156">
        <v>78361.078754424001</v>
      </c>
      <c r="O387" s="190" t="e">
        <f>VLOOKUP($A387&amp;$B387,'LE Inputs'!$C$2:$J$505,MATCH('LE UtilityData'!O$1,'LE Inputs'!$C$1:$J$1,0),0)</f>
        <v>#N/A</v>
      </c>
      <c r="P387" s="190" t="e">
        <f>VLOOKUP($A387&amp;$B387,'LE Inputs'!$C$2:$J$505,MATCH('LE UtilityData'!P$1,'LE Inputs'!$C$1:$J$1,0),0)</f>
        <v>#N/A</v>
      </c>
      <c r="Q387" s="168">
        <f t="shared" si="34"/>
        <v>864.1</v>
      </c>
      <c r="R387" s="168">
        <f t="shared" si="34"/>
        <v>0.05</v>
      </c>
      <c r="S387" s="166">
        <v>4124</v>
      </c>
      <c r="T387" s="166">
        <v>1696</v>
      </c>
      <c r="U387" s="166">
        <f t="shared" ref="U387:U450" si="37">D387/M387*1000</f>
        <v>0</v>
      </c>
      <c r="V387" s="166">
        <f t="shared" si="35"/>
        <v>0</v>
      </c>
    </row>
    <row r="388" spans="1:22" x14ac:dyDescent="0.2">
      <c r="A388" s="153">
        <v>2033</v>
      </c>
      <c r="B388" s="153">
        <v>3</v>
      </c>
      <c r="E388" s="173">
        <v>18.505643286670946</v>
      </c>
      <c r="F388" s="281">
        <f t="shared" si="36"/>
        <v>17.307103842095003</v>
      </c>
      <c r="G388" s="173"/>
      <c r="H388" s="173">
        <v>30.33</v>
      </c>
      <c r="I388" s="154">
        <v>847638.48673892079</v>
      </c>
      <c r="J388" s="190">
        <f>VLOOKUP($A388&amp;$B388,'LE Inputs'!$C$2:$J$505,MATCH('LE UtilityData'!J$1,'LE Inputs'!$C$1:$J$1,0),0)*1000</f>
        <v>1545557.7487173285</v>
      </c>
      <c r="K388" s="190">
        <v>625624.52554154862</v>
      </c>
      <c r="L388" s="164">
        <v>407555.58951886883</v>
      </c>
      <c r="M388" s="299">
        <v>407214.2</v>
      </c>
      <c r="N388" s="156">
        <v>78361.078754424001</v>
      </c>
      <c r="O388" s="190" t="e">
        <f>VLOOKUP($A388&amp;$B388,'LE Inputs'!$C$2:$J$505,MATCH('LE UtilityData'!O$1,'LE Inputs'!$C$1:$J$1,0),0)</f>
        <v>#N/A</v>
      </c>
      <c r="P388" s="190" t="e">
        <f>VLOOKUP($A388&amp;$B388,'LE Inputs'!$C$2:$J$505,MATCH('LE UtilityData'!P$1,'LE Inputs'!$C$1:$J$1,0),0)</f>
        <v>#N/A</v>
      </c>
      <c r="Q388" s="168">
        <f t="shared" si="34"/>
        <v>674.3</v>
      </c>
      <c r="R388" s="168">
        <f t="shared" si="34"/>
        <v>1.1499999999999999</v>
      </c>
      <c r="S388" s="166">
        <v>4124</v>
      </c>
      <c r="T388" s="166">
        <v>1696</v>
      </c>
      <c r="U388" s="166">
        <f t="shared" si="37"/>
        <v>0</v>
      </c>
      <c r="V388" s="166">
        <f t="shared" si="35"/>
        <v>0</v>
      </c>
    </row>
    <row r="389" spans="1:22" x14ac:dyDescent="0.2">
      <c r="A389" s="153">
        <v>2033</v>
      </c>
      <c r="B389" s="153">
        <v>4</v>
      </c>
      <c r="E389" s="173">
        <v>18.505643286670946</v>
      </c>
      <c r="F389" s="281">
        <f t="shared" si="36"/>
        <v>17.307103842095003</v>
      </c>
      <c r="G389" s="173"/>
      <c r="H389" s="173">
        <v>30.19</v>
      </c>
      <c r="I389" s="154">
        <v>847997.48673892079</v>
      </c>
      <c r="J389" s="190">
        <f>VLOOKUP($A389&amp;$B389,'LE Inputs'!$C$2:$J$505,MATCH('LE UtilityData'!J$1,'LE Inputs'!$C$1:$J$1,0),0)*1000</f>
        <v>1548506.319874994</v>
      </c>
      <c r="K389" s="190">
        <v>626921.11190625536</v>
      </c>
      <c r="L389" s="164">
        <v>407728.20137985237</v>
      </c>
      <c r="M389" s="299">
        <v>407895.46</v>
      </c>
      <c r="N389" s="156">
        <v>78861.318208154305</v>
      </c>
      <c r="O389" s="190" t="e">
        <f>VLOOKUP($A389&amp;$B389,'LE Inputs'!$C$2:$J$505,MATCH('LE UtilityData'!O$1,'LE Inputs'!$C$1:$J$1,0),0)</f>
        <v>#N/A</v>
      </c>
      <c r="P389" s="190" t="e">
        <f>VLOOKUP($A389&amp;$B389,'LE Inputs'!$C$2:$J$505,MATCH('LE UtilityData'!P$1,'LE Inputs'!$C$1:$J$1,0),0)</f>
        <v>#N/A</v>
      </c>
      <c r="Q389" s="168">
        <f t="shared" si="34"/>
        <v>377.1</v>
      </c>
      <c r="R389" s="168">
        <f t="shared" si="34"/>
        <v>20.25</v>
      </c>
      <c r="S389" s="166">
        <v>4124</v>
      </c>
      <c r="T389" s="166">
        <v>1696</v>
      </c>
      <c r="U389" s="166">
        <f t="shared" si="37"/>
        <v>0</v>
      </c>
      <c r="V389" s="166">
        <f t="shared" si="35"/>
        <v>0</v>
      </c>
    </row>
    <row r="390" spans="1:22" x14ac:dyDescent="0.2">
      <c r="A390" s="153">
        <v>2033</v>
      </c>
      <c r="B390" s="153">
        <v>5</v>
      </c>
      <c r="E390" s="173">
        <v>18.505643286670946</v>
      </c>
      <c r="F390" s="281">
        <f t="shared" si="36"/>
        <v>17.307103842095003</v>
      </c>
      <c r="G390" s="173"/>
      <c r="H390" s="173">
        <v>30.14</v>
      </c>
      <c r="I390" s="154">
        <v>848356.48673892079</v>
      </c>
      <c r="J390" s="190">
        <f>VLOOKUP($A390&amp;$B390,'LE Inputs'!$C$2:$J$505,MATCH('LE UtilityData'!J$1,'LE Inputs'!$C$1:$J$1,0),0)*1000</f>
        <v>1548506.319874994</v>
      </c>
      <c r="K390" s="190">
        <v>626921.11190625536</v>
      </c>
      <c r="L390" s="164">
        <v>407900.81324083585</v>
      </c>
      <c r="M390" s="299">
        <v>407895.46</v>
      </c>
      <c r="N390" s="156">
        <v>78861.318208154305</v>
      </c>
      <c r="O390" s="190" t="e">
        <f>VLOOKUP($A390&amp;$B390,'LE Inputs'!$C$2:$J$505,MATCH('LE UtilityData'!O$1,'LE Inputs'!$C$1:$J$1,0),0)</f>
        <v>#N/A</v>
      </c>
      <c r="P390" s="190" t="e">
        <f>VLOOKUP($A390&amp;$B390,'LE Inputs'!$C$2:$J$505,MATCH('LE UtilityData'!P$1,'LE Inputs'!$C$1:$J$1,0),0)</f>
        <v>#N/A</v>
      </c>
      <c r="Q390" s="168">
        <f t="shared" si="34"/>
        <v>141</v>
      </c>
      <c r="R390" s="168">
        <f t="shared" si="34"/>
        <v>69.349999999999994</v>
      </c>
      <c r="S390" s="166">
        <v>4124</v>
      </c>
      <c r="T390" s="166">
        <v>1696</v>
      </c>
      <c r="U390" s="166">
        <f t="shared" si="37"/>
        <v>0</v>
      </c>
      <c r="V390" s="166">
        <f t="shared" si="35"/>
        <v>0</v>
      </c>
    </row>
    <row r="391" spans="1:22" x14ac:dyDescent="0.2">
      <c r="A391" s="153">
        <v>2033</v>
      </c>
      <c r="B391" s="153">
        <v>6</v>
      </c>
      <c r="E391" s="173">
        <v>18.505643286670946</v>
      </c>
      <c r="F391" s="281">
        <f t="shared" si="36"/>
        <v>17.307103842095003</v>
      </c>
      <c r="G391" s="173"/>
      <c r="H391" s="173">
        <v>30.67</v>
      </c>
      <c r="I391" s="154">
        <v>848709.76106205548</v>
      </c>
      <c r="J391" s="190">
        <f>VLOOKUP($A391&amp;$B391,'LE Inputs'!$C$2:$J$505,MATCH('LE UtilityData'!J$1,'LE Inputs'!$C$1:$J$1,0),0)*1000</f>
        <v>1548506.319874994</v>
      </c>
      <c r="K391" s="190">
        <v>626921.11190625536</v>
      </c>
      <c r="L391" s="164">
        <v>408070.67212204466</v>
      </c>
      <c r="M391" s="299">
        <v>407895.46</v>
      </c>
      <c r="N391" s="156">
        <v>78861.318208154305</v>
      </c>
      <c r="O391" s="190" t="e">
        <f>VLOOKUP($A391&amp;$B391,'LE Inputs'!$C$2:$J$505,MATCH('LE UtilityData'!O$1,'LE Inputs'!$C$1:$J$1,0),0)</f>
        <v>#N/A</v>
      </c>
      <c r="P391" s="190" t="e">
        <f>VLOOKUP($A391&amp;$B391,'LE Inputs'!$C$2:$J$505,MATCH('LE UtilityData'!P$1,'LE Inputs'!$C$1:$J$1,0),0)</f>
        <v>#N/A</v>
      </c>
      <c r="Q391" s="168">
        <f t="shared" si="34"/>
        <v>29.5</v>
      </c>
      <c r="R391" s="168">
        <f t="shared" si="34"/>
        <v>224.8</v>
      </c>
      <c r="S391" s="166">
        <v>4124</v>
      </c>
      <c r="T391" s="166">
        <v>1696</v>
      </c>
      <c r="U391" s="166">
        <f t="shared" si="37"/>
        <v>0</v>
      </c>
      <c r="V391" s="166">
        <f t="shared" si="35"/>
        <v>0</v>
      </c>
    </row>
    <row r="392" spans="1:22" x14ac:dyDescent="0.2">
      <c r="A392" s="153">
        <v>2033</v>
      </c>
      <c r="B392" s="153">
        <v>7</v>
      </c>
      <c r="E392" s="173">
        <v>18.505643286670946</v>
      </c>
      <c r="F392" s="281">
        <f t="shared" si="36"/>
        <v>17.307103842095003</v>
      </c>
      <c r="G392" s="173"/>
      <c r="H392" s="173">
        <v>30.71</v>
      </c>
      <c r="I392" s="154">
        <v>849059.76106205548</v>
      </c>
      <c r="J392" s="190">
        <f>VLOOKUP($A392&amp;$B392,'LE Inputs'!$C$2:$J$505,MATCH('LE UtilityData'!J$1,'LE Inputs'!$C$1:$J$1,0),0)*1000</f>
        <v>1551450.392716384</v>
      </c>
      <c r="K392" s="190">
        <v>628224.67281158688</v>
      </c>
      <c r="L392" s="164">
        <v>408238.95666617906</v>
      </c>
      <c r="M392" s="299">
        <v>408580.93</v>
      </c>
      <c r="N392" s="156">
        <v>79329.620962342102</v>
      </c>
      <c r="O392" s="190" t="e">
        <f>VLOOKUP($A392&amp;$B392,'LE Inputs'!$C$2:$J$505,MATCH('LE UtilityData'!O$1,'LE Inputs'!$C$1:$J$1,0),0)</f>
        <v>#N/A</v>
      </c>
      <c r="P392" s="190" t="e">
        <f>VLOOKUP($A392&amp;$B392,'LE Inputs'!$C$2:$J$505,MATCH('LE UtilityData'!P$1,'LE Inputs'!$C$1:$J$1,0),0)</f>
        <v>#N/A</v>
      </c>
      <c r="Q392" s="168">
        <f t="shared" si="34"/>
        <v>0.55000000000000004</v>
      </c>
      <c r="R392" s="168">
        <f t="shared" si="34"/>
        <v>396.4</v>
      </c>
      <c r="S392" s="166">
        <v>4124</v>
      </c>
      <c r="T392" s="166">
        <v>1696</v>
      </c>
      <c r="U392" s="166">
        <f t="shared" si="37"/>
        <v>0</v>
      </c>
      <c r="V392" s="166">
        <f t="shared" si="35"/>
        <v>0</v>
      </c>
    </row>
    <row r="393" spans="1:22" x14ac:dyDescent="0.2">
      <c r="A393" s="153">
        <v>2033</v>
      </c>
      <c r="B393" s="153">
        <v>8</v>
      </c>
      <c r="E393" s="173">
        <v>18.505643286670946</v>
      </c>
      <c r="F393" s="281">
        <f t="shared" si="36"/>
        <v>17.307103842095003</v>
      </c>
      <c r="G393" s="173"/>
      <c r="H393" s="173">
        <v>29.52</v>
      </c>
      <c r="I393" s="154">
        <v>849409.76106205548</v>
      </c>
      <c r="J393" s="190">
        <f>VLOOKUP($A393&amp;$B393,'LE Inputs'!$C$2:$J$505,MATCH('LE UtilityData'!J$1,'LE Inputs'!$C$1:$J$1,0),0)*1000</f>
        <v>1551450.392716384</v>
      </c>
      <c r="K393" s="190">
        <v>628224.67281158688</v>
      </c>
      <c r="L393" s="164">
        <v>408407.2412103134</v>
      </c>
      <c r="M393" s="299">
        <v>408580.93</v>
      </c>
      <c r="N393" s="156">
        <v>79329.620962342102</v>
      </c>
      <c r="O393" s="190" t="e">
        <f>VLOOKUP($A393&amp;$B393,'LE Inputs'!$C$2:$J$505,MATCH('LE UtilityData'!O$1,'LE Inputs'!$C$1:$J$1,0),0)</f>
        <v>#N/A</v>
      </c>
      <c r="P393" s="190" t="e">
        <f>VLOOKUP($A393&amp;$B393,'LE Inputs'!$C$2:$J$505,MATCH('LE UtilityData'!P$1,'LE Inputs'!$C$1:$J$1,0),0)</f>
        <v>#N/A</v>
      </c>
      <c r="Q393" s="168">
        <f t="shared" si="34"/>
        <v>0.1</v>
      </c>
      <c r="R393" s="168">
        <f t="shared" si="34"/>
        <v>417.05</v>
      </c>
      <c r="S393" s="166">
        <v>4124</v>
      </c>
      <c r="T393" s="166">
        <v>1696</v>
      </c>
      <c r="U393" s="166">
        <f t="shared" si="37"/>
        <v>0</v>
      </c>
      <c r="V393" s="166">
        <f t="shared" si="35"/>
        <v>0</v>
      </c>
    </row>
    <row r="394" spans="1:22" x14ac:dyDescent="0.2">
      <c r="A394" s="153">
        <v>2033</v>
      </c>
      <c r="B394" s="153">
        <v>9</v>
      </c>
      <c r="E394" s="173">
        <v>18.505643286670946</v>
      </c>
      <c r="F394" s="281">
        <f t="shared" si="36"/>
        <v>17.307103842095003</v>
      </c>
      <c r="G394" s="173"/>
      <c r="H394" s="173">
        <v>30.52</v>
      </c>
      <c r="I394" s="154">
        <v>849759.76106205548</v>
      </c>
      <c r="J394" s="190">
        <f>VLOOKUP($A394&amp;$B394,'LE Inputs'!$C$2:$J$505,MATCH('LE UtilityData'!J$1,'LE Inputs'!$C$1:$J$1,0),0)*1000</f>
        <v>1551450.392716384</v>
      </c>
      <c r="K394" s="190">
        <v>628224.67281158688</v>
      </c>
      <c r="L394" s="164">
        <v>408575.52575444774</v>
      </c>
      <c r="M394" s="299">
        <v>408580.93</v>
      </c>
      <c r="N394" s="156">
        <v>79329.620962342102</v>
      </c>
      <c r="O394" s="190" t="e">
        <f>VLOOKUP($A394&amp;$B394,'LE Inputs'!$C$2:$J$505,MATCH('LE UtilityData'!O$1,'LE Inputs'!$C$1:$J$1,0),0)</f>
        <v>#N/A</v>
      </c>
      <c r="P394" s="190" t="e">
        <f>VLOOKUP($A394&amp;$B394,'LE Inputs'!$C$2:$J$505,MATCH('LE UtilityData'!P$1,'LE Inputs'!$C$1:$J$1,0),0)</f>
        <v>#N/A</v>
      </c>
      <c r="Q394" s="168">
        <f t="shared" si="34"/>
        <v>5.35</v>
      </c>
      <c r="R394" s="168">
        <f t="shared" si="34"/>
        <v>330.2</v>
      </c>
      <c r="S394" s="166">
        <v>4124</v>
      </c>
      <c r="T394" s="166">
        <v>1696</v>
      </c>
      <c r="U394" s="166">
        <f t="shared" si="37"/>
        <v>0</v>
      </c>
      <c r="V394" s="166">
        <f t="shared" si="35"/>
        <v>0</v>
      </c>
    </row>
    <row r="395" spans="1:22" x14ac:dyDescent="0.2">
      <c r="A395" s="153">
        <v>2033</v>
      </c>
      <c r="B395" s="153">
        <v>10</v>
      </c>
      <c r="E395" s="173">
        <v>18.505643286670946</v>
      </c>
      <c r="F395" s="281">
        <f t="shared" si="36"/>
        <v>17.307103842095003</v>
      </c>
      <c r="G395" s="173"/>
      <c r="H395" s="173">
        <v>29.62</v>
      </c>
      <c r="I395" s="154">
        <v>850109.76106205548</v>
      </c>
      <c r="J395" s="190">
        <f>VLOOKUP($A395&amp;$B395,'LE Inputs'!$C$2:$J$505,MATCH('LE UtilityData'!J$1,'LE Inputs'!$C$1:$J$1,0),0)*1000</f>
        <v>1554384.3935328114</v>
      </c>
      <c r="K395" s="190">
        <v>629550.95525810868</v>
      </c>
      <c r="L395" s="164">
        <v>408743.81029858207</v>
      </c>
      <c r="M395" s="299">
        <v>409277.96</v>
      </c>
      <c r="N395" s="156">
        <v>79754.345379940205</v>
      </c>
      <c r="O395" s="190" t="e">
        <f>VLOOKUP($A395&amp;$B395,'LE Inputs'!$C$2:$J$505,MATCH('LE UtilityData'!O$1,'LE Inputs'!$C$1:$J$1,0),0)</f>
        <v>#N/A</v>
      </c>
      <c r="P395" s="190" t="e">
        <f>VLOOKUP($A395&amp;$B395,'LE Inputs'!$C$2:$J$505,MATCH('LE UtilityData'!P$1,'LE Inputs'!$C$1:$J$1,0),0)</f>
        <v>#N/A</v>
      </c>
      <c r="Q395" s="168">
        <f t="shared" si="34"/>
        <v>99.3</v>
      </c>
      <c r="R395" s="168">
        <f t="shared" si="34"/>
        <v>100.05</v>
      </c>
      <c r="S395" s="166">
        <v>4124</v>
      </c>
      <c r="T395" s="166">
        <v>1696</v>
      </c>
      <c r="U395" s="166">
        <f t="shared" si="37"/>
        <v>0</v>
      </c>
      <c r="V395" s="166">
        <f t="shared" si="35"/>
        <v>0</v>
      </c>
    </row>
    <row r="396" spans="1:22" x14ac:dyDescent="0.2">
      <c r="A396" s="153">
        <v>2033</v>
      </c>
      <c r="B396" s="153">
        <v>11</v>
      </c>
      <c r="E396" s="173">
        <v>18.505643286670946</v>
      </c>
      <c r="F396" s="281">
        <f t="shared" si="36"/>
        <v>17.307103842095003</v>
      </c>
      <c r="G396" s="173"/>
      <c r="H396" s="173">
        <v>29.95</v>
      </c>
      <c r="I396" s="154">
        <v>850459.76106205548</v>
      </c>
      <c r="J396" s="190">
        <f>VLOOKUP($A396&amp;$B396,'LE Inputs'!$C$2:$J$505,MATCH('LE UtilityData'!J$1,'LE Inputs'!$C$1:$J$1,0),0)*1000</f>
        <v>1554384.3935328114</v>
      </c>
      <c r="K396" s="190">
        <v>629550.95525810868</v>
      </c>
      <c r="L396" s="164">
        <v>408912.09484271641</v>
      </c>
      <c r="M396" s="299">
        <v>409277.96</v>
      </c>
      <c r="N396" s="156">
        <v>79754.345379940205</v>
      </c>
      <c r="O396" s="190" t="e">
        <f>VLOOKUP($A396&amp;$B396,'LE Inputs'!$C$2:$J$505,MATCH('LE UtilityData'!O$1,'LE Inputs'!$C$1:$J$1,0),0)</f>
        <v>#N/A</v>
      </c>
      <c r="P396" s="190" t="e">
        <f>VLOOKUP($A396&amp;$B396,'LE Inputs'!$C$2:$J$505,MATCH('LE UtilityData'!P$1,'LE Inputs'!$C$1:$J$1,0),0)</f>
        <v>#N/A</v>
      </c>
      <c r="Q396" s="168">
        <f t="shared" si="34"/>
        <v>352.6</v>
      </c>
      <c r="R396" s="168">
        <f t="shared" si="34"/>
        <v>12.75</v>
      </c>
      <c r="S396" s="166">
        <v>4124</v>
      </c>
      <c r="T396" s="166">
        <v>1696</v>
      </c>
      <c r="U396" s="166">
        <f t="shared" si="37"/>
        <v>0</v>
      </c>
      <c r="V396" s="166">
        <f t="shared" si="35"/>
        <v>0</v>
      </c>
    </row>
    <row r="397" spans="1:22" x14ac:dyDescent="0.2">
      <c r="A397" s="153">
        <v>2033</v>
      </c>
      <c r="B397" s="153">
        <v>12</v>
      </c>
      <c r="E397" s="173">
        <v>18.505643286670946</v>
      </c>
      <c r="F397" s="281">
        <f t="shared" si="36"/>
        <v>17.307103842095003</v>
      </c>
      <c r="G397" s="173"/>
      <c r="H397" s="173">
        <v>32</v>
      </c>
      <c r="I397" s="154">
        <v>850809.76106205548</v>
      </c>
      <c r="J397" s="190">
        <f>VLOOKUP($A397&amp;$B397,'LE Inputs'!$C$2:$J$505,MATCH('LE UtilityData'!J$1,'LE Inputs'!$C$1:$J$1,0),0)*1000</f>
        <v>1554384.3935328114</v>
      </c>
      <c r="K397" s="190">
        <v>629550.95525810868</v>
      </c>
      <c r="L397" s="164">
        <v>409080.37938685081</v>
      </c>
      <c r="M397" s="299">
        <v>409277.96</v>
      </c>
      <c r="N397" s="156">
        <v>79754.345379940205</v>
      </c>
      <c r="O397" s="190" t="e">
        <f>VLOOKUP($A397&amp;$B397,'LE Inputs'!$C$2:$J$505,MATCH('LE UtilityData'!O$1,'LE Inputs'!$C$1:$J$1,0),0)</f>
        <v>#N/A</v>
      </c>
      <c r="P397" s="190" t="e">
        <f>VLOOKUP($A397&amp;$B397,'LE Inputs'!$C$2:$J$505,MATCH('LE UtilityData'!P$1,'LE Inputs'!$C$1:$J$1,0),0)</f>
        <v>#N/A</v>
      </c>
      <c r="Q397" s="168">
        <f t="shared" si="34"/>
        <v>669.9</v>
      </c>
      <c r="R397" s="168">
        <f t="shared" si="34"/>
        <v>1.05</v>
      </c>
      <c r="S397" s="166">
        <v>4124</v>
      </c>
      <c r="T397" s="166">
        <v>1696</v>
      </c>
      <c r="U397" s="166">
        <f t="shared" si="37"/>
        <v>0</v>
      </c>
      <c r="V397" s="166">
        <f t="shared" si="35"/>
        <v>0</v>
      </c>
    </row>
    <row r="398" spans="1:22" x14ac:dyDescent="0.2">
      <c r="A398" s="153">
        <v>2034</v>
      </c>
      <c r="B398" s="153">
        <v>1</v>
      </c>
      <c r="E398" s="173">
        <v>18.968284368837722</v>
      </c>
      <c r="F398" s="281">
        <f t="shared" si="36"/>
        <v>17.653245918936904</v>
      </c>
      <c r="G398" s="173"/>
      <c r="H398" s="173">
        <v>31.9</v>
      </c>
      <c r="I398" s="154">
        <v>851159.76106205548</v>
      </c>
      <c r="J398" s="190">
        <f>VLOOKUP($A398&amp;$B398,'LE Inputs'!$C$2:$J$505,MATCH('LE UtilityData'!J$1,'LE Inputs'!$C$1:$J$1,0),0)*1000</f>
        <v>1556851.1776228941</v>
      </c>
      <c r="K398" s="190">
        <v>630691.16435983044</v>
      </c>
      <c r="L398" s="164">
        <v>409248.66393098515</v>
      </c>
      <c r="M398" s="299">
        <v>409877.22</v>
      </c>
      <c r="N398" s="156">
        <v>80423.055740831507</v>
      </c>
      <c r="O398" s="190" t="e">
        <f>VLOOKUP($A398&amp;$B398,'LE Inputs'!$C$2:$J$505,MATCH('LE UtilityData'!O$1,'LE Inputs'!$C$1:$J$1,0),0)</f>
        <v>#N/A</v>
      </c>
      <c r="P398" s="190" t="e">
        <f>VLOOKUP($A398&amp;$B398,'LE Inputs'!$C$2:$J$505,MATCH('LE UtilityData'!P$1,'LE Inputs'!$C$1:$J$1,0),0)</f>
        <v>#N/A</v>
      </c>
      <c r="Q398" s="168">
        <f t="shared" ref="Q398:R413" si="38">Q386</f>
        <v>932.4</v>
      </c>
      <c r="R398" s="168">
        <f t="shared" si="38"/>
        <v>0.35</v>
      </c>
      <c r="S398" s="166">
        <v>4124</v>
      </c>
      <c r="T398" s="166">
        <v>1696</v>
      </c>
      <c r="U398" s="166">
        <f t="shared" si="37"/>
        <v>0</v>
      </c>
      <c r="V398" s="166">
        <f t="shared" si="35"/>
        <v>0</v>
      </c>
    </row>
    <row r="399" spans="1:22" x14ac:dyDescent="0.2">
      <c r="A399" s="153">
        <v>2034</v>
      </c>
      <c r="B399" s="153">
        <v>2</v>
      </c>
      <c r="E399" s="173">
        <v>18.968284368837722</v>
      </c>
      <c r="F399" s="281">
        <f t="shared" si="36"/>
        <v>17.653245918936904</v>
      </c>
      <c r="G399" s="173"/>
      <c r="H399" s="173">
        <v>31.29</v>
      </c>
      <c r="I399" s="154">
        <v>851509.76106205548</v>
      </c>
      <c r="J399" s="190">
        <f>VLOOKUP($A399&amp;$B399,'LE Inputs'!$C$2:$J$505,MATCH('LE UtilityData'!J$1,'LE Inputs'!$C$1:$J$1,0),0)*1000</f>
        <v>1556851.1776228941</v>
      </c>
      <c r="K399" s="190">
        <v>630691.16435983044</v>
      </c>
      <c r="L399" s="164">
        <v>409416.94847511954</v>
      </c>
      <c r="M399" s="299">
        <v>409877.22</v>
      </c>
      <c r="N399" s="156">
        <v>80423.055740831507</v>
      </c>
      <c r="O399" s="190" t="e">
        <f>VLOOKUP($A399&amp;$B399,'LE Inputs'!$C$2:$J$505,MATCH('LE UtilityData'!O$1,'LE Inputs'!$C$1:$J$1,0),0)</f>
        <v>#N/A</v>
      </c>
      <c r="P399" s="190" t="e">
        <f>VLOOKUP($A399&amp;$B399,'LE Inputs'!$C$2:$J$505,MATCH('LE UtilityData'!P$1,'LE Inputs'!$C$1:$J$1,0),0)</f>
        <v>#N/A</v>
      </c>
      <c r="Q399" s="168">
        <f t="shared" si="38"/>
        <v>864.1</v>
      </c>
      <c r="R399" s="168">
        <f t="shared" si="38"/>
        <v>0.05</v>
      </c>
      <c r="S399" s="166">
        <v>4124</v>
      </c>
      <c r="T399" s="166">
        <v>1696</v>
      </c>
      <c r="U399" s="166">
        <f t="shared" si="37"/>
        <v>0</v>
      </c>
      <c r="V399" s="166">
        <f t="shared" si="35"/>
        <v>0</v>
      </c>
    </row>
    <row r="400" spans="1:22" x14ac:dyDescent="0.2">
      <c r="A400" s="153">
        <v>2034</v>
      </c>
      <c r="B400" s="153">
        <v>3</v>
      </c>
      <c r="E400" s="173">
        <v>18.968284368837722</v>
      </c>
      <c r="F400" s="281">
        <f t="shared" si="36"/>
        <v>17.653245918936904</v>
      </c>
      <c r="G400" s="173"/>
      <c r="H400" s="173">
        <v>30.33</v>
      </c>
      <c r="I400" s="154">
        <v>851859.76106205548</v>
      </c>
      <c r="J400" s="190">
        <f>VLOOKUP($A400&amp;$B400,'LE Inputs'!$C$2:$J$505,MATCH('LE UtilityData'!J$1,'LE Inputs'!$C$1:$J$1,0),0)*1000</f>
        <v>1556851.1776228941</v>
      </c>
      <c r="K400" s="190">
        <v>630691.16435983044</v>
      </c>
      <c r="L400" s="164">
        <v>409585.23301925388</v>
      </c>
      <c r="M400" s="299">
        <v>409877.22</v>
      </c>
      <c r="N400" s="156">
        <v>80423.055740831507</v>
      </c>
      <c r="O400" s="190" t="e">
        <f>VLOOKUP($A400&amp;$B400,'LE Inputs'!$C$2:$J$505,MATCH('LE UtilityData'!O$1,'LE Inputs'!$C$1:$J$1,0),0)</f>
        <v>#N/A</v>
      </c>
      <c r="P400" s="190" t="e">
        <f>VLOOKUP($A400&amp;$B400,'LE Inputs'!$C$2:$J$505,MATCH('LE UtilityData'!P$1,'LE Inputs'!$C$1:$J$1,0),0)</f>
        <v>#N/A</v>
      </c>
      <c r="Q400" s="168">
        <f t="shared" si="38"/>
        <v>674.3</v>
      </c>
      <c r="R400" s="168">
        <f t="shared" si="38"/>
        <v>1.1499999999999999</v>
      </c>
      <c r="S400" s="166">
        <v>4124</v>
      </c>
      <c r="T400" s="166">
        <v>1696</v>
      </c>
      <c r="U400" s="166">
        <f t="shared" si="37"/>
        <v>0</v>
      </c>
      <c r="V400" s="166">
        <f t="shared" si="35"/>
        <v>0</v>
      </c>
    </row>
    <row r="401" spans="1:22" x14ac:dyDescent="0.2">
      <c r="A401" s="153">
        <v>2034</v>
      </c>
      <c r="B401" s="153">
        <v>4</v>
      </c>
      <c r="E401" s="173">
        <v>18.968284368837722</v>
      </c>
      <c r="F401" s="281">
        <f t="shared" si="36"/>
        <v>17.653245918936904</v>
      </c>
      <c r="G401" s="173"/>
      <c r="H401" s="173">
        <v>30.65</v>
      </c>
      <c r="I401" s="154">
        <v>852209.76106205548</v>
      </c>
      <c r="J401" s="190">
        <f>VLOOKUP($A401&amp;$B401,'LE Inputs'!$C$2:$J$505,MATCH('LE UtilityData'!J$1,'LE Inputs'!$C$1:$J$1,0),0)*1000</f>
        <v>1559772.2494363396</v>
      </c>
      <c r="K401" s="190">
        <v>632017.44040657487</v>
      </c>
      <c r="L401" s="164">
        <v>409753.51756338822</v>
      </c>
      <c r="M401" s="299">
        <v>410574.25</v>
      </c>
      <c r="N401" s="156">
        <v>80946.6002318463</v>
      </c>
      <c r="O401" s="190" t="e">
        <f>VLOOKUP($A401&amp;$B401,'LE Inputs'!$C$2:$J$505,MATCH('LE UtilityData'!O$1,'LE Inputs'!$C$1:$J$1,0),0)</f>
        <v>#N/A</v>
      </c>
      <c r="P401" s="190" t="e">
        <f>VLOOKUP($A401&amp;$B401,'LE Inputs'!$C$2:$J$505,MATCH('LE UtilityData'!P$1,'LE Inputs'!$C$1:$J$1,0),0)</f>
        <v>#N/A</v>
      </c>
      <c r="Q401" s="168">
        <f t="shared" si="38"/>
        <v>377.1</v>
      </c>
      <c r="R401" s="168">
        <f t="shared" si="38"/>
        <v>20.25</v>
      </c>
      <c r="S401" s="166">
        <v>4124</v>
      </c>
      <c r="T401" s="166">
        <v>1696</v>
      </c>
      <c r="U401" s="166">
        <f t="shared" si="37"/>
        <v>0</v>
      </c>
      <c r="V401" s="166">
        <f t="shared" si="35"/>
        <v>0</v>
      </c>
    </row>
    <row r="402" spans="1:22" x14ac:dyDescent="0.2">
      <c r="A402" s="153">
        <v>2034</v>
      </c>
      <c r="B402" s="153">
        <v>5</v>
      </c>
      <c r="E402" s="173">
        <v>18.968284368837722</v>
      </c>
      <c r="F402" s="281">
        <f t="shared" si="36"/>
        <v>17.653245918936904</v>
      </c>
      <c r="G402" s="173"/>
      <c r="H402" s="173">
        <v>29.71</v>
      </c>
      <c r="I402" s="154">
        <v>852559.76106205548</v>
      </c>
      <c r="J402" s="190">
        <f>VLOOKUP($A402&amp;$B402,'LE Inputs'!$C$2:$J$505,MATCH('LE UtilityData'!J$1,'LE Inputs'!$C$1:$J$1,0),0)*1000</f>
        <v>1559772.2494363396</v>
      </c>
      <c r="K402" s="190">
        <v>632017.44040657487</v>
      </c>
      <c r="L402" s="164">
        <v>409921.80210752261</v>
      </c>
      <c r="M402" s="299">
        <v>410574.25</v>
      </c>
      <c r="N402" s="156">
        <v>80946.6002318463</v>
      </c>
      <c r="O402" s="190" t="e">
        <f>VLOOKUP($A402&amp;$B402,'LE Inputs'!$C$2:$J$505,MATCH('LE UtilityData'!O$1,'LE Inputs'!$C$1:$J$1,0),0)</f>
        <v>#N/A</v>
      </c>
      <c r="P402" s="190" t="e">
        <f>VLOOKUP($A402&amp;$B402,'LE Inputs'!$C$2:$J$505,MATCH('LE UtilityData'!P$1,'LE Inputs'!$C$1:$J$1,0),0)</f>
        <v>#N/A</v>
      </c>
      <c r="Q402" s="168">
        <f t="shared" si="38"/>
        <v>141</v>
      </c>
      <c r="R402" s="168">
        <f t="shared" si="38"/>
        <v>69.349999999999994</v>
      </c>
      <c r="S402" s="166">
        <v>4124</v>
      </c>
      <c r="T402" s="166">
        <v>1696</v>
      </c>
      <c r="U402" s="166">
        <f t="shared" si="37"/>
        <v>0</v>
      </c>
      <c r="V402" s="166">
        <f t="shared" si="35"/>
        <v>0</v>
      </c>
    </row>
    <row r="403" spans="1:22" x14ac:dyDescent="0.2">
      <c r="A403" s="153">
        <v>2034</v>
      </c>
      <c r="B403" s="153">
        <v>6</v>
      </c>
      <c r="E403" s="173">
        <v>18.968284368837722</v>
      </c>
      <c r="F403" s="281">
        <f t="shared" si="36"/>
        <v>17.653245918936904</v>
      </c>
      <c r="G403" s="173"/>
      <c r="H403" s="173">
        <v>30.62</v>
      </c>
      <c r="I403" s="154">
        <v>852915.39263680228</v>
      </c>
      <c r="J403" s="190">
        <f>VLOOKUP($A403&amp;$B403,'LE Inputs'!$C$2:$J$505,MATCH('LE UtilityData'!J$1,'LE Inputs'!$C$1:$J$1,0),0)*1000</f>
        <v>1559772.2494363396</v>
      </c>
      <c r="K403" s="190">
        <v>632017.44040657487</v>
      </c>
      <c r="L403" s="164">
        <v>410092.79438591137</v>
      </c>
      <c r="M403" s="299">
        <v>410574.25</v>
      </c>
      <c r="N403" s="156">
        <v>80946.6002318463</v>
      </c>
      <c r="O403" s="190" t="e">
        <f>VLOOKUP($A403&amp;$B403,'LE Inputs'!$C$2:$J$505,MATCH('LE UtilityData'!O$1,'LE Inputs'!$C$1:$J$1,0),0)</f>
        <v>#N/A</v>
      </c>
      <c r="P403" s="190" t="e">
        <f>VLOOKUP($A403&amp;$B403,'LE Inputs'!$C$2:$J$505,MATCH('LE UtilityData'!P$1,'LE Inputs'!$C$1:$J$1,0),0)</f>
        <v>#N/A</v>
      </c>
      <c r="Q403" s="168">
        <f t="shared" si="38"/>
        <v>29.5</v>
      </c>
      <c r="R403" s="168">
        <f t="shared" si="38"/>
        <v>224.8</v>
      </c>
      <c r="S403" s="166">
        <v>4124</v>
      </c>
      <c r="T403" s="166">
        <v>1696</v>
      </c>
      <c r="U403" s="166">
        <f t="shared" si="37"/>
        <v>0</v>
      </c>
      <c r="V403" s="166">
        <f t="shared" si="35"/>
        <v>0</v>
      </c>
    </row>
    <row r="404" spans="1:22" x14ac:dyDescent="0.2">
      <c r="A404" s="153">
        <v>2034</v>
      </c>
      <c r="B404" s="153">
        <v>7</v>
      </c>
      <c r="E404" s="173">
        <v>18.968284368837722</v>
      </c>
      <c r="F404" s="281">
        <f t="shared" si="36"/>
        <v>17.653245918936904</v>
      </c>
      <c r="G404" s="173"/>
      <c r="H404" s="173">
        <v>30.81</v>
      </c>
      <c r="I404" s="154">
        <v>853259.39263680228</v>
      </c>
      <c r="J404" s="190">
        <f>VLOOKUP($A404&amp;$B404,'LE Inputs'!$C$2:$J$505,MATCH('LE UtilityData'!J$1,'LE Inputs'!$C$1:$J$1,0),0)*1000</f>
        <v>1562693.3220055345</v>
      </c>
      <c r="K404" s="190">
        <v>633787.13931451284</v>
      </c>
      <c r="L404" s="164">
        <v>410258.19405214628</v>
      </c>
      <c r="M404" s="299">
        <v>411504.68</v>
      </c>
      <c r="N404" s="156">
        <v>81443.510642765104</v>
      </c>
      <c r="O404" s="190" t="e">
        <f>VLOOKUP($A404&amp;$B404,'LE Inputs'!$C$2:$J$505,MATCH('LE UtilityData'!O$1,'LE Inputs'!$C$1:$J$1,0),0)</f>
        <v>#N/A</v>
      </c>
      <c r="P404" s="190" t="e">
        <f>VLOOKUP($A404&amp;$B404,'LE Inputs'!$C$2:$J$505,MATCH('LE UtilityData'!P$1,'LE Inputs'!$C$1:$J$1,0),0)</f>
        <v>#N/A</v>
      </c>
      <c r="Q404" s="168">
        <f t="shared" si="38"/>
        <v>0.55000000000000004</v>
      </c>
      <c r="R404" s="168">
        <f t="shared" si="38"/>
        <v>396.4</v>
      </c>
      <c r="S404" s="166">
        <v>4124</v>
      </c>
      <c r="T404" s="166">
        <v>1696</v>
      </c>
      <c r="U404" s="166">
        <f t="shared" si="37"/>
        <v>0</v>
      </c>
      <c r="V404" s="166">
        <f t="shared" si="35"/>
        <v>0</v>
      </c>
    </row>
    <row r="405" spans="1:22" x14ac:dyDescent="0.2">
      <c r="A405" s="153">
        <v>2034</v>
      </c>
      <c r="B405" s="153">
        <v>8</v>
      </c>
      <c r="E405" s="173">
        <v>18.968284368837722</v>
      </c>
      <c r="F405" s="281">
        <f t="shared" si="36"/>
        <v>17.653245918936904</v>
      </c>
      <c r="G405" s="173"/>
      <c r="H405" s="173">
        <v>29.43</v>
      </c>
      <c r="I405" s="154">
        <v>853603.39263680228</v>
      </c>
      <c r="J405" s="190">
        <f>VLOOKUP($A405&amp;$B405,'LE Inputs'!$C$2:$J$505,MATCH('LE UtilityData'!J$1,'LE Inputs'!$C$1:$J$1,0),0)*1000</f>
        <v>1562693.3220055345</v>
      </c>
      <c r="K405" s="190">
        <v>633787.13931451284</v>
      </c>
      <c r="L405" s="164">
        <v>410423.59371838125</v>
      </c>
      <c r="M405" s="299">
        <v>411504.68</v>
      </c>
      <c r="N405" s="156">
        <v>81443.510642765104</v>
      </c>
      <c r="O405" s="190" t="e">
        <f>VLOOKUP($A405&amp;$B405,'LE Inputs'!$C$2:$J$505,MATCH('LE UtilityData'!O$1,'LE Inputs'!$C$1:$J$1,0),0)</f>
        <v>#N/A</v>
      </c>
      <c r="P405" s="190" t="e">
        <f>VLOOKUP($A405&amp;$B405,'LE Inputs'!$C$2:$J$505,MATCH('LE UtilityData'!P$1,'LE Inputs'!$C$1:$J$1,0),0)</f>
        <v>#N/A</v>
      </c>
      <c r="Q405" s="168">
        <f t="shared" si="38"/>
        <v>0.1</v>
      </c>
      <c r="R405" s="168">
        <f t="shared" si="38"/>
        <v>417.05</v>
      </c>
      <c r="S405" s="166">
        <v>4124</v>
      </c>
      <c r="T405" s="166">
        <v>1696</v>
      </c>
      <c r="U405" s="166">
        <f t="shared" si="37"/>
        <v>0</v>
      </c>
      <c r="V405" s="166">
        <f t="shared" si="35"/>
        <v>0</v>
      </c>
    </row>
    <row r="406" spans="1:22" x14ac:dyDescent="0.2">
      <c r="A406" s="153">
        <v>2034</v>
      </c>
      <c r="B406" s="153">
        <v>9</v>
      </c>
      <c r="E406" s="173">
        <v>18.968284368837722</v>
      </c>
      <c r="F406" s="281">
        <f t="shared" si="36"/>
        <v>17.653245918936904</v>
      </c>
      <c r="G406" s="173"/>
      <c r="H406" s="173">
        <v>30.57</v>
      </c>
      <c r="I406" s="154">
        <v>853947.39263680228</v>
      </c>
      <c r="J406" s="190">
        <f>VLOOKUP($A406&amp;$B406,'LE Inputs'!$C$2:$J$505,MATCH('LE UtilityData'!J$1,'LE Inputs'!$C$1:$J$1,0),0)*1000</f>
        <v>1562693.3220055345</v>
      </c>
      <c r="K406" s="190">
        <v>633787.13931451284</v>
      </c>
      <c r="L406" s="164">
        <v>410588.99338461616</v>
      </c>
      <c r="M406" s="299">
        <v>411504.68</v>
      </c>
      <c r="N406" s="156">
        <v>81443.510642765104</v>
      </c>
      <c r="O406" s="190" t="e">
        <f>VLOOKUP($A406&amp;$B406,'LE Inputs'!$C$2:$J$505,MATCH('LE UtilityData'!O$1,'LE Inputs'!$C$1:$J$1,0),0)</f>
        <v>#N/A</v>
      </c>
      <c r="P406" s="190" t="e">
        <f>VLOOKUP($A406&amp;$B406,'LE Inputs'!$C$2:$J$505,MATCH('LE UtilityData'!P$1,'LE Inputs'!$C$1:$J$1,0),0)</f>
        <v>#N/A</v>
      </c>
      <c r="Q406" s="168">
        <f t="shared" si="38"/>
        <v>5.35</v>
      </c>
      <c r="R406" s="168">
        <f t="shared" si="38"/>
        <v>330.2</v>
      </c>
      <c r="S406" s="166">
        <v>4124</v>
      </c>
      <c r="T406" s="166">
        <v>1696</v>
      </c>
      <c r="U406" s="166">
        <f t="shared" si="37"/>
        <v>0</v>
      </c>
      <c r="V406" s="166">
        <f t="shared" si="35"/>
        <v>0</v>
      </c>
    </row>
    <row r="407" spans="1:22" x14ac:dyDescent="0.2">
      <c r="A407" s="153">
        <v>2034</v>
      </c>
      <c r="B407" s="153">
        <v>10</v>
      </c>
      <c r="E407" s="173">
        <v>18.968284368837722</v>
      </c>
      <c r="F407" s="281">
        <f t="shared" si="36"/>
        <v>17.653245918936904</v>
      </c>
      <c r="G407" s="173"/>
      <c r="H407" s="173">
        <v>29.67</v>
      </c>
      <c r="I407" s="154">
        <v>854291.39263680228</v>
      </c>
      <c r="J407" s="190">
        <f>VLOOKUP($A407&amp;$B407,'LE Inputs'!$C$2:$J$505,MATCH('LE UtilityData'!J$1,'LE Inputs'!$C$1:$J$1,0),0)*1000</f>
        <v>1565604.5764336034</v>
      </c>
      <c r="K407" s="190">
        <v>634824.40651003947</v>
      </c>
      <c r="L407" s="164">
        <v>410754.39305085107</v>
      </c>
      <c r="M407" s="299">
        <v>412049.79</v>
      </c>
      <c r="N407" s="156">
        <v>81921.871026447698</v>
      </c>
      <c r="O407" s="190" t="e">
        <f>VLOOKUP($A407&amp;$B407,'LE Inputs'!$C$2:$J$505,MATCH('LE UtilityData'!O$1,'LE Inputs'!$C$1:$J$1,0),0)</f>
        <v>#N/A</v>
      </c>
      <c r="P407" s="190" t="e">
        <f>VLOOKUP($A407&amp;$B407,'LE Inputs'!$C$2:$J$505,MATCH('LE UtilityData'!P$1,'LE Inputs'!$C$1:$J$1,0),0)</f>
        <v>#N/A</v>
      </c>
      <c r="Q407" s="168">
        <f t="shared" si="38"/>
        <v>99.3</v>
      </c>
      <c r="R407" s="168">
        <f t="shared" si="38"/>
        <v>100.05</v>
      </c>
      <c r="S407" s="166">
        <v>4124</v>
      </c>
      <c r="T407" s="166">
        <v>1696</v>
      </c>
      <c r="U407" s="166">
        <f t="shared" si="37"/>
        <v>0</v>
      </c>
      <c r="V407" s="166">
        <f t="shared" si="35"/>
        <v>0</v>
      </c>
    </row>
    <row r="408" spans="1:22" x14ac:dyDescent="0.2">
      <c r="A408" s="153">
        <v>2034</v>
      </c>
      <c r="B408" s="153">
        <v>11</v>
      </c>
      <c r="E408" s="173">
        <v>18.968284368837722</v>
      </c>
      <c r="F408" s="281">
        <f t="shared" si="36"/>
        <v>17.653245918936904</v>
      </c>
      <c r="G408" s="173"/>
      <c r="H408" s="173">
        <v>29.05</v>
      </c>
      <c r="I408" s="154">
        <v>854635.39263680228</v>
      </c>
      <c r="J408" s="190">
        <f>VLOOKUP($A408&amp;$B408,'LE Inputs'!$C$2:$J$505,MATCH('LE UtilityData'!J$1,'LE Inputs'!$C$1:$J$1,0),0)*1000</f>
        <v>1565604.5764336034</v>
      </c>
      <c r="K408" s="190">
        <v>634824.40651003947</v>
      </c>
      <c r="L408" s="164">
        <v>410919.79271708603</v>
      </c>
      <c r="M408" s="299">
        <v>412049.79</v>
      </c>
      <c r="N408" s="156">
        <v>81921.871026447698</v>
      </c>
      <c r="O408" s="190" t="e">
        <f>VLOOKUP($A408&amp;$B408,'LE Inputs'!$C$2:$J$505,MATCH('LE UtilityData'!O$1,'LE Inputs'!$C$1:$J$1,0),0)</f>
        <v>#N/A</v>
      </c>
      <c r="P408" s="190" t="e">
        <f>VLOOKUP($A408&amp;$B408,'LE Inputs'!$C$2:$J$505,MATCH('LE UtilityData'!P$1,'LE Inputs'!$C$1:$J$1,0),0)</f>
        <v>#N/A</v>
      </c>
      <c r="Q408" s="168">
        <f t="shared" si="38"/>
        <v>352.6</v>
      </c>
      <c r="R408" s="168">
        <f t="shared" si="38"/>
        <v>12.75</v>
      </c>
      <c r="S408" s="166">
        <v>4124</v>
      </c>
      <c r="T408" s="166">
        <v>1696</v>
      </c>
      <c r="U408" s="166">
        <f t="shared" si="37"/>
        <v>0</v>
      </c>
      <c r="V408" s="166">
        <f t="shared" si="35"/>
        <v>0</v>
      </c>
    </row>
    <row r="409" spans="1:22" x14ac:dyDescent="0.2">
      <c r="A409" s="153">
        <v>2034</v>
      </c>
      <c r="B409" s="153">
        <v>12</v>
      </c>
      <c r="E409" s="173">
        <v>18.968284368837722</v>
      </c>
      <c r="F409" s="281">
        <f t="shared" si="36"/>
        <v>17.653245918936904</v>
      </c>
      <c r="G409" s="173"/>
      <c r="H409" s="173">
        <v>31</v>
      </c>
      <c r="I409" s="154">
        <v>854979.39263680228</v>
      </c>
      <c r="J409" s="190">
        <f>VLOOKUP($A409&amp;$B409,'LE Inputs'!$C$2:$J$505,MATCH('LE UtilityData'!J$1,'LE Inputs'!$C$1:$J$1,0),0)*1000</f>
        <v>1565604.5764336034</v>
      </c>
      <c r="K409" s="190">
        <v>634824.40651003947</v>
      </c>
      <c r="L409" s="164">
        <v>411085.19238332094</v>
      </c>
      <c r="M409" s="299">
        <v>412049.79</v>
      </c>
      <c r="N409" s="156">
        <v>81921.871026447698</v>
      </c>
      <c r="O409" s="190" t="e">
        <f>VLOOKUP($A409&amp;$B409,'LE Inputs'!$C$2:$J$505,MATCH('LE UtilityData'!O$1,'LE Inputs'!$C$1:$J$1,0),0)</f>
        <v>#N/A</v>
      </c>
      <c r="P409" s="190" t="e">
        <f>VLOOKUP($A409&amp;$B409,'LE Inputs'!$C$2:$J$505,MATCH('LE UtilityData'!P$1,'LE Inputs'!$C$1:$J$1,0),0)</f>
        <v>#N/A</v>
      </c>
      <c r="Q409" s="168">
        <f t="shared" si="38"/>
        <v>669.9</v>
      </c>
      <c r="R409" s="168">
        <f t="shared" si="38"/>
        <v>1.05</v>
      </c>
      <c r="S409" s="166">
        <v>4124</v>
      </c>
      <c r="T409" s="166">
        <v>1696</v>
      </c>
      <c r="U409" s="166">
        <f t="shared" si="37"/>
        <v>0</v>
      </c>
      <c r="V409" s="166">
        <f t="shared" si="35"/>
        <v>0</v>
      </c>
    </row>
    <row r="410" spans="1:22" x14ac:dyDescent="0.2">
      <c r="A410" s="153">
        <v>2035</v>
      </c>
      <c r="B410" s="153">
        <v>1</v>
      </c>
      <c r="E410" s="173">
        <v>19.442491478058663</v>
      </c>
      <c r="F410" s="281">
        <f t="shared" si="36"/>
        <v>18.006310837315642</v>
      </c>
      <c r="G410" s="173"/>
      <c r="H410" s="173">
        <v>32.33</v>
      </c>
      <c r="I410" s="154">
        <v>855323.39263680228</v>
      </c>
      <c r="J410" s="190">
        <f>VLOOKUP($A410&amp;$B410,'LE Inputs'!$C$2:$J$505,MATCH('LE UtilityData'!J$1,'LE Inputs'!$C$1:$J$1,0),0)*1000</f>
        <v>1568508.3724488821</v>
      </c>
      <c r="K410" s="190">
        <v>636102.70657365676</v>
      </c>
      <c r="L410" s="164">
        <v>411250.59204955585</v>
      </c>
      <c r="M410" s="299">
        <v>412722.12</v>
      </c>
      <c r="N410" s="156">
        <v>82709.348182862406</v>
      </c>
      <c r="O410" s="190" t="e">
        <f>VLOOKUP($A410&amp;$B410,'LE Inputs'!$C$2:$J$505,MATCH('LE UtilityData'!O$1,'LE Inputs'!$C$1:$J$1,0),0)</f>
        <v>#N/A</v>
      </c>
      <c r="P410" s="190" t="e">
        <f>VLOOKUP($A410&amp;$B410,'LE Inputs'!$C$2:$J$505,MATCH('LE UtilityData'!P$1,'LE Inputs'!$C$1:$J$1,0),0)</f>
        <v>#N/A</v>
      </c>
      <c r="Q410" s="168">
        <f t="shared" si="38"/>
        <v>932.4</v>
      </c>
      <c r="R410" s="168">
        <f t="shared" si="38"/>
        <v>0.35</v>
      </c>
      <c r="S410" s="166">
        <v>4124</v>
      </c>
      <c r="T410" s="166">
        <v>1696</v>
      </c>
      <c r="U410" s="166">
        <f t="shared" si="37"/>
        <v>0</v>
      </c>
      <c r="V410" s="166">
        <f t="shared" si="35"/>
        <v>0</v>
      </c>
    </row>
    <row r="411" spans="1:22" x14ac:dyDescent="0.2">
      <c r="A411" s="153">
        <v>2035</v>
      </c>
      <c r="B411" s="153">
        <v>2</v>
      </c>
      <c r="E411" s="173">
        <v>19.442491478058663</v>
      </c>
      <c r="F411" s="281">
        <f t="shared" si="36"/>
        <v>18.006310837315642</v>
      </c>
      <c r="G411" s="173"/>
      <c r="H411" s="173">
        <v>29.86</v>
      </c>
      <c r="I411" s="154">
        <v>855667.39263680228</v>
      </c>
      <c r="J411" s="190">
        <f>VLOOKUP($A411&amp;$B411,'LE Inputs'!$C$2:$J$505,MATCH('LE UtilityData'!J$1,'LE Inputs'!$C$1:$J$1,0),0)*1000</f>
        <v>1568508.3724488821</v>
      </c>
      <c r="K411" s="190">
        <v>636102.70657365676</v>
      </c>
      <c r="L411" s="164">
        <v>411415.99171579076</v>
      </c>
      <c r="M411" s="299">
        <v>412722.12</v>
      </c>
      <c r="N411" s="156">
        <v>82709.348182862406</v>
      </c>
      <c r="O411" s="190" t="e">
        <f>VLOOKUP($A411&amp;$B411,'LE Inputs'!$C$2:$J$505,MATCH('LE UtilityData'!O$1,'LE Inputs'!$C$1:$J$1,0),0)</f>
        <v>#N/A</v>
      </c>
      <c r="P411" s="190" t="e">
        <f>VLOOKUP($A411&amp;$B411,'LE Inputs'!$C$2:$J$505,MATCH('LE UtilityData'!P$1,'LE Inputs'!$C$1:$J$1,0),0)</f>
        <v>#N/A</v>
      </c>
      <c r="Q411" s="168">
        <f t="shared" si="38"/>
        <v>864.1</v>
      </c>
      <c r="R411" s="168">
        <f t="shared" si="38"/>
        <v>0.05</v>
      </c>
      <c r="S411" s="166">
        <v>4124</v>
      </c>
      <c r="T411" s="166">
        <v>1696</v>
      </c>
      <c r="U411" s="166">
        <f t="shared" si="37"/>
        <v>0</v>
      </c>
      <c r="V411" s="166">
        <f t="shared" si="35"/>
        <v>0</v>
      </c>
    </row>
    <row r="412" spans="1:22" x14ac:dyDescent="0.2">
      <c r="A412" s="153">
        <v>2035</v>
      </c>
      <c r="B412" s="153">
        <v>3</v>
      </c>
      <c r="E412" s="173">
        <v>19.442491478058663</v>
      </c>
      <c r="F412" s="281">
        <f t="shared" si="36"/>
        <v>18.006310837315642</v>
      </c>
      <c r="G412" s="173"/>
      <c r="H412" s="173">
        <v>30.76</v>
      </c>
      <c r="I412" s="154">
        <v>856011.39263680228</v>
      </c>
      <c r="J412" s="190">
        <f>VLOOKUP($A412&amp;$B412,'LE Inputs'!$C$2:$J$505,MATCH('LE UtilityData'!J$1,'LE Inputs'!$C$1:$J$1,0),0)*1000</f>
        <v>1568508.3724488821</v>
      </c>
      <c r="K412" s="190">
        <v>636102.70657365676</v>
      </c>
      <c r="L412" s="164">
        <v>411581.39138202573</v>
      </c>
      <c r="M412" s="299">
        <v>412722.12</v>
      </c>
      <c r="N412" s="156">
        <v>82709.348182862406</v>
      </c>
      <c r="O412" s="190" t="e">
        <f>VLOOKUP($A412&amp;$B412,'LE Inputs'!$C$2:$J$505,MATCH('LE UtilityData'!O$1,'LE Inputs'!$C$1:$J$1,0),0)</f>
        <v>#N/A</v>
      </c>
      <c r="P412" s="190" t="e">
        <f>VLOOKUP($A412&amp;$B412,'LE Inputs'!$C$2:$J$505,MATCH('LE UtilityData'!P$1,'LE Inputs'!$C$1:$J$1,0),0)</f>
        <v>#N/A</v>
      </c>
      <c r="Q412" s="168">
        <f t="shared" si="38"/>
        <v>674.3</v>
      </c>
      <c r="R412" s="168">
        <f t="shared" si="38"/>
        <v>1.1499999999999999</v>
      </c>
      <c r="S412" s="166">
        <v>4124</v>
      </c>
      <c r="T412" s="166">
        <v>1696</v>
      </c>
      <c r="U412" s="166">
        <f t="shared" si="37"/>
        <v>0</v>
      </c>
      <c r="V412" s="166">
        <f t="shared" si="35"/>
        <v>0</v>
      </c>
    </row>
    <row r="413" spans="1:22" x14ac:dyDescent="0.2">
      <c r="A413" s="153">
        <v>2035</v>
      </c>
      <c r="B413" s="153">
        <v>4</v>
      </c>
      <c r="E413" s="173">
        <v>19.442491478058663</v>
      </c>
      <c r="F413" s="281">
        <f t="shared" si="36"/>
        <v>18.006310837315642</v>
      </c>
      <c r="G413" s="173"/>
      <c r="H413" s="173">
        <v>30.38</v>
      </c>
      <c r="I413" s="154">
        <v>856355.39263680228</v>
      </c>
      <c r="J413" s="190">
        <f>VLOOKUP($A413&amp;$B413,'LE Inputs'!$C$2:$J$505,MATCH('LE UtilityData'!J$1,'LE Inputs'!$C$1:$J$1,0),0)*1000</f>
        <v>1570975.5130853169</v>
      </c>
      <c r="K413" s="190">
        <v>637233.2381420423</v>
      </c>
      <c r="L413" s="164">
        <v>411746.79104826064</v>
      </c>
      <c r="M413" s="299">
        <v>413316.12</v>
      </c>
      <c r="N413" s="156">
        <v>83248.628625716796</v>
      </c>
      <c r="O413" s="190" t="e">
        <f>VLOOKUP($A413&amp;$B413,'LE Inputs'!$C$2:$J$505,MATCH('LE UtilityData'!O$1,'LE Inputs'!$C$1:$J$1,0),0)</f>
        <v>#N/A</v>
      </c>
      <c r="P413" s="190" t="e">
        <f>VLOOKUP($A413&amp;$B413,'LE Inputs'!$C$2:$J$505,MATCH('LE UtilityData'!P$1,'LE Inputs'!$C$1:$J$1,0),0)</f>
        <v>#N/A</v>
      </c>
      <c r="Q413" s="168">
        <f t="shared" si="38"/>
        <v>377.1</v>
      </c>
      <c r="R413" s="168">
        <f t="shared" si="38"/>
        <v>20.25</v>
      </c>
      <c r="S413" s="166">
        <v>4124</v>
      </c>
      <c r="T413" s="166">
        <v>1696</v>
      </c>
      <c r="U413" s="166">
        <f t="shared" si="37"/>
        <v>0</v>
      </c>
      <c r="V413" s="166">
        <f t="shared" si="35"/>
        <v>0</v>
      </c>
    </row>
    <row r="414" spans="1:22" x14ac:dyDescent="0.2">
      <c r="A414" s="153">
        <v>2035</v>
      </c>
      <c r="B414" s="153">
        <v>5</v>
      </c>
      <c r="E414" s="173">
        <v>19.442491478058663</v>
      </c>
      <c r="F414" s="281">
        <f t="shared" si="36"/>
        <v>18.006310837315642</v>
      </c>
      <c r="G414" s="173"/>
      <c r="H414" s="173">
        <v>29.52</v>
      </c>
      <c r="I414" s="154">
        <v>856699.39263680228</v>
      </c>
      <c r="J414" s="190">
        <f>VLOOKUP($A414&amp;$B414,'LE Inputs'!$C$2:$J$505,MATCH('LE UtilityData'!J$1,'LE Inputs'!$C$1:$J$1,0),0)*1000</f>
        <v>1570975.5130853169</v>
      </c>
      <c r="K414" s="190">
        <v>637233.2381420423</v>
      </c>
      <c r="L414" s="164">
        <v>411912.19071449561</v>
      </c>
      <c r="M414" s="299">
        <v>413316.12</v>
      </c>
      <c r="N414" s="156">
        <v>83248.628625716796</v>
      </c>
      <c r="O414" s="190" t="e">
        <f>VLOOKUP($A414&amp;$B414,'LE Inputs'!$C$2:$J$505,MATCH('LE UtilityData'!O$1,'LE Inputs'!$C$1:$J$1,0),0)</f>
        <v>#N/A</v>
      </c>
      <c r="P414" s="190" t="e">
        <f>VLOOKUP($A414&amp;$B414,'LE Inputs'!$C$2:$J$505,MATCH('LE UtilityData'!P$1,'LE Inputs'!$C$1:$J$1,0),0)</f>
        <v>#N/A</v>
      </c>
      <c r="Q414" s="168">
        <f t="shared" ref="Q414:R429" si="39">Q402</f>
        <v>141</v>
      </c>
      <c r="R414" s="168">
        <f t="shared" si="39"/>
        <v>69.349999999999994</v>
      </c>
      <c r="S414" s="166">
        <v>4124</v>
      </c>
      <c r="T414" s="166">
        <v>1696</v>
      </c>
      <c r="U414" s="166">
        <f t="shared" si="37"/>
        <v>0</v>
      </c>
      <c r="V414" s="166">
        <f t="shared" si="35"/>
        <v>0</v>
      </c>
    </row>
    <row r="415" spans="1:22" x14ac:dyDescent="0.2">
      <c r="A415" s="153">
        <v>2035</v>
      </c>
      <c r="B415" s="153">
        <v>6</v>
      </c>
      <c r="E415" s="173">
        <v>19.442491478058663</v>
      </c>
      <c r="F415" s="281">
        <f t="shared" si="36"/>
        <v>18.006310837315642</v>
      </c>
      <c r="G415" s="173"/>
      <c r="H415" s="173">
        <v>30.62</v>
      </c>
      <c r="I415" s="154">
        <v>857037.42321813386</v>
      </c>
      <c r="J415" s="190">
        <f>VLOOKUP($A415&amp;$B415,'LE Inputs'!$C$2:$J$505,MATCH('LE UtilityData'!J$1,'LE Inputs'!$C$1:$J$1,0),0)*1000</f>
        <v>1570975.5130853169</v>
      </c>
      <c r="K415" s="190">
        <v>637233.2381420423</v>
      </c>
      <c r="L415" s="164">
        <v>412074.7202067324</v>
      </c>
      <c r="M415" s="299">
        <v>413316.12</v>
      </c>
      <c r="N415" s="156">
        <v>83248.628625716796</v>
      </c>
      <c r="O415" s="190" t="e">
        <f>VLOOKUP($A415&amp;$B415,'LE Inputs'!$C$2:$J$505,MATCH('LE UtilityData'!O$1,'LE Inputs'!$C$1:$J$1,0),0)</f>
        <v>#N/A</v>
      </c>
      <c r="P415" s="190" t="e">
        <f>VLOOKUP($A415&amp;$B415,'LE Inputs'!$C$2:$J$505,MATCH('LE UtilityData'!P$1,'LE Inputs'!$C$1:$J$1,0),0)</f>
        <v>#N/A</v>
      </c>
      <c r="Q415" s="168">
        <f t="shared" si="39"/>
        <v>29.5</v>
      </c>
      <c r="R415" s="168">
        <f t="shared" si="39"/>
        <v>224.8</v>
      </c>
      <c r="S415" s="166">
        <v>4124</v>
      </c>
      <c r="T415" s="166">
        <v>1696</v>
      </c>
      <c r="U415" s="166">
        <f t="shared" si="37"/>
        <v>0</v>
      </c>
      <c r="V415" s="166">
        <f t="shared" si="35"/>
        <v>0</v>
      </c>
    </row>
    <row r="416" spans="1:22" x14ac:dyDescent="0.2">
      <c r="A416" s="153">
        <v>2035</v>
      </c>
      <c r="B416" s="153">
        <v>7</v>
      </c>
      <c r="E416" s="173">
        <v>19.442491478058663</v>
      </c>
      <c r="F416" s="281">
        <f t="shared" si="36"/>
        <v>18.006310837315642</v>
      </c>
      <c r="G416" s="173"/>
      <c r="H416" s="173">
        <v>30.76</v>
      </c>
      <c r="I416" s="154">
        <v>857376.42321813386</v>
      </c>
      <c r="J416" s="190">
        <f>VLOOKUP($A416&amp;$B416,'LE Inputs'!$C$2:$J$505,MATCH('LE UtilityData'!J$1,'LE Inputs'!$C$1:$J$1,0),0)*1000</f>
        <v>1573867.8014536195</v>
      </c>
      <c r="K416" s="190">
        <v>638467.66289449949</v>
      </c>
      <c r="L416" s="164">
        <v>412237.71580805111</v>
      </c>
      <c r="M416" s="299">
        <v>413965.31</v>
      </c>
      <c r="N416" s="156">
        <v>83784.395634247194</v>
      </c>
      <c r="O416" s="190" t="e">
        <f>VLOOKUP($A416&amp;$B416,'LE Inputs'!$C$2:$J$505,MATCH('LE UtilityData'!O$1,'LE Inputs'!$C$1:$J$1,0),0)</f>
        <v>#N/A</v>
      </c>
      <c r="P416" s="190" t="e">
        <f>VLOOKUP($A416&amp;$B416,'LE Inputs'!$C$2:$J$505,MATCH('LE UtilityData'!P$1,'LE Inputs'!$C$1:$J$1,0),0)</f>
        <v>#N/A</v>
      </c>
      <c r="Q416" s="168">
        <f t="shared" si="39"/>
        <v>0.55000000000000004</v>
      </c>
      <c r="R416" s="168">
        <f t="shared" si="39"/>
        <v>396.4</v>
      </c>
      <c r="S416" s="166">
        <v>4124</v>
      </c>
      <c r="T416" s="166">
        <v>1696</v>
      </c>
      <c r="U416" s="166">
        <f t="shared" si="37"/>
        <v>0</v>
      </c>
      <c r="V416" s="166">
        <f t="shared" si="35"/>
        <v>0</v>
      </c>
    </row>
    <row r="417" spans="1:22" x14ac:dyDescent="0.2">
      <c r="A417" s="153">
        <v>2035</v>
      </c>
      <c r="B417" s="153">
        <v>8</v>
      </c>
      <c r="E417" s="173">
        <v>19.442491478058663</v>
      </c>
      <c r="F417" s="281">
        <f t="shared" si="36"/>
        <v>18.006310837315642</v>
      </c>
      <c r="G417" s="173"/>
      <c r="H417" s="173">
        <v>29.48</v>
      </c>
      <c r="I417" s="154">
        <v>857715.42321813386</v>
      </c>
      <c r="J417" s="190">
        <f>VLOOKUP($A417&amp;$B417,'LE Inputs'!$C$2:$J$505,MATCH('LE UtilityData'!J$1,'LE Inputs'!$C$1:$J$1,0),0)*1000</f>
        <v>1573867.8014536195</v>
      </c>
      <c r="K417" s="190">
        <v>638467.66289449949</v>
      </c>
      <c r="L417" s="164">
        <v>412400.71140936983</v>
      </c>
      <c r="M417" s="299">
        <v>413965.31</v>
      </c>
      <c r="N417" s="156">
        <v>83784.395634247194</v>
      </c>
      <c r="O417" s="190" t="e">
        <f>VLOOKUP($A417&amp;$B417,'LE Inputs'!$C$2:$J$505,MATCH('LE UtilityData'!O$1,'LE Inputs'!$C$1:$J$1,0),0)</f>
        <v>#N/A</v>
      </c>
      <c r="P417" s="190" t="e">
        <f>VLOOKUP($A417&amp;$B417,'LE Inputs'!$C$2:$J$505,MATCH('LE UtilityData'!P$1,'LE Inputs'!$C$1:$J$1,0),0)</f>
        <v>#N/A</v>
      </c>
      <c r="Q417" s="168">
        <f t="shared" si="39"/>
        <v>0.1</v>
      </c>
      <c r="R417" s="168">
        <f t="shared" si="39"/>
        <v>417.05</v>
      </c>
      <c r="S417" s="166">
        <v>4124</v>
      </c>
      <c r="T417" s="166">
        <v>1696</v>
      </c>
      <c r="U417" s="166">
        <f t="shared" si="37"/>
        <v>0</v>
      </c>
      <c r="V417" s="166">
        <f t="shared" si="35"/>
        <v>0</v>
      </c>
    </row>
    <row r="418" spans="1:22" x14ac:dyDescent="0.2">
      <c r="A418" s="153">
        <v>2035</v>
      </c>
      <c r="B418" s="153">
        <v>9</v>
      </c>
      <c r="E418" s="173">
        <v>19.442491478058663</v>
      </c>
      <c r="F418" s="281">
        <f t="shared" si="36"/>
        <v>18.006310837315642</v>
      </c>
      <c r="G418" s="173"/>
      <c r="H418" s="173">
        <v>30.57</v>
      </c>
      <c r="I418" s="154">
        <v>858054.42321813386</v>
      </c>
      <c r="J418" s="190">
        <f>VLOOKUP($A418&amp;$B418,'LE Inputs'!$C$2:$J$505,MATCH('LE UtilityData'!J$1,'LE Inputs'!$C$1:$J$1,0),0)*1000</f>
        <v>1573867.8014536195</v>
      </c>
      <c r="K418" s="190">
        <v>638467.66289449949</v>
      </c>
      <c r="L418" s="164">
        <v>412563.70701068849</v>
      </c>
      <c r="M418" s="299">
        <v>413965.31</v>
      </c>
      <c r="N418" s="156">
        <v>83784.395634247194</v>
      </c>
      <c r="O418" s="190" t="e">
        <f>VLOOKUP($A418&amp;$B418,'LE Inputs'!$C$2:$J$505,MATCH('LE UtilityData'!O$1,'LE Inputs'!$C$1:$J$1,0),0)</f>
        <v>#N/A</v>
      </c>
      <c r="P418" s="190" t="e">
        <f>VLOOKUP($A418&amp;$B418,'LE Inputs'!$C$2:$J$505,MATCH('LE UtilityData'!P$1,'LE Inputs'!$C$1:$J$1,0),0)</f>
        <v>#N/A</v>
      </c>
      <c r="Q418" s="168">
        <f t="shared" si="39"/>
        <v>5.35</v>
      </c>
      <c r="R418" s="168">
        <f t="shared" si="39"/>
        <v>330.2</v>
      </c>
      <c r="S418" s="166">
        <v>4124</v>
      </c>
      <c r="T418" s="166">
        <v>1696</v>
      </c>
      <c r="U418" s="166">
        <f t="shared" si="37"/>
        <v>0</v>
      </c>
      <c r="V418" s="166">
        <f t="shared" si="35"/>
        <v>0</v>
      </c>
    </row>
    <row r="419" spans="1:22" x14ac:dyDescent="0.2">
      <c r="A419" s="153">
        <v>2035</v>
      </c>
      <c r="B419" s="153">
        <v>10</v>
      </c>
      <c r="E419" s="173">
        <v>19.442491478058663</v>
      </c>
      <c r="F419" s="281">
        <f t="shared" si="36"/>
        <v>18.006310837315642</v>
      </c>
      <c r="G419" s="173"/>
      <c r="H419" s="173">
        <v>29.67</v>
      </c>
      <c r="I419" s="154">
        <v>858393.42321813386</v>
      </c>
      <c r="J419" s="190">
        <f>VLOOKUP($A419&amp;$B419,'LE Inputs'!$C$2:$J$505,MATCH('LE UtilityData'!J$1,'LE Inputs'!$C$1:$J$1,0),0)*1000</f>
        <v>1576750.3003609071</v>
      </c>
      <c r="K419" s="190">
        <v>639732.05991686508</v>
      </c>
      <c r="L419" s="164">
        <v>412726.70261200721</v>
      </c>
      <c r="M419" s="299">
        <v>414629.75</v>
      </c>
      <c r="N419" s="156">
        <v>84327.214889881507</v>
      </c>
      <c r="O419" s="190" t="e">
        <f>VLOOKUP($A419&amp;$B419,'LE Inputs'!$C$2:$J$505,MATCH('LE UtilityData'!O$1,'LE Inputs'!$C$1:$J$1,0),0)</f>
        <v>#N/A</v>
      </c>
      <c r="P419" s="190" t="e">
        <f>VLOOKUP($A419&amp;$B419,'LE Inputs'!$C$2:$J$505,MATCH('LE UtilityData'!P$1,'LE Inputs'!$C$1:$J$1,0),0)</f>
        <v>#N/A</v>
      </c>
      <c r="Q419" s="168">
        <f t="shared" si="39"/>
        <v>99.3</v>
      </c>
      <c r="R419" s="168">
        <f t="shared" si="39"/>
        <v>100.05</v>
      </c>
      <c r="S419" s="166">
        <v>4124</v>
      </c>
      <c r="T419" s="166">
        <v>1696</v>
      </c>
      <c r="U419" s="166">
        <f t="shared" si="37"/>
        <v>0</v>
      </c>
      <c r="V419" s="166">
        <f t="shared" si="35"/>
        <v>0</v>
      </c>
    </row>
    <row r="420" spans="1:22" x14ac:dyDescent="0.2">
      <c r="A420" s="153">
        <v>2035</v>
      </c>
      <c r="B420" s="153">
        <v>11</v>
      </c>
      <c r="E420" s="173">
        <v>19.442491478058663</v>
      </c>
      <c r="F420" s="281">
        <f t="shared" si="36"/>
        <v>18.006310837315642</v>
      </c>
      <c r="G420" s="173"/>
      <c r="H420" s="173">
        <v>29.95</v>
      </c>
      <c r="I420" s="154">
        <v>858732.42321813386</v>
      </c>
      <c r="J420" s="190">
        <f>VLOOKUP($A420&amp;$B420,'LE Inputs'!$C$2:$J$505,MATCH('LE UtilityData'!J$1,'LE Inputs'!$C$1:$J$1,0),0)*1000</f>
        <v>1576750.3003609071</v>
      </c>
      <c r="K420" s="190">
        <v>639732.05991686508</v>
      </c>
      <c r="L420" s="164">
        <v>412889.69821332587</v>
      </c>
      <c r="M420" s="299">
        <v>414629.75</v>
      </c>
      <c r="N420" s="156">
        <v>84327.214889881507</v>
      </c>
      <c r="O420" s="190" t="e">
        <f>VLOOKUP($A420&amp;$B420,'LE Inputs'!$C$2:$J$505,MATCH('LE UtilityData'!O$1,'LE Inputs'!$C$1:$J$1,0),0)</f>
        <v>#N/A</v>
      </c>
      <c r="P420" s="190" t="e">
        <f>VLOOKUP($A420&amp;$B420,'LE Inputs'!$C$2:$J$505,MATCH('LE UtilityData'!P$1,'LE Inputs'!$C$1:$J$1,0),0)</f>
        <v>#N/A</v>
      </c>
      <c r="Q420" s="168">
        <f t="shared" si="39"/>
        <v>352.6</v>
      </c>
      <c r="R420" s="168">
        <f t="shared" si="39"/>
        <v>12.75</v>
      </c>
      <c r="S420" s="166">
        <v>4124</v>
      </c>
      <c r="T420" s="166">
        <v>1696</v>
      </c>
      <c r="U420" s="166">
        <f t="shared" si="37"/>
        <v>0</v>
      </c>
      <c r="V420" s="166">
        <f t="shared" si="35"/>
        <v>0</v>
      </c>
    </row>
    <row r="421" spans="1:22" x14ac:dyDescent="0.2">
      <c r="A421" s="153">
        <v>2035</v>
      </c>
      <c r="B421" s="153">
        <v>12</v>
      </c>
      <c r="E421" s="173">
        <v>19.442491478058663</v>
      </c>
      <c r="F421" s="281">
        <f t="shared" si="36"/>
        <v>18.006310837315642</v>
      </c>
      <c r="G421" s="173"/>
      <c r="H421" s="173">
        <v>31.38</v>
      </c>
      <c r="I421" s="154">
        <v>859071.42321813386</v>
      </c>
      <c r="J421" s="190">
        <f>VLOOKUP($A421&amp;$B421,'LE Inputs'!$C$2:$J$505,MATCH('LE UtilityData'!J$1,'LE Inputs'!$C$1:$J$1,0),0)*1000</f>
        <v>1576750.3003609071</v>
      </c>
      <c r="K421" s="190">
        <v>639732.05991686508</v>
      </c>
      <c r="L421" s="164">
        <v>413052.69381464459</v>
      </c>
      <c r="M421" s="299">
        <v>414629.75</v>
      </c>
      <c r="N421" s="156">
        <v>84327.214889881507</v>
      </c>
      <c r="O421" s="190" t="e">
        <f>VLOOKUP($A421&amp;$B421,'LE Inputs'!$C$2:$J$505,MATCH('LE UtilityData'!O$1,'LE Inputs'!$C$1:$J$1,0),0)</f>
        <v>#N/A</v>
      </c>
      <c r="P421" s="190" t="e">
        <f>VLOOKUP($A421&amp;$B421,'LE Inputs'!$C$2:$J$505,MATCH('LE UtilityData'!P$1,'LE Inputs'!$C$1:$J$1,0),0)</f>
        <v>#N/A</v>
      </c>
      <c r="Q421" s="168">
        <f t="shared" si="39"/>
        <v>669.9</v>
      </c>
      <c r="R421" s="168">
        <f t="shared" si="39"/>
        <v>1.05</v>
      </c>
      <c r="S421" s="166">
        <v>4124</v>
      </c>
      <c r="T421" s="166">
        <v>1696</v>
      </c>
      <c r="U421" s="166">
        <f t="shared" si="37"/>
        <v>0</v>
      </c>
      <c r="V421" s="166">
        <f t="shared" si="35"/>
        <v>0</v>
      </c>
    </row>
    <row r="422" spans="1:22" x14ac:dyDescent="0.2">
      <c r="A422" s="153">
        <v>2036</v>
      </c>
      <c r="B422" s="153">
        <v>1</v>
      </c>
      <c r="E422" s="173">
        <v>19.928553765010125</v>
      </c>
      <c r="F422" s="281">
        <f t="shared" si="36"/>
        <v>18.366437054061954</v>
      </c>
      <c r="G422" s="173"/>
      <c r="H422" s="173">
        <v>32.43</v>
      </c>
      <c r="I422" s="154">
        <v>859410.42321813386</v>
      </c>
      <c r="J422" s="190">
        <f>VLOOKUP($A422&amp;$B422,'LE Inputs'!$C$2:$J$505,MATCH('LE UtilityData'!J$1,'LE Inputs'!$C$1:$J$1,0),0)*1000</f>
        <v>1579216.9398459445</v>
      </c>
      <c r="K422" s="190">
        <v>640871.29782675125</v>
      </c>
      <c r="L422" s="164">
        <v>413215.68941596337</v>
      </c>
      <c r="M422" s="299">
        <v>415228.49</v>
      </c>
      <c r="N422" s="156">
        <v>85171.134816905702</v>
      </c>
      <c r="O422" s="190" t="e">
        <f>VLOOKUP($A422&amp;$B422,'LE Inputs'!$C$2:$J$505,MATCH('LE UtilityData'!O$1,'LE Inputs'!$C$1:$J$1,0),0)</f>
        <v>#N/A</v>
      </c>
      <c r="P422" s="190" t="e">
        <f>VLOOKUP($A422&amp;$B422,'LE Inputs'!$C$2:$J$505,MATCH('LE UtilityData'!P$1,'LE Inputs'!$C$1:$J$1,0),0)</f>
        <v>#N/A</v>
      </c>
      <c r="Q422" s="168">
        <f t="shared" si="39"/>
        <v>932.4</v>
      </c>
      <c r="R422" s="168">
        <f t="shared" si="39"/>
        <v>0.35</v>
      </c>
      <c r="S422" s="166">
        <v>4124</v>
      </c>
      <c r="T422" s="166">
        <v>1696</v>
      </c>
      <c r="U422" s="166">
        <f t="shared" si="37"/>
        <v>0</v>
      </c>
      <c r="V422" s="166">
        <f t="shared" si="35"/>
        <v>0</v>
      </c>
    </row>
    <row r="423" spans="1:22" x14ac:dyDescent="0.2">
      <c r="A423" s="153">
        <v>2036</v>
      </c>
      <c r="B423" s="153">
        <v>2</v>
      </c>
      <c r="E423" s="173">
        <v>19.928553765010125</v>
      </c>
      <c r="F423" s="281">
        <f t="shared" si="36"/>
        <v>18.366437054061954</v>
      </c>
      <c r="G423" s="173"/>
      <c r="H423" s="173">
        <v>29.9</v>
      </c>
      <c r="I423" s="154">
        <v>859749.42321813386</v>
      </c>
      <c r="J423" s="190">
        <f>VLOOKUP($A423&amp;$B423,'LE Inputs'!$C$2:$J$505,MATCH('LE UtilityData'!J$1,'LE Inputs'!$C$1:$J$1,0),0)*1000</f>
        <v>1579216.9398459445</v>
      </c>
      <c r="K423" s="190">
        <v>640871.29782675125</v>
      </c>
      <c r="L423" s="164">
        <v>413378.68501728203</v>
      </c>
      <c r="M423" s="299">
        <v>415228.49</v>
      </c>
      <c r="N423" s="156">
        <v>85171.134816905702</v>
      </c>
      <c r="O423" s="190" t="e">
        <f>VLOOKUP($A423&amp;$B423,'LE Inputs'!$C$2:$J$505,MATCH('LE UtilityData'!O$1,'LE Inputs'!$C$1:$J$1,0),0)</f>
        <v>#N/A</v>
      </c>
      <c r="P423" s="190" t="e">
        <f>VLOOKUP($A423&amp;$B423,'LE Inputs'!$C$2:$J$505,MATCH('LE UtilityData'!P$1,'LE Inputs'!$C$1:$J$1,0),0)</f>
        <v>#N/A</v>
      </c>
      <c r="Q423" s="168">
        <f t="shared" si="39"/>
        <v>864.1</v>
      </c>
      <c r="R423" s="168">
        <f t="shared" si="39"/>
        <v>0.05</v>
      </c>
      <c r="S423" s="166">
        <v>4124</v>
      </c>
      <c r="T423" s="166">
        <v>1696</v>
      </c>
      <c r="U423" s="166">
        <f t="shared" si="37"/>
        <v>0</v>
      </c>
      <c r="V423" s="166">
        <f t="shared" si="35"/>
        <v>0</v>
      </c>
    </row>
    <row r="424" spans="1:22" x14ac:dyDescent="0.2">
      <c r="A424" s="153">
        <v>2036</v>
      </c>
      <c r="B424" s="153">
        <v>3</v>
      </c>
      <c r="E424" s="173">
        <v>19.928553765010125</v>
      </c>
      <c r="F424" s="281">
        <f t="shared" si="36"/>
        <v>18.366437054061954</v>
      </c>
      <c r="G424" s="173"/>
      <c r="H424" s="173">
        <v>30.33</v>
      </c>
      <c r="I424" s="154">
        <v>860088.42321813386</v>
      </c>
      <c r="J424" s="190">
        <f>VLOOKUP($A424&amp;$B424,'LE Inputs'!$C$2:$J$505,MATCH('LE UtilityData'!J$1,'LE Inputs'!$C$1:$J$1,0),0)*1000</f>
        <v>1579216.9398459445</v>
      </c>
      <c r="K424" s="190">
        <v>640871.29782675125</v>
      </c>
      <c r="L424" s="164">
        <v>413541.68061860069</v>
      </c>
      <c r="M424" s="299">
        <v>415228.49</v>
      </c>
      <c r="N424" s="156">
        <v>85171.134816905702</v>
      </c>
      <c r="O424" s="190" t="e">
        <f>VLOOKUP($A424&amp;$B424,'LE Inputs'!$C$2:$J$505,MATCH('LE UtilityData'!O$1,'LE Inputs'!$C$1:$J$1,0),0)</f>
        <v>#N/A</v>
      </c>
      <c r="P424" s="190" t="e">
        <f>VLOOKUP($A424&amp;$B424,'LE Inputs'!$C$2:$J$505,MATCH('LE UtilityData'!P$1,'LE Inputs'!$C$1:$J$1,0),0)</f>
        <v>#N/A</v>
      </c>
      <c r="Q424" s="168">
        <f t="shared" si="39"/>
        <v>674.3</v>
      </c>
      <c r="R424" s="168">
        <f t="shared" si="39"/>
        <v>1.1499999999999999</v>
      </c>
      <c r="S424" s="166">
        <v>4124</v>
      </c>
      <c r="T424" s="166">
        <v>1696</v>
      </c>
      <c r="U424" s="166">
        <f t="shared" si="37"/>
        <v>0</v>
      </c>
      <c r="V424" s="166">
        <f t="shared" si="35"/>
        <v>0</v>
      </c>
    </row>
    <row r="425" spans="1:22" x14ac:dyDescent="0.2">
      <c r="A425" s="153">
        <v>2036</v>
      </c>
      <c r="B425" s="153">
        <v>4</v>
      </c>
      <c r="E425" s="173">
        <v>19.928553765010125</v>
      </c>
      <c r="F425" s="281">
        <f t="shared" si="36"/>
        <v>18.366437054061954</v>
      </c>
      <c r="G425" s="173"/>
      <c r="H425" s="173">
        <v>30.29</v>
      </c>
      <c r="I425" s="154">
        <v>860427.42321813386</v>
      </c>
      <c r="J425" s="190">
        <f>VLOOKUP($A425&amp;$B425,'LE Inputs'!$C$2:$J$505,MATCH('LE UtilityData'!J$1,'LE Inputs'!$C$1:$J$1,0),0)*1000</f>
        <v>1582100.5232058156</v>
      </c>
      <c r="K425" s="190">
        <v>642142.18493052502</v>
      </c>
      <c r="L425" s="164">
        <v>413704.67621991941</v>
      </c>
      <c r="M425" s="299">
        <v>415896.61</v>
      </c>
      <c r="N425" s="156">
        <v>85559.213109438599</v>
      </c>
      <c r="O425" s="190" t="e">
        <f>VLOOKUP($A425&amp;$B425,'LE Inputs'!$C$2:$J$505,MATCH('LE UtilityData'!O$1,'LE Inputs'!$C$1:$J$1,0),0)</f>
        <v>#N/A</v>
      </c>
      <c r="P425" s="190" t="e">
        <f>VLOOKUP($A425&amp;$B425,'LE Inputs'!$C$2:$J$505,MATCH('LE UtilityData'!P$1,'LE Inputs'!$C$1:$J$1,0),0)</f>
        <v>#N/A</v>
      </c>
      <c r="Q425" s="168">
        <f t="shared" si="39"/>
        <v>377.1</v>
      </c>
      <c r="R425" s="168">
        <f t="shared" si="39"/>
        <v>20.25</v>
      </c>
      <c r="S425" s="166">
        <v>4124</v>
      </c>
      <c r="T425" s="166">
        <v>1696</v>
      </c>
      <c r="U425" s="166">
        <f t="shared" si="37"/>
        <v>0</v>
      </c>
      <c r="V425" s="166">
        <f t="shared" si="35"/>
        <v>0</v>
      </c>
    </row>
    <row r="426" spans="1:22" x14ac:dyDescent="0.2">
      <c r="A426" s="153">
        <v>2036</v>
      </c>
      <c r="B426" s="153">
        <v>5</v>
      </c>
      <c r="E426" s="173">
        <v>19.928553765010125</v>
      </c>
      <c r="F426" s="281">
        <f t="shared" si="36"/>
        <v>18.366437054061954</v>
      </c>
      <c r="G426" s="173"/>
      <c r="H426" s="173">
        <v>30.05</v>
      </c>
      <c r="I426" s="154">
        <v>860766.42321813386</v>
      </c>
      <c r="J426" s="190">
        <f>VLOOKUP($A426&amp;$B426,'LE Inputs'!$C$2:$J$505,MATCH('LE UtilityData'!J$1,'LE Inputs'!$C$1:$J$1,0),0)*1000</f>
        <v>1582100.5232058156</v>
      </c>
      <c r="K426" s="190">
        <v>642142.18493052502</v>
      </c>
      <c r="L426" s="164">
        <v>413867.67182123812</v>
      </c>
      <c r="M426" s="299">
        <v>415896.61</v>
      </c>
      <c r="N426" s="156">
        <v>85559.213109438599</v>
      </c>
      <c r="O426" s="190" t="e">
        <f>VLOOKUP($A426&amp;$B426,'LE Inputs'!$C$2:$J$505,MATCH('LE UtilityData'!O$1,'LE Inputs'!$C$1:$J$1,0),0)</f>
        <v>#N/A</v>
      </c>
      <c r="P426" s="190" t="e">
        <f>VLOOKUP($A426&amp;$B426,'LE Inputs'!$C$2:$J$505,MATCH('LE UtilityData'!P$1,'LE Inputs'!$C$1:$J$1,0),0)</f>
        <v>#N/A</v>
      </c>
      <c r="Q426" s="168">
        <f t="shared" si="39"/>
        <v>141</v>
      </c>
      <c r="R426" s="168">
        <f t="shared" si="39"/>
        <v>69.349999999999994</v>
      </c>
      <c r="S426" s="166">
        <v>4124</v>
      </c>
      <c r="T426" s="166">
        <v>1696</v>
      </c>
      <c r="U426" s="166">
        <f t="shared" si="37"/>
        <v>0</v>
      </c>
      <c r="V426" s="166">
        <f t="shared" si="35"/>
        <v>0</v>
      </c>
    </row>
    <row r="427" spans="1:22" x14ac:dyDescent="0.2">
      <c r="A427" s="153">
        <v>2036</v>
      </c>
      <c r="B427" s="153">
        <v>6</v>
      </c>
      <c r="E427" s="173">
        <v>19.928553765010125</v>
      </c>
      <c r="F427" s="281">
        <f t="shared" si="36"/>
        <v>18.366437054061954</v>
      </c>
      <c r="G427" s="173"/>
      <c r="H427" s="173">
        <v>30.67</v>
      </c>
      <c r="I427" s="154">
        <v>861110.6308193109</v>
      </c>
      <c r="J427" s="190">
        <f>VLOOKUP($A427&amp;$B427,'LE Inputs'!$C$2:$J$505,MATCH('LE UtilityData'!J$1,'LE Inputs'!$C$1:$J$1,0),0)*1000</f>
        <v>1582100.5232058156</v>
      </c>
      <c r="K427" s="190">
        <v>642142.18493052502</v>
      </c>
      <c r="L427" s="164">
        <v>414033.17130481434</v>
      </c>
      <c r="M427" s="299">
        <v>415896.61</v>
      </c>
      <c r="N427" s="156">
        <v>85559.213109438599</v>
      </c>
      <c r="O427" s="190" t="e">
        <f>VLOOKUP($A427&amp;$B427,'LE Inputs'!$C$2:$J$505,MATCH('LE UtilityData'!O$1,'LE Inputs'!$C$1:$J$1,0),0)</f>
        <v>#N/A</v>
      </c>
      <c r="P427" s="190" t="e">
        <f>VLOOKUP($A427&amp;$B427,'LE Inputs'!$C$2:$J$505,MATCH('LE UtilityData'!P$1,'LE Inputs'!$C$1:$J$1,0),0)</f>
        <v>#N/A</v>
      </c>
      <c r="Q427" s="168">
        <f t="shared" si="39"/>
        <v>29.5</v>
      </c>
      <c r="R427" s="168">
        <f t="shared" si="39"/>
        <v>224.8</v>
      </c>
      <c r="S427" s="166">
        <v>4124</v>
      </c>
      <c r="T427" s="166">
        <v>1696</v>
      </c>
      <c r="U427" s="166">
        <f t="shared" si="37"/>
        <v>0</v>
      </c>
      <c r="V427" s="166">
        <f t="shared" si="35"/>
        <v>0</v>
      </c>
    </row>
    <row r="428" spans="1:22" x14ac:dyDescent="0.2">
      <c r="A428" s="153">
        <v>2036</v>
      </c>
      <c r="B428" s="153">
        <v>7</v>
      </c>
      <c r="E428" s="173">
        <v>19.928553765010125</v>
      </c>
      <c r="F428" s="281">
        <f t="shared" si="36"/>
        <v>18.366437054061954</v>
      </c>
      <c r="G428" s="173"/>
      <c r="H428" s="173">
        <v>30.62</v>
      </c>
      <c r="I428" s="154">
        <v>861447.6308193109</v>
      </c>
      <c r="J428" s="190">
        <f>VLOOKUP($A428&amp;$B428,'LE Inputs'!$C$2:$J$505,MATCH('LE UtilityData'!J$1,'LE Inputs'!$C$1:$J$1,0),0)*1000</f>
        <v>1584982.3031928071</v>
      </c>
      <c r="K428" s="190">
        <v>643417.66149123572</v>
      </c>
      <c r="L428" s="164">
        <v>414195.20528016658</v>
      </c>
      <c r="M428" s="299">
        <v>416567.35</v>
      </c>
      <c r="N428" s="156">
        <v>86044.326584540497</v>
      </c>
      <c r="O428" s="190" t="e">
        <f>VLOOKUP($A428&amp;$B428,'LE Inputs'!$C$2:$J$505,MATCH('LE UtilityData'!O$1,'LE Inputs'!$C$1:$J$1,0),0)</f>
        <v>#N/A</v>
      </c>
      <c r="P428" s="190" t="e">
        <f>VLOOKUP($A428&amp;$B428,'LE Inputs'!$C$2:$J$505,MATCH('LE UtilityData'!P$1,'LE Inputs'!$C$1:$J$1,0),0)</f>
        <v>#N/A</v>
      </c>
      <c r="Q428" s="168">
        <f t="shared" si="39"/>
        <v>0.55000000000000004</v>
      </c>
      <c r="R428" s="168">
        <f t="shared" si="39"/>
        <v>396.4</v>
      </c>
      <c r="S428" s="166">
        <v>4124</v>
      </c>
      <c r="T428" s="166">
        <v>1696</v>
      </c>
      <c r="U428" s="166">
        <f t="shared" si="37"/>
        <v>0</v>
      </c>
      <c r="V428" s="166">
        <f t="shared" si="35"/>
        <v>0</v>
      </c>
    </row>
    <row r="429" spans="1:22" x14ac:dyDescent="0.2">
      <c r="A429" s="153">
        <v>2036</v>
      </c>
      <c r="B429" s="153">
        <v>8</v>
      </c>
      <c r="E429" s="173">
        <v>19.928553765010125</v>
      </c>
      <c r="F429" s="281">
        <f t="shared" si="36"/>
        <v>18.366437054061954</v>
      </c>
      <c r="G429" s="173"/>
      <c r="H429" s="173">
        <v>29.52</v>
      </c>
      <c r="I429" s="154">
        <v>861784.6308193109</v>
      </c>
      <c r="J429" s="190">
        <f>VLOOKUP($A429&amp;$B429,'LE Inputs'!$C$2:$J$505,MATCH('LE UtilityData'!J$1,'LE Inputs'!$C$1:$J$1,0),0)*1000</f>
        <v>1584982.3031928071</v>
      </c>
      <c r="K429" s="190">
        <v>643417.66149123572</v>
      </c>
      <c r="L429" s="164">
        <v>414357.23925551877</v>
      </c>
      <c r="M429" s="299">
        <v>416567.35</v>
      </c>
      <c r="N429" s="156">
        <v>86044.326584540497</v>
      </c>
      <c r="O429" s="190" t="e">
        <f>VLOOKUP($A429&amp;$B429,'LE Inputs'!$C$2:$J$505,MATCH('LE UtilityData'!O$1,'LE Inputs'!$C$1:$J$1,0),0)</f>
        <v>#N/A</v>
      </c>
      <c r="P429" s="190" t="e">
        <f>VLOOKUP($A429&amp;$B429,'LE Inputs'!$C$2:$J$505,MATCH('LE UtilityData'!P$1,'LE Inputs'!$C$1:$J$1,0),0)</f>
        <v>#N/A</v>
      </c>
      <c r="Q429" s="168">
        <f t="shared" si="39"/>
        <v>0.1</v>
      </c>
      <c r="R429" s="168">
        <f t="shared" si="39"/>
        <v>417.05</v>
      </c>
      <c r="S429" s="166">
        <v>4124</v>
      </c>
      <c r="T429" s="166">
        <v>1696</v>
      </c>
      <c r="U429" s="166">
        <f t="shared" si="37"/>
        <v>0</v>
      </c>
      <c r="V429" s="166">
        <f t="shared" si="35"/>
        <v>0</v>
      </c>
    </row>
    <row r="430" spans="1:22" x14ac:dyDescent="0.2">
      <c r="A430" s="153">
        <v>2036</v>
      </c>
      <c r="B430" s="153">
        <v>9</v>
      </c>
      <c r="E430" s="173">
        <v>19.928553765010125</v>
      </c>
      <c r="F430" s="281">
        <f t="shared" si="36"/>
        <v>18.366437054061954</v>
      </c>
      <c r="G430" s="173"/>
      <c r="H430" s="173">
        <v>30.71</v>
      </c>
      <c r="I430" s="154">
        <v>862121.6308193109</v>
      </c>
      <c r="J430" s="190">
        <f>VLOOKUP($A430&amp;$B430,'LE Inputs'!$C$2:$J$505,MATCH('LE UtilityData'!J$1,'LE Inputs'!$C$1:$J$1,0),0)*1000</f>
        <v>1584982.3031928071</v>
      </c>
      <c r="K430" s="190">
        <v>643417.66149123572</v>
      </c>
      <c r="L430" s="164">
        <v>414519.27323087101</v>
      </c>
      <c r="M430" s="299">
        <v>416567.35</v>
      </c>
      <c r="N430" s="156">
        <v>86044.326584540497</v>
      </c>
      <c r="O430" s="190" t="e">
        <f>VLOOKUP($A430&amp;$B430,'LE Inputs'!$C$2:$J$505,MATCH('LE UtilityData'!O$1,'LE Inputs'!$C$1:$J$1,0),0)</f>
        <v>#N/A</v>
      </c>
      <c r="P430" s="190" t="e">
        <f>VLOOKUP($A430&amp;$B430,'LE Inputs'!$C$2:$J$505,MATCH('LE UtilityData'!P$1,'LE Inputs'!$C$1:$J$1,0),0)</f>
        <v>#N/A</v>
      </c>
      <c r="Q430" s="168">
        <f t="shared" ref="Q430:R445" si="40">Q418</f>
        <v>5.35</v>
      </c>
      <c r="R430" s="168">
        <f t="shared" si="40"/>
        <v>330.2</v>
      </c>
      <c r="S430" s="166">
        <v>4124</v>
      </c>
      <c r="T430" s="166">
        <v>1696</v>
      </c>
      <c r="U430" s="166">
        <f t="shared" si="37"/>
        <v>0</v>
      </c>
      <c r="V430" s="166">
        <f t="shared" si="35"/>
        <v>0</v>
      </c>
    </row>
    <row r="431" spans="1:22" x14ac:dyDescent="0.2">
      <c r="A431" s="153">
        <v>2036</v>
      </c>
      <c r="B431" s="153">
        <v>10</v>
      </c>
      <c r="E431" s="173">
        <v>19.928553765010125</v>
      </c>
      <c r="F431" s="281">
        <f t="shared" si="36"/>
        <v>18.366437054061954</v>
      </c>
      <c r="G431" s="173"/>
      <c r="H431" s="173">
        <v>29.52</v>
      </c>
      <c r="I431" s="154">
        <v>862458.6308193109</v>
      </c>
      <c r="J431" s="190">
        <f>VLOOKUP($A431&amp;$B431,'LE Inputs'!$C$2:$J$505,MATCH('LE UtilityData'!J$1,'LE Inputs'!$C$1:$J$1,0),0)*1000</f>
        <v>1587863.1187716625</v>
      </c>
      <c r="K431" s="190">
        <v>644646.42834154051</v>
      </c>
      <c r="L431" s="164">
        <v>414681.30720622325</v>
      </c>
      <c r="M431" s="299">
        <v>417212.87</v>
      </c>
      <c r="N431" s="156">
        <v>86593.994738982801</v>
      </c>
      <c r="O431" s="190" t="e">
        <f>VLOOKUP($A431&amp;$B431,'LE Inputs'!$C$2:$J$505,MATCH('LE UtilityData'!O$1,'LE Inputs'!$C$1:$J$1,0),0)</f>
        <v>#N/A</v>
      </c>
      <c r="P431" s="190" t="e">
        <f>VLOOKUP($A431&amp;$B431,'LE Inputs'!$C$2:$J$505,MATCH('LE UtilityData'!P$1,'LE Inputs'!$C$1:$J$1,0),0)</f>
        <v>#N/A</v>
      </c>
      <c r="Q431" s="168">
        <f t="shared" si="40"/>
        <v>99.3</v>
      </c>
      <c r="R431" s="168">
        <f t="shared" si="40"/>
        <v>100.05</v>
      </c>
      <c r="S431" s="166">
        <v>4124</v>
      </c>
      <c r="T431" s="166">
        <v>1696</v>
      </c>
      <c r="U431" s="166">
        <f t="shared" si="37"/>
        <v>0</v>
      </c>
      <c r="V431" s="166">
        <f t="shared" si="35"/>
        <v>0</v>
      </c>
    </row>
    <row r="432" spans="1:22" x14ac:dyDescent="0.2">
      <c r="A432" s="153">
        <v>2036</v>
      </c>
      <c r="B432" s="153">
        <v>11</v>
      </c>
      <c r="E432" s="173">
        <v>19.928553765010125</v>
      </c>
      <c r="F432" s="281">
        <f t="shared" si="36"/>
        <v>18.366437054061954</v>
      </c>
      <c r="G432" s="173"/>
      <c r="H432" s="173">
        <v>29.38</v>
      </c>
      <c r="I432" s="154">
        <v>862795.6308193109</v>
      </c>
      <c r="J432" s="190">
        <f>VLOOKUP($A432&amp;$B432,'LE Inputs'!$C$2:$J$505,MATCH('LE UtilityData'!J$1,'LE Inputs'!$C$1:$J$1,0),0)*1000</f>
        <v>1587863.1187716625</v>
      </c>
      <c r="K432" s="190">
        <v>644646.42834154051</v>
      </c>
      <c r="L432" s="164">
        <v>414843.34118157544</v>
      </c>
      <c r="M432" s="299">
        <v>417212.87</v>
      </c>
      <c r="N432" s="156">
        <v>86593.994738982801</v>
      </c>
      <c r="O432" s="190" t="e">
        <f>VLOOKUP($A432&amp;$B432,'LE Inputs'!$C$2:$J$505,MATCH('LE UtilityData'!O$1,'LE Inputs'!$C$1:$J$1,0),0)</f>
        <v>#N/A</v>
      </c>
      <c r="P432" s="190" t="e">
        <f>VLOOKUP($A432&amp;$B432,'LE Inputs'!$C$2:$J$505,MATCH('LE UtilityData'!P$1,'LE Inputs'!$C$1:$J$1,0),0)</f>
        <v>#N/A</v>
      </c>
      <c r="Q432" s="168">
        <f t="shared" si="40"/>
        <v>352.6</v>
      </c>
      <c r="R432" s="168">
        <f t="shared" si="40"/>
        <v>12.75</v>
      </c>
      <c r="S432" s="166">
        <v>4124</v>
      </c>
      <c r="T432" s="166">
        <v>1696</v>
      </c>
      <c r="U432" s="166">
        <f t="shared" si="37"/>
        <v>0</v>
      </c>
      <c r="V432" s="166">
        <f t="shared" si="35"/>
        <v>0</v>
      </c>
    </row>
    <row r="433" spans="1:22" x14ac:dyDescent="0.2">
      <c r="A433" s="153">
        <v>2036</v>
      </c>
      <c r="B433" s="153">
        <v>12</v>
      </c>
      <c r="E433" s="173">
        <v>19.928553765010125</v>
      </c>
      <c r="F433" s="281">
        <f t="shared" si="36"/>
        <v>18.366437054061954</v>
      </c>
      <c r="G433" s="173"/>
      <c r="H433" s="173">
        <v>32.81</v>
      </c>
      <c r="I433" s="154">
        <v>863132.6308193109</v>
      </c>
      <c r="J433" s="190">
        <f>VLOOKUP($A433&amp;$B433,'LE Inputs'!$C$2:$J$505,MATCH('LE UtilityData'!J$1,'LE Inputs'!$C$1:$J$1,0),0)*1000</f>
        <v>1587863.1187716625</v>
      </c>
      <c r="K433" s="190">
        <v>644646.42834154051</v>
      </c>
      <c r="L433" s="164">
        <v>415005.37515692768</v>
      </c>
      <c r="M433" s="299">
        <v>417212.87</v>
      </c>
      <c r="N433" s="156">
        <v>86593.994738982801</v>
      </c>
      <c r="O433" s="190" t="e">
        <f>VLOOKUP($A433&amp;$B433,'LE Inputs'!$C$2:$J$505,MATCH('LE UtilityData'!O$1,'LE Inputs'!$C$1:$J$1,0),0)</f>
        <v>#N/A</v>
      </c>
      <c r="P433" s="190" t="e">
        <f>VLOOKUP($A433&amp;$B433,'LE Inputs'!$C$2:$J$505,MATCH('LE UtilityData'!P$1,'LE Inputs'!$C$1:$J$1,0),0)</f>
        <v>#N/A</v>
      </c>
      <c r="Q433" s="168">
        <f t="shared" si="40"/>
        <v>669.9</v>
      </c>
      <c r="R433" s="168">
        <f t="shared" si="40"/>
        <v>1.05</v>
      </c>
      <c r="S433" s="166">
        <v>4124</v>
      </c>
      <c r="T433" s="166">
        <v>1696</v>
      </c>
      <c r="U433" s="166">
        <f t="shared" si="37"/>
        <v>0</v>
      </c>
      <c r="V433" s="166">
        <f t="shared" si="35"/>
        <v>0</v>
      </c>
    </row>
    <row r="434" spans="1:22" x14ac:dyDescent="0.2">
      <c r="A434" s="153">
        <v>2037</v>
      </c>
      <c r="B434" s="153">
        <v>1</v>
      </c>
      <c r="E434" s="173">
        <v>20.426767609135375</v>
      </c>
      <c r="F434" s="281">
        <f t="shared" si="36"/>
        <v>18.733765795143192</v>
      </c>
      <c r="G434" s="173"/>
      <c r="H434" s="173">
        <v>32.43</v>
      </c>
      <c r="I434" s="154">
        <v>863469.6308193109</v>
      </c>
      <c r="J434" s="190">
        <f>VLOOKUP($A434&amp;$B434,'LE Inputs'!$C$2:$J$505,MATCH('LE UtilityData'!J$1,'LE Inputs'!$C$1:$J$1,0),0)*1000</f>
        <v>1590337.1175079371</v>
      </c>
      <c r="K434" s="190">
        <v>646178.68991644832</v>
      </c>
      <c r="L434" s="164">
        <v>415167.40913227998</v>
      </c>
      <c r="M434" s="299">
        <v>418018.71</v>
      </c>
      <c r="N434" s="156">
        <v>87420.549257200895</v>
      </c>
      <c r="O434" s="190" t="e">
        <f>VLOOKUP($A434&amp;$B434,'LE Inputs'!$C$2:$J$505,MATCH('LE UtilityData'!O$1,'LE Inputs'!$C$1:$J$1,0),0)</f>
        <v>#N/A</v>
      </c>
      <c r="P434" s="190" t="e">
        <f>VLOOKUP($A434&amp;$B434,'LE Inputs'!$C$2:$J$505,MATCH('LE UtilityData'!P$1,'LE Inputs'!$C$1:$J$1,0),0)</f>
        <v>#N/A</v>
      </c>
      <c r="Q434" s="168">
        <f t="shared" si="40"/>
        <v>932.4</v>
      </c>
      <c r="R434" s="168">
        <f t="shared" si="40"/>
        <v>0.35</v>
      </c>
      <c r="S434" s="166">
        <v>4124</v>
      </c>
      <c r="T434" s="166">
        <v>1696</v>
      </c>
      <c r="U434" s="166">
        <f t="shared" si="37"/>
        <v>0</v>
      </c>
      <c r="V434" s="166">
        <f t="shared" si="35"/>
        <v>0</v>
      </c>
    </row>
    <row r="435" spans="1:22" x14ac:dyDescent="0.2">
      <c r="A435" s="153">
        <v>2037</v>
      </c>
      <c r="B435" s="153">
        <v>2</v>
      </c>
      <c r="E435" s="173">
        <v>20.426767609135375</v>
      </c>
      <c r="F435" s="281">
        <f t="shared" si="36"/>
        <v>18.733765795143192</v>
      </c>
      <c r="G435" s="173"/>
      <c r="H435" s="173">
        <v>29.9</v>
      </c>
      <c r="I435" s="154">
        <v>863806.6308193109</v>
      </c>
      <c r="J435" s="190">
        <f>VLOOKUP($A435&amp;$B435,'LE Inputs'!$C$2:$J$505,MATCH('LE UtilityData'!J$1,'LE Inputs'!$C$1:$J$1,0),0)*1000</f>
        <v>1590337.1175079371</v>
      </c>
      <c r="K435" s="190">
        <v>646178.68991644832</v>
      </c>
      <c r="L435" s="164">
        <v>415329.44310763216</v>
      </c>
      <c r="M435" s="299">
        <v>418018.71</v>
      </c>
      <c r="N435" s="156">
        <v>87420.549257200895</v>
      </c>
      <c r="O435" s="190" t="e">
        <f>VLOOKUP($A435&amp;$B435,'LE Inputs'!$C$2:$J$505,MATCH('LE UtilityData'!O$1,'LE Inputs'!$C$1:$J$1,0),0)</f>
        <v>#N/A</v>
      </c>
      <c r="P435" s="190" t="e">
        <f>VLOOKUP($A435&amp;$B435,'LE Inputs'!$C$2:$J$505,MATCH('LE UtilityData'!P$1,'LE Inputs'!$C$1:$J$1,0),0)</f>
        <v>#N/A</v>
      </c>
      <c r="Q435" s="168">
        <f t="shared" si="40"/>
        <v>864.1</v>
      </c>
      <c r="R435" s="168">
        <f t="shared" si="40"/>
        <v>0.05</v>
      </c>
      <c r="S435" s="166">
        <v>4124</v>
      </c>
      <c r="T435" s="166">
        <v>1696</v>
      </c>
      <c r="U435" s="166">
        <f t="shared" si="37"/>
        <v>0</v>
      </c>
      <c r="V435" s="166">
        <f t="shared" si="35"/>
        <v>0</v>
      </c>
    </row>
    <row r="436" spans="1:22" x14ac:dyDescent="0.2">
      <c r="A436" s="153">
        <v>2037</v>
      </c>
      <c r="B436" s="153">
        <v>3</v>
      </c>
      <c r="E436" s="173">
        <v>20.426767609135375</v>
      </c>
      <c r="F436" s="281">
        <f t="shared" si="36"/>
        <v>18.733765795143192</v>
      </c>
      <c r="G436" s="173"/>
      <c r="H436" s="173">
        <v>30.33</v>
      </c>
      <c r="I436" s="154">
        <v>864143.6308193109</v>
      </c>
      <c r="J436" s="190">
        <f>VLOOKUP($A436&amp;$B436,'LE Inputs'!$C$2:$J$505,MATCH('LE UtilityData'!J$1,'LE Inputs'!$C$1:$J$1,0),0)*1000</f>
        <v>1590337.1175079371</v>
      </c>
      <c r="K436" s="190">
        <v>646178.68991644832</v>
      </c>
      <c r="L436" s="164">
        <v>415491.47708298435</v>
      </c>
      <c r="M436" s="299">
        <v>418018.71</v>
      </c>
      <c r="N436" s="156">
        <v>87420.549257200895</v>
      </c>
      <c r="O436" s="190" t="e">
        <f>VLOOKUP($A436&amp;$B436,'LE Inputs'!$C$2:$J$505,MATCH('LE UtilityData'!O$1,'LE Inputs'!$C$1:$J$1,0),0)</f>
        <v>#N/A</v>
      </c>
      <c r="P436" s="190" t="e">
        <f>VLOOKUP($A436&amp;$B436,'LE Inputs'!$C$2:$J$505,MATCH('LE UtilityData'!P$1,'LE Inputs'!$C$1:$J$1,0),0)</f>
        <v>#N/A</v>
      </c>
      <c r="Q436" s="168">
        <f t="shared" si="40"/>
        <v>674.3</v>
      </c>
      <c r="R436" s="168">
        <f t="shared" si="40"/>
        <v>1.1499999999999999</v>
      </c>
      <c r="S436" s="166">
        <v>4124</v>
      </c>
      <c r="T436" s="166">
        <v>1696</v>
      </c>
      <c r="U436" s="166">
        <f t="shared" si="37"/>
        <v>0</v>
      </c>
      <c r="V436" s="166">
        <f t="shared" si="35"/>
        <v>0</v>
      </c>
    </row>
    <row r="437" spans="1:22" x14ac:dyDescent="0.2">
      <c r="A437" s="153">
        <v>2037</v>
      </c>
      <c r="B437" s="153">
        <v>4</v>
      </c>
      <c r="E437" s="173">
        <v>20.426767609135375</v>
      </c>
      <c r="F437" s="281">
        <f t="shared" si="36"/>
        <v>18.733765795143192</v>
      </c>
      <c r="G437" s="173"/>
      <c r="H437" s="173">
        <v>30.29</v>
      </c>
      <c r="I437" s="154">
        <v>864480.6308193109</v>
      </c>
      <c r="J437" s="190">
        <f>VLOOKUP($A437&amp;$B437,'LE Inputs'!$C$2:$J$505,MATCH('LE UtilityData'!J$1,'LE Inputs'!$C$1:$J$1,0),0)*1000</f>
        <v>1593215.3142308297</v>
      </c>
      <c r="K437" s="190">
        <v>647242.35365531093</v>
      </c>
      <c r="L437" s="164">
        <v>415653.51105833665</v>
      </c>
      <c r="M437" s="299">
        <v>418577.5</v>
      </c>
      <c r="N437" s="156">
        <v>87699.369921570003</v>
      </c>
      <c r="O437" s="190" t="e">
        <f>VLOOKUP($A437&amp;$B437,'LE Inputs'!$C$2:$J$505,MATCH('LE UtilityData'!O$1,'LE Inputs'!$C$1:$J$1,0),0)</f>
        <v>#N/A</v>
      </c>
      <c r="P437" s="190" t="e">
        <f>VLOOKUP($A437&amp;$B437,'LE Inputs'!$C$2:$J$505,MATCH('LE UtilityData'!P$1,'LE Inputs'!$C$1:$J$1,0),0)</f>
        <v>#N/A</v>
      </c>
      <c r="Q437" s="168">
        <f t="shared" si="40"/>
        <v>377.1</v>
      </c>
      <c r="R437" s="168">
        <f t="shared" si="40"/>
        <v>20.25</v>
      </c>
      <c r="S437" s="166">
        <v>4124</v>
      </c>
      <c r="T437" s="166">
        <v>1696</v>
      </c>
      <c r="U437" s="166">
        <f t="shared" si="37"/>
        <v>0</v>
      </c>
      <c r="V437" s="166">
        <f t="shared" si="35"/>
        <v>0</v>
      </c>
    </row>
    <row r="438" spans="1:22" x14ac:dyDescent="0.2">
      <c r="A438" s="153">
        <v>2037</v>
      </c>
      <c r="B438" s="153">
        <v>5</v>
      </c>
      <c r="E438" s="173">
        <v>20.426767609135375</v>
      </c>
      <c r="F438" s="281">
        <f t="shared" si="36"/>
        <v>18.733765795143192</v>
      </c>
      <c r="G438" s="173"/>
      <c r="H438" s="173">
        <v>30.05</v>
      </c>
      <c r="I438" s="154">
        <v>864817.6308193109</v>
      </c>
      <c r="J438" s="190">
        <f>VLOOKUP($A438&amp;$B438,'LE Inputs'!$C$2:$J$505,MATCH('LE UtilityData'!J$1,'LE Inputs'!$C$1:$J$1,0),0)*1000</f>
        <v>1593215.3142308297</v>
      </c>
      <c r="K438" s="190">
        <v>647242.35365531093</v>
      </c>
      <c r="L438" s="164">
        <v>415815.54503368889</v>
      </c>
      <c r="M438" s="299">
        <v>418577.5</v>
      </c>
      <c r="N438" s="156">
        <v>87699.369921570003</v>
      </c>
      <c r="O438" s="190" t="e">
        <f>VLOOKUP($A438&amp;$B438,'LE Inputs'!$C$2:$J$505,MATCH('LE UtilityData'!O$1,'LE Inputs'!$C$1:$J$1,0),0)</f>
        <v>#N/A</v>
      </c>
      <c r="P438" s="190" t="e">
        <f>VLOOKUP($A438&amp;$B438,'LE Inputs'!$C$2:$J$505,MATCH('LE UtilityData'!P$1,'LE Inputs'!$C$1:$J$1,0),0)</f>
        <v>#N/A</v>
      </c>
      <c r="Q438" s="168">
        <f t="shared" si="40"/>
        <v>141</v>
      </c>
      <c r="R438" s="168">
        <f t="shared" si="40"/>
        <v>69.349999999999994</v>
      </c>
      <c r="S438" s="166">
        <v>4124</v>
      </c>
      <c r="T438" s="166">
        <v>1696</v>
      </c>
      <c r="U438" s="166">
        <f t="shared" si="37"/>
        <v>0</v>
      </c>
      <c r="V438" s="166">
        <f t="shared" si="35"/>
        <v>0</v>
      </c>
    </row>
    <row r="439" spans="1:22" x14ac:dyDescent="0.2">
      <c r="A439" s="153">
        <v>2037</v>
      </c>
      <c r="B439" s="153">
        <v>6</v>
      </c>
      <c r="E439" s="173">
        <v>20.426767609135375</v>
      </c>
      <c r="F439" s="281">
        <f t="shared" si="36"/>
        <v>18.733765795143192</v>
      </c>
      <c r="G439" s="173"/>
      <c r="H439" s="173">
        <v>30.67</v>
      </c>
      <c r="I439" s="154">
        <v>865150.2308211351</v>
      </c>
      <c r="J439" s="190">
        <f>VLOOKUP($A439&amp;$B439,'LE Inputs'!$C$2:$J$505,MATCH('LE UtilityData'!J$1,'LE Inputs'!$C$1:$J$1,0),0)*1000</f>
        <v>1593215.3142308297</v>
      </c>
      <c r="K439" s="190">
        <v>647242.35365531093</v>
      </c>
      <c r="L439" s="164">
        <v>415975.46343279199</v>
      </c>
      <c r="M439" s="299">
        <v>418577.5</v>
      </c>
      <c r="N439" s="156">
        <v>87699.369921570003</v>
      </c>
      <c r="O439" s="190" t="e">
        <f>VLOOKUP($A439&amp;$B439,'LE Inputs'!$C$2:$J$505,MATCH('LE UtilityData'!O$1,'LE Inputs'!$C$1:$J$1,0),0)</f>
        <v>#N/A</v>
      </c>
      <c r="P439" s="190" t="e">
        <f>VLOOKUP($A439&amp;$B439,'LE Inputs'!$C$2:$J$505,MATCH('LE UtilityData'!P$1,'LE Inputs'!$C$1:$J$1,0),0)</f>
        <v>#N/A</v>
      </c>
      <c r="Q439" s="168">
        <f t="shared" si="40"/>
        <v>29.5</v>
      </c>
      <c r="R439" s="168">
        <f t="shared" si="40"/>
        <v>224.8</v>
      </c>
      <c r="S439" s="166">
        <v>4124</v>
      </c>
      <c r="T439" s="166">
        <v>1696</v>
      </c>
      <c r="U439" s="166">
        <f t="shared" si="37"/>
        <v>0</v>
      </c>
      <c r="V439" s="166">
        <f t="shared" si="35"/>
        <v>0</v>
      </c>
    </row>
    <row r="440" spans="1:22" x14ac:dyDescent="0.2">
      <c r="A440" s="153">
        <v>2037</v>
      </c>
      <c r="B440" s="153">
        <v>7</v>
      </c>
      <c r="E440" s="173">
        <v>20.426767609135375</v>
      </c>
      <c r="F440" s="281">
        <f t="shared" si="36"/>
        <v>18.733765795143192</v>
      </c>
      <c r="G440" s="173"/>
      <c r="H440" s="173">
        <v>30.62</v>
      </c>
      <c r="I440" s="154">
        <v>865485.2308211351</v>
      </c>
      <c r="J440" s="190">
        <f>VLOOKUP($A440&amp;$B440,'LE Inputs'!$C$2:$J$505,MATCH('LE UtilityData'!J$1,'LE Inputs'!$C$1:$J$1,0),0)*1000</f>
        <v>1596095.9356728196</v>
      </c>
      <c r="K440" s="190">
        <v>648426.76799107238</v>
      </c>
      <c r="L440" s="164">
        <v>416136.53578217776</v>
      </c>
      <c r="M440" s="299">
        <v>419200.41</v>
      </c>
      <c r="N440" s="156">
        <v>88261.644288880503</v>
      </c>
      <c r="O440" s="190" t="e">
        <f>VLOOKUP($A440&amp;$B440,'LE Inputs'!$C$2:$J$505,MATCH('LE UtilityData'!O$1,'LE Inputs'!$C$1:$J$1,0),0)</f>
        <v>#N/A</v>
      </c>
      <c r="P440" s="190" t="e">
        <f>VLOOKUP($A440&amp;$B440,'LE Inputs'!$C$2:$J$505,MATCH('LE UtilityData'!P$1,'LE Inputs'!$C$1:$J$1,0),0)</f>
        <v>#N/A</v>
      </c>
      <c r="Q440" s="168">
        <f t="shared" si="40"/>
        <v>0.55000000000000004</v>
      </c>
      <c r="R440" s="168">
        <f t="shared" si="40"/>
        <v>396.4</v>
      </c>
      <c r="S440" s="166">
        <v>4124</v>
      </c>
      <c r="T440" s="166">
        <v>1696</v>
      </c>
      <c r="U440" s="166">
        <f t="shared" si="37"/>
        <v>0</v>
      </c>
      <c r="V440" s="166">
        <f t="shared" si="35"/>
        <v>0</v>
      </c>
    </row>
    <row r="441" spans="1:22" x14ac:dyDescent="0.2">
      <c r="A441" s="153">
        <v>2037</v>
      </c>
      <c r="B441" s="153">
        <v>8</v>
      </c>
      <c r="E441" s="173">
        <v>20.426767609135375</v>
      </c>
      <c r="F441" s="281">
        <f t="shared" si="36"/>
        <v>18.733765795143192</v>
      </c>
      <c r="G441" s="173"/>
      <c r="H441" s="173">
        <v>29.52</v>
      </c>
      <c r="I441" s="154">
        <v>865820.2308211351</v>
      </c>
      <c r="J441" s="190">
        <f>VLOOKUP($A441&amp;$B441,'LE Inputs'!$C$2:$J$505,MATCH('LE UtilityData'!J$1,'LE Inputs'!$C$1:$J$1,0),0)*1000</f>
        <v>1596095.9356728196</v>
      </c>
      <c r="K441" s="190">
        <v>648426.76799107238</v>
      </c>
      <c r="L441" s="164">
        <v>416297.60813156352</v>
      </c>
      <c r="M441" s="299">
        <v>419200.41</v>
      </c>
      <c r="N441" s="156">
        <v>88261.644288880503</v>
      </c>
      <c r="O441" s="190" t="e">
        <f>VLOOKUP($A441&amp;$B441,'LE Inputs'!$C$2:$J$505,MATCH('LE UtilityData'!O$1,'LE Inputs'!$C$1:$J$1,0),0)</f>
        <v>#N/A</v>
      </c>
      <c r="P441" s="190" t="e">
        <f>VLOOKUP($A441&amp;$B441,'LE Inputs'!$C$2:$J$505,MATCH('LE UtilityData'!P$1,'LE Inputs'!$C$1:$J$1,0),0)</f>
        <v>#N/A</v>
      </c>
      <c r="Q441" s="168">
        <f t="shared" si="40"/>
        <v>0.1</v>
      </c>
      <c r="R441" s="168">
        <f t="shared" si="40"/>
        <v>417.05</v>
      </c>
      <c r="S441" s="166">
        <v>4124</v>
      </c>
      <c r="T441" s="166">
        <v>1696</v>
      </c>
      <c r="U441" s="166">
        <f t="shared" si="37"/>
        <v>0</v>
      </c>
      <c r="V441" s="166">
        <f t="shared" si="35"/>
        <v>0</v>
      </c>
    </row>
    <row r="442" spans="1:22" x14ac:dyDescent="0.2">
      <c r="A442" s="153">
        <v>2037</v>
      </c>
      <c r="B442" s="153">
        <v>9</v>
      </c>
      <c r="E442" s="173">
        <v>20.426767609135375</v>
      </c>
      <c r="F442" s="281">
        <f t="shared" si="36"/>
        <v>18.733765795143192</v>
      </c>
      <c r="G442" s="173"/>
      <c r="H442" s="173">
        <v>30.71</v>
      </c>
      <c r="I442" s="154">
        <v>866155.2308211351</v>
      </c>
      <c r="J442" s="190">
        <f>VLOOKUP($A442&amp;$B442,'LE Inputs'!$C$2:$J$505,MATCH('LE UtilityData'!J$1,'LE Inputs'!$C$1:$J$1,0),0)*1000</f>
        <v>1596095.9356728196</v>
      </c>
      <c r="K442" s="190">
        <v>648426.76799107238</v>
      </c>
      <c r="L442" s="164">
        <v>416458.68048094929</v>
      </c>
      <c r="M442" s="299">
        <v>419200.41</v>
      </c>
      <c r="N442" s="156">
        <v>88261.644288880503</v>
      </c>
      <c r="O442" s="190" t="e">
        <f>VLOOKUP($A442&amp;$B442,'LE Inputs'!$C$2:$J$505,MATCH('LE UtilityData'!O$1,'LE Inputs'!$C$1:$J$1,0),0)</f>
        <v>#N/A</v>
      </c>
      <c r="P442" s="190" t="e">
        <f>VLOOKUP($A442&amp;$B442,'LE Inputs'!$C$2:$J$505,MATCH('LE UtilityData'!P$1,'LE Inputs'!$C$1:$J$1,0),0)</f>
        <v>#N/A</v>
      </c>
      <c r="Q442" s="168">
        <f t="shared" si="40"/>
        <v>5.35</v>
      </c>
      <c r="R442" s="168">
        <f t="shared" si="40"/>
        <v>330.2</v>
      </c>
      <c r="S442" s="166">
        <v>4124</v>
      </c>
      <c r="T442" s="166">
        <v>1696</v>
      </c>
      <c r="U442" s="166">
        <f t="shared" si="37"/>
        <v>0</v>
      </c>
      <c r="V442" s="166">
        <f t="shared" si="35"/>
        <v>0</v>
      </c>
    </row>
    <row r="443" spans="1:22" x14ac:dyDescent="0.2">
      <c r="A443" s="153">
        <v>2037</v>
      </c>
      <c r="B443" s="153">
        <v>10</v>
      </c>
      <c r="E443" s="173">
        <v>20.426767609135375</v>
      </c>
      <c r="F443" s="281">
        <f t="shared" si="36"/>
        <v>18.733765795143192</v>
      </c>
      <c r="G443" s="173"/>
      <c r="H443" s="173">
        <v>29.52</v>
      </c>
      <c r="I443" s="154">
        <v>866490.2308211351</v>
      </c>
      <c r="J443" s="190">
        <f>VLOOKUP($A443&amp;$B443,'LE Inputs'!$C$2:$J$505,MATCH('LE UtilityData'!J$1,'LE Inputs'!$C$1:$J$1,0),0)*1000</f>
        <v>1598976.4503681336</v>
      </c>
      <c r="K443" s="190">
        <v>649581.91279176739</v>
      </c>
      <c r="L443" s="164">
        <v>416619.75283033506</v>
      </c>
      <c r="M443" s="299">
        <v>419807.55</v>
      </c>
      <c r="N443" s="156">
        <v>88754.796066176699</v>
      </c>
      <c r="O443" s="190" t="e">
        <f>VLOOKUP($A443&amp;$B443,'LE Inputs'!$C$2:$J$505,MATCH('LE UtilityData'!O$1,'LE Inputs'!$C$1:$J$1,0),0)</f>
        <v>#N/A</v>
      </c>
      <c r="P443" s="190" t="e">
        <f>VLOOKUP($A443&amp;$B443,'LE Inputs'!$C$2:$J$505,MATCH('LE UtilityData'!P$1,'LE Inputs'!$C$1:$J$1,0),0)</f>
        <v>#N/A</v>
      </c>
      <c r="Q443" s="168">
        <f t="shared" si="40"/>
        <v>99.3</v>
      </c>
      <c r="R443" s="168">
        <f t="shared" si="40"/>
        <v>100.05</v>
      </c>
      <c r="S443" s="166">
        <v>4124</v>
      </c>
      <c r="T443" s="166">
        <v>1696</v>
      </c>
      <c r="U443" s="166">
        <f t="shared" si="37"/>
        <v>0</v>
      </c>
      <c r="V443" s="166">
        <f t="shared" si="35"/>
        <v>0</v>
      </c>
    </row>
    <row r="444" spans="1:22" x14ac:dyDescent="0.2">
      <c r="A444" s="153">
        <v>2037</v>
      </c>
      <c r="B444" s="153">
        <v>11</v>
      </c>
      <c r="E444" s="173">
        <v>20.426767609135375</v>
      </c>
      <c r="F444" s="281">
        <f t="shared" si="36"/>
        <v>18.733765795143192</v>
      </c>
      <c r="G444" s="173"/>
      <c r="H444" s="173">
        <v>29.38</v>
      </c>
      <c r="I444" s="154">
        <v>866825.2308211351</v>
      </c>
      <c r="J444" s="190">
        <f>VLOOKUP($A444&amp;$B444,'LE Inputs'!$C$2:$J$505,MATCH('LE UtilityData'!J$1,'LE Inputs'!$C$1:$J$1,0),0)*1000</f>
        <v>1598976.4503681336</v>
      </c>
      <c r="K444" s="190">
        <v>649581.91279176739</v>
      </c>
      <c r="L444" s="164">
        <v>416780.82517972082</v>
      </c>
      <c r="M444" s="299">
        <v>419807.55</v>
      </c>
      <c r="N444" s="156">
        <v>88754.796066176699</v>
      </c>
      <c r="O444" s="190" t="e">
        <f>VLOOKUP($A444&amp;$B444,'LE Inputs'!$C$2:$J$505,MATCH('LE UtilityData'!O$1,'LE Inputs'!$C$1:$J$1,0),0)</f>
        <v>#N/A</v>
      </c>
      <c r="P444" s="190" t="e">
        <f>VLOOKUP($A444&amp;$B444,'LE Inputs'!$C$2:$J$505,MATCH('LE UtilityData'!P$1,'LE Inputs'!$C$1:$J$1,0),0)</f>
        <v>#N/A</v>
      </c>
      <c r="Q444" s="168">
        <f t="shared" si="40"/>
        <v>352.6</v>
      </c>
      <c r="R444" s="168">
        <f t="shared" si="40"/>
        <v>12.75</v>
      </c>
      <c r="S444" s="166">
        <v>4124</v>
      </c>
      <c r="T444" s="166">
        <v>1696</v>
      </c>
      <c r="U444" s="166">
        <f t="shared" si="37"/>
        <v>0</v>
      </c>
      <c r="V444" s="166">
        <f t="shared" si="35"/>
        <v>0</v>
      </c>
    </row>
    <row r="445" spans="1:22" x14ac:dyDescent="0.2">
      <c r="A445" s="153">
        <v>2037</v>
      </c>
      <c r="B445" s="153">
        <v>12</v>
      </c>
      <c r="E445" s="173">
        <v>20.426767609135375</v>
      </c>
      <c r="F445" s="281">
        <f t="shared" si="36"/>
        <v>18.733765795143192</v>
      </c>
      <c r="G445" s="173"/>
      <c r="H445" s="173">
        <v>32.81</v>
      </c>
      <c r="I445" s="154">
        <v>867160.2308211351</v>
      </c>
      <c r="J445" s="190">
        <f>VLOOKUP($A445&amp;$B445,'LE Inputs'!$C$2:$J$505,MATCH('LE UtilityData'!J$1,'LE Inputs'!$C$1:$J$1,0),0)*1000</f>
        <v>1598976.4503681336</v>
      </c>
      <c r="K445" s="190">
        <v>649581.91279176739</v>
      </c>
      <c r="L445" s="164">
        <v>416941.89752910653</v>
      </c>
      <c r="M445" s="299">
        <v>419807.55</v>
      </c>
      <c r="N445" s="156">
        <v>88754.796066176699</v>
      </c>
      <c r="O445" s="190" t="e">
        <f>VLOOKUP($A445&amp;$B445,'LE Inputs'!$C$2:$J$505,MATCH('LE UtilityData'!O$1,'LE Inputs'!$C$1:$J$1,0),0)</f>
        <v>#N/A</v>
      </c>
      <c r="P445" s="190" t="e">
        <f>VLOOKUP($A445&amp;$B445,'LE Inputs'!$C$2:$J$505,MATCH('LE UtilityData'!P$1,'LE Inputs'!$C$1:$J$1,0),0)</f>
        <v>#N/A</v>
      </c>
      <c r="Q445" s="168">
        <f t="shared" si="40"/>
        <v>669.9</v>
      </c>
      <c r="R445" s="168">
        <f t="shared" si="40"/>
        <v>1.05</v>
      </c>
      <c r="S445" s="166">
        <v>4124</v>
      </c>
      <c r="T445" s="166">
        <v>1696</v>
      </c>
      <c r="U445" s="166">
        <f t="shared" si="37"/>
        <v>0</v>
      </c>
      <c r="V445" s="166">
        <f t="shared" si="35"/>
        <v>0</v>
      </c>
    </row>
    <row r="446" spans="1:22" x14ac:dyDescent="0.2">
      <c r="A446" s="153">
        <v>2038</v>
      </c>
      <c r="B446" s="153">
        <v>1</v>
      </c>
      <c r="E446" s="173">
        <v>20.937436799363759</v>
      </c>
      <c r="F446" s="281">
        <f t="shared" si="36"/>
        <v>19.108441111046055</v>
      </c>
      <c r="G446" s="173"/>
      <c r="H446" s="173">
        <v>32.43</v>
      </c>
      <c r="I446" s="154">
        <v>867495.2308211351</v>
      </c>
      <c r="J446" s="190">
        <f>VLOOKUP($A446&amp;$B446,'LE Inputs'!$C$2:$J$505,MATCH('LE UtilityData'!J$1,'LE Inputs'!$C$1:$J$1,0),0)*1000</f>
        <v>1601461.1143230209</v>
      </c>
      <c r="K446" s="190">
        <v>650646.43651730416</v>
      </c>
      <c r="L446" s="164">
        <v>417102.96987849224</v>
      </c>
      <c r="M446" s="299">
        <v>420366.86</v>
      </c>
      <c r="N446" s="156">
        <v>89898.397222884101</v>
      </c>
      <c r="O446" s="190" t="e">
        <f>VLOOKUP($A446&amp;$B446,'LE Inputs'!$C$2:$J$505,MATCH('LE UtilityData'!O$1,'LE Inputs'!$C$1:$J$1,0),0)</f>
        <v>#N/A</v>
      </c>
      <c r="P446" s="190" t="e">
        <f>VLOOKUP($A446&amp;$B446,'LE Inputs'!$C$2:$J$505,MATCH('LE UtilityData'!P$1,'LE Inputs'!$C$1:$J$1,0),0)</f>
        <v>#N/A</v>
      </c>
      <c r="Q446" s="168">
        <f t="shared" ref="Q446:R461" si="41">Q434</f>
        <v>932.4</v>
      </c>
      <c r="R446" s="168">
        <f t="shared" si="41"/>
        <v>0.35</v>
      </c>
      <c r="S446" s="166">
        <v>4124</v>
      </c>
      <c r="T446" s="166">
        <v>1696</v>
      </c>
      <c r="U446" s="166">
        <f t="shared" si="37"/>
        <v>0</v>
      </c>
      <c r="V446" s="166">
        <f t="shared" si="35"/>
        <v>0</v>
      </c>
    </row>
    <row r="447" spans="1:22" x14ac:dyDescent="0.2">
      <c r="A447" s="153">
        <v>2038</v>
      </c>
      <c r="B447" s="153">
        <v>2</v>
      </c>
      <c r="E447" s="173">
        <v>20.937436799363759</v>
      </c>
      <c r="F447" s="281">
        <f t="shared" si="36"/>
        <v>19.108441111046055</v>
      </c>
      <c r="G447" s="173"/>
      <c r="H447" s="173">
        <v>29.9</v>
      </c>
      <c r="I447" s="154">
        <v>867830.2308211351</v>
      </c>
      <c r="J447" s="190">
        <f>VLOOKUP($A447&amp;$B447,'LE Inputs'!$C$2:$J$505,MATCH('LE UtilityData'!J$1,'LE Inputs'!$C$1:$J$1,0),0)*1000</f>
        <v>1601461.1143230209</v>
      </c>
      <c r="K447" s="190">
        <v>650646.43651730416</v>
      </c>
      <c r="L447" s="164">
        <v>417264.042227878</v>
      </c>
      <c r="M447" s="299">
        <v>420366.86</v>
      </c>
      <c r="N447" s="156">
        <v>89898.397222884101</v>
      </c>
      <c r="O447" s="190" t="e">
        <f>VLOOKUP($A447&amp;$B447,'LE Inputs'!$C$2:$J$505,MATCH('LE UtilityData'!O$1,'LE Inputs'!$C$1:$J$1,0),0)</f>
        <v>#N/A</v>
      </c>
      <c r="P447" s="190" t="e">
        <f>VLOOKUP($A447&amp;$B447,'LE Inputs'!$C$2:$J$505,MATCH('LE UtilityData'!P$1,'LE Inputs'!$C$1:$J$1,0),0)</f>
        <v>#N/A</v>
      </c>
      <c r="Q447" s="168">
        <f t="shared" si="41"/>
        <v>864.1</v>
      </c>
      <c r="R447" s="168">
        <f t="shared" si="41"/>
        <v>0.05</v>
      </c>
      <c r="S447" s="166">
        <v>4124</v>
      </c>
      <c r="T447" s="166">
        <v>1696</v>
      </c>
      <c r="U447" s="166">
        <f t="shared" si="37"/>
        <v>0</v>
      </c>
      <c r="V447" s="166">
        <f t="shared" si="35"/>
        <v>0</v>
      </c>
    </row>
    <row r="448" spans="1:22" x14ac:dyDescent="0.2">
      <c r="A448" s="153">
        <v>2038</v>
      </c>
      <c r="B448" s="153">
        <v>3</v>
      </c>
      <c r="E448" s="173">
        <v>20.937436799363759</v>
      </c>
      <c r="F448" s="281">
        <f t="shared" si="36"/>
        <v>19.108441111046055</v>
      </c>
      <c r="G448" s="173"/>
      <c r="H448" s="173">
        <v>30.33</v>
      </c>
      <c r="I448" s="154">
        <v>868165.2308211351</v>
      </c>
      <c r="J448" s="190">
        <f>VLOOKUP($A448&amp;$B448,'LE Inputs'!$C$2:$J$505,MATCH('LE UtilityData'!J$1,'LE Inputs'!$C$1:$J$1,0),0)*1000</f>
        <v>1601461.1143230209</v>
      </c>
      <c r="K448" s="190">
        <v>650646.43651730416</v>
      </c>
      <c r="L448" s="164">
        <v>417425.11457726371</v>
      </c>
      <c r="M448" s="299">
        <v>420366.86</v>
      </c>
      <c r="N448" s="156">
        <v>89898.397222884101</v>
      </c>
      <c r="O448" s="190" t="e">
        <f>VLOOKUP($A448&amp;$B448,'LE Inputs'!$C$2:$J$505,MATCH('LE UtilityData'!O$1,'LE Inputs'!$C$1:$J$1,0),0)</f>
        <v>#N/A</v>
      </c>
      <c r="P448" s="190" t="e">
        <f>VLOOKUP($A448&amp;$B448,'LE Inputs'!$C$2:$J$505,MATCH('LE UtilityData'!P$1,'LE Inputs'!$C$1:$J$1,0),0)</f>
        <v>#N/A</v>
      </c>
      <c r="Q448" s="168">
        <f t="shared" si="41"/>
        <v>674.3</v>
      </c>
      <c r="R448" s="168">
        <f t="shared" si="41"/>
        <v>1.1499999999999999</v>
      </c>
      <c r="S448" s="166">
        <v>4124</v>
      </c>
      <c r="T448" s="166">
        <v>1696</v>
      </c>
      <c r="U448" s="166">
        <f t="shared" si="37"/>
        <v>0</v>
      </c>
      <c r="V448" s="166">
        <f t="shared" si="35"/>
        <v>0</v>
      </c>
    </row>
    <row r="449" spans="1:22" x14ac:dyDescent="0.2">
      <c r="A449" s="153">
        <v>2038</v>
      </c>
      <c r="B449" s="153">
        <v>4</v>
      </c>
      <c r="E449" s="173">
        <v>20.937436799363759</v>
      </c>
      <c r="F449" s="281">
        <f t="shared" si="36"/>
        <v>19.108441111046055</v>
      </c>
      <c r="G449" s="173"/>
      <c r="H449" s="173">
        <v>30.29</v>
      </c>
      <c r="I449" s="154">
        <v>868500.2308211351</v>
      </c>
      <c r="J449" s="190">
        <f>VLOOKUP($A449&amp;$B449,'LE Inputs'!$C$2:$J$505,MATCH('LE UtilityData'!J$1,'LE Inputs'!$C$1:$J$1,0),0)*1000</f>
        <v>1604343.1943766237</v>
      </c>
      <c r="K449" s="190">
        <v>651858.94634814316</v>
      </c>
      <c r="L449" s="164">
        <v>417586.18692664942</v>
      </c>
      <c r="M449" s="299">
        <v>421004.49</v>
      </c>
      <c r="N449" s="156">
        <v>90084.206754459505</v>
      </c>
      <c r="O449" s="190" t="e">
        <f>VLOOKUP($A449&amp;$B449,'LE Inputs'!$C$2:$J$505,MATCH('LE UtilityData'!O$1,'LE Inputs'!$C$1:$J$1,0),0)</f>
        <v>#N/A</v>
      </c>
      <c r="P449" s="190" t="e">
        <f>VLOOKUP($A449&amp;$B449,'LE Inputs'!$C$2:$J$505,MATCH('LE UtilityData'!P$1,'LE Inputs'!$C$1:$J$1,0),0)</f>
        <v>#N/A</v>
      </c>
      <c r="Q449" s="168">
        <f t="shared" si="41"/>
        <v>377.1</v>
      </c>
      <c r="R449" s="168">
        <f t="shared" si="41"/>
        <v>20.25</v>
      </c>
      <c r="S449" s="166">
        <v>4124</v>
      </c>
      <c r="T449" s="166">
        <v>1696</v>
      </c>
      <c r="U449" s="166">
        <f t="shared" si="37"/>
        <v>0</v>
      </c>
      <c r="V449" s="166">
        <f t="shared" si="35"/>
        <v>0</v>
      </c>
    </row>
    <row r="450" spans="1:22" x14ac:dyDescent="0.2">
      <c r="A450" s="153">
        <v>2038</v>
      </c>
      <c r="B450" s="153">
        <v>5</v>
      </c>
      <c r="E450" s="173">
        <v>20.937436799363759</v>
      </c>
      <c r="F450" s="281">
        <f t="shared" si="36"/>
        <v>19.108441111046055</v>
      </c>
      <c r="G450" s="173"/>
      <c r="H450" s="173">
        <v>30.05</v>
      </c>
      <c r="I450" s="154">
        <v>868835.2308211351</v>
      </c>
      <c r="J450" s="190">
        <f>VLOOKUP($A450&amp;$B450,'LE Inputs'!$C$2:$J$505,MATCH('LE UtilityData'!J$1,'LE Inputs'!$C$1:$J$1,0),0)*1000</f>
        <v>1604343.1943766237</v>
      </c>
      <c r="K450" s="190">
        <v>651858.94634814316</v>
      </c>
      <c r="L450" s="164">
        <v>417747.25927603513</v>
      </c>
      <c r="M450" s="299">
        <v>421004.49</v>
      </c>
      <c r="N450" s="156">
        <v>90084.206754459505</v>
      </c>
      <c r="O450" s="190" t="e">
        <f>VLOOKUP($A450&amp;$B450,'LE Inputs'!$C$2:$J$505,MATCH('LE UtilityData'!O$1,'LE Inputs'!$C$1:$J$1,0),0)</f>
        <v>#N/A</v>
      </c>
      <c r="P450" s="190" t="e">
        <f>VLOOKUP($A450&amp;$B450,'LE Inputs'!$C$2:$J$505,MATCH('LE UtilityData'!P$1,'LE Inputs'!$C$1:$J$1,0),0)</f>
        <v>#N/A</v>
      </c>
      <c r="Q450" s="168">
        <f t="shared" si="41"/>
        <v>141</v>
      </c>
      <c r="R450" s="168">
        <f t="shared" si="41"/>
        <v>69.349999999999994</v>
      </c>
      <c r="S450" s="166">
        <v>4124</v>
      </c>
      <c r="T450" s="166">
        <v>1696</v>
      </c>
      <c r="U450" s="166">
        <f t="shared" si="37"/>
        <v>0</v>
      </c>
      <c r="V450" s="166">
        <f t="shared" ref="V450:V493" si="42">C450/L450*1000</f>
        <v>0</v>
      </c>
    </row>
    <row r="451" spans="1:22" x14ac:dyDescent="0.2">
      <c r="A451" s="153">
        <v>2038</v>
      </c>
      <c r="B451" s="153">
        <v>6</v>
      </c>
      <c r="E451" s="173">
        <v>20.937436799363759</v>
      </c>
      <c r="F451" s="281">
        <f t="shared" ref="F451:F505" si="43">F439*(1+0.02)</f>
        <v>19.108441111046055</v>
      </c>
      <c r="G451" s="173"/>
      <c r="H451" s="173">
        <v>30.67</v>
      </c>
      <c r="I451" s="154">
        <v>869175.95305805234</v>
      </c>
      <c r="J451" s="190">
        <f>VLOOKUP($A451&amp;$B451,'LE Inputs'!$C$2:$J$505,MATCH('LE UtilityData'!J$1,'LE Inputs'!$C$1:$J$1,0),0)*1000</f>
        <v>1604343.1943766237</v>
      </c>
      <c r="K451" s="190">
        <v>651858.94634814316</v>
      </c>
      <c r="L451" s="164">
        <v>417911.08295122389</v>
      </c>
      <c r="M451" s="299">
        <v>421004.49</v>
      </c>
      <c r="N451" s="156">
        <v>90084.206754459505</v>
      </c>
      <c r="O451" s="190" t="e">
        <f>VLOOKUP($A451&amp;$B451,'LE Inputs'!$C$2:$J$505,MATCH('LE UtilityData'!O$1,'LE Inputs'!$C$1:$J$1,0),0)</f>
        <v>#N/A</v>
      </c>
      <c r="P451" s="190" t="e">
        <f>VLOOKUP($A451&amp;$B451,'LE Inputs'!$C$2:$J$505,MATCH('LE UtilityData'!P$1,'LE Inputs'!$C$1:$J$1,0),0)</f>
        <v>#N/A</v>
      </c>
      <c r="Q451" s="168">
        <f t="shared" si="41"/>
        <v>29.5</v>
      </c>
      <c r="R451" s="168">
        <f t="shared" si="41"/>
        <v>224.8</v>
      </c>
      <c r="S451" s="166">
        <v>4124</v>
      </c>
      <c r="T451" s="166">
        <v>1696</v>
      </c>
      <c r="U451" s="166">
        <f t="shared" ref="U451:U505" si="44">D451/M451*1000</f>
        <v>0</v>
      </c>
      <c r="V451" s="166">
        <f t="shared" si="42"/>
        <v>0</v>
      </c>
    </row>
    <row r="452" spans="1:22" x14ac:dyDescent="0.2">
      <c r="A452" s="153">
        <v>2038</v>
      </c>
      <c r="B452" s="153">
        <v>7</v>
      </c>
      <c r="E452" s="173">
        <v>20.937436799363759</v>
      </c>
      <c r="F452" s="281">
        <f t="shared" si="43"/>
        <v>19.108441111046055</v>
      </c>
      <c r="G452" s="173"/>
      <c r="H452" s="173">
        <v>30.62</v>
      </c>
      <c r="I452" s="154">
        <v>869508.95305805234</v>
      </c>
      <c r="J452" s="190">
        <f>VLOOKUP($A452&amp;$B452,'LE Inputs'!$C$2:$J$505,MATCH('LE UtilityData'!J$1,'LE Inputs'!$C$1:$J$1,0),0)*1000</f>
        <v>1606830.8974612101</v>
      </c>
      <c r="K452" s="190">
        <v>652908.82450601552</v>
      </c>
      <c r="L452" s="164">
        <v>418071.19367464312</v>
      </c>
      <c r="M452" s="299">
        <v>421556.44</v>
      </c>
      <c r="N452" s="156">
        <v>90664.853936058993</v>
      </c>
      <c r="O452" s="190" t="e">
        <f>VLOOKUP($A452&amp;$B452,'LE Inputs'!$C$2:$J$505,MATCH('LE UtilityData'!O$1,'LE Inputs'!$C$1:$J$1,0),0)</f>
        <v>#N/A</v>
      </c>
      <c r="P452" s="190" t="e">
        <f>VLOOKUP($A452&amp;$B452,'LE Inputs'!$C$2:$J$505,MATCH('LE UtilityData'!P$1,'LE Inputs'!$C$1:$J$1,0),0)</f>
        <v>#N/A</v>
      </c>
      <c r="Q452" s="168">
        <f t="shared" si="41"/>
        <v>0.55000000000000004</v>
      </c>
      <c r="R452" s="168">
        <f t="shared" si="41"/>
        <v>396.4</v>
      </c>
      <c r="S452" s="166">
        <v>4124</v>
      </c>
      <c r="T452" s="166">
        <v>1696</v>
      </c>
      <c r="U452" s="166">
        <f t="shared" si="44"/>
        <v>0</v>
      </c>
      <c r="V452" s="166">
        <f t="shared" si="42"/>
        <v>0</v>
      </c>
    </row>
    <row r="453" spans="1:22" x14ac:dyDescent="0.2">
      <c r="A453" s="153">
        <v>2038</v>
      </c>
      <c r="B453" s="153">
        <v>8</v>
      </c>
      <c r="E453" s="173">
        <v>20.937436799363759</v>
      </c>
      <c r="F453" s="281">
        <f t="shared" si="43"/>
        <v>19.108441111046055</v>
      </c>
      <c r="G453" s="173"/>
      <c r="H453" s="173">
        <v>29.52</v>
      </c>
      <c r="I453" s="154">
        <v>869841.95305805234</v>
      </c>
      <c r="J453" s="190">
        <f>VLOOKUP($A453&amp;$B453,'LE Inputs'!$C$2:$J$505,MATCH('LE UtilityData'!J$1,'LE Inputs'!$C$1:$J$1,0),0)*1000</f>
        <v>1606830.8974612101</v>
      </c>
      <c r="K453" s="190">
        <v>652908.82450601552</v>
      </c>
      <c r="L453" s="164">
        <v>418231.30439806235</v>
      </c>
      <c r="M453" s="299">
        <v>421556.44</v>
      </c>
      <c r="N453" s="156">
        <v>90664.853936058993</v>
      </c>
      <c r="O453" s="190" t="e">
        <f>VLOOKUP($A453&amp;$B453,'LE Inputs'!$C$2:$J$505,MATCH('LE UtilityData'!O$1,'LE Inputs'!$C$1:$J$1,0),0)</f>
        <v>#N/A</v>
      </c>
      <c r="P453" s="190" t="e">
        <f>VLOOKUP($A453&amp;$B453,'LE Inputs'!$C$2:$J$505,MATCH('LE UtilityData'!P$1,'LE Inputs'!$C$1:$J$1,0),0)</f>
        <v>#N/A</v>
      </c>
      <c r="Q453" s="168">
        <f t="shared" si="41"/>
        <v>0.1</v>
      </c>
      <c r="R453" s="168">
        <f t="shared" si="41"/>
        <v>417.05</v>
      </c>
      <c r="S453" s="166">
        <v>4124</v>
      </c>
      <c r="T453" s="166">
        <v>1696</v>
      </c>
      <c r="U453" s="166">
        <f t="shared" si="44"/>
        <v>0</v>
      </c>
      <c r="V453" s="166">
        <f t="shared" si="42"/>
        <v>0</v>
      </c>
    </row>
    <row r="454" spans="1:22" x14ac:dyDescent="0.2">
      <c r="A454" s="153">
        <v>2038</v>
      </c>
      <c r="B454" s="153">
        <v>9</v>
      </c>
      <c r="E454" s="173">
        <v>20.937436799363759</v>
      </c>
      <c r="F454" s="281">
        <f t="shared" si="43"/>
        <v>19.108441111046055</v>
      </c>
      <c r="G454" s="173"/>
      <c r="H454" s="173">
        <v>30.71</v>
      </c>
      <c r="I454" s="154">
        <v>870174.95305805234</v>
      </c>
      <c r="J454" s="190">
        <f>VLOOKUP($A454&amp;$B454,'LE Inputs'!$C$2:$J$505,MATCH('LE UtilityData'!J$1,'LE Inputs'!$C$1:$J$1,0),0)*1000</f>
        <v>1606830.8974612101</v>
      </c>
      <c r="K454" s="190">
        <v>652908.82450601552</v>
      </c>
      <c r="L454" s="164">
        <v>418391.41512148158</v>
      </c>
      <c r="M454" s="299">
        <v>421556.44</v>
      </c>
      <c r="N454" s="156">
        <v>90664.853936058993</v>
      </c>
      <c r="O454" s="190" t="e">
        <f>VLOOKUP($A454&amp;$B454,'LE Inputs'!$C$2:$J$505,MATCH('LE UtilityData'!O$1,'LE Inputs'!$C$1:$J$1,0),0)</f>
        <v>#N/A</v>
      </c>
      <c r="P454" s="190" t="e">
        <f>VLOOKUP($A454&amp;$B454,'LE Inputs'!$C$2:$J$505,MATCH('LE UtilityData'!P$1,'LE Inputs'!$C$1:$J$1,0),0)</f>
        <v>#N/A</v>
      </c>
      <c r="Q454" s="168">
        <f t="shared" si="41"/>
        <v>5.35</v>
      </c>
      <c r="R454" s="168">
        <f t="shared" si="41"/>
        <v>330.2</v>
      </c>
      <c r="S454" s="166">
        <v>4124</v>
      </c>
      <c r="T454" s="166">
        <v>1696</v>
      </c>
      <c r="U454" s="166">
        <f t="shared" si="44"/>
        <v>0</v>
      </c>
      <c r="V454" s="166">
        <f t="shared" si="42"/>
        <v>0</v>
      </c>
    </row>
    <row r="455" spans="1:22" x14ac:dyDescent="0.2">
      <c r="A455" s="153">
        <v>2038</v>
      </c>
      <c r="B455" s="153">
        <v>10</v>
      </c>
      <c r="E455" s="173">
        <v>20.937436799363759</v>
      </c>
      <c r="F455" s="281">
        <f t="shared" si="43"/>
        <v>19.108441111046055</v>
      </c>
      <c r="G455" s="173"/>
      <c r="H455" s="173">
        <v>29.52</v>
      </c>
      <c r="I455" s="154">
        <v>870507.95305805234</v>
      </c>
      <c r="J455" s="190">
        <f>VLOOKUP($A455&amp;$B455,'LE Inputs'!$C$2:$J$505,MATCH('LE UtilityData'!J$1,'LE Inputs'!$C$1:$J$1,0),0)*1000</f>
        <v>1609725.8733013836</v>
      </c>
      <c r="K455" s="190">
        <v>654046.24818355183</v>
      </c>
      <c r="L455" s="164">
        <v>418551.52584490081</v>
      </c>
      <c r="M455" s="299">
        <v>422154.12</v>
      </c>
      <c r="N455" s="156">
        <v>91098.335732951804</v>
      </c>
      <c r="O455" s="190" t="e">
        <f>VLOOKUP($A455&amp;$B455,'LE Inputs'!$C$2:$J$505,MATCH('LE UtilityData'!O$1,'LE Inputs'!$C$1:$J$1,0),0)</f>
        <v>#N/A</v>
      </c>
      <c r="P455" s="190" t="e">
        <f>VLOOKUP($A455&amp;$B455,'LE Inputs'!$C$2:$J$505,MATCH('LE UtilityData'!P$1,'LE Inputs'!$C$1:$J$1,0),0)</f>
        <v>#N/A</v>
      </c>
      <c r="Q455" s="168">
        <f t="shared" si="41"/>
        <v>99.3</v>
      </c>
      <c r="R455" s="168">
        <f t="shared" si="41"/>
        <v>100.05</v>
      </c>
      <c r="S455" s="166">
        <v>4124</v>
      </c>
      <c r="T455" s="166">
        <v>1696</v>
      </c>
      <c r="U455" s="166">
        <f t="shared" si="44"/>
        <v>0</v>
      </c>
      <c r="V455" s="166">
        <f t="shared" si="42"/>
        <v>0</v>
      </c>
    </row>
    <row r="456" spans="1:22" x14ac:dyDescent="0.2">
      <c r="A456" s="153">
        <v>2038</v>
      </c>
      <c r="B456" s="153">
        <v>11</v>
      </c>
      <c r="E456" s="173">
        <v>20.937436799363759</v>
      </c>
      <c r="F456" s="281">
        <f t="shared" si="43"/>
        <v>19.108441111046055</v>
      </c>
      <c r="G456" s="173"/>
      <c r="H456" s="173">
        <v>29.38</v>
      </c>
      <c r="I456" s="154">
        <v>870840.95305805234</v>
      </c>
      <c r="J456" s="190">
        <f>VLOOKUP($A456&amp;$B456,'LE Inputs'!$C$2:$J$505,MATCH('LE UtilityData'!J$1,'LE Inputs'!$C$1:$J$1,0),0)*1000</f>
        <v>1609725.8733013836</v>
      </c>
      <c r="K456" s="190">
        <v>654046.24818355183</v>
      </c>
      <c r="L456" s="164">
        <v>418711.6365683201</v>
      </c>
      <c r="M456" s="299">
        <v>422154.12</v>
      </c>
      <c r="N456" s="156">
        <v>91098.335732951804</v>
      </c>
      <c r="O456" s="190" t="e">
        <f>VLOOKUP($A456&amp;$B456,'LE Inputs'!$C$2:$J$505,MATCH('LE UtilityData'!O$1,'LE Inputs'!$C$1:$J$1,0),0)</f>
        <v>#N/A</v>
      </c>
      <c r="P456" s="190" t="e">
        <f>VLOOKUP($A456&amp;$B456,'LE Inputs'!$C$2:$J$505,MATCH('LE UtilityData'!P$1,'LE Inputs'!$C$1:$J$1,0),0)</f>
        <v>#N/A</v>
      </c>
      <c r="Q456" s="168">
        <f t="shared" si="41"/>
        <v>352.6</v>
      </c>
      <c r="R456" s="168">
        <f t="shared" si="41"/>
        <v>12.75</v>
      </c>
      <c r="S456" s="166">
        <v>4124</v>
      </c>
      <c r="T456" s="166">
        <v>1696</v>
      </c>
      <c r="U456" s="166">
        <f t="shared" si="44"/>
        <v>0</v>
      </c>
      <c r="V456" s="166">
        <f t="shared" si="42"/>
        <v>0</v>
      </c>
    </row>
    <row r="457" spans="1:22" x14ac:dyDescent="0.2">
      <c r="A457" s="153">
        <v>2038</v>
      </c>
      <c r="B457" s="153">
        <v>12</v>
      </c>
      <c r="E457" s="173">
        <v>20.937436799363759</v>
      </c>
      <c r="F457" s="281">
        <f t="shared" si="43"/>
        <v>19.108441111046055</v>
      </c>
      <c r="G457" s="173"/>
      <c r="H457" s="173">
        <v>32.81</v>
      </c>
      <c r="I457" s="154">
        <v>871173.95305805234</v>
      </c>
      <c r="J457" s="190">
        <f>VLOOKUP($A457&amp;$B457,'LE Inputs'!$C$2:$J$505,MATCH('LE UtilityData'!J$1,'LE Inputs'!$C$1:$J$1,0),0)*1000</f>
        <v>1609725.8733013836</v>
      </c>
      <c r="K457" s="190">
        <v>654046.24818355183</v>
      </c>
      <c r="L457" s="164">
        <v>418871.74729173933</v>
      </c>
      <c r="M457" s="299">
        <v>422154.12</v>
      </c>
      <c r="N457" s="156">
        <v>91098.335732951804</v>
      </c>
      <c r="O457" s="190" t="e">
        <f>VLOOKUP($A457&amp;$B457,'LE Inputs'!$C$2:$J$505,MATCH('LE UtilityData'!O$1,'LE Inputs'!$C$1:$J$1,0),0)</f>
        <v>#N/A</v>
      </c>
      <c r="P457" s="190" t="e">
        <f>VLOOKUP($A457&amp;$B457,'LE Inputs'!$C$2:$J$505,MATCH('LE UtilityData'!P$1,'LE Inputs'!$C$1:$J$1,0),0)</f>
        <v>#N/A</v>
      </c>
      <c r="Q457" s="168">
        <f t="shared" si="41"/>
        <v>669.9</v>
      </c>
      <c r="R457" s="168">
        <f t="shared" si="41"/>
        <v>1.05</v>
      </c>
      <c r="S457" s="166">
        <v>4124</v>
      </c>
      <c r="T457" s="166">
        <v>1696</v>
      </c>
      <c r="U457" s="166">
        <f t="shared" si="44"/>
        <v>0</v>
      </c>
      <c r="V457" s="166">
        <f t="shared" si="42"/>
        <v>0</v>
      </c>
    </row>
    <row r="458" spans="1:22" x14ac:dyDescent="0.2">
      <c r="A458" s="153">
        <v>2039</v>
      </c>
      <c r="B458" s="153">
        <v>1</v>
      </c>
      <c r="E458" s="173">
        <v>21.460872719347851</v>
      </c>
      <c r="F458" s="281">
        <f t="shared" si="43"/>
        <v>19.490609933266978</v>
      </c>
      <c r="G458" s="173"/>
      <c r="H458" s="174">
        <v>32.43</v>
      </c>
      <c r="I458" s="301">
        <v>871506.95305805234</v>
      </c>
      <c r="J458" s="190">
        <f>VLOOKUP($A458&amp;$B458,'LE Inputs'!$C$2:$J$505,MATCH('LE UtilityData'!J$1,'LE Inputs'!$C$1:$J$1,0),0)*1000</f>
        <v>1612617.5504805457</v>
      </c>
      <c r="K458" s="190">
        <v>655300.18451505818</v>
      </c>
      <c r="L458" s="164">
        <v>419031.85801515856</v>
      </c>
      <c r="M458" s="299">
        <v>422813.3</v>
      </c>
      <c r="N458" s="161">
        <v>92413.067869476698</v>
      </c>
      <c r="O458" s="190" t="e">
        <f>VLOOKUP($A458&amp;$B458,'LE Inputs'!$C$2:$J$505,MATCH('LE UtilityData'!O$1,'LE Inputs'!$C$1:$J$1,0),0)</f>
        <v>#N/A</v>
      </c>
      <c r="P458" s="190" t="e">
        <f>VLOOKUP($A458&amp;$B458,'LE Inputs'!$C$2:$J$505,MATCH('LE UtilityData'!P$1,'LE Inputs'!$C$1:$J$1,0),0)</f>
        <v>#N/A</v>
      </c>
      <c r="Q458" s="168">
        <f t="shared" si="41"/>
        <v>932.4</v>
      </c>
      <c r="R458" s="168">
        <f t="shared" si="41"/>
        <v>0.35</v>
      </c>
      <c r="S458" s="166">
        <v>4124</v>
      </c>
      <c r="T458" s="166">
        <v>1696</v>
      </c>
      <c r="U458" s="166">
        <f t="shared" si="44"/>
        <v>0</v>
      </c>
      <c r="V458" s="166">
        <f t="shared" si="42"/>
        <v>0</v>
      </c>
    </row>
    <row r="459" spans="1:22" x14ac:dyDescent="0.2">
      <c r="A459" s="153">
        <v>2039</v>
      </c>
      <c r="B459" s="153">
        <v>2</v>
      </c>
      <c r="E459" s="173">
        <v>21.460872719347851</v>
      </c>
      <c r="F459" s="281">
        <f t="shared" si="43"/>
        <v>19.490609933266978</v>
      </c>
      <c r="G459" s="173"/>
      <c r="H459" s="174">
        <v>29.9</v>
      </c>
      <c r="I459" s="301">
        <v>871839.95305805234</v>
      </c>
      <c r="J459" s="190">
        <f>VLOOKUP($A459&amp;$B459,'LE Inputs'!$C$2:$J$505,MATCH('LE UtilityData'!J$1,'LE Inputs'!$C$1:$J$1,0),0)*1000</f>
        <v>1612617.5504805457</v>
      </c>
      <c r="K459" s="190">
        <v>655300.18451505818</v>
      </c>
      <c r="L459" s="164">
        <v>419191.96873857779</v>
      </c>
      <c r="M459" s="299">
        <v>422813.3</v>
      </c>
      <c r="N459" s="161">
        <v>92413.067869476698</v>
      </c>
      <c r="O459" s="190" t="e">
        <f>VLOOKUP($A459&amp;$B459,'LE Inputs'!$C$2:$J$505,MATCH('LE UtilityData'!O$1,'LE Inputs'!$C$1:$J$1,0),0)</f>
        <v>#N/A</v>
      </c>
      <c r="P459" s="190" t="e">
        <f>VLOOKUP($A459&amp;$B459,'LE Inputs'!$C$2:$J$505,MATCH('LE UtilityData'!P$1,'LE Inputs'!$C$1:$J$1,0),0)</f>
        <v>#N/A</v>
      </c>
      <c r="Q459" s="168">
        <f t="shared" si="41"/>
        <v>864.1</v>
      </c>
      <c r="R459" s="168">
        <f t="shared" si="41"/>
        <v>0.05</v>
      </c>
      <c r="S459" s="166">
        <v>4124</v>
      </c>
      <c r="T459" s="166">
        <v>1696</v>
      </c>
      <c r="U459" s="166">
        <f t="shared" si="44"/>
        <v>0</v>
      </c>
      <c r="V459" s="166">
        <f t="shared" si="42"/>
        <v>0</v>
      </c>
    </row>
    <row r="460" spans="1:22" x14ac:dyDescent="0.2">
      <c r="A460" s="153">
        <v>2039</v>
      </c>
      <c r="B460" s="153">
        <v>3</v>
      </c>
      <c r="E460" s="173">
        <v>21.460872719347851</v>
      </c>
      <c r="F460" s="281">
        <f t="shared" si="43"/>
        <v>19.490609933266978</v>
      </c>
      <c r="G460" s="173"/>
      <c r="H460" s="174">
        <v>30.33</v>
      </c>
      <c r="I460" s="301">
        <v>872172.95305805234</v>
      </c>
      <c r="J460" s="190">
        <f>VLOOKUP($A460&amp;$B460,'LE Inputs'!$C$2:$J$505,MATCH('LE UtilityData'!J$1,'LE Inputs'!$C$1:$J$1,0),0)*1000</f>
        <v>1612617.5504805457</v>
      </c>
      <c r="K460" s="190">
        <v>655300.18451505818</v>
      </c>
      <c r="L460" s="164">
        <v>419352.07946199703</v>
      </c>
      <c r="M460" s="299">
        <v>422813.3</v>
      </c>
      <c r="N460" s="161">
        <v>92413.067869476698</v>
      </c>
      <c r="O460" s="190" t="e">
        <f>VLOOKUP($A460&amp;$B460,'LE Inputs'!$C$2:$J$505,MATCH('LE UtilityData'!O$1,'LE Inputs'!$C$1:$J$1,0),0)</f>
        <v>#N/A</v>
      </c>
      <c r="P460" s="190" t="e">
        <f>VLOOKUP($A460&amp;$B460,'LE Inputs'!$C$2:$J$505,MATCH('LE UtilityData'!P$1,'LE Inputs'!$C$1:$J$1,0),0)</f>
        <v>#N/A</v>
      </c>
      <c r="Q460" s="168">
        <f t="shared" si="41"/>
        <v>674.3</v>
      </c>
      <c r="R460" s="168">
        <f t="shared" si="41"/>
        <v>1.1499999999999999</v>
      </c>
      <c r="S460" s="166">
        <v>4124</v>
      </c>
      <c r="T460" s="166">
        <v>1696</v>
      </c>
      <c r="U460" s="166">
        <f t="shared" si="44"/>
        <v>0</v>
      </c>
      <c r="V460" s="166">
        <f t="shared" si="42"/>
        <v>0</v>
      </c>
    </row>
    <row r="461" spans="1:22" x14ac:dyDescent="0.2">
      <c r="A461" s="153">
        <v>2039</v>
      </c>
      <c r="B461" s="153">
        <v>4</v>
      </c>
      <c r="E461" s="173">
        <v>21.460872719347851</v>
      </c>
      <c r="F461" s="281">
        <f t="shared" si="43"/>
        <v>19.490609933266978</v>
      </c>
      <c r="G461" s="173"/>
      <c r="H461" s="174">
        <v>30.29</v>
      </c>
      <c r="I461" s="301">
        <v>872505.95305805234</v>
      </c>
      <c r="J461" s="190">
        <f>VLOOKUP($A461&amp;$B461,'LE Inputs'!$C$2:$J$505,MATCH('LE UtilityData'!J$1,'LE Inputs'!$C$1:$J$1,0),0)*1000</f>
        <v>1615508.9503416345</v>
      </c>
      <c r="K461" s="190">
        <v>656528.17840494413</v>
      </c>
      <c r="L461" s="164">
        <v>419512.19018541626</v>
      </c>
      <c r="M461" s="299">
        <v>423458.82</v>
      </c>
      <c r="N461" s="161">
        <v>92481.797547990398</v>
      </c>
      <c r="O461" s="190" t="e">
        <f>VLOOKUP($A461&amp;$B461,'LE Inputs'!$C$2:$J$505,MATCH('LE UtilityData'!O$1,'LE Inputs'!$C$1:$J$1,0),0)</f>
        <v>#N/A</v>
      </c>
      <c r="P461" s="190" t="e">
        <f>VLOOKUP($A461&amp;$B461,'LE Inputs'!$C$2:$J$505,MATCH('LE UtilityData'!P$1,'LE Inputs'!$C$1:$J$1,0),0)</f>
        <v>#N/A</v>
      </c>
      <c r="Q461" s="168">
        <f t="shared" si="41"/>
        <v>377.1</v>
      </c>
      <c r="R461" s="168">
        <f t="shared" si="41"/>
        <v>20.25</v>
      </c>
      <c r="S461" s="166">
        <v>4124</v>
      </c>
      <c r="T461" s="166">
        <v>1696</v>
      </c>
      <c r="U461" s="166">
        <f t="shared" si="44"/>
        <v>0</v>
      </c>
      <c r="V461" s="166">
        <f t="shared" si="42"/>
        <v>0</v>
      </c>
    </row>
    <row r="462" spans="1:22" x14ac:dyDescent="0.2">
      <c r="A462" s="153">
        <v>2039</v>
      </c>
      <c r="B462" s="153">
        <v>5</v>
      </c>
      <c r="E462" s="173">
        <v>21.460872719347851</v>
      </c>
      <c r="F462" s="281">
        <f t="shared" si="43"/>
        <v>19.490609933266978</v>
      </c>
      <c r="G462" s="173"/>
      <c r="H462" s="174">
        <v>30.05</v>
      </c>
      <c r="I462" s="301">
        <v>872838.95305805234</v>
      </c>
      <c r="J462" s="190">
        <f>VLOOKUP($A462&amp;$B462,'LE Inputs'!$C$2:$J$505,MATCH('LE UtilityData'!J$1,'LE Inputs'!$C$1:$J$1,0),0)*1000</f>
        <v>1615508.9503416345</v>
      </c>
      <c r="K462" s="190">
        <v>656528.17840494413</v>
      </c>
      <c r="L462" s="164">
        <v>419672.30090883549</v>
      </c>
      <c r="M462" s="299">
        <v>423458.82</v>
      </c>
      <c r="N462" s="161">
        <v>92481.797547990398</v>
      </c>
      <c r="O462" s="190" t="e">
        <f>VLOOKUP($A462&amp;$B462,'LE Inputs'!$C$2:$J$505,MATCH('LE UtilityData'!O$1,'LE Inputs'!$C$1:$J$1,0),0)</f>
        <v>#N/A</v>
      </c>
      <c r="P462" s="190" t="e">
        <f>VLOOKUP($A462&amp;$B462,'LE Inputs'!$C$2:$J$505,MATCH('LE UtilityData'!P$1,'LE Inputs'!$C$1:$J$1,0),0)</f>
        <v>#N/A</v>
      </c>
      <c r="Q462" s="168">
        <f t="shared" ref="Q462:R477" si="45">Q450</f>
        <v>141</v>
      </c>
      <c r="R462" s="168">
        <f t="shared" si="45"/>
        <v>69.349999999999994</v>
      </c>
      <c r="S462" s="166">
        <v>4124</v>
      </c>
      <c r="T462" s="166">
        <v>1696</v>
      </c>
      <c r="U462" s="166">
        <f t="shared" si="44"/>
        <v>0</v>
      </c>
      <c r="V462" s="166">
        <f t="shared" si="42"/>
        <v>0</v>
      </c>
    </row>
    <row r="463" spans="1:22" x14ac:dyDescent="0.2">
      <c r="A463" s="153">
        <v>2039</v>
      </c>
      <c r="B463" s="153">
        <v>6</v>
      </c>
      <c r="E463" s="173">
        <v>21.460872719347851</v>
      </c>
      <c r="F463" s="281">
        <f t="shared" si="43"/>
        <v>19.490609933266978</v>
      </c>
      <c r="G463" s="173"/>
      <c r="H463" s="174">
        <v>30.67</v>
      </c>
      <c r="I463" s="301">
        <v>873170.74292740587</v>
      </c>
      <c r="J463" s="190">
        <f>VLOOKUP($A463&amp;$B463,'LE Inputs'!$C$2:$J$505,MATCH('LE UtilityData'!J$1,'LE Inputs'!$C$1:$J$1,0),0)*1000</f>
        <v>1615508.9503416345</v>
      </c>
      <c r="K463" s="190">
        <v>656528.17840494413</v>
      </c>
      <c r="L463" s="164">
        <v>419831.82978572854</v>
      </c>
      <c r="M463" s="299">
        <v>423458.82</v>
      </c>
      <c r="N463" s="161">
        <v>92481.797547990398</v>
      </c>
      <c r="O463" s="190" t="e">
        <f>VLOOKUP($A463&amp;$B463,'LE Inputs'!$C$2:$J$505,MATCH('LE UtilityData'!O$1,'LE Inputs'!$C$1:$J$1,0),0)</f>
        <v>#N/A</v>
      </c>
      <c r="P463" s="190" t="e">
        <f>VLOOKUP($A463&amp;$B463,'LE Inputs'!$C$2:$J$505,MATCH('LE UtilityData'!P$1,'LE Inputs'!$C$1:$J$1,0),0)</f>
        <v>#N/A</v>
      </c>
      <c r="Q463" s="168">
        <f t="shared" si="45"/>
        <v>29.5</v>
      </c>
      <c r="R463" s="168">
        <f t="shared" si="45"/>
        <v>224.8</v>
      </c>
      <c r="S463" s="166">
        <v>4124</v>
      </c>
      <c r="T463" s="166">
        <v>1696</v>
      </c>
      <c r="U463" s="166">
        <f t="shared" si="44"/>
        <v>0</v>
      </c>
      <c r="V463" s="166">
        <f t="shared" si="42"/>
        <v>0</v>
      </c>
    </row>
    <row r="464" spans="1:22" x14ac:dyDescent="0.2">
      <c r="A464" s="153">
        <v>2039</v>
      </c>
      <c r="B464" s="153">
        <v>7</v>
      </c>
      <c r="E464" s="173">
        <v>21.460872719347851</v>
      </c>
      <c r="F464" s="281">
        <f t="shared" si="43"/>
        <v>19.490609933266978</v>
      </c>
      <c r="G464" s="173"/>
      <c r="H464" s="174">
        <v>30.62</v>
      </c>
      <c r="I464" s="301">
        <v>873504.74292740587</v>
      </c>
      <c r="J464" s="190">
        <f>VLOOKUP($A464&amp;$B464,'LE Inputs'!$C$2:$J$505,MATCH('LE UtilityData'!J$1,'LE Inputs'!$C$1:$J$1,0),0)*1000</f>
        <v>1617602.9197345481</v>
      </c>
      <c r="K464" s="190">
        <v>657461.91608893336</v>
      </c>
      <c r="L464" s="164">
        <v>419992.42132213106</v>
      </c>
      <c r="M464" s="299">
        <v>423949.79</v>
      </c>
      <c r="N464" s="161">
        <v>93053.384078189294</v>
      </c>
      <c r="O464" s="190" t="e">
        <f>VLOOKUP($A464&amp;$B464,'LE Inputs'!$C$2:$J$505,MATCH('LE UtilityData'!O$1,'LE Inputs'!$C$1:$J$1,0),0)</f>
        <v>#N/A</v>
      </c>
      <c r="P464" s="190" t="e">
        <f>VLOOKUP($A464&amp;$B464,'LE Inputs'!$C$2:$J$505,MATCH('LE UtilityData'!P$1,'LE Inputs'!$C$1:$J$1,0),0)</f>
        <v>#N/A</v>
      </c>
      <c r="Q464" s="168">
        <f t="shared" si="45"/>
        <v>0.55000000000000004</v>
      </c>
      <c r="R464" s="168">
        <f t="shared" si="45"/>
        <v>396.4</v>
      </c>
      <c r="S464" s="166">
        <v>4124</v>
      </c>
      <c r="T464" s="166">
        <v>1696</v>
      </c>
      <c r="U464" s="166">
        <f t="shared" si="44"/>
        <v>0</v>
      </c>
      <c r="V464" s="166">
        <f t="shared" si="42"/>
        <v>0</v>
      </c>
    </row>
    <row r="465" spans="1:22" x14ac:dyDescent="0.2">
      <c r="A465" s="153">
        <v>2039</v>
      </c>
      <c r="B465" s="153">
        <v>8</v>
      </c>
      <c r="E465" s="173">
        <v>21.460872719347851</v>
      </c>
      <c r="F465" s="281">
        <f t="shared" si="43"/>
        <v>19.490609933266978</v>
      </c>
      <c r="G465" s="173"/>
      <c r="H465" s="174">
        <v>29.52</v>
      </c>
      <c r="I465" s="301">
        <v>873838.74292740587</v>
      </c>
      <c r="J465" s="190">
        <f>VLOOKUP($A465&amp;$B465,'LE Inputs'!$C$2:$J$505,MATCH('LE UtilityData'!J$1,'LE Inputs'!$C$1:$J$1,0),0)*1000</f>
        <v>1617602.9197345481</v>
      </c>
      <c r="K465" s="190">
        <v>657461.91608893336</v>
      </c>
      <c r="L465" s="164">
        <v>420153.01285853353</v>
      </c>
      <c r="M465" s="299">
        <v>423949.79</v>
      </c>
      <c r="N465" s="161">
        <v>93053.384078189294</v>
      </c>
      <c r="O465" s="190" t="e">
        <f>VLOOKUP($A465&amp;$B465,'LE Inputs'!$C$2:$J$505,MATCH('LE UtilityData'!O$1,'LE Inputs'!$C$1:$J$1,0),0)</f>
        <v>#N/A</v>
      </c>
      <c r="P465" s="190" t="e">
        <f>VLOOKUP($A465&amp;$B465,'LE Inputs'!$C$2:$J$505,MATCH('LE UtilityData'!P$1,'LE Inputs'!$C$1:$J$1,0),0)</f>
        <v>#N/A</v>
      </c>
      <c r="Q465" s="168">
        <f t="shared" si="45"/>
        <v>0.1</v>
      </c>
      <c r="R465" s="168">
        <f t="shared" si="45"/>
        <v>417.05</v>
      </c>
      <c r="S465" s="166">
        <v>4124</v>
      </c>
      <c r="T465" s="166">
        <v>1696</v>
      </c>
      <c r="U465" s="166">
        <f t="shared" si="44"/>
        <v>0</v>
      </c>
      <c r="V465" s="166">
        <f t="shared" si="42"/>
        <v>0</v>
      </c>
    </row>
    <row r="466" spans="1:22" x14ac:dyDescent="0.2">
      <c r="A466" s="153">
        <v>2039</v>
      </c>
      <c r="B466" s="153">
        <v>9</v>
      </c>
      <c r="E466" s="173">
        <v>21.460872719347851</v>
      </c>
      <c r="F466" s="281">
        <f t="shared" si="43"/>
        <v>19.490609933266978</v>
      </c>
      <c r="G466" s="173"/>
      <c r="H466" s="174">
        <v>30.71</v>
      </c>
      <c r="I466" s="301">
        <v>874172.74292740587</v>
      </c>
      <c r="J466" s="190">
        <f>VLOOKUP($A466&amp;$B466,'LE Inputs'!$C$2:$J$505,MATCH('LE UtilityData'!J$1,'LE Inputs'!$C$1:$J$1,0),0)*1000</f>
        <v>1617602.9197345481</v>
      </c>
      <c r="K466" s="190">
        <v>657461.91608893336</v>
      </c>
      <c r="L466" s="164">
        <v>420313.60439493606</v>
      </c>
      <c r="M466" s="299">
        <v>423949.79</v>
      </c>
      <c r="N466" s="161">
        <v>93053.384078189294</v>
      </c>
      <c r="O466" s="190" t="e">
        <f>VLOOKUP($A466&amp;$B466,'LE Inputs'!$C$2:$J$505,MATCH('LE UtilityData'!O$1,'LE Inputs'!$C$1:$J$1,0),0)</f>
        <v>#N/A</v>
      </c>
      <c r="P466" s="190" t="e">
        <f>VLOOKUP($A466&amp;$B466,'LE Inputs'!$C$2:$J$505,MATCH('LE UtilityData'!P$1,'LE Inputs'!$C$1:$J$1,0),0)</f>
        <v>#N/A</v>
      </c>
      <c r="Q466" s="168">
        <f t="shared" si="45"/>
        <v>5.35</v>
      </c>
      <c r="R466" s="168">
        <f t="shared" si="45"/>
        <v>330.2</v>
      </c>
      <c r="S466" s="166">
        <v>4124</v>
      </c>
      <c r="T466" s="166">
        <v>1696</v>
      </c>
      <c r="U466" s="166">
        <f t="shared" si="44"/>
        <v>0</v>
      </c>
      <c r="V466" s="166">
        <f t="shared" si="42"/>
        <v>0</v>
      </c>
    </row>
    <row r="467" spans="1:22" x14ac:dyDescent="0.2">
      <c r="A467" s="153">
        <v>2039</v>
      </c>
      <c r="B467" s="153">
        <v>10</v>
      </c>
      <c r="E467" s="173">
        <v>21.460872719347851</v>
      </c>
      <c r="F467" s="281">
        <f t="shared" si="43"/>
        <v>19.490609933266978</v>
      </c>
      <c r="G467" s="173"/>
      <c r="H467" s="174">
        <v>29.52</v>
      </c>
      <c r="I467" s="301">
        <v>874506.74292740587</v>
      </c>
      <c r="J467" s="190">
        <f>VLOOKUP($A467&amp;$B467,'LE Inputs'!$C$2:$J$505,MATCH('LE UtilityData'!J$1,'LE Inputs'!$C$1:$J$1,0),0)*1000</f>
        <v>1620495.1949773054</v>
      </c>
      <c r="K467" s="190">
        <v>658562.91460396233</v>
      </c>
      <c r="L467" s="164">
        <v>420474.19593133859</v>
      </c>
      <c r="M467" s="299">
        <v>424528.55</v>
      </c>
      <c r="N467" s="161">
        <v>93418.214352221505</v>
      </c>
      <c r="O467" s="190" t="e">
        <f>VLOOKUP($A467&amp;$B467,'LE Inputs'!$C$2:$J$505,MATCH('LE UtilityData'!O$1,'LE Inputs'!$C$1:$J$1,0),0)</f>
        <v>#N/A</v>
      </c>
      <c r="P467" s="190" t="e">
        <f>VLOOKUP($A467&amp;$B467,'LE Inputs'!$C$2:$J$505,MATCH('LE UtilityData'!P$1,'LE Inputs'!$C$1:$J$1,0),0)</f>
        <v>#N/A</v>
      </c>
      <c r="Q467" s="168">
        <f t="shared" si="45"/>
        <v>99.3</v>
      </c>
      <c r="R467" s="168">
        <f t="shared" si="45"/>
        <v>100.05</v>
      </c>
      <c r="S467" s="166">
        <v>4124</v>
      </c>
      <c r="T467" s="166">
        <v>1696</v>
      </c>
      <c r="U467" s="166">
        <f t="shared" si="44"/>
        <v>0</v>
      </c>
      <c r="V467" s="166">
        <f t="shared" si="42"/>
        <v>0</v>
      </c>
    </row>
    <row r="468" spans="1:22" x14ac:dyDescent="0.2">
      <c r="A468" s="153">
        <v>2039</v>
      </c>
      <c r="B468" s="153">
        <v>11</v>
      </c>
      <c r="E468" s="173">
        <v>21.460872719347851</v>
      </c>
      <c r="F468" s="281">
        <f t="shared" si="43"/>
        <v>19.490609933266978</v>
      </c>
      <c r="G468" s="173"/>
      <c r="H468" s="174">
        <v>29.38</v>
      </c>
      <c r="I468" s="301">
        <v>874840.74292740587</v>
      </c>
      <c r="J468" s="190">
        <f>VLOOKUP($A468&amp;$B468,'LE Inputs'!$C$2:$J$505,MATCH('LE UtilityData'!J$1,'LE Inputs'!$C$1:$J$1,0),0)*1000</f>
        <v>1620495.1949773054</v>
      </c>
      <c r="K468" s="190">
        <v>658562.91460396233</v>
      </c>
      <c r="L468" s="164">
        <v>420634.78746774112</v>
      </c>
      <c r="M468" s="299">
        <v>424528.55</v>
      </c>
      <c r="N468" s="161">
        <v>93418.214352221505</v>
      </c>
      <c r="O468" s="190" t="e">
        <f>VLOOKUP($A468&amp;$B468,'LE Inputs'!$C$2:$J$505,MATCH('LE UtilityData'!O$1,'LE Inputs'!$C$1:$J$1,0),0)</f>
        <v>#N/A</v>
      </c>
      <c r="P468" s="190" t="e">
        <f>VLOOKUP($A468&amp;$B468,'LE Inputs'!$C$2:$J$505,MATCH('LE UtilityData'!P$1,'LE Inputs'!$C$1:$J$1,0),0)</f>
        <v>#N/A</v>
      </c>
      <c r="Q468" s="168">
        <f t="shared" si="45"/>
        <v>352.6</v>
      </c>
      <c r="R468" s="168">
        <f t="shared" si="45"/>
        <v>12.75</v>
      </c>
      <c r="S468" s="166">
        <v>4124</v>
      </c>
      <c r="T468" s="166">
        <v>1696</v>
      </c>
      <c r="U468" s="166">
        <f t="shared" si="44"/>
        <v>0</v>
      </c>
      <c r="V468" s="166">
        <f t="shared" si="42"/>
        <v>0</v>
      </c>
    </row>
    <row r="469" spans="1:22" x14ac:dyDescent="0.2">
      <c r="A469" s="153">
        <v>2039</v>
      </c>
      <c r="B469" s="153">
        <v>12</v>
      </c>
      <c r="E469" s="173">
        <v>21.460872719347851</v>
      </c>
      <c r="F469" s="281">
        <f t="shared" si="43"/>
        <v>19.490609933266978</v>
      </c>
      <c r="G469" s="173"/>
      <c r="H469" s="174">
        <v>32.81</v>
      </c>
      <c r="I469" s="301">
        <v>875174.74292740587</v>
      </c>
      <c r="J469" s="190">
        <f>VLOOKUP($A469&amp;$B469,'LE Inputs'!$C$2:$J$505,MATCH('LE UtilityData'!J$1,'LE Inputs'!$C$1:$J$1,0),0)*1000</f>
        <v>1620495.1949773054</v>
      </c>
      <c r="K469" s="190">
        <v>658562.91460396233</v>
      </c>
      <c r="L469" s="164">
        <v>420795.37900414364</v>
      </c>
      <c r="M469" s="299">
        <v>424528.55</v>
      </c>
      <c r="N469" s="161">
        <v>93418.214352221505</v>
      </c>
      <c r="O469" s="190" t="e">
        <f>VLOOKUP($A469&amp;$B469,'LE Inputs'!$C$2:$J$505,MATCH('LE UtilityData'!O$1,'LE Inputs'!$C$1:$J$1,0),0)</f>
        <v>#N/A</v>
      </c>
      <c r="P469" s="190" t="e">
        <f>VLOOKUP($A469&amp;$B469,'LE Inputs'!$C$2:$J$505,MATCH('LE UtilityData'!P$1,'LE Inputs'!$C$1:$J$1,0),0)</f>
        <v>#N/A</v>
      </c>
      <c r="Q469" s="168">
        <f t="shared" si="45"/>
        <v>669.9</v>
      </c>
      <c r="R469" s="168">
        <f t="shared" si="45"/>
        <v>1.05</v>
      </c>
      <c r="S469" s="166">
        <v>4124</v>
      </c>
      <c r="T469" s="166">
        <v>1696</v>
      </c>
      <c r="U469" s="166">
        <f t="shared" si="44"/>
        <v>0</v>
      </c>
      <c r="V469" s="166">
        <f t="shared" si="42"/>
        <v>0</v>
      </c>
    </row>
    <row r="470" spans="1:22" x14ac:dyDescent="0.2">
      <c r="A470" s="153">
        <v>2040</v>
      </c>
      <c r="B470" s="153">
        <v>1</v>
      </c>
      <c r="E470" s="173">
        <v>21.997394537331548</v>
      </c>
      <c r="F470" s="281">
        <f t="shared" si="43"/>
        <v>19.880422131932317</v>
      </c>
      <c r="G470" s="173"/>
      <c r="H470" s="173">
        <v>32.43</v>
      </c>
      <c r="I470" s="154">
        <v>875508.74292740587</v>
      </c>
      <c r="J470" s="190">
        <f>VLOOKUP($A470&amp;$B470,'LE Inputs'!$C$2:$J$505,MATCH('LE UtilityData'!J$1,'LE Inputs'!$C$1:$J$1,0),0)*1000</f>
        <v>1623785.3490545466</v>
      </c>
      <c r="K470" s="190">
        <v>660018.80586217705</v>
      </c>
      <c r="L470" s="164">
        <v>420955.97054054611</v>
      </c>
      <c r="M470" s="299">
        <v>425293.91</v>
      </c>
      <c r="N470" s="183">
        <f t="shared" ref="N470:N505" si="46">N458*1.024</f>
        <v>94630.981498344147</v>
      </c>
      <c r="O470" s="190" t="e">
        <f>VLOOKUP($A470&amp;$B470,'LE Inputs'!$C$2:$J$505,MATCH('LE UtilityData'!O$1,'LE Inputs'!$C$1:$J$1,0),0)</f>
        <v>#N/A</v>
      </c>
      <c r="P470" s="190" t="e">
        <f>VLOOKUP($A470&amp;$B470,'LE Inputs'!$C$2:$J$505,MATCH('LE UtilityData'!P$1,'LE Inputs'!$C$1:$J$1,0),0)</f>
        <v>#N/A</v>
      </c>
      <c r="Q470" s="168">
        <f t="shared" si="45"/>
        <v>932.4</v>
      </c>
      <c r="R470" s="168">
        <f t="shared" si="45"/>
        <v>0.35</v>
      </c>
      <c r="S470" s="166">
        <v>4124</v>
      </c>
      <c r="T470" s="166">
        <v>1696</v>
      </c>
      <c r="U470" s="166">
        <f t="shared" si="44"/>
        <v>0</v>
      </c>
      <c r="V470" s="166">
        <f t="shared" si="42"/>
        <v>0</v>
      </c>
    </row>
    <row r="471" spans="1:22" x14ac:dyDescent="0.2">
      <c r="A471" s="153">
        <v>2040</v>
      </c>
      <c r="B471" s="153">
        <v>2</v>
      </c>
      <c r="E471" s="173">
        <v>21.997394537331548</v>
      </c>
      <c r="F471" s="281">
        <f t="shared" si="43"/>
        <v>19.880422131932317</v>
      </c>
      <c r="G471" s="173"/>
      <c r="H471" s="173">
        <v>29.9</v>
      </c>
      <c r="I471" s="154">
        <v>875842.74292740587</v>
      </c>
      <c r="J471" s="190">
        <f>VLOOKUP($A471&amp;$B471,'LE Inputs'!$C$2:$J$505,MATCH('LE UtilityData'!J$1,'LE Inputs'!$C$1:$J$1,0),0)*1000</f>
        <v>1623785.3490545466</v>
      </c>
      <c r="K471" s="190">
        <v>660018.80586217705</v>
      </c>
      <c r="L471" s="164">
        <v>421116.56207694864</v>
      </c>
      <c r="M471" s="299">
        <v>425293.91</v>
      </c>
      <c r="N471" s="183">
        <f t="shared" si="46"/>
        <v>94630.981498344147</v>
      </c>
      <c r="O471" s="190" t="e">
        <f>VLOOKUP($A471&amp;$B471,'LE Inputs'!$C$2:$J$505,MATCH('LE UtilityData'!O$1,'LE Inputs'!$C$1:$J$1,0),0)</f>
        <v>#N/A</v>
      </c>
      <c r="P471" s="190" t="e">
        <f>VLOOKUP($A471&amp;$B471,'LE Inputs'!$C$2:$J$505,MATCH('LE UtilityData'!P$1,'LE Inputs'!$C$1:$J$1,0),0)</f>
        <v>#N/A</v>
      </c>
      <c r="Q471" s="168">
        <f t="shared" si="45"/>
        <v>864.1</v>
      </c>
      <c r="R471" s="168">
        <f t="shared" si="45"/>
        <v>0.05</v>
      </c>
      <c r="S471" s="166">
        <v>4124</v>
      </c>
      <c r="T471" s="166">
        <v>1696</v>
      </c>
      <c r="U471" s="166">
        <f t="shared" si="44"/>
        <v>0</v>
      </c>
      <c r="V471" s="166">
        <f t="shared" si="42"/>
        <v>0</v>
      </c>
    </row>
    <row r="472" spans="1:22" x14ac:dyDescent="0.2">
      <c r="A472" s="153">
        <v>2040</v>
      </c>
      <c r="B472" s="153">
        <v>3</v>
      </c>
      <c r="E472" s="173">
        <v>21.997394537331548</v>
      </c>
      <c r="F472" s="281">
        <f t="shared" si="43"/>
        <v>19.880422131932317</v>
      </c>
      <c r="G472" s="173"/>
      <c r="H472" s="173">
        <v>30.33</v>
      </c>
      <c r="I472" s="154">
        <v>876176.74292740587</v>
      </c>
      <c r="J472" s="190">
        <f>VLOOKUP($A472&amp;$B472,'LE Inputs'!$C$2:$J$505,MATCH('LE UtilityData'!J$1,'LE Inputs'!$C$1:$J$1,0),0)*1000</f>
        <v>1623785.3490545466</v>
      </c>
      <c r="K472" s="190">
        <v>660018.80586217705</v>
      </c>
      <c r="L472" s="164">
        <v>421277.15361335117</v>
      </c>
      <c r="M472" s="299">
        <v>425293.91</v>
      </c>
      <c r="N472" s="183">
        <f t="shared" si="46"/>
        <v>94630.981498344147</v>
      </c>
      <c r="O472" s="190" t="e">
        <f>VLOOKUP($A472&amp;$B472,'LE Inputs'!$C$2:$J$505,MATCH('LE UtilityData'!O$1,'LE Inputs'!$C$1:$J$1,0),0)</f>
        <v>#N/A</v>
      </c>
      <c r="P472" s="190" t="e">
        <f>VLOOKUP($A472&amp;$B472,'LE Inputs'!$C$2:$J$505,MATCH('LE UtilityData'!P$1,'LE Inputs'!$C$1:$J$1,0),0)</f>
        <v>#N/A</v>
      </c>
      <c r="Q472" s="168">
        <f t="shared" si="45"/>
        <v>674.3</v>
      </c>
      <c r="R472" s="168">
        <f t="shared" si="45"/>
        <v>1.1499999999999999</v>
      </c>
      <c r="S472" s="166">
        <v>4124</v>
      </c>
      <c r="T472" s="166">
        <v>1696</v>
      </c>
      <c r="U472" s="166">
        <f t="shared" si="44"/>
        <v>0</v>
      </c>
      <c r="V472" s="166">
        <f t="shared" si="42"/>
        <v>0</v>
      </c>
    </row>
    <row r="473" spans="1:22" x14ac:dyDescent="0.2">
      <c r="A473" s="153">
        <v>2040</v>
      </c>
      <c r="B473" s="153">
        <v>4</v>
      </c>
      <c r="E473" s="173">
        <v>21.997394537331548</v>
      </c>
      <c r="F473" s="281">
        <f t="shared" si="43"/>
        <v>19.880422131932317</v>
      </c>
      <c r="G473" s="173"/>
      <c r="H473" s="173">
        <v>30.29</v>
      </c>
      <c r="I473" s="154">
        <v>876510.74292740587</v>
      </c>
      <c r="J473" s="190">
        <f>VLOOKUP($A473&amp;$B473,'LE Inputs'!$C$2:$J$505,MATCH('LE UtilityData'!J$1,'LE Inputs'!$C$1:$J$1,0),0)*1000</f>
        <v>1626676.4251669936</v>
      </c>
      <c r="K473" s="190">
        <v>661220.4095889763</v>
      </c>
      <c r="L473" s="164">
        <v>421437.7451497537</v>
      </c>
      <c r="M473" s="299">
        <v>425925.24</v>
      </c>
      <c r="N473" s="183">
        <f t="shared" si="46"/>
        <v>94701.360689142166</v>
      </c>
      <c r="O473" s="190" t="e">
        <f>VLOOKUP($A473&amp;$B473,'LE Inputs'!$C$2:$J$505,MATCH('LE UtilityData'!O$1,'LE Inputs'!$C$1:$J$1,0),0)</f>
        <v>#N/A</v>
      </c>
      <c r="P473" s="190" t="e">
        <f>VLOOKUP($A473&amp;$B473,'LE Inputs'!$C$2:$J$505,MATCH('LE UtilityData'!P$1,'LE Inputs'!$C$1:$J$1,0),0)</f>
        <v>#N/A</v>
      </c>
      <c r="Q473" s="168">
        <f t="shared" si="45"/>
        <v>377.1</v>
      </c>
      <c r="R473" s="168">
        <f t="shared" si="45"/>
        <v>20.25</v>
      </c>
      <c r="S473" s="166">
        <v>4124</v>
      </c>
      <c r="T473" s="166">
        <v>1696</v>
      </c>
      <c r="U473" s="166">
        <f t="shared" si="44"/>
        <v>0</v>
      </c>
      <c r="V473" s="166">
        <f t="shared" si="42"/>
        <v>0</v>
      </c>
    </row>
    <row r="474" spans="1:22" x14ac:dyDescent="0.2">
      <c r="A474" s="153">
        <v>2040</v>
      </c>
      <c r="B474" s="153">
        <v>5</v>
      </c>
      <c r="E474" s="173">
        <v>21.997394537331548</v>
      </c>
      <c r="F474" s="281">
        <f t="shared" si="43"/>
        <v>19.880422131932317</v>
      </c>
      <c r="G474" s="173"/>
      <c r="H474" s="173">
        <v>30.05</v>
      </c>
      <c r="I474" s="154">
        <v>876844.74292740587</v>
      </c>
      <c r="J474" s="190">
        <f>VLOOKUP($A474&amp;$B474,'LE Inputs'!$C$2:$J$505,MATCH('LE UtilityData'!J$1,'LE Inputs'!$C$1:$J$1,0),0)*1000</f>
        <v>1626676.4251669936</v>
      </c>
      <c r="K474" s="190">
        <v>661220.4095889763</v>
      </c>
      <c r="L474" s="164">
        <v>421598.33668615622</v>
      </c>
      <c r="M474" s="299">
        <v>425925.24</v>
      </c>
      <c r="N474" s="183">
        <f t="shared" si="46"/>
        <v>94701.360689142166</v>
      </c>
      <c r="O474" s="190" t="e">
        <f>VLOOKUP($A474&amp;$B474,'LE Inputs'!$C$2:$J$505,MATCH('LE UtilityData'!O$1,'LE Inputs'!$C$1:$J$1,0),0)</f>
        <v>#N/A</v>
      </c>
      <c r="P474" s="190" t="e">
        <f>VLOOKUP($A474&amp;$B474,'LE Inputs'!$C$2:$J$505,MATCH('LE UtilityData'!P$1,'LE Inputs'!$C$1:$J$1,0),0)</f>
        <v>#N/A</v>
      </c>
      <c r="Q474" s="168">
        <f t="shared" si="45"/>
        <v>141</v>
      </c>
      <c r="R474" s="168">
        <f t="shared" si="45"/>
        <v>69.349999999999994</v>
      </c>
      <c r="S474" s="166">
        <v>4124</v>
      </c>
      <c r="T474" s="166">
        <v>1696</v>
      </c>
      <c r="U474" s="166">
        <f t="shared" si="44"/>
        <v>0</v>
      </c>
      <c r="V474" s="166">
        <f t="shared" si="42"/>
        <v>0</v>
      </c>
    </row>
    <row r="475" spans="1:22" x14ac:dyDescent="0.2">
      <c r="A475" s="153">
        <v>2040</v>
      </c>
      <c r="B475" s="153">
        <v>6</v>
      </c>
      <c r="E475" s="173">
        <v>21.997394537331548</v>
      </c>
      <c r="F475" s="281">
        <f t="shared" si="43"/>
        <v>19.880422131932317</v>
      </c>
      <c r="G475" s="173"/>
      <c r="H475" s="173">
        <v>30.67</v>
      </c>
      <c r="I475" s="154">
        <v>877178.59663744271</v>
      </c>
      <c r="J475" s="190">
        <f>VLOOKUP($A475&amp;$B475,'LE Inputs'!$C$2:$J$505,MATCH('LE UtilityData'!J$1,'LE Inputs'!$C$1:$J$1,0),0)*1000</f>
        <v>1626676.4251669936</v>
      </c>
      <c r="K475" s="190">
        <v>661220.4095889763</v>
      </c>
      <c r="L475" s="164">
        <v>421758.85788444517</v>
      </c>
      <c r="M475" s="299">
        <v>425925.24</v>
      </c>
      <c r="N475" s="183">
        <f t="shared" si="46"/>
        <v>94701.360689142166</v>
      </c>
      <c r="O475" s="190" t="e">
        <f>VLOOKUP($A475&amp;$B475,'LE Inputs'!$C$2:$J$505,MATCH('LE UtilityData'!O$1,'LE Inputs'!$C$1:$J$1,0),0)</f>
        <v>#N/A</v>
      </c>
      <c r="P475" s="190" t="e">
        <f>VLOOKUP($A475&amp;$B475,'LE Inputs'!$C$2:$J$505,MATCH('LE UtilityData'!P$1,'LE Inputs'!$C$1:$J$1,0),0)</f>
        <v>#N/A</v>
      </c>
      <c r="Q475" s="168">
        <f t="shared" si="45"/>
        <v>29.5</v>
      </c>
      <c r="R475" s="168">
        <f t="shared" si="45"/>
        <v>224.8</v>
      </c>
      <c r="S475" s="166">
        <v>4124</v>
      </c>
      <c r="T475" s="166">
        <v>1696</v>
      </c>
      <c r="U475" s="166">
        <f t="shared" si="44"/>
        <v>0</v>
      </c>
      <c r="V475" s="166">
        <f t="shared" si="42"/>
        <v>0</v>
      </c>
    </row>
    <row r="476" spans="1:22" x14ac:dyDescent="0.2">
      <c r="A476" s="153">
        <v>2040</v>
      </c>
      <c r="B476" s="153">
        <v>7</v>
      </c>
      <c r="E476" s="173">
        <v>21.997394537331548</v>
      </c>
      <c r="F476" s="281">
        <f t="shared" si="43"/>
        <v>19.880422131932317</v>
      </c>
      <c r="G476" s="173"/>
      <c r="H476" s="173">
        <v>30.62</v>
      </c>
      <c r="I476" s="154">
        <v>877514.59663744271</v>
      </c>
      <c r="J476" s="190">
        <f>VLOOKUP($A476&amp;$B476,'LE Inputs'!$C$2:$J$505,MATCH('LE UtilityData'!J$1,'LE Inputs'!$C$1:$J$1,0),0)*1000</f>
        <v>1628366.0504644737</v>
      </c>
      <c r="K476" s="190">
        <v>662004.50475364178</v>
      </c>
      <c r="L476" s="164">
        <v>421920.41104681417</v>
      </c>
      <c r="M476" s="299">
        <v>426337.88</v>
      </c>
      <c r="N476" s="183">
        <f t="shared" si="46"/>
        <v>95286.665296065839</v>
      </c>
      <c r="O476" s="190" t="e">
        <f>VLOOKUP($A476&amp;$B476,'LE Inputs'!$C$2:$J$505,MATCH('LE UtilityData'!O$1,'LE Inputs'!$C$1:$J$1,0),0)</f>
        <v>#N/A</v>
      </c>
      <c r="P476" s="190" t="e">
        <f>VLOOKUP($A476&amp;$B476,'LE Inputs'!$C$2:$J$505,MATCH('LE UtilityData'!P$1,'LE Inputs'!$C$1:$J$1,0),0)</f>
        <v>#N/A</v>
      </c>
      <c r="Q476" s="168">
        <f t="shared" si="45"/>
        <v>0.55000000000000004</v>
      </c>
      <c r="R476" s="168">
        <f t="shared" si="45"/>
        <v>396.4</v>
      </c>
      <c r="S476" s="166">
        <v>4124</v>
      </c>
      <c r="T476" s="166">
        <v>1696</v>
      </c>
      <c r="U476" s="166">
        <f t="shared" si="44"/>
        <v>0</v>
      </c>
      <c r="V476" s="166">
        <f t="shared" si="42"/>
        <v>0</v>
      </c>
    </row>
    <row r="477" spans="1:22" x14ac:dyDescent="0.2">
      <c r="A477" s="153">
        <v>2040</v>
      </c>
      <c r="B477" s="153">
        <v>8</v>
      </c>
      <c r="E477" s="173">
        <v>21.997394537331548</v>
      </c>
      <c r="F477" s="281">
        <f t="shared" si="43"/>
        <v>19.880422131932317</v>
      </c>
      <c r="G477" s="173"/>
      <c r="H477" s="173">
        <v>29.52</v>
      </c>
      <c r="I477" s="154">
        <v>877850.59663744271</v>
      </c>
      <c r="J477" s="190">
        <f>VLOOKUP($A477&amp;$B477,'LE Inputs'!$C$2:$J$505,MATCH('LE UtilityData'!J$1,'LE Inputs'!$C$1:$J$1,0),0)*1000</f>
        <v>1628366.0504644737</v>
      </c>
      <c r="K477" s="190">
        <v>662004.50475364178</v>
      </c>
      <c r="L477" s="164">
        <v>422081.96420918318</v>
      </c>
      <c r="M477" s="299">
        <v>426337.88</v>
      </c>
      <c r="N477" s="183">
        <f t="shared" si="46"/>
        <v>95286.665296065839</v>
      </c>
      <c r="O477" s="190" t="e">
        <f>VLOOKUP($A477&amp;$B477,'LE Inputs'!$C$2:$J$505,MATCH('LE UtilityData'!O$1,'LE Inputs'!$C$1:$J$1,0),0)</f>
        <v>#N/A</v>
      </c>
      <c r="P477" s="190" t="e">
        <f>VLOOKUP($A477&amp;$B477,'LE Inputs'!$C$2:$J$505,MATCH('LE UtilityData'!P$1,'LE Inputs'!$C$1:$J$1,0),0)</f>
        <v>#N/A</v>
      </c>
      <c r="Q477" s="168">
        <f t="shared" si="45"/>
        <v>0.1</v>
      </c>
      <c r="R477" s="168">
        <f t="shared" si="45"/>
        <v>417.05</v>
      </c>
      <c r="S477" s="166">
        <v>4124</v>
      </c>
      <c r="T477" s="166">
        <v>1696</v>
      </c>
      <c r="U477" s="166">
        <f t="shared" si="44"/>
        <v>0</v>
      </c>
      <c r="V477" s="166">
        <f t="shared" si="42"/>
        <v>0</v>
      </c>
    </row>
    <row r="478" spans="1:22" x14ac:dyDescent="0.2">
      <c r="A478" s="153">
        <v>2040</v>
      </c>
      <c r="B478" s="153">
        <v>9</v>
      </c>
      <c r="E478" s="173">
        <v>21.997394537331548</v>
      </c>
      <c r="F478" s="281">
        <f t="shared" si="43"/>
        <v>19.880422131932317</v>
      </c>
      <c r="G478" s="173"/>
      <c r="H478" s="173">
        <v>30.71</v>
      </c>
      <c r="I478" s="154">
        <v>878186.59663744271</v>
      </c>
      <c r="J478" s="190">
        <f>VLOOKUP($A478&amp;$B478,'LE Inputs'!$C$2:$J$505,MATCH('LE UtilityData'!J$1,'LE Inputs'!$C$1:$J$1,0),0)*1000</f>
        <v>1628366.0504644737</v>
      </c>
      <c r="K478" s="190">
        <v>662004.50475364178</v>
      </c>
      <c r="L478" s="164">
        <v>422243.51737155212</v>
      </c>
      <c r="M478" s="299">
        <v>426337.88</v>
      </c>
      <c r="N478" s="183">
        <f t="shared" si="46"/>
        <v>95286.665296065839</v>
      </c>
      <c r="O478" s="190" t="e">
        <f>VLOOKUP($A478&amp;$B478,'LE Inputs'!$C$2:$J$505,MATCH('LE UtilityData'!O$1,'LE Inputs'!$C$1:$J$1,0),0)</f>
        <v>#N/A</v>
      </c>
      <c r="P478" s="190" t="e">
        <f>VLOOKUP($A478&amp;$B478,'LE Inputs'!$C$2:$J$505,MATCH('LE UtilityData'!P$1,'LE Inputs'!$C$1:$J$1,0),0)</f>
        <v>#N/A</v>
      </c>
      <c r="Q478" s="168">
        <f t="shared" ref="Q478:R493" si="47">Q466</f>
        <v>5.35</v>
      </c>
      <c r="R478" s="168">
        <f t="shared" si="47"/>
        <v>330.2</v>
      </c>
      <c r="S478" s="166">
        <v>4124</v>
      </c>
      <c r="T478" s="166">
        <v>1696</v>
      </c>
      <c r="U478" s="166">
        <f t="shared" si="44"/>
        <v>0</v>
      </c>
      <c r="V478" s="166">
        <f t="shared" si="42"/>
        <v>0</v>
      </c>
    </row>
    <row r="479" spans="1:22" x14ac:dyDescent="0.2">
      <c r="A479" s="153">
        <v>2040</v>
      </c>
      <c r="B479" s="153">
        <v>10</v>
      </c>
      <c r="E479" s="173">
        <v>21.997394537331548</v>
      </c>
      <c r="F479" s="281">
        <f t="shared" si="43"/>
        <v>19.880422131932317</v>
      </c>
      <c r="G479" s="173"/>
      <c r="H479" s="173">
        <v>29.52</v>
      </c>
      <c r="I479" s="154">
        <v>878522.59663744271</v>
      </c>
      <c r="J479" s="190">
        <f>VLOOKUP($A479&amp;$B479,'LE Inputs'!$C$2:$J$505,MATCH('LE UtilityData'!J$1,'LE Inputs'!$C$1:$J$1,0),0)*1000</f>
        <v>1631259.3703972592</v>
      </c>
      <c r="K479" s="190">
        <v>663007.75377696857</v>
      </c>
      <c r="L479" s="164">
        <v>422405.07053392113</v>
      </c>
      <c r="M479" s="299">
        <v>426865.13</v>
      </c>
      <c r="N479" s="183">
        <f t="shared" si="46"/>
        <v>95660.251496674828</v>
      </c>
      <c r="O479" s="190" t="e">
        <f>VLOOKUP($A479&amp;$B479,'LE Inputs'!$C$2:$J$505,MATCH('LE UtilityData'!O$1,'LE Inputs'!$C$1:$J$1,0),0)</f>
        <v>#N/A</v>
      </c>
      <c r="P479" s="190" t="e">
        <f>VLOOKUP($A479&amp;$B479,'LE Inputs'!$C$2:$J$505,MATCH('LE UtilityData'!P$1,'LE Inputs'!$C$1:$J$1,0),0)</f>
        <v>#N/A</v>
      </c>
      <c r="Q479" s="168">
        <f t="shared" si="47"/>
        <v>99.3</v>
      </c>
      <c r="R479" s="168">
        <f t="shared" si="47"/>
        <v>100.05</v>
      </c>
      <c r="S479" s="166">
        <v>4124</v>
      </c>
      <c r="T479" s="166">
        <v>1696</v>
      </c>
      <c r="U479" s="166">
        <f t="shared" si="44"/>
        <v>0</v>
      </c>
      <c r="V479" s="166">
        <f t="shared" si="42"/>
        <v>0</v>
      </c>
    </row>
    <row r="480" spans="1:22" x14ac:dyDescent="0.2">
      <c r="A480" s="153">
        <v>2040</v>
      </c>
      <c r="B480" s="153">
        <v>11</v>
      </c>
      <c r="E480" s="173">
        <v>21.997394537331548</v>
      </c>
      <c r="F480" s="281">
        <f t="shared" si="43"/>
        <v>19.880422131932317</v>
      </c>
      <c r="G480" s="173"/>
      <c r="H480" s="173">
        <v>29.38</v>
      </c>
      <c r="I480" s="154">
        <v>878858.59663744271</v>
      </c>
      <c r="J480" s="190">
        <f>VLOOKUP($A480&amp;$B480,'LE Inputs'!$C$2:$J$505,MATCH('LE UtilityData'!J$1,'LE Inputs'!$C$1:$J$1,0),0)*1000</f>
        <v>1631259.3703972592</v>
      </c>
      <c r="K480" s="190">
        <v>663007.75377696857</v>
      </c>
      <c r="L480" s="164">
        <v>422566.62369629013</v>
      </c>
      <c r="M480" s="299">
        <v>426865.13</v>
      </c>
      <c r="N480" s="183">
        <f t="shared" si="46"/>
        <v>95660.251496674828</v>
      </c>
      <c r="O480" s="190" t="e">
        <f>VLOOKUP($A480&amp;$B480,'LE Inputs'!$C$2:$J$505,MATCH('LE UtilityData'!O$1,'LE Inputs'!$C$1:$J$1,0),0)</f>
        <v>#N/A</v>
      </c>
      <c r="P480" s="190" t="e">
        <f>VLOOKUP($A480&amp;$B480,'LE Inputs'!$C$2:$J$505,MATCH('LE UtilityData'!P$1,'LE Inputs'!$C$1:$J$1,0),0)</f>
        <v>#N/A</v>
      </c>
      <c r="Q480" s="168">
        <f t="shared" si="47"/>
        <v>352.6</v>
      </c>
      <c r="R480" s="168">
        <f t="shared" si="47"/>
        <v>12.75</v>
      </c>
      <c r="S480" s="166">
        <v>4124</v>
      </c>
      <c r="T480" s="166">
        <v>1696</v>
      </c>
      <c r="U480" s="166">
        <f t="shared" si="44"/>
        <v>0</v>
      </c>
      <c r="V480" s="166">
        <f t="shared" si="42"/>
        <v>0</v>
      </c>
    </row>
    <row r="481" spans="1:22" x14ac:dyDescent="0.2">
      <c r="A481" s="153">
        <v>2040</v>
      </c>
      <c r="B481" s="153">
        <v>12</v>
      </c>
      <c r="E481" s="173">
        <v>21.997394537331548</v>
      </c>
      <c r="F481" s="281">
        <f t="shared" si="43"/>
        <v>19.880422131932317</v>
      </c>
      <c r="G481" s="173"/>
      <c r="H481" s="173">
        <v>32.81</v>
      </c>
      <c r="I481" s="154">
        <v>879194.59663744271</v>
      </c>
      <c r="J481" s="190">
        <f>VLOOKUP($A481&amp;$B481,'LE Inputs'!$C$2:$J$505,MATCH('LE UtilityData'!J$1,'LE Inputs'!$C$1:$J$1,0),0)*1000</f>
        <v>1631259.3703972592</v>
      </c>
      <c r="K481" s="190">
        <v>663007.75377696857</v>
      </c>
      <c r="L481" s="164">
        <v>422728.17685865914</v>
      </c>
      <c r="M481" s="299">
        <v>426865.13</v>
      </c>
      <c r="N481" s="183">
        <f t="shared" si="46"/>
        <v>95660.251496674828</v>
      </c>
      <c r="O481" s="190" t="e">
        <f>VLOOKUP($A481&amp;$B481,'LE Inputs'!$C$2:$J$505,MATCH('LE UtilityData'!O$1,'LE Inputs'!$C$1:$J$1,0),0)</f>
        <v>#N/A</v>
      </c>
      <c r="P481" s="190" t="e">
        <f>VLOOKUP($A481&amp;$B481,'LE Inputs'!$C$2:$J$505,MATCH('LE UtilityData'!P$1,'LE Inputs'!$C$1:$J$1,0),0)</f>
        <v>#N/A</v>
      </c>
      <c r="Q481" s="168">
        <f t="shared" si="47"/>
        <v>669.9</v>
      </c>
      <c r="R481" s="168">
        <f t="shared" si="47"/>
        <v>1.05</v>
      </c>
      <c r="S481" s="166">
        <v>4124</v>
      </c>
      <c r="T481" s="166">
        <v>1696</v>
      </c>
      <c r="U481" s="166">
        <f t="shared" si="44"/>
        <v>0</v>
      </c>
      <c r="V481" s="166">
        <f t="shared" si="42"/>
        <v>0</v>
      </c>
    </row>
    <row r="482" spans="1:22" x14ac:dyDescent="0.2">
      <c r="A482" s="153">
        <v>2041</v>
      </c>
      <c r="B482" s="153">
        <v>1</v>
      </c>
      <c r="E482" s="173">
        <v>22.547329400764834</v>
      </c>
      <c r="F482" s="281">
        <f t="shared" si="43"/>
        <v>20.278030574570963</v>
      </c>
      <c r="G482" s="173"/>
      <c r="H482" s="173">
        <f t="shared" ref="H482:H505" si="48">H470</f>
        <v>32.43</v>
      </c>
      <c r="I482" s="154">
        <v>879530.59663744271</v>
      </c>
      <c r="J482" s="190">
        <f>VLOOKUP($A482&amp;$B482,'LE Inputs'!$C$2:$J$505,MATCH('LE UtilityData'!J$1,'LE Inputs'!$C$1:$J$1,0),0)*1000</f>
        <v>1634955.0126437005</v>
      </c>
      <c r="K482" s="190">
        <v>664906.80433900061</v>
      </c>
      <c r="L482" s="164">
        <v>422889.73002102808</v>
      </c>
      <c r="M482" s="299">
        <v>427863.36</v>
      </c>
      <c r="N482" s="183">
        <f t="shared" si="46"/>
        <v>96902.125054304415</v>
      </c>
      <c r="O482" s="190" t="e">
        <f>VLOOKUP($A482&amp;$B482,'LE Inputs'!$C$2:$J$505,MATCH('LE UtilityData'!O$1,'LE Inputs'!$C$1:$J$1,0),0)</f>
        <v>#N/A</v>
      </c>
      <c r="P482" s="190" t="e">
        <f>VLOOKUP($A482&amp;$B482,'LE Inputs'!$C$2:$J$505,MATCH('LE UtilityData'!P$1,'LE Inputs'!$C$1:$J$1,0),0)</f>
        <v>#N/A</v>
      </c>
      <c r="Q482" s="168">
        <f t="shared" si="47"/>
        <v>932.4</v>
      </c>
      <c r="R482" s="168">
        <f t="shared" si="47"/>
        <v>0.35</v>
      </c>
      <c r="S482" s="166">
        <v>4124</v>
      </c>
      <c r="T482" s="166">
        <v>1696</v>
      </c>
      <c r="U482" s="166">
        <f t="shared" si="44"/>
        <v>0</v>
      </c>
      <c r="V482" s="166">
        <f t="shared" si="42"/>
        <v>0</v>
      </c>
    </row>
    <row r="483" spans="1:22" x14ac:dyDescent="0.2">
      <c r="A483" s="153">
        <v>2041</v>
      </c>
      <c r="B483" s="153">
        <v>2</v>
      </c>
      <c r="E483" s="173">
        <v>22.547329400764834</v>
      </c>
      <c r="F483" s="281">
        <f t="shared" si="43"/>
        <v>20.278030574570963</v>
      </c>
      <c r="G483" s="173"/>
      <c r="H483" s="173">
        <f t="shared" si="48"/>
        <v>29.9</v>
      </c>
      <c r="I483" s="154">
        <v>879866.59663744271</v>
      </c>
      <c r="J483" s="190">
        <f>VLOOKUP($A483&amp;$B483,'LE Inputs'!$C$2:$J$505,MATCH('LE UtilityData'!J$1,'LE Inputs'!$C$1:$J$1,0),0)*1000</f>
        <v>1634955.0126437005</v>
      </c>
      <c r="K483" s="190">
        <v>664906.80433900061</v>
      </c>
      <c r="L483" s="164">
        <v>423051.28318339703</v>
      </c>
      <c r="M483" s="299">
        <v>427863.36</v>
      </c>
      <c r="N483" s="183">
        <f t="shared" si="46"/>
        <v>96902.125054304415</v>
      </c>
      <c r="O483" s="190" t="e">
        <f>VLOOKUP($A483&amp;$B483,'LE Inputs'!$C$2:$J$505,MATCH('LE UtilityData'!O$1,'LE Inputs'!$C$1:$J$1,0),0)</f>
        <v>#N/A</v>
      </c>
      <c r="P483" s="190" t="e">
        <f>VLOOKUP($A483&amp;$B483,'LE Inputs'!$C$2:$J$505,MATCH('LE UtilityData'!P$1,'LE Inputs'!$C$1:$J$1,0),0)</f>
        <v>#N/A</v>
      </c>
      <c r="Q483" s="168">
        <f t="shared" si="47"/>
        <v>864.1</v>
      </c>
      <c r="R483" s="168">
        <f t="shared" si="47"/>
        <v>0.05</v>
      </c>
      <c r="S483" s="166">
        <v>4124</v>
      </c>
      <c r="T483" s="166">
        <v>1696</v>
      </c>
      <c r="U483" s="166">
        <f t="shared" si="44"/>
        <v>0</v>
      </c>
      <c r="V483" s="166">
        <f t="shared" si="42"/>
        <v>0</v>
      </c>
    </row>
    <row r="484" spans="1:22" x14ac:dyDescent="0.2">
      <c r="A484" s="153">
        <v>2041</v>
      </c>
      <c r="B484" s="153">
        <v>3</v>
      </c>
      <c r="E484" s="173">
        <v>22.547329400764834</v>
      </c>
      <c r="F484" s="281">
        <f t="shared" si="43"/>
        <v>20.278030574570963</v>
      </c>
      <c r="G484" s="173"/>
      <c r="H484" s="173">
        <f t="shared" si="48"/>
        <v>30.33</v>
      </c>
      <c r="I484" s="154">
        <v>880202.59663744271</v>
      </c>
      <c r="J484" s="190">
        <f>VLOOKUP($A484&amp;$B484,'LE Inputs'!$C$2:$J$505,MATCH('LE UtilityData'!J$1,'LE Inputs'!$C$1:$J$1,0),0)*1000</f>
        <v>1634955.0126437005</v>
      </c>
      <c r="K484" s="190">
        <v>664906.80433900061</v>
      </c>
      <c r="L484" s="164">
        <v>423212.83634576603</v>
      </c>
      <c r="M484" s="299">
        <v>427863.36</v>
      </c>
      <c r="N484" s="183">
        <f t="shared" si="46"/>
        <v>96902.125054304415</v>
      </c>
      <c r="O484" s="190" t="e">
        <f>VLOOKUP($A484&amp;$B484,'LE Inputs'!$C$2:$J$505,MATCH('LE UtilityData'!O$1,'LE Inputs'!$C$1:$J$1,0),0)</f>
        <v>#N/A</v>
      </c>
      <c r="P484" s="190" t="e">
        <f>VLOOKUP($A484&amp;$B484,'LE Inputs'!$C$2:$J$505,MATCH('LE UtilityData'!P$1,'LE Inputs'!$C$1:$J$1,0),0)</f>
        <v>#N/A</v>
      </c>
      <c r="Q484" s="168">
        <f t="shared" si="47"/>
        <v>674.3</v>
      </c>
      <c r="R484" s="168">
        <f t="shared" si="47"/>
        <v>1.1499999999999999</v>
      </c>
      <c r="S484" s="166">
        <v>4124</v>
      </c>
      <c r="T484" s="166">
        <v>1696</v>
      </c>
      <c r="U484" s="166">
        <f t="shared" si="44"/>
        <v>0</v>
      </c>
      <c r="V484" s="166">
        <f t="shared" si="42"/>
        <v>0</v>
      </c>
    </row>
    <row r="485" spans="1:22" x14ac:dyDescent="0.2">
      <c r="A485" s="153">
        <v>2041</v>
      </c>
      <c r="B485" s="153">
        <v>4</v>
      </c>
      <c r="E485" s="173">
        <v>22.547329400764834</v>
      </c>
      <c r="F485" s="281">
        <f t="shared" si="43"/>
        <v>20.278030574570963</v>
      </c>
      <c r="G485" s="173"/>
      <c r="H485" s="173">
        <f t="shared" si="48"/>
        <v>30.29</v>
      </c>
      <c r="I485" s="154">
        <v>880538.59663744271</v>
      </c>
      <c r="J485" s="190">
        <f>VLOOKUP($A485&amp;$B485,'LE Inputs'!$C$2:$J$505,MATCH('LE UtilityData'!J$1,'LE Inputs'!$C$1:$J$1,0),0)*1000</f>
        <v>1637850.0459704618</v>
      </c>
      <c r="K485" s="190">
        <v>666197.00955765625</v>
      </c>
      <c r="L485" s="164">
        <v>423374.38950813498</v>
      </c>
      <c r="M485" s="299">
        <v>428541.47</v>
      </c>
      <c r="N485" s="183">
        <f t="shared" si="46"/>
        <v>96974.193345681575</v>
      </c>
      <c r="O485" s="190" t="e">
        <f>VLOOKUP($A485&amp;$B485,'LE Inputs'!$C$2:$J$505,MATCH('LE UtilityData'!O$1,'LE Inputs'!$C$1:$J$1,0),0)</f>
        <v>#N/A</v>
      </c>
      <c r="P485" s="190" t="e">
        <f>VLOOKUP($A485&amp;$B485,'LE Inputs'!$C$2:$J$505,MATCH('LE UtilityData'!P$1,'LE Inputs'!$C$1:$J$1,0),0)</f>
        <v>#N/A</v>
      </c>
      <c r="Q485" s="168">
        <f t="shared" si="47"/>
        <v>377.1</v>
      </c>
      <c r="R485" s="168">
        <f t="shared" si="47"/>
        <v>20.25</v>
      </c>
      <c r="S485" s="166">
        <v>4124</v>
      </c>
      <c r="T485" s="166">
        <v>1696</v>
      </c>
      <c r="U485" s="166">
        <f t="shared" si="44"/>
        <v>0</v>
      </c>
      <c r="V485" s="166">
        <f t="shared" si="42"/>
        <v>0</v>
      </c>
    </row>
    <row r="486" spans="1:22" x14ac:dyDescent="0.2">
      <c r="A486" s="153">
        <v>2041</v>
      </c>
      <c r="B486" s="153">
        <v>5</v>
      </c>
      <c r="E486" s="173">
        <v>22.547329400764834</v>
      </c>
      <c r="F486" s="281">
        <f t="shared" si="43"/>
        <v>20.278030574570963</v>
      </c>
      <c r="G486" s="173"/>
      <c r="H486" s="173">
        <f t="shared" si="48"/>
        <v>30.05</v>
      </c>
      <c r="I486" s="154">
        <v>880874.59663744271</v>
      </c>
      <c r="J486" s="190">
        <f>VLOOKUP($A486&amp;$B486,'LE Inputs'!$C$2:$J$505,MATCH('LE UtilityData'!J$1,'LE Inputs'!$C$1:$J$1,0),0)*1000</f>
        <v>1637850.0459704618</v>
      </c>
      <c r="K486" s="190">
        <v>666197.00955765625</v>
      </c>
      <c r="L486" s="164">
        <v>423535.94267050392</v>
      </c>
      <c r="M486" s="299">
        <v>428541.47</v>
      </c>
      <c r="N486" s="183">
        <f t="shared" si="46"/>
        <v>96974.193345681575</v>
      </c>
      <c r="O486" s="190" t="e">
        <f>VLOOKUP($A486&amp;$B486,'LE Inputs'!$C$2:$J$505,MATCH('LE UtilityData'!O$1,'LE Inputs'!$C$1:$J$1,0),0)</f>
        <v>#N/A</v>
      </c>
      <c r="P486" s="190" t="e">
        <f>VLOOKUP($A486&amp;$B486,'LE Inputs'!$C$2:$J$505,MATCH('LE UtilityData'!P$1,'LE Inputs'!$C$1:$J$1,0),0)</f>
        <v>#N/A</v>
      </c>
      <c r="Q486" s="168">
        <f t="shared" si="47"/>
        <v>141</v>
      </c>
      <c r="R486" s="168">
        <f t="shared" si="47"/>
        <v>69.349999999999994</v>
      </c>
      <c r="S486" s="166">
        <v>4124</v>
      </c>
      <c r="T486" s="166">
        <v>1696</v>
      </c>
      <c r="U486" s="166">
        <f t="shared" si="44"/>
        <v>0</v>
      </c>
      <c r="V486" s="166">
        <f t="shared" si="42"/>
        <v>0</v>
      </c>
    </row>
    <row r="487" spans="1:22" x14ac:dyDescent="0.2">
      <c r="A487" s="153">
        <v>2041</v>
      </c>
      <c r="B487" s="153">
        <v>6</v>
      </c>
      <c r="E487" s="173">
        <v>22.547329400764834</v>
      </c>
      <c r="F487" s="281">
        <f t="shared" si="43"/>
        <v>20.278030574570963</v>
      </c>
      <c r="G487" s="173"/>
      <c r="H487" s="173">
        <f t="shared" si="48"/>
        <v>30.67</v>
      </c>
      <c r="I487" s="154">
        <v>881205</v>
      </c>
      <c r="J487" s="190">
        <f>VLOOKUP($A487&amp;$B487,'LE Inputs'!$C$2:$J$505,MATCH('LE UtilityData'!J$1,'LE Inputs'!$C$1:$J$1,0),0)*1000</f>
        <v>1637850.0459704618</v>
      </c>
      <c r="K487" s="190">
        <v>666197.00955765625</v>
      </c>
      <c r="L487" s="164">
        <v>423694.80489692802</v>
      </c>
      <c r="M487" s="299">
        <v>428541.47</v>
      </c>
      <c r="N487" s="183">
        <f t="shared" si="46"/>
        <v>96974.193345681575</v>
      </c>
      <c r="O487" s="190" t="e">
        <f>VLOOKUP($A487&amp;$B487,'LE Inputs'!$C$2:$J$505,MATCH('LE UtilityData'!O$1,'LE Inputs'!$C$1:$J$1,0),0)</f>
        <v>#N/A</v>
      </c>
      <c r="P487" s="190" t="e">
        <f>VLOOKUP($A487&amp;$B487,'LE Inputs'!$C$2:$J$505,MATCH('LE UtilityData'!P$1,'LE Inputs'!$C$1:$J$1,0),0)</f>
        <v>#N/A</v>
      </c>
      <c r="Q487" s="168">
        <f t="shared" si="47"/>
        <v>29.5</v>
      </c>
      <c r="R487" s="168">
        <f t="shared" si="47"/>
        <v>224.8</v>
      </c>
      <c r="S487" s="166">
        <v>4124</v>
      </c>
      <c r="T487" s="166">
        <v>1696</v>
      </c>
      <c r="U487" s="166">
        <f t="shared" si="44"/>
        <v>0</v>
      </c>
      <c r="V487" s="166">
        <f t="shared" si="42"/>
        <v>0</v>
      </c>
    </row>
    <row r="488" spans="1:22" x14ac:dyDescent="0.2">
      <c r="A488" s="153">
        <v>2041</v>
      </c>
      <c r="B488" s="153">
        <v>7</v>
      </c>
      <c r="E488" s="173">
        <v>22.547329400764834</v>
      </c>
      <c r="F488" s="281">
        <f t="shared" si="43"/>
        <v>20.278030574570963</v>
      </c>
      <c r="G488" s="173"/>
      <c r="H488" s="173">
        <f t="shared" si="48"/>
        <v>30.62</v>
      </c>
      <c r="I488" s="154">
        <v>881535</v>
      </c>
      <c r="J488" s="190">
        <f>VLOOKUP($A488&amp;$B488,'LE Inputs'!$C$2:$J$505,MATCH('LE UtilityData'!J$1,'LE Inputs'!$C$1:$J$1,0),0)*1000</f>
        <v>1639135.334025197</v>
      </c>
      <c r="K488" s="190">
        <v>666951.55045085889</v>
      </c>
      <c r="L488" s="164">
        <v>423853.4731813976</v>
      </c>
      <c r="M488" s="299">
        <v>428938.35</v>
      </c>
      <c r="N488" s="183">
        <f t="shared" si="46"/>
        <v>97573.545263171414</v>
      </c>
      <c r="O488" s="190" t="e">
        <f>VLOOKUP($A488&amp;$B488,'LE Inputs'!$C$2:$J$505,MATCH('LE UtilityData'!O$1,'LE Inputs'!$C$1:$J$1,0),0)</f>
        <v>#N/A</v>
      </c>
      <c r="P488" s="190" t="e">
        <f>VLOOKUP($A488&amp;$B488,'LE Inputs'!$C$2:$J$505,MATCH('LE UtilityData'!P$1,'LE Inputs'!$C$1:$J$1,0),0)</f>
        <v>#N/A</v>
      </c>
      <c r="Q488" s="168">
        <f t="shared" si="47"/>
        <v>0.55000000000000004</v>
      </c>
      <c r="R488" s="168">
        <f t="shared" si="47"/>
        <v>396.4</v>
      </c>
      <c r="S488" s="166">
        <v>4124</v>
      </c>
      <c r="T488" s="166">
        <v>1696</v>
      </c>
      <c r="U488" s="166">
        <f t="shared" si="44"/>
        <v>0</v>
      </c>
      <c r="V488" s="166">
        <f t="shared" si="42"/>
        <v>0</v>
      </c>
    </row>
    <row r="489" spans="1:22" x14ac:dyDescent="0.2">
      <c r="A489" s="153">
        <v>2041</v>
      </c>
      <c r="B489" s="153">
        <v>8</v>
      </c>
      <c r="E489" s="173">
        <v>22.547329400764834</v>
      </c>
      <c r="F489" s="281">
        <f t="shared" si="43"/>
        <v>20.278030574570963</v>
      </c>
      <c r="G489" s="173"/>
      <c r="H489" s="173">
        <f t="shared" si="48"/>
        <v>29.52</v>
      </c>
      <c r="I489" s="154">
        <v>881865</v>
      </c>
      <c r="J489" s="190">
        <f>VLOOKUP($A489&amp;$B489,'LE Inputs'!$C$2:$J$505,MATCH('LE UtilityData'!J$1,'LE Inputs'!$C$1:$J$1,0),0)*1000</f>
        <v>1639135.334025197</v>
      </c>
      <c r="K489" s="190">
        <v>666951.55045085889</v>
      </c>
      <c r="L489" s="164">
        <v>424012.14146586717</v>
      </c>
      <c r="M489" s="299">
        <v>428938.35</v>
      </c>
      <c r="N489" s="183">
        <f t="shared" si="46"/>
        <v>97573.545263171414</v>
      </c>
      <c r="O489" s="190" t="e">
        <f>VLOOKUP($A489&amp;$B489,'LE Inputs'!$C$2:$J$505,MATCH('LE UtilityData'!O$1,'LE Inputs'!$C$1:$J$1,0),0)</f>
        <v>#N/A</v>
      </c>
      <c r="P489" s="190" t="e">
        <f>VLOOKUP($A489&amp;$B489,'LE Inputs'!$C$2:$J$505,MATCH('LE UtilityData'!P$1,'LE Inputs'!$C$1:$J$1,0),0)</f>
        <v>#N/A</v>
      </c>
      <c r="Q489" s="168">
        <f t="shared" si="47"/>
        <v>0.1</v>
      </c>
      <c r="R489" s="168">
        <f t="shared" si="47"/>
        <v>417.05</v>
      </c>
      <c r="S489" s="166">
        <v>4124</v>
      </c>
      <c r="T489" s="166">
        <v>1696</v>
      </c>
      <c r="U489" s="166">
        <f t="shared" si="44"/>
        <v>0</v>
      </c>
      <c r="V489" s="166">
        <f t="shared" si="42"/>
        <v>0</v>
      </c>
    </row>
    <row r="490" spans="1:22" x14ac:dyDescent="0.2">
      <c r="A490" s="153">
        <v>2041</v>
      </c>
      <c r="B490" s="153">
        <v>9</v>
      </c>
      <c r="E490" s="173">
        <v>22.547329400764834</v>
      </c>
      <c r="F490" s="281">
        <f t="shared" si="43"/>
        <v>20.278030574570963</v>
      </c>
      <c r="G490" s="173"/>
      <c r="H490" s="173">
        <f t="shared" si="48"/>
        <v>30.71</v>
      </c>
      <c r="I490" s="154">
        <v>882195</v>
      </c>
      <c r="J490" s="190">
        <f>VLOOKUP($A490&amp;$B490,'LE Inputs'!$C$2:$J$505,MATCH('LE UtilityData'!J$1,'LE Inputs'!$C$1:$J$1,0),0)*1000</f>
        <v>1639135.334025197</v>
      </c>
      <c r="K490" s="190">
        <v>666951.55045085889</v>
      </c>
      <c r="L490" s="164">
        <v>424170.80975033675</v>
      </c>
      <c r="M490" s="299">
        <v>428938.35</v>
      </c>
      <c r="N490" s="183">
        <f t="shared" si="46"/>
        <v>97573.545263171414</v>
      </c>
      <c r="O490" s="190" t="e">
        <f>VLOOKUP($A490&amp;$B490,'LE Inputs'!$C$2:$J$505,MATCH('LE UtilityData'!O$1,'LE Inputs'!$C$1:$J$1,0),0)</f>
        <v>#N/A</v>
      </c>
      <c r="P490" s="190" t="e">
        <f>VLOOKUP($A490&amp;$B490,'LE Inputs'!$C$2:$J$505,MATCH('LE UtilityData'!P$1,'LE Inputs'!$C$1:$J$1,0),0)</f>
        <v>#N/A</v>
      </c>
      <c r="Q490" s="168">
        <f t="shared" si="47"/>
        <v>5.35</v>
      </c>
      <c r="R490" s="168">
        <f t="shared" si="47"/>
        <v>330.2</v>
      </c>
      <c r="S490" s="166">
        <v>4124</v>
      </c>
      <c r="T490" s="166">
        <v>1696</v>
      </c>
      <c r="U490" s="166">
        <f t="shared" si="44"/>
        <v>0</v>
      </c>
      <c r="V490" s="166">
        <f t="shared" si="42"/>
        <v>0</v>
      </c>
    </row>
    <row r="491" spans="1:22" x14ac:dyDescent="0.2">
      <c r="A491" s="153">
        <v>2041</v>
      </c>
      <c r="B491" s="153">
        <v>10</v>
      </c>
      <c r="E491" s="173">
        <v>22.547329400764834</v>
      </c>
      <c r="F491" s="281">
        <f t="shared" si="43"/>
        <v>20.278030574570963</v>
      </c>
      <c r="G491" s="173"/>
      <c r="H491" s="173">
        <f t="shared" si="48"/>
        <v>29.52</v>
      </c>
      <c r="I491" s="154">
        <v>882525</v>
      </c>
      <c r="J491" s="190">
        <f>VLOOKUP($A491&amp;$B491,'LE Inputs'!$C$2:$J$505,MATCH('LE UtilityData'!J$1,'LE Inputs'!$C$1:$J$1,0),0)*1000</f>
        <v>1642035.8310005879</v>
      </c>
      <c r="K491" s="190">
        <v>667965.99328001332</v>
      </c>
      <c r="L491" s="164">
        <v>424329.47803480626</v>
      </c>
      <c r="M491" s="299">
        <v>429471.37</v>
      </c>
      <c r="N491" s="183">
        <f t="shared" si="46"/>
        <v>97956.097532595028</v>
      </c>
      <c r="O491" s="190" t="e">
        <f>VLOOKUP($A491&amp;$B491,'LE Inputs'!$C$2:$J$505,MATCH('LE UtilityData'!O$1,'LE Inputs'!$C$1:$J$1,0),0)</f>
        <v>#N/A</v>
      </c>
      <c r="P491" s="190" t="e">
        <f>VLOOKUP($A491&amp;$B491,'LE Inputs'!$C$2:$J$505,MATCH('LE UtilityData'!P$1,'LE Inputs'!$C$1:$J$1,0),0)</f>
        <v>#N/A</v>
      </c>
      <c r="Q491" s="168">
        <f t="shared" si="47"/>
        <v>99.3</v>
      </c>
      <c r="R491" s="168">
        <f t="shared" si="47"/>
        <v>100.05</v>
      </c>
      <c r="S491" s="166">
        <v>4124</v>
      </c>
      <c r="T491" s="166">
        <v>1696</v>
      </c>
      <c r="U491" s="166">
        <f t="shared" si="44"/>
        <v>0</v>
      </c>
      <c r="V491" s="166">
        <f t="shared" si="42"/>
        <v>0</v>
      </c>
    </row>
    <row r="492" spans="1:22" x14ac:dyDescent="0.2">
      <c r="A492" s="153">
        <v>2041</v>
      </c>
      <c r="B492" s="153">
        <v>11</v>
      </c>
      <c r="E492" s="173">
        <v>22.547329400764834</v>
      </c>
      <c r="F492" s="281">
        <f t="shared" si="43"/>
        <v>20.278030574570963</v>
      </c>
      <c r="G492" s="173"/>
      <c r="H492" s="173">
        <f t="shared" si="48"/>
        <v>29.38</v>
      </c>
      <c r="I492" s="154">
        <v>882855</v>
      </c>
      <c r="J492" s="190">
        <f>VLOOKUP($A492&amp;$B492,'LE Inputs'!$C$2:$J$505,MATCH('LE UtilityData'!J$1,'LE Inputs'!$C$1:$J$1,0),0)*1000</f>
        <v>1642035.8310005879</v>
      </c>
      <c r="K492" s="190">
        <v>667965.99328001332</v>
      </c>
      <c r="L492" s="164">
        <v>424488.14631927584</v>
      </c>
      <c r="M492" s="299">
        <v>429471.37</v>
      </c>
      <c r="N492" s="183">
        <f t="shared" si="46"/>
        <v>97956.097532595028</v>
      </c>
      <c r="O492" s="190" t="e">
        <f>VLOOKUP($A492&amp;$B492,'LE Inputs'!$C$2:$J$505,MATCH('LE UtilityData'!O$1,'LE Inputs'!$C$1:$J$1,0),0)</f>
        <v>#N/A</v>
      </c>
      <c r="P492" s="190" t="e">
        <f>VLOOKUP($A492&amp;$B492,'LE Inputs'!$C$2:$J$505,MATCH('LE UtilityData'!P$1,'LE Inputs'!$C$1:$J$1,0),0)</f>
        <v>#N/A</v>
      </c>
      <c r="Q492" s="168">
        <f t="shared" si="47"/>
        <v>352.6</v>
      </c>
      <c r="R492" s="168">
        <f t="shared" si="47"/>
        <v>12.75</v>
      </c>
      <c r="S492" s="166">
        <v>4124</v>
      </c>
      <c r="T492" s="166">
        <v>1696</v>
      </c>
      <c r="U492" s="166">
        <f t="shared" si="44"/>
        <v>0</v>
      </c>
      <c r="V492" s="166">
        <f t="shared" si="42"/>
        <v>0</v>
      </c>
    </row>
    <row r="493" spans="1:22" x14ac:dyDescent="0.2">
      <c r="A493" s="153">
        <v>2041</v>
      </c>
      <c r="B493" s="153">
        <v>12</v>
      </c>
      <c r="E493" s="173">
        <v>22.547329400764834</v>
      </c>
      <c r="F493" s="281">
        <f t="shared" si="43"/>
        <v>20.278030574570963</v>
      </c>
      <c r="G493" s="173"/>
      <c r="H493" s="173">
        <f t="shared" si="48"/>
        <v>32.81</v>
      </c>
      <c r="I493" s="154">
        <v>883185</v>
      </c>
      <c r="J493" s="190">
        <f>VLOOKUP($A493&amp;$B493,'LE Inputs'!$C$2:$J$505,MATCH('LE UtilityData'!J$1,'LE Inputs'!$C$1:$J$1,0),0)*1000</f>
        <v>1642035.8310005879</v>
      </c>
      <c r="K493" s="190">
        <v>667965.99328001332</v>
      </c>
      <c r="L493" s="164">
        <v>424646.81460374541</v>
      </c>
      <c r="M493" s="299">
        <v>429471.37</v>
      </c>
      <c r="N493" s="183">
        <f t="shared" si="46"/>
        <v>97956.097532595028</v>
      </c>
      <c r="O493" s="190" t="e">
        <f>VLOOKUP($A493&amp;$B493,'LE Inputs'!$C$2:$J$505,MATCH('LE UtilityData'!O$1,'LE Inputs'!$C$1:$J$1,0),0)</f>
        <v>#N/A</v>
      </c>
      <c r="P493" s="190" t="e">
        <f>VLOOKUP($A493&amp;$B493,'LE Inputs'!$C$2:$J$505,MATCH('LE UtilityData'!P$1,'LE Inputs'!$C$1:$J$1,0),0)</f>
        <v>#N/A</v>
      </c>
      <c r="Q493" s="168">
        <f t="shared" si="47"/>
        <v>669.9</v>
      </c>
      <c r="R493" s="168">
        <f t="shared" si="47"/>
        <v>1.05</v>
      </c>
      <c r="S493" s="166">
        <v>4124</v>
      </c>
      <c r="T493" s="166">
        <v>1696</v>
      </c>
      <c r="U493" s="166">
        <f t="shared" si="44"/>
        <v>0</v>
      </c>
      <c r="V493" s="166">
        <f t="shared" si="42"/>
        <v>0</v>
      </c>
    </row>
    <row r="494" spans="1:22" x14ac:dyDescent="0.2">
      <c r="A494" s="153">
        <f>A482+1</f>
        <v>2042</v>
      </c>
      <c r="B494" s="153">
        <v>1</v>
      </c>
      <c r="E494" s="302">
        <f>E482*(1+E482/E470-1)</f>
        <v>23.111012635783954</v>
      </c>
      <c r="F494" s="281">
        <f t="shared" si="43"/>
        <v>20.683591186062383</v>
      </c>
      <c r="H494" s="173">
        <f t="shared" si="48"/>
        <v>32.43</v>
      </c>
      <c r="J494" s="190">
        <f>VLOOKUP($A494&amp;$B494,'LE Inputs'!$C$2:$J$505,MATCH('LE UtilityData'!J$1,'LE Inputs'!$C$1:$J$1,0),0)*1000</f>
        <v>1642025.6822418813</v>
      </c>
      <c r="K494" s="190">
        <v>667980.31193029589</v>
      </c>
      <c r="N494" s="183">
        <f t="shared" si="46"/>
        <v>99227.776055607726</v>
      </c>
      <c r="O494" s="190" t="e">
        <f>VLOOKUP($A494&amp;$B494,'LE Inputs'!$C$2:$J$505,MATCH('LE UtilityData'!O$1,'LE Inputs'!$C$1:$J$1,0),0)</f>
        <v>#N/A</v>
      </c>
      <c r="P494" s="190" t="e">
        <f>VLOOKUP($A494&amp;$B494,'LE Inputs'!$C$2:$J$505,MATCH('LE UtilityData'!P$1,'LE Inputs'!$C$1:$J$1,0),0)</f>
        <v>#N/A</v>
      </c>
      <c r="Q494" s="168">
        <f t="shared" ref="Q494:R505" si="49">Q482</f>
        <v>932.4</v>
      </c>
      <c r="R494" s="168">
        <f t="shared" si="49"/>
        <v>0.35</v>
      </c>
      <c r="S494" s="166">
        <v>4124</v>
      </c>
      <c r="T494" s="166">
        <v>1696</v>
      </c>
      <c r="U494" s="166" t="e">
        <f t="shared" si="44"/>
        <v>#DIV/0!</v>
      </c>
    </row>
    <row r="495" spans="1:22" x14ac:dyDescent="0.2">
      <c r="A495" s="153">
        <f t="shared" ref="A495:A505" si="50">A483+1</f>
        <v>2042</v>
      </c>
      <c r="B495" s="153">
        <v>2</v>
      </c>
      <c r="E495" s="302">
        <f t="shared" ref="E495:E505" si="51">E483*(1+E483/E471-1)</f>
        <v>23.111012635783954</v>
      </c>
      <c r="F495" s="281">
        <f t="shared" si="43"/>
        <v>20.683591186062383</v>
      </c>
      <c r="H495" s="173">
        <f t="shared" si="48"/>
        <v>29.9</v>
      </c>
      <c r="J495" s="190">
        <f>VLOOKUP($A495&amp;$B495,'LE Inputs'!$C$2:$J$505,MATCH('LE UtilityData'!J$1,'LE Inputs'!$C$1:$J$1,0),0)*1000</f>
        <v>1642025.6822418813</v>
      </c>
      <c r="K495" s="190">
        <v>667980.31193029589</v>
      </c>
      <c r="N495" s="183">
        <f t="shared" si="46"/>
        <v>99227.776055607726</v>
      </c>
      <c r="O495" s="190" t="e">
        <f>VLOOKUP($A495&amp;$B495,'LE Inputs'!$C$2:$J$505,MATCH('LE UtilityData'!O$1,'LE Inputs'!$C$1:$J$1,0),0)</f>
        <v>#N/A</v>
      </c>
      <c r="P495" s="190" t="e">
        <f>VLOOKUP($A495&amp;$B495,'LE Inputs'!$C$2:$J$505,MATCH('LE UtilityData'!P$1,'LE Inputs'!$C$1:$J$1,0),0)</f>
        <v>#N/A</v>
      </c>
      <c r="Q495" s="168">
        <f t="shared" si="49"/>
        <v>864.1</v>
      </c>
      <c r="R495" s="168">
        <f t="shared" si="49"/>
        <v>0.05</v>
      </c>
      <c r="S495" s="166">
        <v>4124</v>
      </c>
      <c r="T495" s="166">
        <v>1696</v>
      </c>
      <c r="U495" s="166" t="e">
        <f t="shared" si="44"/>
        <v>#DIV/0!</v>
      </c>
    </row>
    <row r="496" spans="1:22" x14ac:dyDescent="0.2">
      <c r="A496" s="153">
        <f t="shared" si="50"/>
        <v>2042</v>
      </c>
      <c r="B496" s="153">
        <v>3</v>
      </c>
      <c r="E496" s="302">
        <f t="shared" si="51"/>
        <v>23.111012635783954</v>
      </c>
      <c r="F496" s="281">
        <f t="shared" si="43"/>
        <v>20.683591186062383</v>
      </c>
      <c r="H496" s="173">
        <f t="shared" si="48"/>
        <v>30.33</v>
      </c>
      <c r="J496" s="190">
        <f>VLOOKUP($A496&amp;$B496,'LE Inputs'!$C$2:$J$505,MATCH('LE UtilityData'!J$1,'LE Inputs'!$C$1:$J$1,0),0)*1000</f>
        <v>1642025.6822418813</v>
      </c>
      <c r="K496" s="190">
        <v>667980.31193029589</v>
      </c>
      <c r="N496" s="183">
        <f t="shared" si="46"/>
        <v>99227.776055607726</v>
      </c>
      <c r="O496" s="190" t="e">
        <f>VLOOKUP($A496&amp;$B496,'LE Inputs'!$C$2:$J$505,MATCH('LE UtilityData'!O$1,'LE Inputs'!$C$1:$J$1,0),0)</f>
        <v>#N/A</v>
      </c>
      <c r="P496" s="190" t="e">
        <f>VLOOKUP($A496&amp;$B496,'LE Inputs'!$C$2:$J$505,MATCH('LE UtilityData'!P$1,'LE Inputs'!$C$1:$J$1,0),0)</f>
        <v>#N/A</v>
      </c>
      <c r="Q496" s="168">
        <f t="shared" si="49"/>
        <v>674.3</v>
      </c>
      <c r="R496" s="168">
        <f t="shared" si="49"/>
        <v>1.1499999999999999</v>
      </c>
      <c r="S496" s="166">
        <v>4124</v>
      </c>
      <c r="T496" s="166">
        <v>1696</v>
      </c>
      <c r="U496" s="166" t="e">
        <f t="shared" si="44"/>
        <v>#DIV/0!</v>
      </c>
    </row>
    <row r="497" spans="1:21" s="153" customFormat="1" x14ac:dyDescent="0.2">
      <c r="A497" s="153">
        <f t="shared" si="50"/>
        <v>2042</v>
      </c>
      <c r="B497" s="153">
        <v>4</v>
      </c>
      <c r="C497" s="169"/>
      <c r="D497" s="169"/>
      <c r="E497" s="302">
        <f t="shared" si="51"/>
        <v>23.111012635783954</v>
      </c>
      <c r="F497" s="281">
        <f t="shared" si="43"/>
        <v>20.683591186062383</v>
      </c>
      <c r="G497" s="174"/>
      <c r="H497" s="173">
        <f t="shared" si="48"/>
        <v>30.29</v>
      </c>
      <c r="I497" s="162"/>
      <c r="J497" s="190">
        <f>VLOOKUP($A497&amp;$B497,'LE Inputs'!$C$2:$J$505,MATCH('LE UtilityData'!J$1,'LE Inputs'!$C$1:$J$1,0),0)*1000</f>
        <v>1645745.7157271488</v>
      </c>
      <c r="K497" s="190">
        <v>669893.60537154309</v>
      </c>
      <c r="L497" s="164"/>
      <c r="N497" s="183">
        <f t="shared" si="46"/>
        <v>99301.573985977928</v>
      </c>
      <c r="O497" s="190" t="e">
        <f>VLOOKUP($A497&amp;$B497,'LE Inputs'!$C$2:$J$505,MATCH('LE UtilityData'!O$1,'LE Inputs'!$C$1:$J$1,0),0)</f>
        <v>#N/A</v>
      </c>
      <c r="P497" s="190" t="e">
        <f>VLOOKUP($A497&amp;$B497,'LE Inputs'!$C$2:$J$505,MATCH('LE UtilityData'!P$1,'LE Inputs'!$C$1:$J$1,0),0)</f>
        <v>#N/A</v>
      </c>
      <c r="Q497" s="168">
        <f t="shared" si="49"/>
        <v>377.1</v>
      </c>
      <c r="R497" s="168">
        <f t="shared" si="49"/>
        <v>20.25</v>
      </c>
      <c r="S497" s="166">
        <v>4124</v>
      </c>
      <c r="T497" s="166">
        <v>1696</v>
      </c>
      <c r="U497" s="166" t="e">
        <f t="shared" si="44"/>
        <v>#DIV/0!</v>
      </c>
    </row>
    <row r="498" spans="1:21" s="153" customFormat="1" x14ac:dyDescent="0.2">
      <c r="A498" s="153">
        <f t="shared" si="50"/>
        <v>2042</v>
      </c>
      <c r="B498" s="153">
        <v>5</v>
      </c>
      <c r="C498" s="169"/>
      <c r="D498" s="169"/>
      <c r="E498" s="302">
        <f t="shared" si="51"/>
        <v>23.111012635783954</v>
      </c>
      <c r="F498" s="281">
        <f t="shared" si="43"/>
        <v>20.683591186062383</v>
      </c>
      <c r="G498" s="174"/>
      <c r="H498" s="173">
        <f t="shared" si="48"/>
        <v>30.05</v>
      </c>
      <c r="I498" s="162"/>
      <c r="J498" s="190">
        <f>VLOOKUP($A498&amp;$B498,'LE Inputs'!$C$2:$J$505,MATCH('LE UtilityData'!J$1,'LE Inputs'!$C$1:$J$1,0),0)*1000</f>
        <v>1645745.7157271488</v>
      </c>
      <c r="K498" s="190">
        <v>669893.60537154309</v>
      </c>
      <c r="L498" s="164"/>
      <c r="N498" s="183">
        <f t="shared" si="46"/>
        <v>99301.573985977928</v>
      </c>
      <c r="O498" s="190" t="e">
        <f>VLOOKUP($A498&amp;$B498,'LE Inputs'!$C$2:$J$505,MATCH('LE UtilityData'!O$1,'LE Inputs'!$C$1:$J$1,0),0)</f>
        <v>#N/A</v>
      </c>
      <c r="P498" s="190" t="e">
        <f>VLOOKUP($A498&amp;$B498,'LE Inputs'!$C$2:$J$505,MATCH('LE UtilityData'!P$1,'LE Inputs'!$C$1:$J$1,0),0)</f>
        <v>#N/A</v>
      </c>
      <c r="Q498" s="168">
        <f t="shared" si="49"/>
        <v>141</v>
      </c>
      <c r="R498" s="168">
        <f t="shared" si="49"/>
        <v>69.349999999999994</v>
      </c>
      <c r="S498" s="166">
        <v>4124</v>
      </c>
      <c r="T498" s="166">
        <v>1696</v>
      </c>
      <c r="U498" s="166" t="e">
        <f t="shared" si="44"/>
        <v>#DIV/0!</v>
      </c>
    </row>
    <row r="499" spans="1:21" s="153" customFormat="1" x14ac:dyDescent="0.2">
      <c r="A499" s="153">
        <f t="shared" si="50"/>
        <v>2042</v>
      </c>
      <c r="B499" s="153">
        <v>6</v>
      </c>
      <c r="C499" s="169"/>
      <c r="D499" s="169"/>
      <c r="E499" s="302">
        <f t="shared" si="51"/>
        <v>23.111012635783954</v>
      </c>
      <c r="F499" s="281">
        <f t="shared" si="43"/>
        <v>20.683591186062383</v>
      </c>
      <c r="G499" s="174"/>
      <c r="H499" s="173">
        <f t="shared" si="48"/>
        <v>30.67</v>
      </c>
      <c r="I499" s="162"/>
      <c r="J499" s="190">
        <f>VLOOKUP($A499&amp;$B499,'LE Inputs'!$C$2:$J$505,MATCH('LE UtilityData'!J$1,'LE Inputs'!$C$1:$J$1,0),0)*1000</f>
        <v>1645745.7157271488</v>
      </c>
      <c r="K499" s="190">
        <v>669893.60537154309</v>
      </c>
      <c r="L499" s="164"/>
      <c r="N499" s="183">
        <f t="shared" si="46"/>
        <v>99301.573985977928</v>
      </c>
      <c r="O499" s="190" t="e">
        <f>VLOOKUP($A499&amp;$B499,'LE Inputs'!$C$2:$J$505,MATCH('LE UtilityData'!O$1,'LE Inputs'!$C$1:$J$1,0),0)</f>
        <v>#N/A</v>
      </c>
      <c r="P499" s="190" t="e">
        <f>VLOOKUP($A499&amp;$B499,'LE Inputs'!$C$2:$J$505,MATCH('LE UtilityData'!P$1,'LE Inputs'!$C$1:$J$1,0),0)</f>
        <v>#N/A</v>
      </c>
      <c r="Q499" s="168">
        <f t="shared" si="49"/>
        <v>29.5</v>
      </c>
      <c r="R499" s="168">
        <f t="shared" si="49"/>
        <v>224.8</v>
      </c>
      <c r="S499" s="166">
        <v>4124</v>
      </c>
      <c r="T499" s="166">
        <v>1696</v>
      </c>
      <c r="U499" s="166" t="e">
        <f t="shared" si="44"/>
        <v>#DIV/0!</v>
      </c>
    </row>
    <row r="500" spans="1:21" s="153" customFormat="1" x14ac:dyDescent="0.2">
      <c r="A500" s="153">
        <f t="shared" si="50"/>
        <v>2042</v>
      </c>
      <c r="B500" s="153">
        <v>7</v>
      </c>
      <c r="C500" s="169"/>
      <c r="D500" s="169"/>
      <c r="E500" s="302">
        <f t="shared" si="51"/>
        <v>23.111012635783954</v>
      </c>
      <c r="F500" s="281">
        <f t="shared" si="43"/>
        <v>20.683591186062383</v>
      </c>
      <c r="G500" s="174"/>
      <c r="H500" s="173">
        <f t="shared" si="48"/>
        <v>30.62</v>
      </c>
      <c r="I500" s="162"/>
      <c r="J500" s="190">
        <f>VLOOKUP($A500&amp;$B500,'LE Inputs'!$C$2:$J$505,MATCH('LE UtilityData'!J$1,'LE Inputs'!$C$1:$J$1,0),0)*1000</f>
        <v>1648659.8562738667</v>
      </c>
      <c r="K500" s="190">
        <v>671193.48712933867</v>
      </c>
      <c r="L500" s="164"/>
      <c r="N500" s="183">
        <f t="shared" si="46"/>
        <v>99915.310349487525</v>
      </c>
      <c r="O500" s="190" t="e">
        <f>VLOOKUP($A500&amp;$B500,'LE Inputs'!$C$2:$J$505,MATCH('LE UtilityData'!O$1,'LE Inputs'!$C$1:$J$1,0),0)</f>
        <v>#N/A</v>
      </c>
      <c r="P500" s="190" t="e">
        <f>VLOOKUP($A500&amp;$B500,'LE Inputs'!$C$2:$J$505,MATCH('LE UtilityData'!P$1,'LE Inputs'!$C$1:$J$1,0),0)</f>
        <v>#N/A</v>
      </c>
      <c r="Q500" s="168">
        <f t="shared" si="49"/>
        <v>0.55000000000000004</v>
      </c>
      <c r="R500" s="168">
        <f t="shared" si="49"/>
        <v>396.4</v>
      </c>
      <c r="S500" s="166">
        <v>4124</v>
      </c>
      <c r="T500" s="166">
        <v>1696</v>
      </c>
      <c r="U500" s="166" t="e">
        <f t="shared" si="44"/>
        <v>#DIV/0!</v>
      </c>
    </row>
    <row r="501" spans="1:21" s="153" customFormat="1" x14ac:dyDescent="0.2">
      <c r="A501" s="153">
        <f t="shared" si="50"/>
        <v>2042</v>
      </c>
      <c r="B501" s="153">
        <v>8</v>
      </c>
      <c r="C501" s="169"/>
      <c r="D501" s="169"/>
      <c r="E501" s="302">
        <f t="shared" si="51"/>
        <v>23.111012635783954</v>
      </c>
      <c r="F501" s="281">
        <f t="shared" si="43"/>
        <v>20.683591186062383</v>
      </c>
      <c r="G501" s="174"/>
      <c r="H501" s="173">
        <f t="shared" si="48"/>
        <v>29.52</v>
      </c>
      <c r="I501" s="162"/>
      <c r="J501" s="190">
        <f>VLOOKUP($A501&amp;$B501,'LE Inputs'!$C$2:$J$505,MATCH('LE UtilityData'!J$1,'LE Inputs'!$C$1:$J$1,0),0)*1000</f>
        <v>1648659.8562738667</v>
      </c>
      <c r="K501" s="190">
        <v>671193.48712933867</v>
      </c>
      <c r="L501" s="164"/>
      <c r="N501" s="183">
        <f t="shared" si="46"/>
        <v>99915.310349487525</v>
      </c>
      <c r="O501" s="190" t="e">
        <f>VLOOKUP($A501&amp;$B501,'LE Inputs'!$C$2:$J$505,MATCH('LE UtilityData'!O$1,'LE Inputs'!$C$1:$J$1,0),0)</f>
        <v>#N/A</v>
      </c>
      <c r="P501" s="190" t="e">
        <f>VLOOKUP($A501&amp;$B501,'LE Inputs'!$C$2:$J$505,MATCH('LE UtilityData'!P$1,'LE Inputs'!$C$1:$J$1,0),0)</f>
        <v>#N/A</v>
      </c>
      <c r="Q501" s="168">
        <f t="shared" si="49"/>
        <v>0.1</v>
      </c>
      <c r="R501" s="168">
        <f t="shared" si="49"/>
        <v>417.05</v>
      </c>
      <c r="S501" s="166">
        <v>4124</v>
      </c>
      <c r="T501" s="166">
        <v>1696</v>
      </c>
      <c r="U501" s="166" t="e">
        <f t="shared" si="44"/>
        <v>#DIV/0!</v>
      </c>
    </row>
    <row r="502" spans="1:21" s="153" customFormat="1" x14ac:dyDescent="0.2">
      <c r="A502" s="153">
        <f t="shared" si="50"/>
        <v>2042</v>
      </c>
      <c r="B502" s="153">
        <v>9</v>
      </c>
      <c r="C502" s="169"/>
      <c r="D502" s="169"/>
      <c r="E502" s="302">
        <f t="shared" si="51"/>
        <v>23.111012635783954</v>
      </c>
      <c r="F502" s="281">
        <f t="shared" si="43"/>
        <v>20.683591186062383</v>
      </c>
      <c r="G502" s="174"/>
      <c r="H502" s="173">
        <f t="shared" si="48"/>
        <v>30.71</v>
      </c>
      <c r="I502" s="162"/>
      <c r="J502" s="190">
        <f>VLOOKUP($A502&amp;$B502,'LE Inputs'!$C$2:$J$505,MATCH('LE UtilityData'!J$1,'LE Inputs'!$C$1:$J$1,0),0)*1000</f>
        <v>1648659.8562738667</v>
      </c>
      <c r="K502" s="190">
        <v>671193.48712933867</v>
      </c>
      <c r="L502" s="164"/>
      <c r="N502" s="183">
        <f t="shared" si="46"/>
        <v>99915.310349487525</v>
      </c>
      <c r="O502" s="190" t="e">
        <f>VLOOKUP($A502&amp;$B502,'LE Inputs'!$C$2:$J$505,MATCH('LE UtilityData'!O$1,'LE Inputs'!$C$1:$J$1,0),0)</f>
        <v>#N/A</v>
      </c>
      <c r="P502" s="190" t="e">
        <f>VLOOKUP($A502&amp;$B502,'LE Inputs'!$C$2:$J$505,MATCH('LE UtilityData'!P$1,'LE Inputs'!$C$1:$J$1,0),0)</f>
        <v>#N/A</v>
      </c>
      <c r="Q502" s="168">
        <f t="shared" si="49"/>
        <v>5.35</v>
      </c>
      <c r="R502" s="168">
        <f t="shared" si="49"/>
        <v>330.2</v>
      </c>
      <c r="S502" s="166">
        <v>4124</v>
      </c>
      <c r="T502" s="166">
        <v>1696</v>
      </c>
      <c r="U502" s="166" t="e">
        <f t="shared" si="44"/>
        <v>#DIV/0!</v>
      </c>
    </row>
    <row r="503" spans="1:21" s="153" customFormat="1" x14ac:dyDescent="0.2">
      <c r="A503" s="153">
        <f>A491+1</f>
        <v>2042</v>
      </c>
      <c r="B503" s="153">
        <v>10</v>
      </c>
      <c r="C503" s="169"/>
      <c r="D503" s="169"/>
      <c r="E503" s="302">
        <f t="shared" si="51"/>
        <v>23.111012635783954</v>
      </c>
      <c r="F503" s="281">
        <f t="shared" si="43"/>
        <v>20.683591186062383</v>
      </c>
      <c r="G503" s="174"/>
      <c r="H503" s="173">
        <f t="shared" si="48"/>
        <v>29.52</v>
      </c>
      <c r="I503" s="162"/>
      <c r="J503" s="190">
        <f>VLOOKUP($A503&amp;$B503,'LE Inputs'!$C$2:$J$505,MATCH('LE UtilityData'!J$1,'LE Inputs'!$C$1:$J$1,0),0)*1000</f>
        <v>1649953.627229763</v>
      </c>
      <c r="K503" s="190">
        <v>671953.68707924034</v>
      </c>
      <c r="L503" s="164"/>
      <c r="N503" s="183">
        <f t="shared" si="46"/>
        <v>100307.0438733773</v>
      </c>
      <c r="O503" s="190" t="e">
        <f>VLOOKUP($A503&amp;$B503,'LE Inputs'!$C$2:$J$505,MATCH('LE UtilityData'!O$1,'LE Inputs'!$C$1:$J$1,0),0)</f>
        <v>#N/A</v>
      </c>
      <c r="P503" s="190" t="e">
        <f>VLOOKUP($A503&amp;$B503,'LE Inputs'!$C$2:$J$505,MATCH('LE UtilityData'!P$1,'LE Inputs'!$C$1:$J$1,0),0)</f>
        <v>#N/A</v>
      </c>
      <c r="Q503" s="168">
        <f t="shared" si="49"/>
        <v>99.3</v>
      </c>
      <c r="R503" s="168">
        <f t="shared" si="49"/>
        <v>100.05</v>
      </c>
      <c r="S503" s="166">
        <v>4124</v>
      </c>
      <c r="T503" s="166">
        <v>1696</v>
      </c>
      <c r="U503" s="166" t="e">
        <f t="shared" si="44"/>
        <v>#DIV/0!</v>
      </c>
    </row>
    <row r="504" spans="1:21" s="153" customFormat="1" x14ac:dyDescent="0.2">
      <c r="A504" s="153">
        <f t="shared" si="50"/>
        <v>2042</v>
      </c>
      <c r="B504" s="153">
        <v>11</v>
      </c>
      <c r="C504" s="169"/>
      <c r="D504" s="169"/>
      <c r="E504" s="302">
        <f t="shared" si="51"/>
        <v>23.111012635783954</v>
      </c>
      <c r="F504" s="281">
        <f t="shared" si="43"/>
        <v>20.683591186062383</v>
      </c>
      <c r="G504" s="174"/>
      <c r="H504" s="173">
        <f t="shared" si="48"/>
        <v>29.38</v>
      </c>
      <c r="I504" s="162"/>
      <c r="J504" s="190">
        <f>VLOOKUP($A504&amp;$B504,'LE Inputs'!$C$2:$J$505,MATCH('LE UtilityData'!J$1,'LE Inputs'!$C$1:$J$1,0),0)*1000</f>
        <v>1649953.627229763</v>
      </c>
      <c r="K504" s="190">
        <v>671953.68707924034</v>
      </c>
      <c r="L504" s="164"/>
      <c r="N504" s="183">
        <f t="shared" si="46"/>
        <v>100307.0438733773</v>
      </c>
      <c r="O504" s="190" t="e">
        <f>VLOOKUP($A504&amp;$B504,'LE Inputs'!$C$2:$J$505,MATCH('LE UtilityData'!O$1,'LE Inputs'!$C$1:$J$1,0),0)</f>
        <v>#N/A</v>
      </c>
      <c r="P504" s="190" t="e">
        <f>VLOOKUP($A504&amp;$B504,'LE Inputs'!$C$2:$J$505,MATCH('LE UtilityData'!P$1,'LE Inputs'!$C$1:$J$1,0),0)</f>
        <v>#N/A</v>
      </c>
      <c r="Q504" s="168">
        <f t="shared" si="49"/>
        <v>352.6</v>
      </c>
      <c r="R504" s="168">
        <f t="shared" si="49"/>
        <v>12.75</v>
      </c>
      <c r="S504" s="166">
        <v>4124</v>
      </c>
      <c r="T504" s="166">
        <v>1696</v>
      </c>
      <c r="U504" s="166" t="e">
        <f t="shared" si="44"/>
        <v>#DIV/0!</v>
      </c>
    </row>
    <row r="505" spans="1:21" s="153" customFormat="1" x14ac:dyDescent="0.2">
      <c r="A505" s="153">
        <f t="shared" si="50"/>
        <v>2042</v>
      </c>
      <c r="B505" s="153">
        <v>12</v>
      </c>
      <c r="C505" s="169"/>
      <c r="D505" s="169"/>
      <c r="E505" s="302">
        <f t="shared" si="51"/>
        <v>23.111012635783954</v>
      </c>
      <c r="F505" s="281">
        <f t="shared" si="43"/>
        <v>20.683591186062383</v>
      </c>
      <c r="G505" s="174"/>
      <c r="H505" s="173">
        <f t="shared" si="48"/>
        <v>32.81</v>
      </c>
      <c r="I505" s="162"/>
      <c r="J505" s="190">
        <f>VLOOKUP($A505&amp;$B505,'LE Inputs'!$C$2:$J$505,MATCH('LE UtilityData'!J$1,'LE Inputs'!$C$1:$J$1,0),0)*1000</f>
        <v>1649953.627229763</v>
      </c>
      <c r="K505" s="190">
        <v>671953.68707924034</v>
      </c>
      <c r="L505" s="164"/>
      <c r="N505" s="183">
        <f t="shared" si="46"/>
        <v>100307.0438733773</v>
      </c>
      <c r="O505" s="190" t="e">
        <f>VLOOKUP($A505&amp;$B505,'LE Inputs'!$C$2:$J$505,MATCH('LE UtilityData'!O$1,'LE Inputs'!$C$1:$J$1,0),0)</f>
        <v>#N/A</v>
      </c>
      <c r="P505" s="190" t="e">
        <f>VLOOKUP($A505&amp;$B505,'LE Inputs'!$C$2:$J$505,MATCH('LE UtilityData'!P$1,'LE Inputs'!$C$1:$J$1,0),0)</f>
        <v>#N/A</v>
      </c>
      <c r="Q505" s="168">
        <f t="shared" si="49"/>
        <v>669.9</v>
      </c>
      <c r="R505" s="168">
        <f t="shared" si="49"/>
        <v>1.05</v>
      </c>
      <c r="S505" s="166">
        <v>4124</v>
      </c>
      <c r="T505" s="166">
        <v>1696</v>
      </c>
      <c r="U505" s="166" t="e">
        <f t="shared" si="44"/>
        <v>#DIV/0!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view="pageBreakPreview" zoomScale="60" zoomScaleNormal="100" workbookViewId="0">
      <pane ySplit="1" topLeftCell="A16" activePane="bottomLeft" state="frozenSplit"/>
      <selection activeCell="P1" sqref="P1:Q15"/>
      <selection pane="bottomLeft" activeCell="P1" sqref="P1:Q15"/>
    </sheetView>
  </sheetViews>
  <sheetFormatPr defaultColWidth="9.140625" defaultRowHeight="12.75" x14ac:dyDescent="0.2"/>
  <cols>
    <col min="1" max="1" width="5.85546875" style="177" bestFit="1" customWidth="1"/>
    <col min="2" max="2" width="9.140625" style="157"/>
    <col min="3" max="3" width="7.85546875" style="177" bestFit="1" customWidth="1"/>
    <col min="4" max="4" width="9.140625" style="177"/>
    <col min="5" max="5" width="7.85546875" style="177" bestFit="1" customWidth="1"/>
    <col min="6" max="6" width="9.28515625" style="177" bestFit="1" customWidth="1"/>
    <col min="7" max="7" width="7.85546875" style="177" bestFit="1" customWidth="1"/>
    <col min="8" max="8" width="10.85546875" style="177" bestFit="1" customWidth="1"/>
    <col min="9" max="9" width="7.85546875" style="177" bestFit="1" customWidth="1"/>
    <col min="10" max="10" width="7.7109375" style="177" bestFit="1" customWidth="1"/>
    <col min="11" max="11" width="7.85546875" style="177" bestFit="1" customWidth="1"/>
    <col min="12" max="12" width="9.140625" style="177"/>
    <col min="13" max="13" width="9.140625" style="157" customWidth="1"/>
    <col min="14" max="14" width="5.85546875" customWidth="1"/>
    <col min="15" max="15" width="9.140625" style="5" customWidth="1"/>
    <col min="16" max="16" width="7.85546875" style="177" customWidth="1"/>
    <col min="17" max="17" width="9.140625" customWidth="1"/>
    <col min="18" max="18" width="7.85546875" style="177" customWidth="1"/>
    <col min="19" max="19" width="9.28515625" customWidth="1"/>
    <col min="20" max="20" width="7.85546875" style="177" customWidth="1"/>
    <col min="21" max="21" width="10.85546875" customWidth="1"/>
    <col min="22" max="22" width="7.85546875" style="177" customWidth="1"/>
    <col min="23" max="23" width="10.85546875" customWidth="1"/>
    <col min="24" max="24" width="7.85546875" style="177" customWidth="1"/>
    <col min="25" max="16384" width="9.140625" style="177"/>
  </cols>
  <sheetData>
    <row r="1" spans="1:24" s="215" customFormat="1" x14ac:dyDescent="0.2">
      <c r="A1" s="193" t="s">
        <v>15</v>
      </c>
      <c r="B1" s="214" t="s">
        <v>16</v>
      </c>
      <c r="C1" s="193" t="s">
        <v>125</v>
      </c>
      <c r="D1" s="214" t="s">
        <v>17</v>
      </c>
      <c r="E1" s="193" t="s">
        <v>125</v>
      </c>
      <c r="F1" s="214" t="s">
        <v>5</v>
      </c>
      <c r="G1" s="193" t="s">
        <v>125</v>
      </c>
      <c r="H1" s="214" t="s">
        <v>19</v>
      </c>
      <c r="I1" s="193" t="s">
        <v>125</v>
      </c>
      <c r="J1" s="193" t="s">
        <v>124</v>
      </c>
      <c r="K1" s="193" t="s">
        <v>125</v>
      </c>
      <c r="L1" s="193"/>
      <c r="M1" s="214"/>
      <c r="N1" s="22"/>
      <c r="O1" s="35"/>
      <c r="P1" s="193"/>
      <c r="Q1" s="35"/>
      <c r="R1" s="193"/>
      <c r="S1" s="35"/>
      <c r="T1" s="193"/>
      <c r="U1" s="35"/>
      <c r="V1" s="193"/>
      <c r="W1" s="35"/>
      <c r="X1" s="193"/>
    </row>
    <row r="2" spans="1:24" x14ac:dyDescent="0.2">
      <c r="A2" s="192">
        <v>1995</v>
      </c>
      <c r="B2" s="216">
        <f>SUM('LE ShareUEC'!$D2:$G2,'LE ShareUEC'!$U2)</f>
        <v>1851.7204985685055</v>
      </c>
      <c r="C2" s="198"/>
      <c r="D2" s="216">
        <f>SUM('LE ShareUEC'!$H2:$K2)</f>
        <v>4691.3323231326858</v>
      </c>
      <c r="E2" s="198"/>
      <c r="F2" s="216">
        <f>'LE ShareUEC'!$L2</f>
        <v>2193.1141588760634</v>
      </c>
      <c r="G2" s="198"/>
      <c r="H2" s="216" t="e">
        <f>SUM('LE ShareUEC'!$M2:$T2,'LE ShareUEC'!$V2:$W2)</f>
        <v>#DIV/0!</v>
      </c>
      <c r="I2" s="198"/>
      <c r="J2" s="216" t="e">
        <f t="shared" ref="J2:J49" si="0">AnnHeat1995+AnnCool1995+F2+H2</f>
        <v>#DIV/0!</v>
      </c>
      <c r="K2" s="198"/>
      <c r="L2" s="217"/>
      <c r="M2" s="216"/>
      <c r="N2" s="24"/>
      <c r="O2" s="36"/>
      <c r="P2" s="198"/>
      <c r="Q2" s="36"/>
      <c r="R2" s="198"/>
      <c r="S2" s="36"/>
      <c r="T2" s="198"/>
      <c r="U2" s="36"/>
      <c r="V2" s="198"/>
      <c r="W2" s="36"/>
      <c r="X2" s="198"/>
    </row>
    <row r="3" spans="1:24" x14ac:dyDescent="0.2">
      <c r="A3" s="192">
        <f t="shared" ref="A3:A49" si="1">A2+1</f>
        <v>1996</v>
      </c>
      <c r="B3" s="216">
        <f>SUM('LE ShareUEC'!$D3:$G3,'LE ShareUEC'!$U3)</f>
        <v>1833.7204384507049</v>
      </c>
      <c r="C3" s="198">
        <f t="shared" ref="C3:I48" si="2">B3/B2-1</f>
        <v>-9.7207219619352969E-3</v>
      </c>
      <c r="D3" s="216">
        <f>SUM('LE ShareUEC'!$H3:$K3)</f>
        <v>4598.3875728963167</v>
      </c>
      <c r="E3" s="198">
        <f t="shared" si="2"/>
        <v>-1.9812015827159413E-2</v>
      </c>
      <c r="F3" s="216">
        <f>'LE ShareUEC'!$L3</f>
        <v>2187.7552076870729</v>
      </c>
      <c r="G3" s="198">
        <f t="shared" si="2"/>
        <v>-2.443534992148666E-3</v>
      </c>
      <c r="H3" s="216">
        <f>SUM('LE ShareUEC'!$M3:$T3,'LE ShareUEC'!$V3:$W3)</f>
        <v>6665.7211479709204</v>
      </c>
      <c r="I3" s="198" t="e">
        <f t="shared" si="2"/>
        <v>#DIV/0!</v>
      </c>
      <c r="J3" s="216" t="e">
        <f t="shared" si="0"/>
        <v>#DIV/0!</v>
      </c>
      <c r="K3" s="198" t="e">
        <f t="shared" ref="K3:K49" si="3">J3/J2-1</f>
        <v>#DIV/0!</v>
      </c>
      <c r="L3" s="217"/>
      <c r="M3" s="216"/>
      <c r="N3" s="24"/>
      <c r="O3" s="36"/>
      <c r="P3" s="198"/>
      <c r="Q3" s="36"/>
      <c r="R3" s="198"/>
      <c r="S3" s="36"/>
      <c r="T3" s="198"/>
      <c r="U3" s="36"/>
      <c r="V3" s="198"/>
      <c r="W3" s="36"/>
      <c r="X3" s="198"/>
    </row>
    <row r="4" spans="1:24" x14ac:dyDescent="0.2">
      <c r="A4" s="192">
        <f t="shared" si="1"/>
        <v>1997</v>
      </c>
      <c r="B4" s="216">
        <f>SUM('LE ShareUEC'!$D4:$G4,'LE ShareUEC'!$U4)</f>
        <v>1815.0388123986006</v>
      </c>
      <c r="C4" s="198">
        <f t="shared" si="2"/>
        <v>-1.0187826704864733E-2</v>
      </c>
      <c r="D4" s="216">
        <f>SUM('LE ShareUEC'!$H4:$K4)</f>
        <v>4508.041664742831</v>
      </c>
      <c r="E4" s="198">
        <f t="shared" si="2"/>
        <v>-1.9647301738113576E-2</v>
      </c>
      <c r="F4" s="216">
        <f>'LE ShareUEC'!$L4</f>
        <v>2182.4223822284494</v>
      </c>
      <c r="G4" s="198">
        <f t="shared" si="2"/>
        <v>-2.4375786833397139E-3</v>
      </c>
      <c r="H4" s="216">
        <f>SUM('LE ShareUEC'!$M4:$T4,'LE ShareUEC'!$V4:$W4)</f>
        <v>6847.4826519518965</v>
      </c>
      <c r="I4" s="198">
        <f t="shared" si="2"/>
        <v>2.7268092970901714E-2</v>
      </c>
      <c r="J4" s="216" t="e">
        <f t="shared" si="0"/>
        <v>#DIV/0!</v>
      </c>
      <c r="K4" s="198" t="e">
        <f t="shared" si="3"/>
        <v>#DIV/0!</v>
      </c>
      <c r="L4" s="217"/>
      <c r="M4" s="216"/>
      <c r="N4" s="24"/>
      <c r="O4" s="36"/>
      <c r="P4" s="198"/>
      <c r="Q4" s="36"/>
      <c r="R4" s="198"/>
      <c r="S4" s="36"/>
      <c r="T4" s="198"/>
      <c r="U4" s="36"/>
      <c r="V4" s="198"/>
      <c r="W4" s="36"/>
      <c r="X4" s="198"/>
    </row>
    <row r="5" spans="1:24" x14ac:dyDescent="0.2">
      <c r="A5" s="192">
        <f t="shared" si="1"/>
        <v>1998</v>
      </c>
      <c r="B5" s="216">
        <f>SUM('LE ShareUEC'!$D5:$G5,'LE ShareUEC'!$U5)</f>
        <v>1795.7169500193565</v>
      </c>
      <c r="C5" s="198">
        <f t="shared" si="2"/>
        <v>-1.0645426559066196E-2</v>
      </c>
      <c r="D5" s="216">
        <f>SUM('LE ShareUEC'!$H5:$K5)</f>
        <v>4420.1525785228214</v>
      </c>
      <c r="E5" s="198">
        <f t="shared" si="2"/>
        <v>-1.9496067861880184E-2</v>
      </c>
      <c r="F5" s="216">
        <f>'LE ShareUEC'!$L5</f>
        <v>2177.1154919141904</v>
      </c>
      <c r="G5" s="198">
        <f t="shared" si="2"/>
        <v>-2.4316513418636276E-3</v>
      </c>
      <c r="H5" s="216">
        <f>SUM('LE ShareUEC'!$M5:$T5,'LE ShareUEC'!$V5:$W5)</f>
        <v>7029.7227602101648</v>
      </c>
      <c r="I5" s="198">
        <f t="shared" si="2"/>
        <v>2.6614175971124254E-2</v>
      </c>
      <c r="J5" s="216" t="e">
        <f t="shared" si="0"/>
        <v>#DIV/0!</v>
      </c>
      <c r="K5" s="198" t="e">
        <f t="shared" si="3"/>
        <v>#DIV/0!</v>
      </c>
      <c r="L5" s="217"/>
      <c r="M5" s="216"/>
      <c r="N5" s="24"/>
      <c r="O5" s="36"/>
      <c r="P5" s="198"/>
      <c r="Q5" s="36"/>
      <c r="R5" s="198"/>
      <c r="S5" s="36"/>
      <c r="T5" s="198"/>
      <c r="U5" s="36"/>
      <c r="V5" s="198"/>
      <c r="W5" s="36"/>
      <c r="X5" s="198"/>
    </row>
    <row r="6" spans="1:24" x14ac:dyDescent="0.2">
      <c r="A6" s="192">
        <f t="shared" si="1"/>
        <v>1999</v>
      </c>
      <c r="B6" s="216">
        <f>SUM('LE ShareUEC'!$D6:$G6,'LE ShareUEC'!$U6)</f>
        <v>1775.8095707336029</v>
      </c>
      <c r="C6" s="198">
        <f t="shared" si="2"/>
        <v>-1.108603406875408E-2</v>
      </c>
      <c r="D6" s="216">
        <f>SUM('LE ShareUEC'!$H6:$K6)</f>
        <v>4378.1865076752738</v>
      </c>
      <c r="E6" s="198">
        <f t="shared" si="2"/>
        <v>-9.4942584225389259E-3</v>
      </c>
      <c r="F6" s="216">
        <f>'LE ShareUEC'!$L6</f>
        <v>2171.8343480075523</v>
      </c>
      <c r="G6" s="198">
        <f t="shared" si="2"/>
        <v>-2.4257527569172543E-3</v>
      </c>
      <c r="H6" s="216">
        <f>SUM('LE ShareUEC'!$M6:$T6,'LE ShareUEC'!$V6:$W6)</f>
        <v>7212.4414727457279</v>
      </c>
      <c r="I6" s="198">
        <f t="shared" si="2"/>
        <v>2.5992307060783704E-2</v>
      </c>
      <c r="J6" s="216" t="e">
        <f t="shared" si="0"/>
        <v>#DIV/0!</v>
      </c>
      <c r="K6" s="198" t="e">
        <f t="shared" si="3"/>
        <v>#DIV/0!</v>
      </c>
      <c r="L6" s="217"/>
      <c r="M6" s="216"/>
      <c r="N6" s="24"/>
      <c r="O6" s="36"/>
      <c r="P6" s="198"/>
      <c r="Q6" s="36"/>
      <c r="R6" s="198"/>
      <c r="S6" s="36"/>
      <c r="T6" s="198"/>
      <c r="U6" s="36"/>
      <c r="V6" s="198"/>
      <c r="W6" s="36"/>
      <c r="X6" s="198"/>
    </row>
    <row r="7" spans="1:24" x14ac:dyDescent="0.2">
      <c r="A7" s="192">
        <f t="shared" si="1"/>
        <v>2000</v>
      </c>
      <c r="B7" s="216">
        <f>SUM('LE ShareUEC'!$D7:$G7,'LE ShareUEC'!$U7)</f>
        <v>1776.59937824708</v>
      </c>
      <c r="C7" s="202">
        <f t="shared" si="2"/>
        <v>4.4475912648156424E-4</v>
      </c>
      <c r="D7" s="216">
        <f>SUM('LE ShareUEC'!$H7:$K7)</f>
        <v>4287.7281054939704</v>
      </c>
      <c r="E7" s="202">
        <f t="shared" si="2"/>
        <v>-2.0661157769940486E-2</v>
      </c>
      <c r="F7" s="216">
        <f>'LE ShareUEC'!$L7</f>
        <v>2166.5787635986749</v>
      </c>
      <c r="G7" s="202">
        <f t="shared" si="2"/>
        <v>-2.4198827197382533E-3</v>
      </c>
      <c r="H7" s="216">
        <f>SUM('LE ShareUEC'!$M7:$T7,'LE ShareUEC'!$V7:$W7)</f>
        <v>7395.6387895585831</v>
      </c>
      <c r="I7" s="202">
        <f t="shared" si="2"/>
        <v>2.5400180716213638E-2</v>
      </c>
      <c r="J7" s="216" t="e">
        <f t="shared" si="0"/>
        <v>#DIV/0!</v>
      </c>
      <c r="K7" s="202" t="e">
        <f t="shared" si="3"/>
        <v>#DIV/0!</v>
      </c>
      <c r="L7" s="217"/>
      <c r="M7" s="216"/>
      <c r="N7" s="24"/>
      <c r="O7" s="36"/>
      <c r="P7" s="202"/>
      <c r="Q7" s="36"/>
      <c r="R7" s="202"/>
      <c r="S7" s="36"/>
      <c r="T7" s="202"/>
      <c r="U7" s="36"/>
      <c r="V7" s="202"/>
      <c r="W7" s="36"/>
      <c r="X7" s="202"/>
    </row>
    <row r="8" spans="1:24" x14ac:dyDescent="0.2">
      <c r="A8" s="192">
        <f t="shared" si="1"/>
        <v>2001</v>
      </c>
      <c r="B8" s="216">
        <f>SUM('LE ShareUEC'!$D8:$G8,'LE ShareUEC'!$U8)</f>
        <v>1776.9513265098576</v>
      </c>
      <c r="C8" s="202">
        <f t="shared" si="2"/>
        <v>1.9810220980986948E-4</v>
      </c>
      <c r="D8" s="216">
        <f>SUM('LE ShareUEC'!$H8:$K8)</f>
        <v>4200.3364704339574</v>
      </c>
      <c r="E8" s="202">
        <f t="shared" si="2"/>
        <v>-2.0381804281861093E-2</v>
      </c>
      <c r="F8" s="216">
        <f>'LE ShareUEC'!$L8</f>
        <v>2161.3485535825289</v>
      </c>
      <c r="G8" s="202">
        <f t="shared" si="2"/>
        <v>-2.4140410235806709E-3</v>
      </c>
      <c r="H8" s="216">
        <f>SUM('LE ShareUEC'!$M8:$T8,'LE ShareUEC'!$V8:$W8)</f>
        <v>7579.5379902329923</v>
      </c>
      <c r="I8" s="202">
        <f t="shared" si="2"/>
        <v>2.4865898120125074E-2</v>
      </c>
      <c r="J8" s="216" t="e">
        <f t="shared" si="0"/>
        <v>#DIV/0!</v>
      </c>
      <c r="K8" s="202" t="e">
        <f t="shared" si="3"/>
        <v>#DIV/0!</v>
      </c>
      <c r="L8" s="217"/>
      <c r="M8" s="216"/>
      <c r="N8" s="24"/>
      <c r="O8" s="36"/>
      <c r="P8" s="202"/>
      <c r="Q8" s="36"/>
      <c r="R8" s="202"/>
      <c r="S8" s="36"/>
      <c r="T8" s="202"/>
      <c r="U8" s="36"/>
      <c r="V8" s="202"/>
      <c r="W8" s="36"/>
      <c r="X8" s="202"/>
    </row>
    <row r="9" spans="1:24" x14ac:dyDescent="0.2">
      <c r="A9" s="192">
        <f t="shared" si="1"/>
        <v>2002</v>
      </c>
      <c r="B9" s="216">
        <f>SUM('LE ShareUEC'!$D9:$G9,'LE ShareUEC'!$U9)</f>
        <v>1776.9417584979551</v>
      </c>
      <c r="C9" s="202">
        <f t="shared" si="2"/>
        <v>-5.3845098398896951E-6</v>
      </c>
      <c r="D9" s="216">
        <f>SUM('LE ShareUEC'!$H9:$K9)</f>
        <v>4115.8293659259998</v>
      </c>
      <c r="E9" s="202">
        <f t="shared" si="2"/>
        <v>-2.0119127384865654E-2</v>
      </c>
      <c r="F9" s="216">
        <f>'LE ShareUEC'!$L9</f>
        <v>2156.1435346371863</v>
      </c>
      <c r="G9" s="202">
        <f t="shared" si="2"/>
        <v>-2.4082274636892942E-3</v>
      </c>
      <c r="H9" s="216">
        <f>SUM('LE ShareUEC'!$M9:$T9,'LE ShareUEC'!$V9:$W9)</f>
        <v>7763.6959130620498</v>
      </c>
      <c r="I9" s="202">
        <f t="shared" si="2"/>
        <v>2.4296721392037757E-2</v>
      </c>
      <c r="J9" s="216" t="e">
        <f t="shared" si="0"/>
        <v>#DIV/0!</v>
      </c>
      <c r="K9" s="202" t="e">
        <f t="shared" si="3"/>
        <v>#DIV/0!</v>
      </c>
      <c r="L9" s="217"/>
      <c r="M9" s="216"/>
      <c r="N9" s="24"/>
      <c r="O9" s="36"/>
      <c r="P9" s="202"/>
      <c r="Q9" s="36"/>
      <c r="R9" s="202"/>
      <c r="S9" s="36"/>
      <c r="T9" s="202"/>
      <c r="U9" s="36"/>
      <c r="V9" s="202"/>
      <c r="W9" s="36"/>
      <c r="X9" s="202"/>
    </row>
    <row r="10" spans="1:24" x14ac:dyDescent="0.2">
      <c r="A10" s="192">
        <f t="shared" si="1"/>
        <v>2003</v>
      </c>
      <c r="B10" s="216">
        <f>SUM('LE ShareUEC'!$D10:$G10,'LE ShareUEC'!$U10)</f>
        <v>1776.6587138913542</v>
      </c>
      <c r="C10" s="202">
        <f t="shared" si="2"/>
        <v>-1.5928749788640673E-4</v>
      </c>
      <c r="D10" s="216">
        <f>SUM('LE ShareUEC'!$H10:$K10)</f>
        <v>4034.038200972499</v>
      </c>
      <c r="E10" s="202">
        <f t="shared" si="2"/>
        <v>-1.987234107191882E-2</v>
      </c>
      <c r="F10" s="216">
        <f>'LE ShareUEC'!$L10</f>
        <v>2150.9635252024</v>
      </c>
      <c r="G10" s="202">
        <f t="shared" si="2"/>
        <v>-2.4024418372768919E-3</v>
      </c>
      <c r="H10" s="216">
        <f>SUM('LE ShareUEC'!$M10:$T10,'LE ShareUEC'!$V10:$W10)</f>
        <v>7948.3324401684004</v>
      </c>
      <c r="I10" s="202">
        <f t="shared" si="2"/>
        <v>2.3782040045606134E-2</v>
      </c>
      <c r="J10" s="216" t="e">
        <f t="shared" si="0"/>
        <v>#DIV/0!</v>
      </c>
      <c r="K10" s="202" t="e">
        <f t="shared" si="3"/>
        <v>#DIV/0!</v>
      </c>
      <c r="L10" s="217"/>
      <c r="M10" s="216"/>
      <c r="N10" s="24"/>
      <c r="O10" s="36"/>
      <c r="P10" s="202"/>
      <c r="Q10" s="36"/>
      <c r="R10" s="202"/>
      <c r="S10" s="36"/>
      <c r="T10" s="202"/>
      <c r="U10" s="36"/>
      <c r="V10" s="202"/>
      <c r="W10" s="36"/>
      <c r="X10" s="202"/>
    </row>
    <row r="11" spans="1:24" x14ac:dyDescent="0.2">
      <c r="A11" s="192">
        <f t="shared" si="1"/>
        <v>2004</v>
      </c>
      <c r="B11" s="216">
        <f>SUM('LE ShareUEC'!$D11:$G11,'LE ShareUEC'!$U11)</f>
        <v>1732.0381333711823</v>
      </c>
      <c r="C11" s="202">
        <f t="shared" si="2"/>
        <v>-2.5114885695993294E-2</v>
      </c>
      <c r="D11" s="216">
        <f>SUM('LE ShareUEC'!$H11:$K11)</f>
        <v>4010.9292218196492</v>
      </c>
      <c r="E11" s="202">
        <f t="shared" si="2"/>
        <v>-5.7284978479575921E-3</v>
      </c>
      <c r="F11" s="216">
        <f>'LE ShareUEC'!$L11</f>
        <v>2145.8083454584935</v>
      </c>
      <c r="G11" s="202">
        <f t="shared" si="2"/>
        <v>-2.3966839434998999E-3</v>
      </c>
      <c r="H11" s="216">
        <f>SUM('LE ShareUEC'!$M11:$T11,'LE ShareUEC'!$V11:$W11)</f>
        <v>8133.4475715520439</v>
      </c>
      <c r="I11" s="202">
        <f t="shared" si="2"/>
        <v>2.3289807362375736E-2</v>
      </c>
      <c r="J11" s="216" t="e">
        <f t="shared" si="0"/>
        <v>#DIV/0!</v>
      </c>
      <c r="K11" s="202" t="e">
        <f t="shared" si="3"/>
        <v>#DIV/0!</v>
      </c>
      <c r="L11" s="217"/>
      <c r="M11" s="216"/>
      <c r="N11" s="24"/>
      <c r="O11" s="36"/>
      <c r="P11" s="202"/>
      <c r="Q11" s="36"/>
      <c r="R11" s="202"/>
      <c r="S11" s="36"/>
      <c r="T11" s="202"/>
      <c r="U11" s="36"/>
      <c r="V11" s="202"/>
      <c r="W11" s="36"/>
      <c r="X11" s="202"/>
    </row>
    <row r="12" spans="1:24" x14ac:dyDescent="0.2">
      <c r="A12" s="192">
        <f t="shared" si="1"/>
        <v>2005</v>
      </c>
      <c r="B12" s="216">
        <f>SUM('LE ShareUEC'!$D12:$G12,'LE ShareUEC'!$U12)</f>
        <v>1687.3790475675842</v>
      </c>
      <c r="C12" s="202">
        <f t="shared" si="2"/>
        <v>-2.5784123884544763E-2</v>
      </c>
      <c r="D12" s="216">
        <f>SUM('LE ShareUEC'!$H12:$K12)</f>
        <v>3989.7224044573591</v>
      </c>
      <c r="E12" s="202">
        <f t="shared" si="2"/>
        <v>-5.2872579368701267E-3</v>
      </c>
      <c r="F12" s="216">
        <f>'LE ShareUEC'!$L12</f>
        <v>2140.6778173055504</v>
      </c>
      <c r="G12" s="202">
        <f t="shared" si="2"/>
        <v>-2.3909535834369944E-3</v>
      </c>
      <c r="H12" s="216">
        <f>SUM('LE ShareUEC'!$M12:$T12,'LE ShareUEC'!$V12:$W12)</f>
        <v>8319.9325980541762</v>
      </c>
      <c r="I12" s="202">
        <f t="shared" si="2"/>
        <v>2.2928164823289965E-2</v>
      </c>
      <c r="J12" s="216" t="e">
        <f t="shared" si="0"/>
        <v>#DIV/0!</v>
      </c>
      <c r="K12" s="202" t="e">
        <f t="shared" si="3"/>
        <v>#DIV/0!</v>
      </c>
      <c r="L12" s="217"/>
      <c r="M12" s="216"/>
      <c r="N12" s="24"/>
      <c r="O12" s="36"/>
      <c r="P12" s="202"/>
      <c r="Q12" s="36"/>
      <c r="R12" s="202"/>
      <c r="S12" s="36"/>
      <c r="T12" s="202"/>
      <c r="U12" s="36"/>
      <c r="V12" s="202"/>
      <c r="W12" s="36"/>
      <c r="X12" s="202"/>
    </row>
    <row r="13" spans="1:24" x14ac:dyDescent="0.2">
      <c r="A13" s="192">
        <f t="shared" si="1"/>
        <v>2006</v>
      </c>
      <c r="B13" s="216">
        <f>SUM('LE ShareUEC'!$D13:$G13,'LE ShareUEC'!$U13)</f>
        <v>1634.0555178039913</v>
      </c>
      <c r="C13" s="202">
        <f t="shared" si="2"/>
        <v>-3.1601393794986721E-2</v>
      </c>
      <c r="D13" s="216">
        <f>SUM('LE ShareUEC'!$H13:$K13)</f>
        <v>3969.4349458086849</v>
      </c>
      <c r="E13" s="202">
        <f t="shared" si="2"/>
        <v>-5.0849298753238292E-3</v>
      </c>
      <c r="F13" s="216">
        <f>'LE ShareUEC'!$L13</f>
        <v>2135.1639221167197</v>
      </c>
      <c r="G13" s="202">
        <f t="shared" si="2"/>
        <v>-2.5757706948030812E-3</v>
      </c>
      <c r="H13" s="216">
        <f>SUM('LE ShareUEC'!$M13:$T13,'LE ShareUEC'!$V13:$W13)</f>
        <v>8517.4533770702292</v>
      </c>
      <c r="I13" s="202">
        <f t="shared" si="2"/>
        <v>2.3740670574933231E-2</v>
      </c>
      <c r="J13" s="216" t="e">
        <f t="shared" si="0"/>
        <v>#DIV/0!</v>
      </c>
      <c r="K13" s="202" t="e">
        <f t="shared" si="3"/>
        <v>#DIV/0!</v>
      </c>
      <c r="L13" s="217"/>
      <c r="M13" s="216"/>
      <c r="N13" s="24"/>
      <c r="O13" s="36"/>
      <c r="P13" s="202"/>
      <c r="Q13" s="36"/>
      <c r="R13" s="202"/>
      <c r="S13" s="36"/>
      <c r="T13" s="202"/>
      <c r="U13" s="36"/>
      <c r="V13" s="202"/>
      <c r="W13" s="36"/>
      <c r="X13" s="202"/>
    </row>
    <row r="14" spans="1:24" x14ac:dyDescent="0.2">
      <c r="A14" s="192">
        <f t="shared" si="1"/>
        <v>2007</v>
      </c>
      <c r="B14" s="216">
        <f>SUM('LE ShareUEC'!$D14:$G14,'LE ShareUEC'!$U14)</f>
        <v>1579.4489640907814</v>
      </c>
      <c r="C14" s="202">
        <f t="shared" si="2"/>
        <v>-3.3417808096627977E-2</v>
      </c>
      <c r="D14" s="216">
        <f>SUM('LE ShareUEC'!$H14:$K14)</f>
        <v>3942.509189663851</v>
      </c>
      <c r="E14" s="202">
        <f t="shared" si="2"/>
        <v>-6.7832718037776907E-3</v>
      </c>
      <c r="F14" s="216">
        <f>'LE ShareUEC'!$L14</f>
        <v>2129.6642294575308</v>
      </c>
      <c r="G14" s="202">
        <f t="shared" si="2"/>
        <v>-2.5757706948029702E-3</v>
      </c>
      <c r="H14" s="216">
        <f>SUM('LE ShareUEC'!$M14:$T14,'LE ShareUEC'!$V14:$W14)</f>
        <v>8777.026781166529</v>
      </c>
      <c r="I14" s="202">
        <f t="shared" si="2"/>
        <v>3.0475471083304617E-2</v>
      </c>
      <c r="J14" s="216" t="e">
        <f t="shared" si="0"/>
        <v>#DIV/0!</v>
      </c>
      <c r="K14" s="202" t="e">
        <f t="shared" si="3"/>
        <v>#DIV/0!</v>
      </c>
      <c r="L14" s="217"/>
      <c r="M14" s="216"/>
      <c r="N14" s="24"/>
      <c r="O14" s="36"/>
      <c r="P14" s="202"/>
      <c r="Q14" s="36"/>
      <c r="R14" s="202"/>
      <c r="S14" s="36"/>
      <c r="T14" s="202"/>
      <c r="U14" s="36"/>
      <c r="V14" s="202"/>
      <c r="W14" s="36"/>
      <c r="X14" s="202"/>
    </row>
    <row r="15" spans="1:24" x14ac:dyDescent="0.2">
      <c r="A15" s="192">
        <f t="shared" si="1"/>
        <v>2008</v>
      </c>
      <c r="B15" s="216">
        <f>SUM('LE ShareUEC'!$D15:$G15,'LE ShareUEC'!$U15)</f>
        <v>1731.6428170890447</v>
      </c>
      <c r="C15" s="202">
        <f t="shared" si="2"/>
        <v>9.6358829223630149E-2</v>
      </c>
      <c r="D15" s="216">
        <f>SUM('LE ShareUEC'!$H15:$K15)</f>
        <v>4071.7122631501629</v>
      </c>
      <c r="E15" s="202">
        <f t="shared" si="2"/>
        <v>3.2771787526848728E-2</v>
      </c>
      <c r="F15" s="216">
        <f>'LE ShareUEC'!$L15</f>
        <v>2406.2113757379757</v>
      </c>
      <c r="G15" s="202">
        <f t="shared" si="2"/>
        <v>0.12985481112714514</v>
      </c>
      <c r="H15" s="216">
        <f>SUM('LE ShareUEC'!$M15:$T15,'LE ShareUEC'!$V15:$W15)</f>
        <v>8941.7567038356756</v>
      </c>
      <c r="I15" s="202">
        <f t="shared" si="2"/>
        <v>1.8768305802896679E-2</v>
      </c>
      <c r="J15" s="216" t="e">
        <f t="shared" si="0"/>
        <v>#DIV/0!</v>
      </c>
      <c r="K15" s="202" t="e">
        <f t="shared" si="3"/>
        <v>#DIV/0!</v>
      </c>
      <c r="L15" s="217"/>
      <c r="M15" s="216"/>
      <c r="N15" s="24"/>
      <c r="O15" s="36"/>
      <c r="P15" s="202"/>
      <c r="Q15" s="36"/>
      <c r="R15" s="202"/>
      <c r="S15" s="36"/>
      <c r="T15" s="202"/>
      <c r="U15" s="36"/>
      <c r="V15" s="202"/>
      <c r="W15" s="36"/>
      <c r="X15" s="202"/>
    </row>
    <row r="16" spans="1:24" x14ac:dyDescent="0.2">
      <c r="A16" s="192">
        <f t="shared" si="1"/>
        <v>2009</v>
      </c>
      <c r="B16" s="216">
        <f>SUM('LE ShareUEC'!$D16:$G16,'LE ShareUEC'!$U16)</f>
        <v>1872.7876457488524</v>
      </c>
      <c r="C16" s="202">
        <f t="shared" si="2"/>
        <v>8.1509204592825624E-2</v>
      </c>
      <c r="D16" s="216">
        <f>SUM('LE ShareUEC'!$H16:$K16)</f>
        <v>4153.804483401268</v>
      </c>
      <c r="E16" s="202">
        <f t="shared" si="2"/>
        <v>2.0161596631976364E-2</v>
      </c>
      <c r="F16" s="216">
        <f>'LE ShareUEC'!$L16</f>
        <v>2677.8290439193443</v>
      </c>
      <c r="G16" s="202">
        <f t="shared" si="2"/>
        <v>0.11288188183303904</v>
      </c>
      <c r="H16" s="216">
        <f>SUM('LE ShareUEC'!$M16:$W16)</f>
        <v>9623.3933439763532</v>
      </c>
      <c r="I16" s="202">
        <f t="shared" si="2"/>
        <v>7.623072990213231E-2</v>
      </c>
      <c r="J16" s="216" t="e">
        <f t="shared" si="0"/>
        <v>#DIV/0!</v>
      </c>
      <c r="K16" s="202" t="e">
        <f t="shared" si="3"/>
        <v>#DIV/0!</v>
      </c>
      <c r="L16" s="217"/>
      <c r="M16" s="216"/>
      <c r="N16" s="24"/>
      <c r="O16" s="36"/>
      <c r="P16" s="202"/>
      <c r="Q16" s="36"/>
      <c r="R16" s="202"/>
      <c r="S16" s="36"/>
      <c r="T16" s="202"/>
      <c r="U16" s="36"/>
      <c r="V16" s="202"/>
      <c r="W16" s="36"/>
      <c r="X16" s="202"/>
    </row>
    <row r="17" spans="1:24" x14ac:dyDescent="0.2">
      <c r="A17" s="192">
        <f t="shared" si="1"/>
        <v>2010</v>
      </c>
      <c r="B17" s="216">
        <f>SUM('LE ShareUEC'!$D17:$G17,'LE ShareUEC'!$U17)</f>
        <v>2016.910909084992</v>
      </c>
      <c r="C17" s="202">
        <f t="shared" si="2"/>
        <v>7.6956543184857784E-2</v>
      </c>
      <c r="D17" s="216">
        <f>SUM('LE ShareUEC'!$H17:$K17)</f>
        <v>4245.5690496783291</v>
      </c>
      <c r="E17" s="202">
        <f t="shared" si="2"/>
        <v>2.2091691278141479E-2</v>
      </c>
      <c r="F17" s="216">
        <f>'LE ShareUEC'!$L17</f>
        <v>2949.8413471031049</v>
      </c>
      <c r="G17" s="202">
        <f t="shared" si="2"/>
        <v>0.10157941329429909</v>
      </c>
      <c r="H17" s="216">
        <f>SUM('LE ShareUEC'!$M17:$W17)</f>
        <v>9701.3858624422301</v>
      </c>
      <c r="I17" s="202">
        <f t="shared" si="2"/>
        <v>8.1044716430191954E-3</v>
      </c>
      <c r="J17" s="216" t="e">
        <f t="shared" si="0"/>
        <v>#DIV/0!</v>
      </c>
      <c r="K17" s="202" t="e">
        <f t="shared" si="3"/>
        <v>#DIV/0!</v>
      </c>
      <c r="L17" s="217"/>
      <c r="M17" s="216"/>
      <c r="N17" s="24"/>
      <c r="O17" s="36"/>
      <c r="P17" s="202"/>
      <c r="Q17" s="36"/>
      <c r="R17" s="202"/>
      <c r="S17" s="36"/>
      <c r="T17" s="202"/>
      <c r="U17" s="36"/>
      <c r="V17" s="202"/>
      <c r="W17" s="36"/>
      <c r="X17" s="202"/>
    </row>
    <row r="18" spans="1:24" x14ac:dyDescent="0.2">
      <c r="A18" s="192">
        <f t="shared" si="1"/>
        <v>2011</v>
      </c>
      <c r="B18" s="216">
        <f>SUM('LE ShareUEC'!$D18:$G18,'LE ShareUEC'!$U18)</f>
        <v>2036.754482810707</v>
      </c>
      <c r="C18" s="202">
        <f t="shared" si="2"/>
        <v>9.8385970527163913E-3</v>
      </c>
      <c r="D18" s="216">
        <f>SUM('LE ShareUEC'!$H18:$K18)</f>
        <v>4359.218990419824</v>
      </c>
      <c r="E18" s="202">
        <f t="shared" si="2"/>
        <v>2.6769071333348382E-2</v>
      </c>
      <c r="F18" s="216">
        <f>'LE ShareUEC'!$L18</f>
        <v>2959.0090050906174</v>
      </c>
      <c r="G18" s="202">
        <f t="shared" si="2"/>
        <v>3.1078478157868794E-3</v>
      </c>
      <c r="H18" s="216">
        <f>SUM('LE ShareUEC'!$M18:$W18)</f>
        <v>9550.8670509657095</v>
      </c>
      <c r="I18" s="202">
        <f t="shared" si="2"/>
        <v>-1.5515186552803373E-2</v>
      </c>
      <c r="J18" s="216" t="e">
        <f t="shared" si="0"/>
        <v>#DIV/0!</v>
      </c>
      <c r="K18" s="202" t="e">
        <f t="shared" si="3"/>
        <v>#DIV/0!</v>
      </c>
      <c r="L18" s="217"/>
      <c r="M18" s="216"/>
      <c r="N18" s="24"/>
      <c r="O18" s="36"/>
      <c r="P18" s="202"/>
      <c r="Q18" s="36"/>
      <c r="R18" s="202"/>
      <c r="S18" s="36"/>
      <c r="T18" s="202"/>
      <c r="U18" s="36"/>
      <c r="V18" s="202"/>
      <c r="W18" s="36"/>
      <c r="X18" s="202"/>
    </row>
    <row r="19" spans="1:24" x14ac:dyDescent="0.2">
      <c r="A19" s="192">
        <f t="shared" si="1"/>
        <v>2012</v>
      </c>
      <c r="B19" s="216">
        <f>SUM('LE ShareUEC'!$D19:$G19,'LE ShareUEC'!$U19)</f>
        <v>2045.523277983923</v>
      </c>
      <c r="C19" s="198">
        <f t="shared" si="2"/>
        <v>4.3052784453014858E-3</v>
      </c>
      <c r="D19" s="216">
        <f>SUM('LE ShareUEC'!$H19:$K19)</f>
        <v>4419.406662192956</v>
      </c>
      <c r="E19" s="198">
        <f t="shared" si="2"/>
        <v>1.3806985128621774E-2</v>
      </c>
      <c r="F19" s="216">
        <f>'LE ShareUEC'!$L19</f>
        <v>2965.105973717863</v>
      </c>
      <c r="G19" s="198">
        <f t="shared" si="2"/>
        <v>2.0604765368257283E-3</v>
      </c>
      <c r="H19" s="216">
        <f>SUM('LE ShareUEC'!$M19:$W19)</f>
        <v>9597.9962786419837</v>
      </c>
      <c r="I19" s="198">
        <f t="shared" si="2"/>
        <v>4.9345496513333309E-3</v>
      </c>
      <c r="J19" s="216" t="e">
        <f t="shared" si="0"/>
        <v>#DIV/0!</v>
      </c>
      <c r="K19" s="198" t="e">
        <f t="shared" si="3"/>
        <v>#DIV/0!</v>
      </c>
      <c r="L19" s="217"/>
      <c r="M19" s="216"/>
      <c r="N19" s="24"/>
      <c r="O19" s="36"/>
      <c r="P19" s="198"/>
      <c r="Q19" s="36"/>
      <c r="R19" s="198"/>
      <c r="S19" s="36"/>
      <c r="T19" s="198"/>
      <c r="U19" s="36"/>
      <c r="V19" s="198"/>
      <c r="W19" s="36"/>
      <c r="X19" s="198"/>
    </row>
    <row r="20" spans="1:24" x14ac:dyDescent="0.2">
      <c r="A20" s="192">
        <f t="shared" si="1"/>
        <v>2013</v>
      </c>
      <c r="B20" s="216">
        <f>SUM('LE ShareUEC'!$D20:$G20,'LE ShareUEC'!$U20)</f>
        <v>2054.2604543225425</v>
      </c>
      <c r="C20" s="198">
        <f t="shared" si="2"/>
        <v>4.2713649033760959E-3</v>
      </c>
      <c r="D20" s="216">
        <f>SUM('LE ShareUEC'!$H20:$K20)</f>
        <v>4485.6817516981555</v>
      </c>
      <c r="E20" s="198">
        <f t="shared" si="2"/>
        <v>1.4996377244974601E-2</v>
      </c>
      <c r="F20" s="216">
        <f>'LE ShareUEC'!$L20</f>
        <v>2970.6526365720238</v>
      </c>
      <c r="G20" s="198">
        <f t="shared" si="2"/>
        <v>1.8706457385757602E-3</v>
      </c>
      <c r="H20" s="216">
        <f>SUM('LE ShareUEC'!$M20:$W20)</f>
        <v>9332.2308222272004</v>
      </c>
      <c r="I20" s="198">
        <f t="shared" si="2"/>
        <v>-2.7689681127109789E-2</v>
      </c>
      <c r="J20" s="216" t="e">
        <f t="shared" si="0"/>
        <v>#DIV/0!</v>
      </c>
      <c r="K20" s="198" t="e">
        <f t="shared" si="3"/>
        <v>#DIV/0!</v>
      </c>
      <c r="L20" s="225"/>
      <c r="M20" s="216"/>
      <c r="N20" s="24"/>
      <c r="O20" s="36"/>
      <c r="P20" s="198"/>
      <c r="Q20" s="36"/>
      <c r="R20" s="198"/>
      <c r="S20" s="36"/>
      <c r="T20" s="198"/>
      <c r="U20" s="36"/>
      <c r="V20" s="198"/>
      <c r="W20" s="36"/>
      <c r="X20" s="198"/>
    </row>
    <row r="21" spans="1:24" x14ac:dyDescent="0.2">
      <c r="A21" s="192">
        <f t="shared" si="1"/>
        <v>2014</v>
      </c>
      <c r="B21" s="216">
        <f>SUM('LE ShareUEC'!$D21:$G21,'LE ShareUEC'!$U21)</f>
        <v>2062.1242019507058</v>
      </c>
      <c r="C21" s="198">
        <f t="shared" si="2"/>
        <v>3.8280187946062583E-3</v>
      </c>
      <c r="D21" s="216">
        <f>SUM('LE ShareUEC'!$H21:$K21)</f>
        <v>4543.331346588423</v>
      </c>
      <c r="E21" s="198">
        <f t="shared" si="2"/>
        <v>1.285191372937744E-2</v>
      </c>
      <c r="F21" s="216">
        <f>'LE ShareUEC'!$L21</f>
        <v>2975.7905010149143</v>
      </c>
      <c r="G21" s="198">
        <f t="shared" si="2"/>
        <v>1.7295406334747465E-3</v>
      </c>
      <c r="H21" s="216">
        <f>SUM('LE ShareUEC'!$M21:$W21)</f>
        <v>9261.0914809367932</v>
      </c>
      <c r="I21" s="198">
        <f t="shared" si="2"/>
        <v>-7.6229727538424941E-3</v>
      </c>
      <c r="J21" s="216" t="e">
        <f t="shared" si="0"/>
        <v>#DIV/0!</v>
      </c>
      <c r="K21" s="198" t="e">
        <f t="shared" si="3"/>
        <v>#DIV/0!</v>
      </c>
      <c r="L21" s="217"/>
      <c r="M21" s="216"/>
      <c r="N21" s="24"/>
      <c r="O21" s="36"/>
      <c r="P21" s="198"/>
      <c r="Q21" s="36"/>
      <c r="R21" s="198"/>
      <c r="S21" s="36"/>
      <c r="T21" s="198"/>
      <c r="U21" s="36"/>
      <c r="V21" s="198"/>
      <c r="W21" s="36"/>
      <c r="X21" s="198"/>
    </row>
    <row r="22" spans="1:24" x14ac:dyDescent="0.2">
      <c r="A22" s="192">
        <f t="shared" si="1"/>
        <v>2015</v>
      </c>
      <c r="B22" s="216">
        <f>SUM('LE ShareUEC'!$D22:$G22,'LE ShareUEC'!$U22)</f>
        <v>2060.612403638846</v>
      </c>
      <c r="C22" s="198">
        <f t="shared" si="2"/>
        <v>-7.3312670033631733E-4</v>
      </c>
      <c r="D22" s="216">
        <f>SUM('LE ShareUEC'!$H22:$K22)</f>
        <v>4551.3104705461119</v>
      </c>
      <c r="E22" s="198">
        <f t="shared" si="2"/>
        <v>1.7562276111955377E-3</v>
      </c>
      <c r="F22" s="216">
        <f>'LE ShareUEC'!$L22</f>
        <v>2939.8082687150636</v>
      </c>
      <c r="G22" s="198">
        <f t="shared" si="2"/>
        <v>-1.2091655070334606E-2</v>
      </c>
      <c r="H22" s="216">
        <f>SUM('LE ShareUEC'!$M22:$W22)</f>
        <v>9232.0379367664154</v>
      </c>
      <c r="I22" s="198">
        <f t="shared" si="2"/>
        <v>-3.1371619889709601E-3</v>
      </c>
      <c r="J22" s="216" t="e">
        <f t="shared" si="0"/>
        <v>#DIV/0!</v>
      </c>
      <c r="K22" s="198" t="e">
        <f t="shared" si="3"/>
        <v>#DIV/0!</v>
      </c>
      <c r="L22" s="217"/>
      <c r="M22" s="216"/>
      <c r="N22" s="24"/>
      <c r="O22" s="36"/>
      <c r="P22" s="198"/>
      <c r="Q22" s="36"/>
      <c r="R22" s="198"/>
      <c r="S22" s="36"/>
      <c r="T22" s="198"/>
      <c r="U22" s="36"/>
      <c r="V22" s="198"/>
      <c r="W22" s="36"/>
      <c r="X22" s="198"/>
    </row>
    <row r="23" spans="1:24" x14ac:dyDescent="0.2">
      <c r="A23" s="192">
        <f t="shared" si="1"/>
        <v>2016</v>
      </c>
      <c r="B23" s="216">
        <f>SUM('LE ShareUEC'!$D23:$G23,'LE ShareUEC'!$U23)</f>
        <v>2064.544085214337</v>
      </c>
      <c r="C23" s="198">
        <f t="shared" si="2"/>
        <v>1.9080160677222846E-3</v>
      </c>
      <c r="D23" s="216">
        <f>SUM('LE ShareUEC'!$H23:$K23)</f>
        <v>4586.1722507292134</v>
      </c>
      <c r="E23" s="198">
        <f t="shared" si="2"/>
        <v>7.659723591416201E-3</v>
      </c>
      <c r="F23" s="216">
        <f>'LE ShareUEC'!$L23</f>
        <v>2926.6715725433451</v>
      </c>
      <c r="G23" s="198">
        <f t="shared" si="2"/>
        <v>-4.4685554195887933E-3</v>
      </c>
      <c r="H23" s="216">
        <f>SUM('LE ShareUEC'!$M23:$W23)</f>
        <v>9256.7596450729598</v>
      </c>
      <c r="I23" s="198">
        <f t="shared" si="2"/>
        <v>2.6778170189369899E-3</v>
      </c>
      <c r="J23" s="216" t="e">
        <f t="shared" si="0"/>
        <v>#DIV/0!</v>
      </c>
      <c r="K23" s="198" t="e">
        <f t="shared" si="3"/>
        <v>#DIV/0!</v>
      </c>
      <c r="L23" s="217"/>
      <c r="M23" s="216"/>
      <c r="N23" s="24"/>
      <c r="O23" s="36"/>
      <c r="P23" s="198"/>
      <c r="Q23" s="36"/>
      <c r="R23" s="198"/>
      <c r="S23" s="36"/>
      <c r="T23" s="198"/>
      <c r="U23" s="36"/>
      <c r="V23" s="198"/>
      <c r="W23" s="36"/>
      <c r="X23" s="198"/>
    </row>
    <row r="24" spans="1:24" x14ac:dyDescent="0.2">
      <c r="A24" s="192">
        <f t="shared" si="1"/>
        <v>2017</v>
      </c>
      <c r="B24" s="216">
        <f>SUM('LE ShareUEC'!$D24:$G24,'LE ShareUEC'!$U24)</f>
        <v>2066.0088574473307</v>
      </c>
      <c r="C24" s="198">
        <f t="shared" si="2"/>
        <v>7.0948944296422845E-4</v>
      </c>
      <c r="D24" s="216">
        <f>SUM('LE ShareUEC'!$H24:$K24)</f>
        <v>4621.5336852980681</v>
      </c>
      <c r="E24" s="198">
        <f t="shared" si="2"/>
        <v>7.7104462361248238E-3</v>
      </c>
      <c r="F24" s="216">
        <f>'LE ShareUEC'!$L24</f>
        <v>2914.4835080081775</v>
      </c>
      <c r="G24" s="198">
        <f t="shared" si="2"/>
        <v>-4.1644797624408314E-3</v>
      </c>
      <c r="H24" s="216">
        <f>SUM('LE ShareUEC'!$M24:$W24)</f>
        <v>9213.4177827029944</v>
      </c>
      <c r="I24" s="198">
        <f t="shared" si="2"/>
        <v>-4.6821851308448403E-3</v>
      </c>
      <c r="J24" s="216" t="e">
        <f t="shared" si="0"/>
        <v>#DIV/0!</v>
      </c>
      <c r="K24" s="198" t="e">
        <f t="shared" si="3"/>
        <v>#DIV/0!</v>
      </c>
      <c r="L24" s="217"/>
      <c r="M24" s="216"/>
      <c r="N24" s="24"/>
      <c r="O24" s="36"/>
      <c r="P24" s="198"/>
      <c r="Q24" s="36"/>
      <c r="R24" s="198"/>
      <c r="S24" s="36"/>
      <c r="T24" s="198"/>
      <c r="U24" s="36"/>
      <c r="V24" s="198"/>
      <c r="W24" s="36"/>
      <c r="X24" s="198"/>
    </row>
    <row r="25" spans="1:24" x14ac:dyDescent="0.2">
      <c r="A25" s="192">
        <f t="shared" si="1"/>
        <v>2018</v>
      </c>
      <c r="B25" s="216">
        <f>SUM('LE ShareUEC'!$D25:$G25,'LE ShareUEC'!$U25)</f>
        <v>2068.4459525463067</v>
      </c>
      <c r="C25" s="198">
        <f t="shared" si="2"/>
        <v>1.1796150293310603E-3</v>
      </c>
      <c r="D25" s="216">
        <f>SUM('LE ShareUEC'!$H25:$K25)</f>
        <v>4658.5823283341542</v>
      </c>
      <c r="E25" s="198">
        <f t="shared" si="2"/>
        <v>8.0165255862885143E-3</v>
      </c>
      <c r="F25" s="216">
        <f>'LE ShareUEC'!$L25</f>
        <v>2901.8850559952539</v>
      </c>
      <c r="G25" s="198">
        <f t="shared" si="2"/>
        <v>-4.3227048560428027E-3</v>
      </c>
      <c r="H25" s="216">
        <f>SUM('LE ShareUEC'!$M25:$W25)</f>
        <v>9203.0496147658923</v>
      </c>
      <c r="I25" s="198">
        <f t="shared" si="2"/>
        <v>-1.1253335278648136E-3</v>
      </c>
      <c r="J25" s="216" t="e">
        <f t="shared" si="0"/>
        <v>#DIV/0!</v>
      </c>
      <c r="K25" s="198" t="e">
        <f t="shared" si="3"/>
        <v>#DIV/0!</v>
      </c>
      <c r="L25" s="217"/>
      <c r="M25" s="216"/>
      <c r="N25" s="24"/>
      <c r="O25" s="36"/>
      <c r="P25" s="198"/>
      <c r="Q25" s="36"/>
      <c r="R25" s="198"/>
      <c r="S25" s="36"/>
      <c r="T25" s="198"/>
      <c r="U25" s="36"/>
      <c r="V25" s="198"/>
      <c r="W25" s="36"/>
      <c r="X25" s="198"/>
    </row>
    <row r="26" spans="1:24" x14ac:dyDescent="0.2">
      <c r="A26" s="192">
        <f t="shared" si="1"/>
        <v>2019</v>
      </c>
      <c r="B26" s="216">
        <f>SUM('LE ShareUEC'!$D26:$G26,'LE ShareUEC'!$U26)</f>
        <v>2070.4436814960518</v>
      </c>
      <c r="C26" s="198">
        <f t="shared" si="2"/>
        <v>9.6581152980368401E-4</v>
      </c>
      <c r="D26" s="216">
        <f>SUM('LE ShareUEC'!$H26:$K26)</f>
        <v>4696.2337588207783</v>
      </c>
      <c r="E26" s="198">
        <f t="shared" si="2"/>
        <v>8.0821648804234592E-3</v>
      </c>
      <c r="F26" s="216">
        <f>'LE ShareUEC'!$L26</f>
        <v>2889.6498561844223</v>
      </c>
      <c r="G26" s="198">
        <f t="shared" si="2"/>
        <v>-4.2162937451826199E-3</v>
      </c>
      <c r="H26" s="216">
        <f>SUM('LE ShareUEC'!$M26:$W26)</f>
        <v>9207.3418528616712</v>
      </c>
      <c r="I26" s="198">
        <f t="shared" si="2"/>
        <v>4.6639301921103105E-4</v>
      </c>
      <c r="J26" s="216" t="e">
        <f t="shared" si="0"/>
        <v>#DIV/0!</v>
      </c>
      <c r="K26" s="198" t="e">
        <f t="shared" si="3"/>
        <v>#DIV/0!</v>
      </c>
      <c r="L26" s="217"/>
      <c r="M26" s="216"/>
      <c r="N26" s="24"/>
      <c r="O26" s="36"/>
      <c r="P26" s="198"/>
      <c r="Q26" s="36"/>
      <c r="R26" s="198"/>
      <c r="S26" s="36"/>
      <c r="T26" s="198"/>
      <c r="U26" s="36"/>
      <c r="V26" s="198"/>
      <c r="W26" s="36"/>
      <c r="X26" s="198"/>
    </row>
    <row r="27" spans="1:24" x14ac:dyDescent="0.2">
      <c r="A27" s="192">
        <f t="shared" si="1"/>
        <v>2020</v>
      </c>
      <c r="B27" s="216">
        <f>SUM('LE ShareUEC'!$D27:$G27,'LE ShareUEC'!$U27)</f>
        <v>2073.1200456971001</v>
      </c>
      <c r="C27" s="198">
        <f t="shared" si="2"/>
        <v>1.2926525000256373E-3</v>
      </c>
      <c r="D27" s="216">
        <f>SUM('LE ShareUEC'!$H27:$K27)</f>
        <v>4731.6901883048349</v>
      </c>
      <c r="E27" s="198">
        <f t="shared" si="2"/>
        <v>7.5499711694417826E-3</v>
      </c>
      <c r="F27" s="216">
        <f>'LE ShareUEC'!$L27</f>
        <v>2877.4073812875286</v>
      </c>
      <c r="G27" s="198">
        <f t="shared" si="2"/>
        <v>-4.2366637849539091E-3</v>
      </c>
      <c r="H27" s="216">
        <f>SUM('LE ShareUEC'!$M27:$W27)</f>
        <v>9219.2380274839416</v>
      </c>
      <c r="I27" s="198">
        <f t="shared" si="2"/>
        <v>1.2920313823878704E-3</v>
      </c>
      <c r="J27" s="216" t="e">
        <f t="shared" si="0"/>
        <v>#DIV/0!</v>
      </c>
      <c r="K27" s="198" t="e">
        <f t="shared" si="3"/>
        <v>#DIV/0!</v>
      </c>
      <c r="L27" s="217"/>
      <c r="M27" s="216"/>
      <c r="N27" s="24"/>
      <c r="O27" s="36"/>
      <c r="P27" s="198"/>
      <c r="Q27" s="36"/>
      <c r="R27" s="198"/>
      <c r="S27" s="36"/>
      <c r="T27" s="198"/>
      <c r="U27" s="36"/>
      <c r="V27" s="198"/>
      <c r="W27" s="36"/>
      <c r="X27" s="198"/>
    </row>
    <row r="28" spans="1:24" x14ac:dyDescent="0.2">
      <c r="A28" s="192">
        <f t="shared" si="1"/>
        <v>2021</v>
      </c>
      <c r="B28" s="216">
        <f>SUM('LE ShareUEC'!$D28:$G28,'LE ShareUEC'!$U28)</f>
        <v>2073.4002824442159</v>
      </c>
      <c r="C28" s="198">
        <f t="shared" si="2"/>
        <v>1.3517632406156999E-4</v>
      </c>
      <c r="D28" s="216">
        <f>SUM('LE ShareUEC'!$H28:$K28)</f>
        <v>4768.7316414916913</v>
      </c>
      <c r="E28" s="198">
        <f t="shared" si="2"/>
        <v>7.828376692626815E-3</v>
      </c>
      <c r="F28" s="216">
        <f>'LE ShareUEC'!$L28</f>
        <v>2865.9680564873906</v>
      </c>
      <c r="G28" s="198">
        <f t="shared" si="2"/>
        <v>-3.9755666418771485E-3</v>
      </c>
      <c r="H28" s="216">
        <f>SUM('LE ShareUEC'!$M28:$W28)</f>
        <v>9222.6613852306054</v>
      </c>
      <c r="I28" s="198">
        <f t="shared" si="2"/>
        <v>3.7132762343894399E-4</v>
      </c>
      <c r="J28" s="216" t="e">
        <f t="shared" si="0"/>
        <v>#DIV/0!</v>
      </c>
      <c r="K28" s="198" t="e">
        <f t="shared" si="3"/>
        <v>#DIV/0!</v>
      </c>
      <c r="L28" s="217"/>
      <c r="M28" s="216"/>
      <c r="N28" s="25"/>
      <c r="O28" s="36"/>
      <c r="P28" s="198"/>
      <c r="Q28" s="36"/>
      <c r="R28" s="198"/>
      <c r="S28" s="36"/>
      <c r="T28" s="198"/>
      <c r="U28" s="36"/>
      <c r="V28" s="198"/>
      <c r="W28" s="36"/>
      <c r="X28" s="198"/>
    </row>
    <row r="29" spans="1:24" x14ac:dyDescent="0.2">
      <c r="A29" s="192">
        <f t="shared" si="1"/>
        <v>2022</v>
      </c>
      <c r="B29" s="216">
        <f>SUM('LE ShareUEC'!$D29:$G29,'LE ShareUEC'!$U29)</f>
        <v>2074.8877589028712</v>
      </c>
      <c r="C29" s="198">
        <f t="shared" si="2"/>
        <v>7.1740921000640334E-4</v>
      </c>
      <c r="D29" s="216">
        <f>SUM('LE ShareUEC'!$H29:$K29)</f>
        <v>4807.030747968478</v>
      </c>
      <c r="E29" s="198">
        <f t="shared" si="2"/>
        <v>8.0312983317312181E-3</v>
      </c>
      <c r="F29" s="216">
        <f>'LE ShareUEC'!$L29</f>
        <v>2854.8855473451877</v>
      </c>
      <c r="G29" s="198">
        <f t="shared" si="2"/>
        <v>-3.8669339377724876E-3</v>
      </c>
      <c r="H29" s="216">
        <f>SUM('LE ShareUEC'!$M29:$W29)</f>
        <v>9277.3796874740256</v>
      </c>
      <c r="I29" s="198">
        <f t="shared" si="2"/>
        <v>5.9330273505484588E-3</v>
      </c>
      <c r="J29" s="216" t="e">
        <f t="shared" si="0"/>
        <v>#DIV/0!</v>
      </c>
      <c r="K29" s="198" t="e">
        <f t="shared" si="3"/>
        <v>#DIV/0!</v>
      </c>
      <c r="L29" s="217"/>
      <c r="M29" s="216"/>
      <c r="N29" s="25"/>
      <c r="O29" s="36"/>
      <c r="P29" s="198"/>
      <c r="Q29" s="36"/>
      <c r="R29" s="198"/>
      <c r="S29" s="36"/>
      <c r="T29" s="198"/>
      <c r="U29" s="36"/>
      <c r="V29" s="198"/>
      <c r="W29" s="36"/>
      <c r="X29" s="198"/>
    </row>
    <row r="30" spans="1:24" x14ac:dyDescent="0.2">
      <c r="A30" s="192">
        <f t="shared" si="1"/>
        <v>2023</v>
      </c>
      <c r="B30" s="216">
        <f>SUM('LE ShareUEC'!$D30:$G30,'LE ShareUEC'!$U30)</f>
        <v>2076.0651485468898</v>
      </c>
      <c r="C30" s="198">
        <f t="shared" si="2"/>
        <v>5.6744739033076641E-4</v>
      </c>
      <c r="D30" s="216">
        <f>SUM('LE ShareUEC'!$H30:$K30)</f>
        <v>4846.897942411284</v>
      </c>
      <c r="E30" s="198">
        <f t="shared" si="2"/>
        <v>8.2935176688134771E-3</v>
      </c>
      <c r="F30" s="216">
        <f>'LE ShareUEC'!$L30</f>
        <v>2844.5727705599397</v>
      </c>
      <c r="G30" s="198">
        <f t="shared" si="2"/>
        <v>-3.612325823302398E-3</v>
      </c>
      <c r="H30" s="216">
        <f>SUM('LE ShareUEC'!$M30:$W30)</f>
        <v>9343.4010620013578</v>
      </c>
      <c r="I30" s="198">
        <f t="shared" si="2"/>
        <v>7.1163816456139006E-3</v>
      </c>
      <c r="J30" s="216" t="e">
        <f t="shared" si="0"/>
        <v>#DIV/0!</v>
      </c>
      <c r="K30" s="198" t="e">
        <f t="shared" si="3"/>
        <v>#DIV/0!</v>
      </c>
      <c r="L30" s="217"/>
      <c r="M30" s="216"/>
      <c r="N30" s="25"/>
      <c r="O30" s="36"/>
      <c r="P30" s="198"/>
      <c r="Q30" s="36"/>
      <c r="R30" s="198"/>
      <c r="S30" s="36"/>
      <c r="T30" s="198"/>
      <c r="U30" s="36"/>
      <c r="V30" s="198"/>
      <c r="W30" s="36"/>
      <c r="X30" s="198"/>
    </row>
    <row r="31" spans="1:24" x14ac:dyDescent="0.2">
      <c r="A31" s="192">
        <f t="shared" si="1"/>
        <v>2024</v>
      </c>
      <c r="B31" s="216">
        <f>SUM('LE ShareUEC'!$D31:$G31,'LE ShareUEC'!$U31)</f>
        <v>2078.2569317863281</v>
      </c>
      <c r="C31" s="198">
        <f t="shared" si="2"/>
        <v>1.0557391423735574E-3</v>
      </c>
      <c r="D31" s="216">
        <f>SUM('LE ShareUEC'!$H31:$K31)</f>
        <v>4888.9580487906851</v>
      </c>
      <c r="E31" s="198">
        <f t="shared" si="2"/>
        <v>8.6777371587232199E-3</v>
      </c>
      <c r="F31" s="216">
        <f>'LE ShareUEC'!$L31</f>
        <v>2834.3823132496696</v>
      </c>
      <c r="G31" s="198">
        <f t="shared" si="2"/>
        <v>-3.5824210284710611E-3</v>
      </c>
      <c r="H31" s="216">
        <f>SUM('LE ShareUEC'!$M31:$W31)</f>
        <v>9444.0280952496087</v>
      </c>
      <c r="I31" s="198">
        <f t="shared" si="2"/>
        <v>1.0769850569456008E-2</v>
      </c>
      <c r="J31" s="216" t="e">
        <f t="shared" si="0"/>
        <v>#DIV/0!</v>
      </c>
      <c r="K31" s="198" t="e">
        <f t="shared" si="3"/>
        <v>#DIV/0!</v>
      </c>
      <c r="L31" s="217"/>
      <c r="M31" s="216"/>
      <c r="N31" s="25"/>
      <c r="O31" s="36"/>
      <c r="P31" s="198"/>
      <c r="Q31" s="36"/>
      <c r="R31" s="198"/>
      <c r="S31" s="36"/>
      <c r="T31" s="198"/>
      <c r="U31" s="36"/>
      <c r="V31" s="198"/>
      <c r="W31" s="36"/>
      <c r="X31" s="198"/>
    </row>
    <row r="32" spans="1:24" x14ac:dyDescent="0.2">
      <c r="A32" s="192">
        <f t="shared" si="1"/>
        <v>2025</v>
      </c>
      <c r="B32" s="216">
        <f>SUM('LE ShareUEC'!$D32:$G32,'LE ShareUEC'!$U32)</f>
        <v>2078.6134581623337</v>
      </c>
      <c r="C32" s="198">
        <f t="shared" si="2"/>
        <v>1.7155067333241014E-4</v>
      </c>
      <c r="D32" s="216">
        <f>SUM('LE ShareUEC'!$H32:$K32)</f>
        <v>4933.4338739361965</v>
      </c>
      <c r="E32" s="198">
        <f t="shared" si="2"/>
        <v>9.0971991785677719E-3</v>
      </c>
      <c r="F32" s="216">
        <f>'LE ShareUEC'!$L32</f>
        <v>2824.5492424415424</v>
      </c>
      <c r="G32" s="198">
        <f t="shared" si="2"/>
        <v>-3.4692111795086022E-3</v>
      </c>
      <c r="H32" s="216">
        <f>SUM('LE ShareUEC'!$M32:$W32)</f>
        <v>9501.5598240922936</v>
      </c>
      <c r="I32" s="198">
        <f t="shared" si="2"/>
        <v>6.0918633725395299E-3</v>
      </c>
      <c r="J32" s="216" t="e">
        <f t="shared" si="0"/>
        <v>#DIV/0!</v>
      </c>
      <c r="K32" s="198" t="e">
        <f t="shared" si="3"/>
        <v>#DIV/0!</v>
      </c>
      <c r="L32" s="217"/>
      <c r="M32" s="216"/>
      <c r="N32" s="25"/>
      <c r="O32" s="36"/>
      <c r="P32" s="198"/>
      <c r="Q32" s="36"/>
      <c r="R32" s="198"/>
      <c r="S32" s="36"/>
      <c r="T32" s="198"/>
      <c r="U32" s="36"/>
      <c r="V32" s="198"/>
      <c r="W32" s="36"/>
      <c r="X32" s="198"/>
    </row>
    <row r="33" spans="1:24" x14ac:dyDescent="0.2">
      <c r="A33" s="192">
        <f t="shared" si="1"/>
        <v>2026</v>
      </c>
      <c r="B33" s="216">
        <f>SUM('LE ShareUEC'!$D33:$G33,'LE ShareUEC'!$U33)</f>
        <v>2080.0395323397343</v>
      </c>
      <c r="C33" s="198">
        <f t="shared" si="2"/>
        <v>6.8606992406428091E-4</v>
      </c>
      <c r="D33" s="216">
        <f>SUM('LE ShareUEC'!$H33:$K33)</f>
        <v>4979.0296982931877</v>
      </c>
      <c r="E33" s="198">
        <f t="shared" si="2"/>
        <v>9.2422084742795896E-3</v>
      </c>
      <c r="F33" s="216">
        <f>'LE ShareUEC'!$L33</f>
        <v>2816.2682284461134</v>
      </c>
      <c r="G33" s="198">
        <f t="shared" si="2"/>
        <v>-2.9318001863798404E-3</v>
      </c>
      <c r="H33" s="216">
        <f>SUM('LE ShareUEC'!$M33:$W33)</f>
        <v>9568.525587083237</v>
      </c>
      <c r="I33" s="198">
        <f t="shared" si="2"/>
        <v>7.0478704792389379E-3</v>
      </c>
      <c r="J33" s="216" t="e">
        <f t="shared" si="0"/>
        <v>#DIV/0!</v>
      </c>
      <c r="K33" s="198" t="e">
        <f t="shared" si="3"/>
        <v>#DIV/0!</v>
      </c>
      <c r="M33" s="216"/>
      <c r="N33" s="25"/>
      <c r="O33" s="36"/>
      <c r="P33" s="198"/>
      <c r="Q33" s="36"/>
      <c r="R33" s="198"/>
      <c r="S33" s="36"/>
      <c r="T33" s="198"/>
      <c r="U33" s="36"/>
      <c r="V33" s="198"/>
      <c r="W33" s="36"/>
      <c r="X33" s="198"/>
    </row>
    <row r="34" spans="1:24" x14ac:dyDescent="0.2">
      <c r="A34" s="192">
        <f t="shared" si="1"/>
        <v>2027</v>
      </c>
      <c r="B34" s="216">
        <f>SUM('LE ShareUEC'!$D34:$G34,'LE ShareUEC'!$U34)</f>
        <v>2081.9543160597232</v>
      </c>
      <c r="C34" s="198">
        <f t="shared" si="2"/>
        <v>9.2055160020687588E-4</v>
      </c>
      <c r="D34" s="216">
        <f>SUM('LE ShareUEC'!$H34:$K34)</f>
        <v>5024.8926358652261</v>
      </c>
      <c r="E34" s="198">
        <f t="shared" si="2"/>
        <v>9.2112199265974581E-3</v>
      </c>
      <c r="F34" s="216">
        <f>'LE ShareUEC'!$L34</f>
        <v>2809.3968080339955</v>
      </c>
      <c r="G34" s="198">
        <f t="shared" si="2"/>
        <v>-2.4399026849474259E-3</v>
      </c>
      <c r="H34" s="216">
        <f>SUM('LE ShareUEC'!$M34:$W34)</f>
        <v>9640.3478239734177</v>
      </c>
      <c r="I34" s="198">
        <f t="shared" si="2"/>
        <v>7.5060923688321513E-3</v>
      </c>
      <c r="J34" s="216" t="e">
        <f t="shared" si="0"/>
        <v>#DIV/0!</v>
      </c>
      <c r="K34" s="198" t="e">
        <f t="shared" si="3"/>
        <v>#DIV/0!</v>
      </c>
      <c r="M34" s="216"/>
      <c r="N34" s="25"/>
      <c r="O34" s="36"/>
      <c r="P34" s="198"/>
      <c r="Q34" s="36"/>
      <c r="R34" s="198"/>
      <c r="S34" s="36"/>
      <c r="T34" s="198"/>
      <c r="U34" s="36"/>
      <c r="V34" s="198"/>
      <c r="W34" s="36"/>
      <c r="X34" s="198"/>
    </row>
    <row r="35" spans="1:24" x14ac:dyDescent="0.2">
      <c r="A35" s="192">
        <f t="shared" si="1"/>
        <v>2028</v>
      </c>
      <c r="B35" s="216">
        <f>SUM('LE ShareUEC'!$D35:$G35,'LE ShareUEC'!$U35)</f>
        <v>2085.0944938494508</v>
      </c>
      <c r="C35" s="198">
        <f t="shared" si="2"/>
        <v>1.5082837147313288E-3</v>
      </c>
      <c r="D35" s="216">
        <f>SUM('LE ShareUEC'!$H35:$K35)</f>
        <v>5069.5247513146269</v>
      </c>
      <c r="E35" s="198">
        <f t="shared" si="2"/>
        <v>8.8822028018744614E-3</v>
      </c>
      <c r="F35" s="216">
        <f>'LE ShareUEC'!$L35</f>
        <v>2803.6785140576749</v>
      </c>
      <c r="G35" s="198">
        <f t="shared" si="2"/>
        <v>-2.0354169834493341E-3</v>
      </c>
      <c r="H35" s="216">
        <f>SUM('LE ShareUEC'!$M35:$W35)</f>
        <v>9740.0669485793369</v>
      </c>
      <c r="I35" s="198">
        <f t="shared" si="2"/>
        <v>1.0343934308878255E-2</v>
      </c>
      <c r="J35" s="216" t="e">
        <f t="shared" si="0"/>
        <v>#DIV/0!</v>
      </c>
      <c r="K35" s="198" t="e">
        <f t="shared" si="3"/>
        <v>#DIV/0!</v>
      </c>
      <c r="M35" s="216"/>
      <c r="N35" s="25"/>
      <c r="O35" s="36"/>
      <c r="P35" s="198"/>
      <c r="Q35" s="36"/>
      <c r="R35" s="198"/>
      <c r="S35" s="36"/>
      <c r="T35" s="198"/>
      <c r="U35" s="36"/>
      <c r="V35" s="198"/>
      <c r="W35" s="36"/>
      <c r="X35" s="198"/>
    </row>
    <row r="36" spans="1:24" x14ac:dyDescent="0.2">
      <c r="A36" s="192">
        <f t="shared" si="1"/>
        <v>2029</v>
      </c>
      <c r="B36" s="216">
        <f>SUM('LE ShareUEC'!$D36:$G36,'LE ShareUEC'!$U36)</f>
        <v>2086.2418599516432</v>
      </c>
      <c r="C36" s="198">
        <f t="shared" si="2"/>
        <v>5.502705539612851E-4</v>
      </c>
      <c r="D36" s="216">
        <f>SUM('LE ShareUEC'!$H36:$K36)</f>
        <v>5113.8533324045775</v>
      </c>
      <c r="E36" s="198">
        <f t="shared" si="2"/>
        <v>8.7441295317585155E-3</v>
      </c>
      <c r="F36" s="216">
        <f>'LE ShareUEC'!$L36</f>
        <v>2799.1590679483925</v>
      </c>
      <c r="G36" s="198">
        <f t="shared" si="2"/>
        <v>-1.6119701622785421E-3</v>
      </c>
      <c r="H36" s="216">
        <f>SUM('LE ShareUEC'!$M36:$W36)</f>
        <v>9785.7717481604523</v>
      </c>
      <c r="I36" s="198">
        <f t="shared" si="2"/>
        <v>4.6924523026796727E-3</v>
      </c>
      <c r="J36" s="216" t="e">
        <f t="shared" si="0"/>
        <v>#DIV/0!</v>
      </c>
      <c r="K36" s="198" t="e">
        <f t="shared" si="3"/>
        <v>#DIV/0!</v>
      </c>
      <c r="M36" s="216"/>
      <c r="N36" s="25"/>
      <c r="O36" s="36"/>
      <c r="P36" s="198"/>
      <c r="Q36" s="36"/>
      <c r="R36" s="198"/>
      <c r="S36" s="36"/>
      <c r="T36" s="198"/>
      <c r="U36" s="36"/>
      <c r="V36" s="198"/>
      <c r="W36" s="36"/>
      <c r="X36" s="198"/>
    </row>
    <row r="37" spans="1:24" x14ac:dyDescent="0.2">
      <c r="A37" s="192">
        <f t="shared" si="1"/>
        <v>2030</v>
      </c>
      <c r="B37" s="216">
        <f>SUM('LE ShareUEC'!$D37:$G37,'LE ShareUEC'!$U37)</f>
        <v>2087.9494040777381</v>
      </c>
      <c r="C37" s="198">
        <f t="shared" si="2"/>
        <v>8.1847850859184668E-4</v>
      </c>
      <c r="D37" s="216">
        <f>SUM('LE ShareUEC'!$H37:$K37)</f>
        <v>5157.4351543259936</v>
      </c>
      <c r="E37" s="198">
        <f t="shared" si="2"/>
        <v>8.5223058012349195E-3</v>
      </c>
      <c r="F37" s="216">
        <f>'LE ShareUEC'!$L37</f>
        <v>2795.4968830068347</v>
      </c>
      <c r="G37" s="198">
        <f t="shared" si="2"/>
        <v>-1.3083161237571472E-3</v>
      </c>
      <c r="H37" s="216">
        <f>SUM('LE ShareUEC'!$M37:$W37)</f>
        <v>9876.8076471706809</v>
      </c>
      <c r="I37" s="198">
        <f t="shared" si="2"/>
        <v>9.3028839577564693E-3</v>
      </c>
      <c r="J37" s="216" t="e">
        <f t="shared" si="0"/>
        <v>#DIV/0!</v>
      </c>
      <c r="K37" s="198" t="e">
        <f t="shared" si="3"/>
        <v>#DIV/0!</v>
      </c>
      <c r="M37" s="216"/>
      <c r="N37" s="25"/>
      <c r="O37" s="36"/>
      <c r="P37" s="198"/>
      <c r="Q37" s="36"/>
      <c r="R37" s="198"/>
      <c r="S37" s="36"/>
      <c r="T37" s="198"/>
      <c r="U37" s="36"/>
      <c r="V37" s="198"/>
      <c r="W37" s="36"/>
      <c r="X37" s="198"/>
    </row>
    <row r="38" spans="1:24" x14ac:dyDescent="0.2">
      <c r="A38" s="192">
        <f t="shared" si="1"/>
        <v>2031</v>
      </c>
      <c r="B38" s="216">
        <f>SUM('LE ShareUEC'!$D38:$G38,'LE ShareUEC'!$U38)</f>
        <v>2089.2021240252634</v>
      </c>
      <c r="C38" s="198">
        <f t="shared" si="2"/>
        <v>5.9997619917351308E-4</v>
      </c>
      <c r="D38" s="216">
        <f>SUM('LE ShareUEC'!$H38:$K38)</f>
        <v>5200.5153747481945</v>
      </c>
      <c r="E38" s="198">
        <f t="shared" si="2"/>
        <v>8.3530319108453543E-3</v>
      </c>
      <c r="F38" s="216">
        <f>'LE ShareUEC'!$L38</f>
        <v>2793.1142181540945</v>
      </c>
      <c r="G38" s="198">
        <f t="shared" si="2"/>
        <v>-8.5232248593225535E-4</v>
      </c>
      <c r="H38" s="216">
        <f>SUM('LE ShareUEC'!$M38:$W38)</f>
        <v>9954.5258069136835</v>
      </c>
      <c r="I38" s="198">
        <f t="shared" si="2"/>
        <v>7.8687529938143985E-3</v>
      </c>
      <c r="J38" s="216" t="e">
        <f t="shared" si="0"/>
        <v>#DIV/0!</v>
      </c>
      <c r="K38" s="198" t="e">
        <f t="shared" si="3"/>
        <v>#DIV/0!</v>
      </c>
      <c r="M38" s="216"/>
      <c r="N38" s="25"/>
      <c r="O38" s="36"/>
      <c r="P38" s="198"/>
      <c r="Q38" s="36"/>
      <c r="R38" s="198"/>
      <c r="S38" s="36"/>
      <c r="T38" s="198"/>
      <c r="U38" s="36"/>
      <c r="V38" s="198"/>
      <c r="W38" s="36"/>
      <c r="X38" s="198"/>
    </row>
    <row r="39" spans="1:24" x14ac:dyDescent="0.2">
      <c r="A39" s="192">
        <f t="shared" si="1"/>
        <v>2032</v>
      </c>
      <c r="B39" s="216">
        <f>SUM('LE ShareUEC'!$D39:$G39,'LE ShareUEC'!$U39)</f>
        <v>2090.7594497101732</v>
      </c>
      <c r="C39" s="198">
        <f t="shared" si="2"/>
        <v>7.4541647598436178E-4</v>
      </c>
      <c r="D39" s="216">
        <f>SUM('LE ShareUEC'!$H39:$K39)</f>
        <v>5240.7820899479912</v>
      </c>
      <c r="E39" s="198">
        <f t="shared" si="2"/>
        <v>7.7428316807439668E-3</v>
      </c>
      <c r="F39" s="216">
        <f>'LE ShareUEC'!$L39</f>
        <v>2791.8277015893668</v>
      </c>
      <c r="G39" s="198">
        <f t="shared" si="2"/>
        <v>-4.6060291998295533E-4</v>
      </c>
      <c r="H39" s="216">
        <f>SUM('LE ShareUEC'!$M39:$W39)</f>
        <v>10065.166835679931</v>
      </c>
      <c r="I39" s="198">
        <f t="shared" si="2"/>
        <v>1.1114645831688419E-2</v>
      </c>
      <c r="J39" s="216" t="e">
        <f t="shared" si="0"/>
        <v>#DIV/0!</v>
      </c>
      <c r="K39" s="198" t="e">
        <f t="shared" si="3"/>
        <v>#DIV/0!</v>
      </c>
      <c r="M39" s="216"/>
      <c r="N39" s="25"/>
      <c r="O39" s="36"/>
      <c r="P39" s="198"/>
      <c r="Q39" s="36"/>
      <c r="R39" s="198"/>
      <c r="S39" s="36"/>
      <c r="T39" s="198"/>
      <c r="U39" s="36"/>
      <c r="V39" s="198"/>
      <c r="W39" s="36"/>
      <c r="X39" s="198"/>
    </row>
    <row r="40" spans="1:24" x14ac:dyDescent="0.2">
      <c r="A40" s="192">
        <f t="shared" si="1"/>
        <v>2033</v>
      </c>
      <c r="B40" s="216">
        <f>SUM('LE ShareUEC'!$D40:$G40,'LE ShareUEC'!$U40)</f>
        <v>2090.4540092993025</v>
      </c>
      <c r="C40" s="198">
        <f t="shared" si="2"/>
        <v>-1.4609065185045012E-4</v>
      </c>
      <c r="D40" s="216">
        <f>SUM('LE ShareUEC'!$H40:$K40)</f>
        <v>5280.7596604786622</v>
      </c>
      <c r="E40" s="198">
        <f t="shared" si="2"/>
        <v>7.6281688199457687E-3</v>
      </c>
      <c r="F40" s="216">
        <f>'LE ShareUEC'!$L40</f>
        <v>2791.4885591619204</v>
      </c>
      <c r="G40" s="198">
        <f t="shared" si="2"/>
        <v>-1.2147684731877995E-4</v>
      </c>
      <c r="H40" s="216">
        <f>SUM('LE ShareUEC'!$M40:$W40)</f>
        <v>10116.426864122215</v>
      </c>
      <c r="I40" s="198">
        <f t="shared" si="2"/>
        <v>5.0928145831197202E-3</v>
      </c>
      <c r="J40" s="216" t="e">
        <f t="shared" si="0"/>
        <v>#DIV/0!</v>
      </c>
      <c r="K40" s="198" t="e">
        <f t="shared" si="3"/>
        <v>#DIV/0!</v>
      </c>
      <c r="M40" s="216"/>
      <c r="N40" s="25"/>
      <c r="O40" s="36"/>
      <c r="P40" s="198"/>
      <c r="Q40" s="36"/>
      <c r="R40" s="198"/>
      <c r="S40" s="36"/>
      <c r="T40" s="198"/>
      <c r="U40" s="36"/>
      <c r="V40" s="198"/>
      <c r="W40" s="36"/>
      <c r="X40" s="198"/>
    </row>
    <row r="41" spans="1:24" x14ac:dyDescent="0.2">
      <c r="A41" s="192">
        <f t="shared" si="1"/>
        <v>2034</v>
      </c>
      <c r="B41" s="216">
        <f>SUM('LE ShareUEC'!$D41:$G41,'LE ShareUEC'!$U41)</f>
        <v>2090.7875894602616</v>
      </c>
      <c r="C41" s="198">
        <f t="shared" si="2"/>
        <v>1.5957306856551057E-4</v>
      </c>
      <c r="D41" s="216">
        <f>SUM('LE ShareUEC'!$H41:$K41)</f>
        <v>5321.3354637756029</v>
      </c>
      <c r="E41" s="198">
        <f t="shared" si="2"/>
        <v>7.6837057366216932E-3</v>
      </c>
      <c r="F41" s="216">
        <f>'LE ShareUEC'!$L41</f>
        <v>2792.2649569186865</v>
      </c>
      <c r="G41" s="198">
        <f t="shared" si="2"/>
        <v>2.7813037392454554E-4</v>
      </c>
      <c r="H41" s="216">
        <f>SUM('LE ShareUEC'!$M41:$W41)</f>
        <v>10193.113626639302</v>
      </c>
      <c r="I41" s="198">
        <f t="shared" si="2"/>
        <v>7.5804198010915869E-3</v>
      </c>
      <c r="J41" s="216" t="e">
        <f t="shared" si="0"/>
        <v>#DIV/0!</v>
      </c>
      <c r="K41" s="198" t="e">
        <f t="shared" si="3"/>
        <v>#DIV/0!</v>
      </c>
      <c r="M41" s="216"/>
      <c r="N41" s="25"/>
      <c r="O41" s="36"/>
      <c r="P41" s="198"/>
      <c r="Q41" s="36"/>
      <c r="R41" s="198"/>
      <c r="S41" s="36"/>
      <c r="T41" s="198"/>
      <c r="U41" s="36"/>
      <c r="V41" s="198"/>
      <c r="W41" s="36"/>
      <c r="X41" s="198"/>
    </row>
    <row r="42" spans="1:24" x14ac:dyDescent="0.2">
      <c r="A42" s="192">
        <f t="shared" si="1"/>
        <v>2035</v>
      </c>
      <c r="B42" s="216">
        <f>SUM('LE ShareUEC'!$D42:$G42,'LE ShareUEC'!$U42)</f>
        <v>2090.9122272031209</v>
      </c>
      <c r="C42" s="198">
        <f t="shared" si="2"/>
        <v>5.9612819345078449E-5</v>
      </c>
      <c r="D42" s="216">
        <f>SUM('LE ShareUEC'!$H42:$K42)</f>
        <v>5362.9271164156635</v>
      </c>
      <c r="E42" s="198">
        <f t="shared" si="2"/>
        <v>7.8160177878638937E-3</v>
      </c>
      <c r="F42" s="216">
        <f>'LE ShareUEC'!$L42</f>
        <v>2794.272094274495</v>
      </c>
      <c r="G42" s="198">
        <f t="shared" si="2"/>
        <v>7.1882052268534835E-4</v>
      </c>
      <c r="H42" s="216">
        <f>SUM('LE ShareUEC'!$M42:$W42)</f>
        <v>10289.2783542508</v>
      </c>
      <c r="I42" s="198">
        <f t="shared" si="2"/>
        <v>9.4342838835992371E-3</v>
      </c>
      <c r="J42" s="216" t="e">
        <f t="shared" si="0"/>
        <v>#DIV/0!</v>
      </c>
      <c r="K42" s="198" t="e">
        <f t="shared" si="3"/>
        <v>#DIV/0!</v>
      </c>
      <c r="M42" s="216"/>
      <c r="N42" s="25"/>
      <c r="O42" s="36"/>
      <c r="P42" s="198"/>
      <c r="Q42" s="36"/>
      <c r="R42" s="198"/>
      <c r="S42" s="36"/>
      <c r="T42" s="198"/>
      <c r="U42" s="36"/>
      <c r="V42" s="198"/>
      <c r="W42" s="36"/>
      <c r="X42" s="198"/>
    </row>
    <row r="43" spans="1:24" x14ac:dyDescent="0.2">
      <c r="A43" s="192">
        <f t="shared" si="1"/>
        <v>2036</v>
      </c>
      <c r="B43" s="216">
        <f>SUM('LE ShareUEC'!$D43:$G43,'LE ShareUEC'!$U43)</f>
        <v>2094.1294049290232</v>
      </c>
      <c r="C43" s="198">
        <f t="shared" si="2"/>
        <v>1.5386479088153049E-3</v>
      </c>
      <c r="D43" s="216">
        <f>SUM('LE ShareUEC'!$H43:$K43)</f>
        <v>5392.3851177621045</v>
      </c>
      <c r="E43" s="198">
        <f t="shared" si="2"/>
        <v>5.4928960821174488E-3</v>
      </c>
      <c r="F43" s="216">
        <f>'LE ShareUEC'!$L43</f>
        <v>2796.2760097834803</v>
      </c>
      <c r="G43" s="198">
        <f t="shared" si="2"/>
        <v>7.1715117260451322E-4</v>
      </c>
      <c r="H43" s="216">
        <f>SUM('LE ShareUEC'!$M43:$W43)</f>
        <v>10388.022019904132</v>
      </c>
      <c r="I43" s="198">
        <f t="shared" si="2"/>
        <v>9.5967532662324384E-3</v>
      </c>
      <c r="J43" s="216" t="e">
        <f t="shared" si="0"/>
        <v>#DIV/0!</v>
      </c>
      <c r="K43" s="198" t="e">
        <f t="shared" si="3"/>
        <v>#DIV/0!</v>
      </c>
      <c r="M43" s="216"/>
      <c r="N43" s="25"/>
      <c r="O43" s="36"/>
      <c r="P43" s="198"/>
      <c r="Q43" s="36"/>
      <c r="R43" s="198"/>
      <c r="S43" s="36"/>
      <c r="T43" s="198"/>
      <c r="U43" s="36"/>
      <c r="V43" s="198"/>
      <c r="W43" s="36"/>
      <c r="X43" s="198"/>
    </row>
    <row r="44" spans="1:24" x14ac:dyDescent="0.2">
      <c r="A44" s="192">
        <f t="shared" si="1"/>
        <v>2037</v>
      </c>
      <c r="B44" s="216">
        <f>SUM('LE ShareUEC'!$D44:$G44,'LE ShareUEC'!$U44)</f>
        <v>2097.4019453653541</v>
      </c>
      <c r="C44" s="198">
        <f t="shared" si="2"/>
        <v>1.5627212094095899E-3</v>
      </c>
      <c r="D44" s="216">
        <f>SUM('LE ShareUEC'!$H44:$K44)</f>
        <v>5421.8176220074747</v>
      </c>
      <c r="E44" s="198">
        <f t="shared" si="2"/>
        <v>5.4581606473955713E-3</v>
      </c>
      <c r="F44" s="216">
        <f>'LE ShareUEC'!$L44</f>
        <v>2798.2767111969588</v>
      </c>
      <c r="G44" s="198">
        <f t="shared" si="2"/>
        <v>7.1548781539387818E-4</v>
      </c>
      <c r="H44" s="216">
        <f>SUM('LE ShareUEC'!$M44:$W44)</f>
        <v>10488.219651655512</v>
      </c>
      <c r="I44" s="198">
        <f t="shared" si="2"/>
        <v>9.645496665235731E-3</v>
      </c>
      <c r="J44" s="216" t="e">
        <f t="shared" si="0"/>
        <v>#DIV/0!</v>
      </c>
      <c r="K44" s="198" t="e">
        <f t="shared" si="3"/>
        <v>#DIV/0!</v>
      </c>
      <c r="M44" s="216"/>
      <c r="N44" s="25"/>
      <c r="O44" s="36"/>
      <c r="P44" s="198"/>
      <c r="Q44" s="36"/>
      <c r="R44" s="198"/>
      <c r="S44" s="36"/>
      <c r="T44" s="198"/>
      <c r="U44" s="36"/>
      <c r="V44" s="198"/>
      <c r="W44" s="36"/>
      <c r="X44" s="198"/>
    </row>
    <row r="45" spans="1:24" x14ac:dyDescent="0.2">
      <c r="A45" s="192">
        <f t="shared" si="1"/>
        <v>2038</v>
      </c>
      <c r="B45" s="216">
        <f>SUM('LE ShareUEC'!$D45:$G45,'LE ShareUEC'!$U45)</f>
        <v>2103.97360815704</v>
      </c>
      <c r="C45" s="198">
        <f t="shared" si="2"/>
        <v>3.1332395806189517E-3</v>
      </c>
      <c r="D45" s="216">
        <f>SUM('LE ShareUEC'!$H45:$K45)</f>
        <v>5451.224603432358</v>
      </c>
      <c r="E45" s="198">
        <f t="shared" si="2"/>
        <v>5.4238234251036133E-3</v>
      </c>
      <c r="F45" s="216">
        <f>'LE ShareUEC'!$L45</f>
        <v>2800.2742062414027</v>
      </c>
      <c r="G45" s="198">
        <f t="shared" si="2"/>
        <v>7.1383042157746601E-4</v>
      </c>
      <c r="H45" s="216">
        <f>SUM('LE ShareUEC'!$M45:$W45)</f>
        <v>10589.893223500298</v>
      </c>
      <c r="I45" s="198">
        <f t="shared" si="2"/>
        <v>9.6940734673436335E-3</v>
      </c>
      <c r="J45" s="216" t="e">
        <f t="shared" si="0"/>
        <v>#DIV/0!</v>
      </c>
      <c r="K45" s="198" t="e">
        <f t="shared" si="3"/>
        <v>#DIV/0!</v>
      </c>
      <c r="M45" s="216"/>
      <c r="N45" s="25"/>
      <c r="O45" s="36"/>
      <c r="P45" s="198"/>
      <c r="Q45" s="36"/>
      <c r="R45" s="198"/>
      <c r="S45" s="36"/>
      <c r="T45" s="198"/>
      <c r="U45" s="36"/>
      <c r="V45" s="198"/>
      <c r="W45" s="36"/>
      <c r="X45" s="198"/>
    </row>
    <row r="46" spans="1:24" x14ac:dyDescent="0.2">
      <c r="A46" s="192">
        <f t="shared" si="1"/>
        <v>2039</v>
      </c>
      <c r="B46" s="216">
        <f>SUM('LE ShareUEC'!$D46:$G46,'LE ShareUEC'!$U46)</f>
        <v>2110.5964939906089</v>
      </c>
      <c r="C46" s="198">
        <f t="shared" si="2"/>
        <v>3.1477989114940819E-3</v>
      </c>
      <c r="D46" s="216">
        <f>SUM('LE ShareUEC'!$H46:$K46)</f>
        <v>5480.6060376143996</v>
      </c>
      <c r="E46" s="198">
        <f t="shared" si="2"/>
        <v>5.3898777466518943E-3</v>
      </c>
      <c r="F46" s="216">
        <f>'LE ShareUEC'!$L46</f>
        <v>2802.2685026185404</v>
      </c>
      <c r="G46" s="198">
        <f t="shared" si="2"/>
        <v>7.1217896186470675E-4</v>
      </c>
      <c r="H46" s="216">
        <f>SUM('LE ShareUEC'!$M46:$W46)</f>
        <v>10693.065048447357</v>
      </c>
      <c r="I46" s="198">
        <f t="shared" si="2"/>
        <v>9.7424801902732394E-3</v>
      </c>
      <c r="J46" s="216" t="e">
        <f t="shared" si="0"/>
        <v>#DIV/0!</v>
      </c>
      <c r="K46" s="198" t="e">
        <f t="shared" si="3"/>
        <v>#DIV/0!</v>
      </c>
      <c r="M46" s="216"/>
      <c r="N46" s="25"/>
      <c r="O46" s="36"/>
      <c r="P46" s="198"/>
      <c r="Q46" s="36"/>
      <c r="R46" s="198"/>
      <c r="S46" s="36"/>
      <c r="T46" s="198"/>
      <c r="U46" s="36"/>
      <c r="V46" s="198"/>
      <c r="W46" s="36"/>
      <c r="X46" s="198"/>
    </row>
    <row r="47" spans="1:24" x14ac:dyDescent="0.2">
      <c r="A47" s="192">
        <f t="shared" si="1"/>
        <v>2040</v>
      </c>
      <c r="B47" s="216">
        <f>SUM('LE ShareUEC'!$D47:$G47,'LE ShareUEC'!$U47)</f>
        <v>2117.2686458847111</v>
      </c>
      <c r="C47" s="198">
        <f t="shared" si="2"/>
        <v>3.1612636110689429E-3</v>
      </c>
      <c r="D47" s="216">
        <f>SUM('LE ShareUEC'!$H47:$K47)</f>
        <v>5509.9619013938836</v>
      </c>
      <c r="E47" s="198">
        <f t="shared" si="2"/>
        <v>5.3563170893893286E-3</v>
      </c>
      <c r="F47" s="216">
        <f>'LE ShareUEC'!$L47</f>
        <v>2804.2596080054523</v>
      </c>
      <c r="G47" s="198">
        <f t="shared" si="2"/>
        <v>7.1053340714888336E-4</v>
      </c>
      <c r="H47" s="216">
        <f>SUM('LE ShareUEC'!$M47:$W47)</f>
        <v>10797.757783769848</v>
      </c>
      <c r="I47" s="198">
        <f t="shared" si="2"/>
        <v>9.7907134061334666E-3</v>
      </c>
      <c r="J47" s="216" t="e">
        <f t="shared" si="0"/>
        <v>#DIV/0!</v>
      </c>
      <c r="K47" s="198" t="e">
        <f t="shared" si="3"/>
        <v>#DIV/0!</v>
      </c>
      <c r="M47" s="216"/>
      <c r="N47" s="25"/>
      <c r="O47" s="36"/>
      <c r="P47" s="198"/>
      <c r="Q47" s="36"/>
      <c r="R47" s="198"/>
      <c r="S47" s="36"/>
      <c r="T47" s="198"/>
      <c r="U47" s="36"/>
      <c r="V47" s="198"/>
      <c r="W47" s="36"/>
      <c r="X47" s="198"/>
    </row>
    <row r="48" spans="1:24" x14ac:dyDescent="0.2">
      <c r="A48" s="192">
        <f t="shared" si="1"/>
        <v>2041</v>
      </c>
      <c r="B48" s="216">
        <f>SUM('LE ShareUEC'!$D48:$G48,'LE ShareUEC'!$U48)</f>
        <v>2123.9881785106854</v>
      </c>
      <c r="C48" s="198">
        <f t="shared" si="2"/>
        <v>3.1736797496315639E-3</v>
      </c>
      <c r="D48" s="216">
        <f>SUM('LE ShareUEC'!$H48:$K48)</f>
        <v>5539.292172840348</v>
      </c>
      <c r="E48" s="198">
        <f t="shared" si="2"/>
        <v>5.3231350726843374E-3</v>
      </c>
      <c r="F48" s="216">
        <f>'LE ShareUEC'!$L48</f>
        <v>2806.2475300546703</v>
      </c>
      <c r="G48" s="198">
        <f t="shared" si="2"/>
        <v>7.088937285060215E-4</v>
      </c>
      <c r="H48" s="216">
        <f>SUM('LE ShareUEC'!$M48:$W48)</f>
        <v>10903.994436337614</v>
      </c>
      <c r="I48" s="198">
        <f t="shared" si="2"/>
        <v>9.8387697423116816E-3</v>
      </c>
      <c r="J48" s="216" t="e">
        <f t="shared" si="0"/>
        <v>#DIV/0!</v>
      </c>
      <c r="K48" s="198" t="e">
        <f t="shared" si="3"/>
        <v>#DIV/0!</v>
      </c>
      <c r="M48" s="216"/>
      <c r="N48" s="25"/>
      <c r="O48" s="36"/>
      <c r="P48" s="198"/>
      <c r="Q48" s="36"/>
      <c r="R48" s="198"/>
      <c r="S48" s="36"/>
      <c r="T48" s="198"/>
      <c r="U48" s="36"/>
      <c r="V48" s="198"/>
      <c r="W48" s="36"/>
      <c r="X48" s="198"/>
    </row>
    <row r="49" spans="1:11" x14ac:dyDescent="0.2">
      <c r="A49" s="192">
        <f t="shared" si="1"/>
        <v>2042</v>
      </c>
      <c r="B49" s="216">
        <f>SUM('LE ShareUEC'!$D49:$G49,'LE ShareUEC'!$U49)</f>
        <v>2130.7532756233313</v>
      </c>
      <c r="D49" s="216">
        <f>SUM('LE ShareUEC'!$H49:$K49)</f>
        <v>5568.5968312201885</v>
      </c>
      <c r="F49" s="216">
        <f>'LE ShareUEC'!$L49</f>
        <v>2808.2322763942775</v>
      </c>
      <c r="H49" s="216">
        <f>SUM('LE ShareUEC'!$M49:$W49)</f>
        <v>11011.798368032525</v>
      </c>
      <c r="J49" s="216" t="e">
        <f t="shared" si="0"/>
        <v>#DIV/0!</v>
      </c>
      <c r="K49" s="198" t="e">
        <f t="shared" si="3"/>
        <v>#DIV/0!</v>
      </c>
    </row>
    <row r="50" spans="1:11" x14ac:dyDescent="0.2">
      <c r="A50" s="192"/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9"/>
  <sheetViews>
    <sheetView zoomScaleNormal="100" workbookViewId="0">
      <pane xSplit="1" ySplit="1" topLeftCell="B2" activePane="bottomRight" state="frozenSplit"/>
      <selection activeCell="P1" sqref="P1:Q15"/>
      <selection pane="topRight" activeCell="P1" sqref="P1:Q15"/>
      <selection pane="bottomLeft" activeCell="P1" sqref="P1:Q15"/>
      <selection pane="bottomRight" activeCell="B2" sqref="B2"/>
    </sheetView>
  </sheetViews>
  <sheetFormatPr defaultColWidth="9.140625" defaultRowHeight="12.75" x14ac:dyDescent="0.2"/>
  <cols>
    <col min="1" max="1" width="5.85546875" style="239" bestFit="1" customWidth="1"/>
    <col min="2" max="2" width="7.140625" style="239" customWidth="1"/>
    <col min="3" max="3" width="8.28515625" style="239" customWidth="1"/>
    <col min="4" max="4" width="9" style="159" customWidth="1"/>
    <col min="5" max="5" width="7.42578125" style="159" customWidth="1"/>
    <col min="6" max="6" width="9.140625" style="159" customWidth="1"/>
    <col min="7" max="7" width="7.42578125" style="159" customWidth="1"/>
    <col min="8" max="8" width="7" style="159" bestFit="1" customWidth="1"/>
    <col min="9" max="9" width="7.28515625" style="159" customWidth="1"/>
    <col min="10" max="10" width="9.140625" style="159" customWidth="1"/>
    <col min="11" max="11" width="7" style="159" bestFit="1" customWidth="1"/>
    <col min="12" max="12" width="8.7109375" style="159" bestFit="1" customWidth="1"/>
    <col min="13" max="13" width="6.7109375" style="159" bestFit="1" customWidth="1"/>
    <col min="14" max="14" width="8.28515625" style="159" bestFit="1" customWidth="1"/>
    <col min="15" max="16" width="6.7109375" style="159" bestFit="1" customWidth="1"/>
    <col min="17" max="17" width="5.7109375" style="159" bestFit="1" customWidth="1"/>
    <col min="18" max="21" width="8.7109375" style="159" bestFit="1" customWidth="1"/>
    <col min="22" max="23" width="8.28515625" style="159" bestFit="1" customWidth="1"/>
    <col min="24" max="27" width="9.28515625" style="239" bestFit="1" customWidth="1"/>
    <col min="28" max="16384" width="9.140625" style="239"/>
  </cols>
  <sheetData>
    <row r="1" spans="1:45" x14ac:dyDescent="0.2">
      <c r="A1" s="194" t="s">
        <v>15</v>
      </c>
      <c r="B1" s="194" t="s">
        <v>16</v>
      </c>
      <c r="C1" s="194" t="s">
        <v>17</v>
      </c>
      <c r="D1" s="238" t="s">
        <v>0</v>
      </c>
      <c r="E1" s="238" t="s">
        <v>1</v>
      </c>
      <c r="F1" s="238" t="s">
        <v>163</v>
      </c>
      <c r="G1" s="238" t="s">
        <v>145</v>
      </c>
      <c r="H1" s="238" t="s">
        <v>2</v>
      </c>
      <c r="I1" s="238" t="s">
        <v>3</v>
      </c>
      <c r="J1" s="238" t="s">
        <v>165</v>
      </c>
      <c r="K1" s="238" t="s">
        <v>4</v>
      </c>
      <c r="L1" s="238" t="s">
        <v>5</v>
      </c>
      <c r="M1" s="238" t="s">
        <v>6</v>
      </c>
      <c r="N1" s="238" t="s">
        <v>7</v>
      </c>
      <c r="O1" s="238" t="s">
        <v>8</v>
      </c>
      <c r="P1" s="238"/>
      <c r="Q1" s="238"/>
      <c r="R1" s="238" t="s">
        <v>11</v>
      </c>
      <c r="S1" s="238" t="s">
        <v>12</v>
      </c>
      <c r="T1" s="238" t="s">
        <v>100</v>
      </c>
      <c r="U1" s="238" t="s">
        <v>173</v>
      </c>
      <c r="V1" s="238" t="s">
        <v>13</v>
      </c>
      <c r="W1" s="238" t="s">
        <v>14</v>
      </c>
      <c r="X1" s="239" t="s">
        <v>260</v>
      </c>
      <c r="Z1" s="238" t="s">
        <v>0</v>
      </c>
      <c r="AA1" s="238" t="s">
        <v>1</v>
      </c>
      <c r="AB1" s="238" t="s">
        <v>163</v>
      </c>
      <c r="AC1" s="238" t="s">
        <v>145</v>
      </c>
      <c r="AD1" s="238" t="s">
        <v>2</v>
      </c>
      <c r="AE1" s="238" t="s">
        <v>3</v>
      </c>
      <c r="AF1" s="238" t="s">
        <v>165</v>
      </c>
      <c r="AG1" s="238" t="s">
        <v>4</v>
      </c>
      <c r="AH1" s="238" t="s">
        <v>5</v>
      </c>
      <c r="AI1" s="238" t="s">
        <v>6</v>
      </c>
      <c r="AJ1" s="238" t="s">
        <v>7</v>
      </c>
      <c r="AK1" s="238" t="s">
        <v>8</v>
      </c>
      <c r="AL1" s="238" t="s">
        <v>9</v>
      </c>
      <c r="AM1" s="238" t="s">
        <v>10</v>
      </c>
      <c r="AN1" s="238" t="s">
        <v>11</v>
      </c>
      <c r="AO1" s="238" t="s">
        <v>12</v>
      </c>
      <c r="AP1" s="238" t="s">
        <v>100</v>
      </c>
      <c r="AQ1" s="238" t="s">
        <v>173</v>
      </c>
      <c r="AR1" s="238" t="s">
        <v>13</v>
      </c>
      <c r="AS1" s="238" t="s">
        <v>14</v>
      </c>
    </row>
    <row r="2" spans="1:45" x14ac:dyDescent="0.2">
      <c r="A2" s="240">
        <v>1995</v>
      </c>
      <c r="B2" s="241">
        <f t="shared" ref="B2:B10" si="0">D2+E2+F2+G2+U2</f>
        <v>1851.7204985685055</v>
      </c>
      <c r="C2" s="241">
        <f>SUM(G2:I2)</f>
        <v>3790.5366324684337</v>
      </c>
      <c r="D2" s="242">
        <f>'LE Efficiencies'!B$54*'LE StructuralVars'!$Q2*('LE Shares'!B2/'LE Efficiencies'!B2)/('LE Shares'!B$12/'LE Efficiencies'!B$12)</f>
        <v>1060.7923925830942</v>
      </c>
      <c r="E2" s="242">
        <f>'LE Efficiencies'!C$54*'LE StructuralVars'!$Q2*('LE Shares'!D2/'LE Efficiencies'!C2)/('LE Shares'!D$12/'LE Efficiencies'!C$12)</f>
        <v>516.3001712926382</v>
      </c>
      <c r="F2" s="242">
        <f>'LE Efficiencies'!D$54*'LE StructuralVars'!$Q2*('LE Shares'!F2/'LE Efficiencies'!D2)/('LE Shares'!F$12/'LE Efficiencies'!D$12)</f>
        <v>5.6187790245103253</v>
      </c>
      <c r="G2" s="242">
        <f>'LE Efficiencies'!E$54*'LE StructuralVars'!$Q2*('LE Shares'!G2/(1/'LE Efficiencies'!E2))/('LE Shares'!G$12/(1/'LE Efficiencies'!E$12))</f>
        <v>57.914935447823268</v>
      </c>
      <c r="H2" s="345">
        <f>'LE Efficiencies'!F$54*'LE StructuralVars'!$R2*('LE Shares'!I2/'LE Efficiencies'!F2)/('LE Shares'!I$12/'LE Efficiencies'!F$12)</f>
        <v>3141.291395132148</v>
      </c>
      <c r="I2" s="242">
        <f>'LE Efficiencies'!G$54*'LE StructuralVars'!$R2*('LE Shares'!K2/'LE Efficiencies'!G2)/('LE Shares'!K$12/'LE Efficiencies'!G$12)</f>
        <v>591.3303018884626</v>
      </c>
      <c r="J2" s="242">
        <f>'LE Efficiencies'!H$54*'LE StructuralVars'!$R2*('LE Shares'!N2/'LE Efficiencies'!H2)/('LE Shares'!N$12/'LE Efficiencies'!H$12)</f>
        <v>9.9545027548257785</v>
      </c>
      <c r="K2" s="242">
        <f>'LE Efficiencies'!I$54*'LE StructuralVars'!$R2*('LE Shares'!O2/'LE Efficiencies'!I2)/('LE Shares'!O$12/'LE Efficiencies'!I$12)</f>
        <v>948.75612335724941</v>
      </c>
      <c r="L2" s="242">
        <f>'LE Efficiencies'!J$54*('LE Shares'!Q2/'LE Efficiencies'!J2)/('LE Shares'!Q$12/'LE Efficiencies'!J$12)</f>
        <v>2193.1141588760634</v>
      </c>
      <c r="M2" s="242">
        <f>'LE Efficiencies'!K$54*('LE Shares'!S2/(1/'LE Efficiencies'!K2))/('LE Shares'!S$12/(1/'LE Efficiencies'!K$12))</f>
        <v>460.59012185173049</v>
      </c>
      <c r="N2" s="242">
        <f>'LE Efficiencies'!L$54*('LE Shares'!U2/(1/'LE Efficiencies'!L2))/('LE Shares'!U$12/(1/'LE Efficiencies'!L$12))</f>
        <v>828.69244730374157</v>
      </c>
      <c r="O2" s="242">
        <f>'LE Efficiencies'!M$54*('LE Shares'!V2/(1/'LE Efficiencies'!M2))/('LE Shares'!V$12/(1/'LE Efficiencies'!M$12))</f>
        <v>149.16464051467332</v>
      </c>
      <c r="P2" s="242"/>
      <c r="Q2" s="242"/>
      <c r="R2" s="242" t="e">
        <f>'LE Efficiencies'!P$54*('LE Shares'!AB2/(1/'LE Efficiencies'!P2))/('LE Shares'!AB$12/(1/'LE Efficiencies'!P$12))</f>
        <v>#DIV/0!</v>
      </c>
      <c r="S2" s="242" t="e">
        <f>'LE Efficiencies'!Q$54*('LE Shares'!AD2/(1/'LE Efficiencies'!Q2))/('LE Shares'!AD$12/(1/'LE Efficiencies'!Q$12))</f>
        <v>#DIV/0!</v>
      </c>
      <c r="T2" s="242">
        <f>'LE Efficiencies'!R$54*('LE Shares'!AF2/(1/'LE Efficiencies'!R2))/('LE Shares'!AF$12/(1/'LE Efficiencies'!R$12))</f>
        <v>623.29287036801134</v>
      </c>
      <c r="U2" s="242">
        <f>'LE Efficiencies'!S$54*('LE Shares'!AH2/(1/'LE Efficiencies'!S2))/('LE Shares'!AH$12/(1/'LE Efficiencies'!S$12))</f>
        <v>211.09422022043935</v>
      </c>
      <c r="V2" s="242">
        <f>'LE Efficiencies'!T$54*('LE Shares'!AI2/(1/'LE Efficiencies'!T2))/('LE Shares'!AI$12/(1/'LE Efficiencies'!T$12))</f>
        <v>2104.313940508317</v>
      </c>
      <c r="W2" s="242">
        <f>'LE Efficiencies'!V$54*('LE Shares'!AJ2/(1/'LE Efficiencies'!X2))/('LE Shares'!AJ$12/(1/'LE Efficiencies'!X$12))</f>
        <v>2318.3842277207636</v>
      </c>
      <c r="X2" s="159" t="e">
        <f>SUM(L2:V2)+W2</f>
        <v>#DIV/0!</v>
      </c>
    </row>
    <row r="3" spans="1:45" x14ac:dyDescent="0.2">
      <c r="A3" s="240">
        <v>1996</v>
      </c>
      <c r="B3" s="241">
        <f t="shared" si="0"/>
        <v>1833.7204384507049</v>
      </c>
      <c r="C3" s="241">
        <f t="shared" ref="C3:C7" si="1">SUM(G3:I3)</f>
        <v>3798.0877816178045</v>
      </c>
      <c r="D3" s="242">
        <f>'LE Efficiencies'!B$54*'LE StructuralVars'!$Q3*('LE Shares'!B3/'LE Efficiencies'!B3)/('LE Shares'!B$12/'LE Efficiencies'!B$12)</f>
        <v>1045.7677842993314</v>
      </c>
      <c r="E3" s="242">
        <f>'LE Efficiencies'!C$54*'LE StructuralVars'!$Q3*('LE Shares'!D3/'LE Efficiencies'!C3)/('LE Shares'!D$12/'LE Efficiencies'!C$12)</f>
        <v>505.55225868811908</v>
      </c>
      <c r="F3" s="242">
        <f>'LE Efficiencies'!D$54*'LE StructuralVars'!$Q3*('LE Shares'!F3/'LE Efficiencies'!D3)/('LE Shares'!F$12/'LE Efficiencies'!D$12)</f>
        <v>6.0009944016046308</v>
      </c>
      <c r="G3" s="242">
        <f>'LE Efficiencies'!E$54*'LE StructuralVars'!$Q3*('LE Shares'!G3/(1/'LE Efficiencies'!E3))/('LE Shares'!G$12/(1/'LE Efficiencies'!E$12))</f>
        <v>62.341577282533095</v>
      </c>
      <c r="H3" s="242">
        <f>'LE Efficiencies'!F$54*'LE StructuralVars'!$R3*('LE Shares'!I3/'LE Efficiencies'!F3)/('LE Shares'!I$12/'LE Efficiencies'!F$12)</f>
        <v>3137.228139194252</v>
      </c>
      <c r="I3" s="242">
        <f>'LE Efficiencies'!G$54*'LE StructuralVars'!$R3*('LE Shares'!K3/'LE Efficiencies'!G3)/('LE Shares'!K$12/'LE Efficiencies'!G$12)</f>
        <v>598.51806514101895</v>
      </c>
      <c r="J3" s="242">
        <f>'LE Efficiencies'!H$54*'LE StructuralVars'!$R3*('LE Shares'!N3/'LE Efficiencies'!H3)/('LE Shares'!N$12/'LE Efficiencies'!H$12)</f>
        <v>10.61349903625347</v>
      </c>
      <c r="K3" s="242">
        <f>'LE Efficiencies'!I$54*'LE StructuralVars'!$R3*('LE Shares'!O3/'LE Efficiencies'!I3)/('LE Shares'!O$12/'LE Efficiencies'!I$12)</f>
        <v>852.02786952479289</v>
      </c>
      <c r="L3" s="242">
        <f>'LE Efficiencies'!J$54*('LE Shares'!Q3/'LE Efficiencies'!J3)/('LE Shares'!Q$12/'LE Efficiencies'!J$12)</f>
        <v>2187.7552076870729</v>
      </c>
      <c r="M3" s="242">
        <f>'LE Efficiencies'!K$54*('LE Shares'!S3/(1/'LE Efficiencies'!K3))/('LE Shares'!S$12/(1/'LE Efficiencies'!K$12))</f>
        <v>472.29710668670879</v>
      </c>
      <c r="N3" s="242">
        <f>'LE Efficiencies'!L$54*('LE Shares'!U3/(1/'LE Efficiencies'!L3))/('LE Shares'!U$12/(1/'LE Efficiencies'!L$12))</f>
        <v>815.84725563257177</v>
      </c>
      <c r="O3" s="242">
        <f>'LE Efficiencies'!M$54*('LE Shares'!V3/(1/'LE Efficiencies'!M3))/('LE Shares'!V$12/(1/'LE Efficiencies'!M$12))</f>
        <v>146.85250601386278</v>
      </c>
      <c r="P3" s="242"/>
      <c r="Q3" s="242"/>
      <c r="R3" s="242">
        <f>'LE Efficiencies'!P$54*('LE Shares'!AB3/(1/'LE Efficiencies'!P3))/('LE Shares'!AB$12/(1/'LE Efficiencies'!P$12))</f>
        <v>10.125545000469636</v>
      </c>
      <c r="S3" s="242">
        <f>'LE Efficiencies'!Q$54*('LE Shares'!AD3/(1/'LE Efficiencies'!Q3))/('LE Shares'!AD$12/(1/'LE Efficiencies'!Q$12))</f>
        <v>78.554750563646479</v>
      </c>
      <c r="T3" s="242">
        <f>'LE Efficiencies'!R$54*('LE Shares'!AF3/(1/'LE Efficiencies'!R3))/('LE Shares'!AF$12/(1/'LE Efficiencies'!R$12))</f>
        <v>636.61796431387722</v>
      </c>
      <c r="U3" s="242">
        <f>'LE Efficiencies'!S$54*('LE Shares'!AH3/(1/'LE Efficiencies'!S3))/('LE Shares'!AH$12/(1/'LE Efficiencies'!S$12))</f>
        <v>214.05782377911677</v>
      </c>
      <c r="V3" s="242">
        <f>'LE Efficiencies'!T$54*('LE Shares'!AI3/(1/'LE Efficiencies'!T3))/('LE Shares'!AI$12/(1/'LE Efficiencies'!T$12))</f>
        <v>2105.8924347895659</v>
      </c>
      <c r="W3" s="242">
        <f>'LE Efficiencies'!V$54*('LE Shares'!AJ3/(1/'LE Efficiencies'!X3))/('LE Shares'!AJ$12/(1/'LE Efficiencies'!X$12))</f>
        <v>2399.5335849702178</v>
      </c>
      <c r="X3" s="159">
        <f t="shared" ref="X3:X49" si="2">SUM(L3:V3)+W3</f>
        <v>9067.5341794371088</v>
      </c>
    </row>
    <row r="4" spans="1:45" x14ac:dyDescent="0.2">
      <c r="A4" s="240">
        <v>1997</v>
      </c>
      <c r="B4" s="241">
        <f t="shared" si="0"/>
        <v>1815.0388123986006</v>
      </c>
      <c r="C4" s="241">
        <f t="shared" si="1"/>
        <v>3806.7802086963657</v>
      </c>
      <c r="D4" s="242">
        <f>'LE Efficiencies'!B$54*'LE StructuralVars'!$Q4*('LE Shares'!B4/'LE Efficiencies'!B4)/('LE Shares'!B$12/'LE Efficiencies'!B$12)</f>
        <v>1030.2322455651608</v>
      </c>
      <c r="E4" s="242">
        <f>'LE Efficiencies'!C$54*'LE StructuralVars'!$Q4*('LE Shares'!D4/'LE Efficiencies'!C4)/('LE Shares'!D$12/'LE Efficiencies'!C$12)</f>
        <v>494.70311144400887</v>
      </c>
      <c r="F4" s="242">
        <f>'LE Efficiencies'!D$54*'LE StructuralVars'!$Q4*('LE Shares'!F4/'LE Efficiencies'!D4)/('LE Shares'!F$12/'LE Efficiencies'!D$12)</f>
        <v>6.3818410482747092</v>
      </c>
      <c r="G4" s="242">
        <f>'LE Efficiencies'!E$54*'LE StructuralVars'!$Q4*('LE Shares'!G4/(1/'LE Efficiencies'!E4))/('LE Shares'!G$12/(1/'LE Efficiencies'!E$12))</f>
        <v>66.7102047589688</v>
      </c>
      <c r="H4" s="242">
        <f>'LE Efficiencies'!F$54*'LE StructuralVars'!$R4*('LE Shares'!I4/'LE Efficiencies'!F4)/('LE Shares'!I$12/'LE Efficiencies'!F$12)</f>
        <v>3134.3372709616215</v>
      </c>
      <c r="I4" s="242">
        <f>'LE Efficiencies'!G$54*'LE StructuralVars'!$R4*('LE Shares'!K4/'LE Efficiencies'!G4)/('LE Shares'!K$12/'LE Efficiencies'!G$12)</f>
        <v>605.73273297577543</v>
      </c>
      <c r="J4" s="242">
        <f>'LE Efficiencies'!H$54*'LE StructuralVars'!$R4*('LE Shares'!N4/'LE Efficiencies'!H4)/('LE Shares'!N$12/'LE Efficiencies'!H$12)</f>
        <v>11.273093679531705</v>
      </c>
      <c r="K4" s="242">
        <f>'LE Efficiencies'!I$54*'LE StructuralVars'!$R4*('LE Shares'!O4/'LE Efficiencies'!I4)/('LE Shares'!O$12/'LE Efficiencies'!I$12)</f>
        <v>756.69856712590285</v>
      </c>
      <c r="L4" s="242">
        <f>'LE Efficiencies'!J$54*('LE Shares'!Q4/'LE Efficiencies'!J4)/('LE Shares'!Q$12/'LE Efficiencies'!J$12)</f>
        <v>2182.4223822284494</v>
      </c>
      <c r="M4" s="242">
        <f>'LE Efficiencies'!K$54*('LE Shares'!S4/(1/'LE Efficiencies'!K4))/('LE Shares'!S$12/(1/'LE Efficiencies'!K$12))</f>
        <v>483.99784596791596</v>
      </c>
      <c r="N4" s="242">
        <f>'LE Efficiencies'!L$54*('LE Shares'!U4/(1/'LE Efficiencies'!L4))/('LE Shares'!U$12/(1/'LE Efficiencies'!L$12))</f>
        <v>803.00206396140163</v>
      </c>
      <c r="O4" s="242">
        <f>'LE Efficiencies'!M$54*('LE Shares'!V4/(1/'LE Efficiencies'!M4))/('LE Shares'!V$12/(1/'LE Efficiencies'!M$12))</f>
        <v>144.54037151305221</v>
      </c>
      <c r="P4" s="242"/>
      <c r="Q4" s="242"/>
      <c r="R4" s="242">
        <f>'LE Efficiencies'!P$54*('LE Shares'!AB4/(1/'LE Efficiencies'!P4))/('LE Shares'!AB$12/(1/'LE Efficiencies'!P$12))</f>
        <v>20.331133834935077</v>
      </c>
      <c r="S4" s="242">
        <f>'LE Efficiencies'!Q$54*('LE Shares'!AD4/(1/'LE Efficiencies'!Q4))/('LE Shares'!AD$12/(1/'LE Efficiencies'!Q$12))</f>
        <v>157.41917819916014</v>
      </c>
      <c r="T4" s="242">
        <f>'LE Efficiencies'!R$54*('LE Shares'!AF4/(1/'LE Efficiencies'!R4))/('LE Shares'!AF$12/(1/'LE Efficiencies'!R$12))</f>
        <v>650.03818718494472</v>
      </c>
      <c r="U4" s="242">
        <f>'LE Efficiencies'!S$54*('LE Shares'!AH4/(1/'LE Efficiencies'!S4))/('LE Shares'!AH$12/(1/'LE Efficiencies'!S$12))</f>
        <v>217.01140958218727</v>
      </c>
      <c r="V4" s="242">
        <f>'LE Efficiencies'!T$54*('LE Shares'!AI4/(1/'LE Efficiencies'!T4))/('LE Shares'!AI$12/(1/'LE Efficiencies'!T$12))</f>
        <v>2107.4709290708151</v>
      </c>
      <c r="W4" s="242">
        <f>'LE Efficiencies'!V$54*('LE Shares'!AJ4/(1/'LE Efficiencies'!X4))/('LE Shares'!AJ$12/(1/'LE Efficiencies'!X$12))</f>
        <v>2480.6829422196715</v>
      </c>
      <c r="X4" s="159">
        <f t="shared" si="2"/>
        <v>9246.9164437625332</v>
      </c>
    </row>
    <row r="5" spans="1:45" x14ac:dyDescent="0.2">
      <c r="A5" s="240">
        <v>1998</v>
      </c>
      <c r="B5" s="241">
        <f t="shared" si="0"/>
        <v>1795.7169500193565</v>
      </c>
      <c r="C5" s="241">
        <f t="shared" si="1"/>
        <v>3816.5500478815297</v>
      </c>
      <c r="D5" s="242">
        <f>'LE Efficiencies'!B$54*'LE StructuralVars'!$Q5*('LE Shares'!B5/'LE Efficiencies'!B5)/('LE Shares'!B$12/'LE Efficiencies'!B$12)</f>
        <v>1014.2156374103437</v>
      </c>
      <c r="E5" s="242">
        <f>'LE Efficiencies'!C$54*'LE StructuralVars'!$Q5*('LE Shares'!D5/'LE Efficiencies'!C5)/('LE Shares'!D$12/'LE Efficiencies'!C$12)</f>
        <v>483.76899538071933</v>
      </c>
      <c r="F5" s="242">
        <f>'LE Efficiencies'!D$54*'LE StructuralVars'!$Q5*('LE Shares'!F5/'LE Efficiencies'!D5)/('LE Shares'!F$12/'LE Efficiencies'!D$12)</f>
        <v>6.7609899108978384</v>
      </c>
      <c r="G5" s="242">
        <f>'LE Efficiencies'!E$54*'LE StructuralVars'!$Q5*('LE Shares'!G5/(1/'LE Efficiencies'!E5))/('LE Shares'!G$12/(1/'LE Efficiencies'!E$12))</f>
        <v>71.016349687744963</v>
      </c>
      <c r="H5" s="242">
        <f>'LE Efficiencies'!F$54*'LE StructuralVars'!$R5*('LE Shares'!I5/'LE Efficiencies'!F5)/('LE Shares'!I$12/'LE Efficiencies'!F$12)</f>
        <v>3132.5566819605801</v>
      </c>
      <c r="I5" s="242">
        <f>'LE Efficiencies'!G$54*'LE StructuralVars'!$R5*('LE Shares'!K5/'LE Efficiencies'!G5)/('LE Shares'!K$12/'LE Efficiencies'!G$12)</f>
        <v>612.97701623320472</v>
      </c>
      <c r="J5" s="242">
        <f>'LE Efficiencies'!H$54*'LE StructuralVars'!$R5*('LE Shares'!N5/'LE Efficiencies'!H5)/('LE Shares'!N$12/'LE Efficiencies'!H$12)</f>
        <v>11.933477995344395</v>
      </c>
      <c r="K5" s="242">
        <f>'LE Efficiencies'!I$54*'LE StructuralVars'!$R5*('LE Shares'!O5/'LE Efficiencies'!I5)/('LE Shares'!O$12/'LE Efficiencies'!I$12)</f>
        <v>662.68540233369254</v>
      </c>
      <c r="L5" s="242">
        <f>'LE Efficiencies'!J$54*('LE Shares'!Q5/'LE Efficiencies'!J5)/('LE Shares'!Q$12/'LE Efficiencies'!J$12)</f>
        <v>2177.1154919141904</v>
      </c>
      <c r="M5" s="242">
        <f>'LE Efficiencies'!K$54*('LE Shares'!S5/(1/'LE Efficiencies'!K5))/('LE Shares'!S$12/(1/'LE Efficiencies'!K$12))</f>
        <v>495.6923396953523</v>
      </c>
      <c r="N5" s="242">
        <f>'LE Efficiencies'!L$54*('LE Shares'!U5/(1/'LE Efficiencies'!L5))/('LE Shares'!U$12/(1/'LE Efficiencies'!L$12))</f>
        <v>790.15687229023183</v>
      </c>
      <c r="O5" s="242">
        <f>'LE Efficiencies'!M$54*('LE Shares'!V5/(1/'LE Efficiencies'!M5))/('LE Shares'!V$12/(1/'LE Efficiencies'!M$12))</f>
        <v>142.22823701224164</v>
      </c>
      <c r="P5" s="242"/>
      <c r="Q5" s="242"/>
      <c r="R5" s="242">
        <f>'LE Efficiencies'!P$54*('LE Shares'!AB5/(1/'LE Efficiencies'!P5))/('LE Shares'!AB$12/(1/'LE Efficiencies'!P$12))</f>
        <v>30.616766503396324</v>
      </c>
      <c r="S5" s="242">
        <f>'LE Efficiencies'!Q$54*('LE Shares'!AD5/(1/'LE Efficiencies'!Q5))/('LE Shares'!AD$12/(1/'LE Efficiencies'!Q$12))</f>
        <v>236.59328290654096</v>
      </c>
      <c r="T5" s="242">
        <f>'LE Efficiencies'!R$54*('LE Shares'!AF5/(1/'LE Efficiencies'!R5))/('LE Shares'!AF$12/(1/'LE Efficiencies'!R$12))</f>
        <v>663.55353898121348</v>
      </c>
      <c r="U5" s="242">
        <f>'LE Efficiencies'!S$54*('LE Shares'!AH5/(1/'LE Efficiencies'!S5))/('LE Shares'!AH$12/(1/'LE Efficiencies'!S$12))</f>
        <v>219.95497762965084</v>
      </c>
      <c r="V5" s="242">
        <f>'LE Efficiencies'!T$54*('LE Shares'!AI5/(1/'LE Efficiencies'!T5))/('LE Shares'!AI$12/(1/'LE Efficiencies'!T$12))</f>
        <v>2109.049423352064</v>
      </c>
      <c r="W5" s="242">
        <f>'LE Efficiencies'!V$54*('LE Shares'!AJ5/(1/'LE Efficiencies'!X5))/('LE Shares'!AJ$12/(1/'LE Efficiencies'!X$12))</f>
        <v>2561.8322994691248</v>
      </c>
      <c r="X5" s="159">
        <f t="shared" si="2"/>
        <v>9426.7932297540065</v>
      </c>
    </row>
    <row r="6" spans="1:45" x14ac:dyDescent="0.2">
      <c r="A6" s="240">
        <v>1999</v>
      </c>
      <c r="B6" s="241">
        <f t="shared" si="0"/>
        <v>1775.8095707336029</v>
      </c>
      <c r="C6" s="241">
        <f t="shared" si="1"/>
        <v>3870.938545379272</v>
      </c>
      <c r="D6" s="242">
        <f>'LE Efficiencies'!B$54*'LE StructuralVars'!$Q6*('LE Shares'!B6/'LE Efficiencies'!B6)/('LE Shares'!B$12/'LE Efficiencies'!B$12)</f>
        <v>997.75646515410199</v>
      </c>
      <c r="E6" s="242">
        <f>'LE Efficiencies'!C$54*'LE StructuralVars'!$Q6*('LE Shares'!D6/'LE Efficiencies'!C6)/('LE Shares'!D$12/'LE Efficiencies'!C$12)</f>
        <v>472.76984185710819</v>
      </c>
      <c r="F6" s="242">
        <f>'LE Efficiencies'!D$54*'LE StructuralVars'!$Q6*('LE Shares'!F6/'LE Efficiencies'!D6)/('LE Shares'!F$12/'LE Efficiencies'!D$12)</f>
        <v>7.1381959659817165</v>
      </c>
      <c r="G6" s="242">
        <f>'LE Efficiencies'!E$54*'LE StructuralVars'!$Q6*('LE Shares'!G6/(1/'LE Efficiencies'!E6))/('LE Shares'!G$12/(1/'LE Efficiencies'!E$12))</f>
        <v>75.256539834903577</v>
      </c>
      <c r="H6" s="242">
        <f>'LE Efficiencies'!F$54*'LE StructuralVars'!$R6*('LE Shares'!I6/'LE Efficiencies'!F6)/('LE Shares'!I$12/'LE Efficiencies'!F$12)</f>
        <v>3175.4284697301332</v>
      </c>
      <c r="I6" s="242">
        <f>'LE Efficiencies'!G$54*'LE StructuralVars'!$R6*('LE Shares'!K6/'LE Efficiencies'!G6)/('LE Shares'!K$12/'LE Efficiencies'!G$12)</f>
        <v>620.25353581423565</v>
      </c>
      <c r="J6" s="242">
        <f>'LE Efficiencies'!H$54*'LE StructuralVars'!$R6*('LE Shares'!N6/'LE Efficiencies'!H6)/('LE Shares'!N$12/'LE Efficiencies'!H$12)</f>
        <v>12.594840312260791</v>
      </c>
      <c r="K6" s="242">
        <f>'LE Efficiencies'!I$54*'LE StructuralVars'!$R6*('LE Shares'!O6/'LE Efficiencies'!I6)/('LE Shares'!O$12/'LE Efficiencies'!I$12)</f>
        <v>569.90966181864428</v>
      </c>
      <c r="L6" s="242">
        <f>'LE Efficiencies'!J$54*('LE Shares'!Q6/'LE Efficiencies'!J6)/('LE Shares'!Q$12/'LE Efficiencies'!J$12)</f>
        <v>2171.8343480075523</v>
      </c>
      <c r="M6" s="242">
        <f>'LE Efficiencies'!K$54*('LE Shares'!S6/(1/'LE Efficiencies'!K6))/('LE Shares'!S$12/(1/'LE Efficiencies'!K$12))</f>
        <v>507.38058786901752</v>
      </c>
      <c r="N6" s="242">
        <f>'LE Efficiencies'!L$54*('LE Shares'!U6/(1/'LE Efficiencies'!L6))/('LE Shares'!U$12/(1/'LE Efficiencies'!L$12))</f>
        <v>777.3116806190618</v>
      </c>
      <c r="O6" s="242">
        <f>'LE Efficiencies'!M$54*('LE Shares'!V6/(1/'LE Efficiencies'!M6))/('LE Shares'!V$12/(1/'LE Efficiencies'!M$12))</f>
        <v>139.91610251143103</v>
      </c>
      <c r="P6" s="242"/>
      <c r="Q6" s="242"/>
      <c r="R6" s="242">
        <f>'LE Efficiencies'!P$54*('LE Shares'!AB6/(1/'LE Efficiencies'!P6))/('LE Shares'!AB$12/(1/'LE Efficiencies'!P$12))</f>
        <v>40.982443005853384</v>
      </c>
      <c r="S6" s="242">
        <f>'LE Efficiencies'!Q$54*('LE Shares'!AD6/(1/'LE Efficiencies'!Q6))/('LE Shares'!AD$12/(1/'LE Efficiencies'!Q$12))</f>
        <v>316.07706468578908</v>
      </c>
      <c r="T6" s="242">
        <f>'LE Efficiencies'!R$54*('LE Shares'!AF6/(1/'LE Efficiencies'!R6))/('LE Shares'!AF$12/(1/'LE Efficiencies'!R$12))</f>
        <v>677.16401970268373</v>
      </c>
      <c r="U6" s="242">
        <f>'LE Efficiencies'!S$54*('LE Shares'!AH6/(1/'LE Efficiencies'!S6))/('LE Shares'!AH$12/(1/'LE Efficiencies'!S$12))</f>
        <v>222.88852792150749</v>
      </c>
      <c r="V6" s="242">
        <f>'LE Efficiencies'!T$54*('LE Shares'!AI6/(1/'LE Efficiencies'!T6))/('LE Shares'!AI$12/(1/'LE Efficiencies'!T$12))</f>
        <v>2110.6279176333123</v>
      </c>
      <c r="W6" s="242">
        <f>'LE Efficiencies'!V$54*('LE Shares'!AJ6/(1/'LE Efficiencies'!X6))/('LE Shares'!AJ$12/(1/'LE Efficiencies'!X$12))</f>
        <v>2642.9816567185785</v>
      </c>
      <c r="X6" s="159">
        <f t="shared" si="2"/>
        <v>9607.1643486747871</v>
      </c>
    </row>
    <row r="7" spans="1:45" x14ac:dyDescent="0.2">
      <c r="A7" s="240">
        <v>2000</v>
      </c>
      <c r="B7" s="241">
        <f t="shared" si="0"/>
        <v>1776.59937824708</v>
      </c>
      <c r="C7" s="241">
        <f t="shared" si="1"/>
        <v>3825.3615766903836</v>
      </c>
      <c r="D7" s="242">
        <f>'LE Efficiencies'!B$54*'LE StructuralVars'!$Q7*('LE Shares'!B7/'LE Efficiencies'!B7)/('LE Shares'!B$12/'LE Efficiencies'!B$12)</f>
        <v>995.32644149926489</v>
      </c>
      <c r="E7" s="242">
        <f>'LE Efficiencies'!C$54*'LE StructuralVars'!$Q7*('LE Shares'!D7/'LE Efficiencies'!C7)/('LE Shares'!D$12/'LE Efficiencies'!C$12)</f>
        <v>468.51904288740036</v>
      </c>
      <c r="F7" s="242">
        <f>'LE Efficiencies'!D$54*'LE StructuralVars'!$Q7*('LE Shares'!F7/'LE Efficiencies'!D7)/('LE Shares'!F$12/'LE Efficiencies'!D$12)</f>
        <v>7.5133181369039077</v>
      </c>
      <c r="G7" s="242">
        <f>'LE Efficiencies'!E$54*'LE StructuralVars'!$Q7*('LE Shares'!G7/(1/'LE Efficiencies'!E7))/('LE Shares'!G$12/(1/'LE Efficiencies'!E$12))</f>
        <v>79.428515265753674</v>
      </c>
      <c r="H7" s="242">
        <f>'LE Efficiencies'!F$54*'LE StructuralVars'!$R7*('LE Shares'!I7/'LE Efficiencies'!F7)/('LE Shares'!I$12/'LE Efficiencies'!F$12)</f>
        <v>3118.3682321482997</v>
      </c>
      <c r="I7" s="242">
        <f>'LE Efficiencies'!G$54*'LE StructuralVars'!$R7*('LE Shares'!K7/'LE Efficiencies'!G7)/('LE Shares'!K$12/'LE Efficiencies'!G$12)</f>
        <v>627.56482927633033</v>
      </c>
      <c r="J7" s="242">
        <f>'LE Efficiencies'!H$54*'LE StructuralVars'!$R7*('LE Shares'!N7/'LE Efficiencies'!H7)/('LE Shares'!N$12/'LE Efficiencies'!H$12)</f>
        <v>13.257366133844053</v>
      </c>
      <c r="K7" s="242">
        <f>'LE Efficiencies'!I$54*'LE StructuralVars'!$R7*('LE Shares'!O7/'LE Efficiencies'!I7)/('LE Shares'!O$12/'LE Efficiencies'!I$12)</f>
        <v>528.53767793549582</v>
      </c>
      <c r="L7" s="242">
        <f>'LE Efficiencies'!J$54*('LE Shares'!Q7/'LE Efficiencies'!J7)/('LE Shares'!Q$12/'LE Efficiencies'!J$12)</f>
        <v>2166.5787635986749</v>
      </c>
      <c r="M7" s="242">
        <f>'LE Efficiencies'!K$54*('LE Shares'!S7/(1/'LE Efficiencies'!K7))/('LE Shares'!S$12/(1/'LE Efficiencies'!K$12))</f>
        <v>519.06259048891161</v>
      </c>
      <c r="N7" s="242">
        <f>'LE Efficiencies'!L$54*('LE Shares'!U7/(1/'LE Efficiencies'!L7))/('LE Shares'!U$12/(1/'LE Efficiencies'!L$12))</f>
        <v>764.46648894789189</v>
      </c>
      <c r="O7" s="242">
        <f>'LE Efficiencies'!M$54*('LE Shares'!V7/(1/'LE Efficiencies'!M7))/('LE Shares'!V$12/(1/'LE Efficiencies'!M$12))</f>
        <v>137.60396801062046</v>
      </c>
      <c r="P7" s="242"/>
      <c r="Q7" s="242"/>
      <c r="R7" s="242">
        <f>'LE Efficiencies'!P$54*('LE Shares'!AB7/(1/'LE Efficiencies'!P7))/('LE Shares'!AB$12/(1/'LE Efficiencies'!P$12))</f>
        <v>51.428163342306242</v>
      </c>
      <c r="S7" s="242">
        <f>'LE Efficiencies'!Q$54*('LE Shares'!AD7/(1/'LE Efficiencies'!Q7))/('LE Shares'!AD$12/(1/'LE Efficiencies'!Q$12))</f>
        <v>395.87052353690427</v>
      </c>
      <c r="T7" s="242">
        <f>'LE Efficiencies'!R$54*('LE Shares'!AF7/(1/'LE Efficiencies'!R7))/('LE Shares'!AF$12/(1/'LE Efficiencies'!R$12))</f>
        <v>690.86962934935536</v>
      </c>
      <c r="U7" s="242">
        <f>'LE Efficiencies'!S$54*('LE Shares'!AH7/(1/'LE Efficiencies'!S7))/('LE Shares'!AH$12/(1/'LE Efficiencies'!S$12))</f>
        <v>225.81206045775718</v>
      </c>
      <c r="V7" s="242">
        <f>'LE Efficiencies'!T$54*('LE Shares'!AI7/(1/'LE Efficiencies'!T7))/('LE Shares'!AI$12/(1/'LE Efficiencies'!T$12))</f>
        <v>2112.2064119145616</v>
      </c>
      <c r="W7" s="242">
        <f>'LE Efficiencies'!V$54*('LE Shares'!AJ7/(1/'LE Efficiencies'!X7))/('LE Shares'!AJ$12/(1/'LE Efficiencies'!X$12))</f>
        <v>2724.1310139680322</v>
      </c>
      <c r="X7" s="159">
        <f t="shared" si="2"/>
        <v>9788.0296136150155</v>
      </c>
    </row>
    <row r="8" spans="1:45" x14ac:dyDescent="0.2">
      <c r="A8" s="240">
        <v>2001</v>
      </c>
      <c r="B8" s="241">
        <f t="shared" si="0"/>
        <v>1776.9513265098576</v>
      </c>
      <c r="C8" s="241">
        <f>SUM(H8:K8)</f>
        <v>4200.3364704339574</v>
      </c>
      <c r="D8" s="242">
        <f>'LE Efficiencies'!B$54*'LE StructuralVars'!$Q8*('LE Shares'!B8/'LE Efficiencies'!B8)/('LE Shares'!B$12/'LE Efficiencies'!B$12)</f>
        <v>992.61558547069535</v>
      </c>
      <c r="E8" s="242">
        <f>'LE Efficiencies'!C$54*'LE StructuralVars'!$Q8*('LE Shares'!D8/'LE Efficiencies'!C8)/('LE Shares'!D$12/'LE Efficiencies'!C$12)</f>
        <v>464.19241974569388</v>
      </c>
      <c r="F8" s="242">
        <f>'LE Efficiencies'!D$54*'LE StructuralVars'!$Q8*('LE Shares'!F8/'LE Efficiencies'!D8)/('LE Shares'!F$12/'LE Efficiencies'!D$12)</f>
        <v>7.8863364897869772</v>
      </c>
      <c r="G8" s="242">
        <f>'LE Efficiencies'!E$54*'LE StructuralVars'!$Q8*('LE Shares'!G8/(1/'LE Efficiencies'!E8))/('LE Shares'!G$12/(1/'LE Efficiencies'!E$12))</f>
        <v>83.531409565281365</v>
      </c>
      <c r="H8" s="242">
        <f>'LE Efficiencies'!F$54*'LE StructuralVars'!$R8*('LE Shares'!I8/'LE Efficiencies'!F8)/('LE Shares'!I$12/'LE Efficiencies'!F$12)</f>
        <v>3063.7855553055379</v>
      </c>
      <c r="I8" s="242">
        <f>'LE Efficiencies'!G$54*'LE StructuralVars'!$R8*('LE Shares'!K8/'LE Efficiencies'!G8)/('LE Shares'!K$12/'LE Efficiencies'!G$12)</f>
        <v>634.91335692456335</v>
      </c>
      <c r="J8" s="242">
        <f>'LE Efficiencies'!H$54*'LE StructuralVars'!$R8*('LE Shares'!N8/'LE Efficiencies'!H8)/('LE Shares'!N$12/'LE Efficiencies'!H$12)</f>
        <v>13.921238288893926</v>
      </c>
      <c r="K8" s="242">
        <f>'LE Efficiencies'!I$54*'LE StructuralVars'!$R8*('LE Shares'!O8/'LE Efficiencies'!I8)/('LE Shares'!O$12/'LE Efficiencies'!I$12)</f>
        <v>487.7163199149623</v>
      </c>
      <c r="L8" s="242">
        <f>'LE Efficiencies'!J$54*('LE Shares'!Q8/'LE Efficiencies'!J8)/('LE Shares'!Q$12/'LE Efficiencies'!J$12)</f>
        <v>2161.3485535825289</v>
      </c>
      <c r="M8" s="242">
        <f>'LE Efficiencies'!K$54*('LE Shares'!S8/(1/'LE Efficiencies'!K8))/('LE Shares'!S$12/(1/'LE Efficiencies'!K$12))</f>
        <v>530.73834755503492</v>
      </c>
      <c r="N8" s="242">
        <f>'LE Efficiencies'!L$54*('LE Shares'!U8/(1/'LE Efficiencies'!L8))/('LE Shares'!U$12/(1/'LE Efficiencies'!L$12))</f>
        <v>751.62129727672198</v>
      </c>
      <c r="O8" s="242">
        <f>'LE Efficiencies'!M$54*('LE Shares'!V8/(1/'LE Efficiencies'!M8))/('LE Shares'!V$12/(1/'LE Efficiencies'!M$12))</f>
        <v>135.29183350980992</v>
      </c>
      <c r="P8" s="242"/>
      <c r="Q8" s="242"/>
      <c r="R8" s="242">
        <f>'LE Efficiencies'!P$54*('LE Shares'!AB8/(1/'LE Efficiencies'!P8))/('LE Shares'!AB$12/(1/'LE Efficiencies'!P$12))</f>
        <v>61.953927512754923</v>
      </c>
      <c r="S8" s="242">
        <f>'LE Efficiencies'!Q$54*('LE Shares'!AD8/(1/'LE Efficiencies'!Q8))/('LE Shares'!AD$12/(1/'LE Efficiencies'!Q$12))</f>
        <v>475.97365945988673</v>
      </c>
      <c r="T8" s="242">
        <f>'LE Efficiencies'!R$54*('LE Shares'!AF8/(1/'LE Efficiencies'!R8))/('LE Shares'!AF$12/(1/'LE Efficiencies'!R$12))</f>
        <v>704.89364750548759</v>
      </c>
      <c r="U8" s="242">
        <f>'LE Efficiencies'!S$54*('LE Shares'!AH8/(1/'LE Efficiencies'!S8))/('LE Shares'!AH$12/(1/'LE Efficiencies'!S$12))</f>
        <v>228.72557523840004</v>
      </c>
      <c r="V8" s="242">
        <f>'LE Efficiencies'!T$54*('LE Shares'!AI8/(1/'LE Efficiencies'!T8))/('LE Shares'!AI$12/(1/'LE Efficiencies'!T$12))</f>
        <v>2113.78490619581</v>
      </c>
      <c r="W8" s="242">
        <f>'LE Efficiencies'!V$54*('LE Shares'!AJ8/(1/'LE Efficiencies'!X8))/('LE Shares'!AJ$12/(1/'LE Efficiencies'!X$12))</f>
        <v>2805.2803712174864</v>
      </c>
      <c r="X8" s="159">
        <f t="shared" si="2"/>
        <v>9969.6121190539216</v>
      </c>
    </row>
    <row r="9" spans="1:45" x14ac:dyDescent="0.2">
      <c r="A9" s="240">
        <v>2002</v>
      </c>
      <c r="B9" s="241">
        <f t="shared" si="0"/>
        <v>1776.9417584979551</v>
      </c>
      <c r="C9" s="241">
        <f t="shared" ref="C9:C49" si="3">SUM(H9:K9)</f>
        <v>4115.8293659259998</v>
      </c>
      <c r="D9" s="242">
        <f>'LE Efficiencies'!B$54*'LE StructuralVars'!$Q9*('LE Shares'!B9/'LE Efficiencies'!B9)/('LE Shares'!B$12/'LE Efficiencies'!B$12)</f>
        <v>989.67448906522168</v>
      </c>
      <c r="E9" s="242">
        <f>'LE Efficiencies'!C$54*'LE StructuralVars'!$Q9*('LE Shares'!D9/'LE Efficiencies'!C9)/('LE Shares'!D$12/'LE Efficiencies'!C$12)</f>
        <v>459.81495360321611</v>
      </c>
      <c r="F9" s="242">
        <f>'LE Efficiencies'!D$54*'LE StructuralVars'!$Q9*('LE Shares'!F9/'LE Efficiencies'!D9)/('LE Shares'!F$12/'LE Efficiencies'!D$12)</f>
        <v>8.2573651335089089</v>
      </c>
      <c r="G9" s="242">
        <f>'LE Efficiencies'!E$54*'LE StructuralVars'!$Q9*('LE Shares'!G9/(1/'LE Efficiencies'!E9))/('LE Shares'!G$12/(1/'LE Efficiencies'!E$12))</f>
        <v>87.565878432572475</v>
      </c>
      <c r="H9" s="242">
        <f>'LE Efficiencies'!F$54*'LE StructuralVars'!$R9*('LE Shares'!I9/'LE Efficiencies'!F9)/('LE Shares'!I$12/'LE Efficiencies'!F$12)</f>
        <v>3011.5277402327001</v>
      </c>
      <c r="I9" s="242">
        <f>'LE Efficiencies'!G$54*'LE StructuralVars'!$R9*('LE Shares'!K9/'LE Efficiencies'!G9)/('LE Shares'!K$12/'LE Efficiencies'!G$12)</f>
        <v>642.30150744298408</v>
      </c>
      <c r="J9" s="242">
        <f>'LE Efficiencies'!H$54*'LE StructuralVars'!$R9*('LE Shares'!N9/'LE Efficiencies'!H9)/('LE Shares'!N$12/'LE Efficiencies'!H$12)</f>
        <v>14.5866370751981</v>
      </c>
      <c r="K9" s="242">
        <f>'LE Efficiencies'!I$54*'LE StructuralVars'!$R9*('LE Shares'!O9/'LE Efficiencies'!I9)/('LE Shares'!O$12/'LE Efficiencies'!I$12)</f>
        <v>447.41348117511745</v>
      </c>
      <c r="L9" s="242">
        <f>'LE Efficiencies'!J$54*('LE Shares'!Q9/'LE Efficiencies'!J9)/('LE Shares'!Q$12/'LE Efficiencies'!J$12)</f>
        <v>2156.1435346371863</v>
      </c>
      <c r="M9" s="242">
        <f>'LE Efficiencies'!K$54*('LE Shares'!S9/(1/'LE Efficiencies'!K9))/('LE Shares'!S$12/(1/'LE Efficiencies'!K$12))</f>
        <v>542.40785906738711</v>
      </c>
      <c r="N9" s="242">
        <f>'LE Efficiencies'!L$54*('LE Shares'!U9/(1/'LE Efficiencies'!L9))/('LE Shares'!U$12/(1/'LE Efficiencies'!L$12))</f>
        <v>738.77610560555195</v>
      </c>
      <c r="O9" s="242">
        <f>'LE Efficiencies'!M$54*('LE Shares'!V9/(1/'LE Efficiencies'!M9))/('LE Shares'!V$12/(1/'LE Efficiencies'!M$12))</f>
        <v>132.97969900899935</v>
      </c>
      <c r="P9" s="242"/>
      <c r="Q9" s="242"/>
      <c r="R9" s="242">
        <f>'LE Efficiencies'!P$54*('LE Shares'!AB9/(1/'LE Efficiencies'!P9))/('LE Shares'!AB$12/(1/'LE Efficiencies'!P$12))</f>
        <v>72.5597355171994</v>
      </c>
      <c r="S9" s="242">
        <f>'LE Efficiencies'!Q$54*('LE Shares'!AD9/(1/'LE Efficiencies'!Q9))/('LE Shares'!AD$12/(1/'LE Efficiencies'!Q$12))</f>
        <v>556.38647245473612</v>
      </c>
      <c r="T9" s="242">
        <f>'LE Efficiencies'!R$54*('LE Shares'!AF9/(1/'LE Efficiencies'!R9))/('LE Shares'!AF$12/(1/'LE Efficiencies'!R$12))</f>
        <v>718.79291246417642</v>
      </c>
      <c r="U9" s="242">
        <f>'LE Efficiencies'!S$54*('LE Shares'!AH9/(1/'LE Efficiencies'!S9))/('LE Shares'!AH$12/(1/'LE Efficiencies'!S$12))</f>
        <v>231.62907226343592</v>
      </c>
      <c r="V9" s="242">
        <f>'LE Efficiencies'!T$54*('LE Shares'!AI9/(1/'LE Efficiencies'!T9))/('LE Shares'!AI$12/(1/'LE Efficiencies'!T$12))</f>
        <v>2115.3634004770588</v>
      </c>
      <c r="W9" s="242">
        <f>'LE Efficiencies'!V$54*('LE Shares'!AJ9/(1/'LE Efficiencies'!X9))/('LE Shares'!AJ$12/(1/'LE Efficiencies'!X$12))</f>
        <v>2886.4297284669401</v>
      </c>
      <c r="X9" s="159">
        <f t="shared" si="2"/>
        <v>10151.468519962669</v>
      </c>
    </row>
    <row r="10" spans="1:45" x14ac:dyDescent="0.2">
      <c r="A10" s="240">
        <v>2003</v>
      </c>
      <c r="B10" s="241">
        <f t="shared" si="0"/>
        <v>1776.6587138913542</v>
      </c>
      <c r="C10" s="241">
        <f t="shared" si="3"/>
        <v>4034.038200972499</v>
      </c>
      <c r="D10" s="242">
        <f>'LE Efficiencies'!B$54*'LE StructuralVars'!$Q10*('LE Shares'!B10/'LE Efficiencies'!B10)/('LE Shares'!B$12/'LE Efficiencies'!B$12)</f>
        <v>986.56100760957247</v>
      </c>
      <c r="E10" s="242">
        <f>'LE Efficiencies'!C$54*'LE StructuralVars'!$Q10*('LE Shares'!D10/'LE Efficiencies'!C10)/('LE Shares'!D$12/'LE Efficiencies'!C$12)</f>
        <v>455.4143345282273</v>
      </c>
      <c r="F10" s="242">
        <f>'LE Efficiencies'!D$54*'LE StructuralVars'!$Q10*('LE Shares'!F10/'LE Efficiencies'!D10)/('LE Shares'!F$12/'LE Efficiencies'!D$12)</f>
        <v>8.6266594439072843</v>
      </c>
      <c r="G10" s="242">
        <f>'LE Efficiencies'!E$54*'LE StructuralVars'!$Q10*('LE Shares'!G10/(1/'LE Efficiencies'!E10))/('LE Shares'!G$12/(1/'LE Efficiencies'!E$12))</f>
        <v>91.534160776782201</v>
      </c>
      <c r="H10" s="242">
        <f>'LE Efficiencies'!F$54*'LE StructuralVars'!$R10*('LE Shares'!I10/'LE Efficiencies'!F10)/('LE Shares'!I$12/'LE Efficiencies'!F$12)</f>
        <v>2961.454315192288</v>
      </c>
      <c r="I10" s="242">
        <f>'LE Efficiencies'!G$54*'LE StructuralVars'!$R10*('LE Shares'!K10/'LE Efficiencies'!G10)/('LE Shares'!K$12/'LE Efficiencies'!G$12)</f>
        <v>649.73160310695312</v>
      </c>
      <c r="J10" s="242">
        <f>'LE Efficiencies'!H$54*'LE StructuralVars'!$R10*('LE Shares'!N10/'LE Efficiencies'!H10)/('LE Shares'!N$12/'LE Efficiencies'!H$12)</f>
        <v>15.253740397143817</v>
      </c>
      <c r="K10" s="242">
        <f>'LE Efficiencies'!I$54*'LE StructuralVars'!$R10*('LE Shares'!O10/'LE Efficiencies'!I10)/('LE Shares'!O$12/'LE Efficiencies'!I$12)</f>
        <v>407.5985422761139</v>
      </c>
      <c r="L10" s="242">
        <f>'LE Efficiencies'!J$54*('LE Shares'!Q10/'LE Efficiencies'!J10)/('LE Shares'!Q$12/'LE Efficiencies'!J$12)</f>
        <v>2150.9635252024</v>
      </c>
      <c r="M10" s="242">
        <f>'LE Efficiencies'!K$54*('LE Shares'!S10/(1/'LE Efficiencies'!K10))/('LE Shares'!S$12/(1/'LE Efficiencies'!K$12))</f>
        <v>554.07112502596817</v>
      </c>
      <c r="N10" s="242">
        <f>'LE Efficiencies'!L$54*('LE Shares'!U10/(1/'LE Efficiencies'!L10))/('LE Shares'!U$12/(1/'LE Efficiencies'!L$12))</f>
        <v>725.93091393438203</v>
      </c>
      <c r="O10" s="242">
        <f>'LE Efficiencies'!M$54*('LE Shares'!V10/(1/'LE Efficiencies'!M10))/('LE Shares'!V$12/(1/'LE Efficiencies'!M$12))</f>
        <v>130.66756450818878</v>
      </c>
      <c r="P10" s="242"/>
      <c r="Q10" s="242"/>
      <c r="R10" s="242">
        <f>'LE Efficiencies'!P$54*('LE Shares'!AB10/(1/'LE Efficiencies'!P10))/('LE Shares'!AB$12/(1/'LE Efficiencies'!P$12))</f>
        <v>83.245587355639685</v>
      </c>
      <c r="S10" s="242">
        <f>'LE Efficiencies'!Q$54*('LE Shares'!AD10/(1/'LE Efficiencies'!Q10))/('LE Shares'!AD$12/(1/'LE Efficiencies'!Q$12))</f>
        <v>637.10896252145301</v>
      </c>
      <c r="T10" s="242">
        <f>'LE Efficiencies'!R$54*('LE Shares'!AF10/(1/'LE Efficiencies'!R10))/('LE Shares'!AF$12/(1/'LE Efficiencies'!R$12))</f>
        <v>732.78730634806686</v>
      </c>
      <c r="U10" s="242">
        <f>'LE Efficiencies'!S$54*('LE Shares'!AH10/(1/'LE Efficiencies'!S10))/('LE Shares'!AH$12/(1/'LE Efficiencies'!S$12))</f>
        <v>234.5225515328649</v>
      </c>
      <c r="V10" s="242">
        <f>'LE Efficiencies'!T$54*('LE Shares'!AI10/(1/'LE Efficiencies'!T10))/('LE Shares'!AI$12/(1/'LE Efficiencies'!T$12))</f>
        <v>2116.9418947583076</v>
      </c>
      <c r="W10" s="242">
        <f>'LE Efficiencies'!V$54*('LE Shares'!AJ10/(1/'LE Efficiencies'!X10))/('LE Shares'!AJ$12/(1/'LE Efficiencies'!X$12))</f>
        <v>2967.5790857163943</v>
      </c>
      <c r="X10" s="159">
        <f t="shared" si="2"/>
        <v>10333.818516903664</v>
      </c>
    </row>
    <row r="11" spans="1:45" x14ac:dyDescent="0.2">
      <c r="A11" s="240">
        <v>2004</v>
      </c>
      <c r="B11" s="241">
        <f>D11+E11+F11+G11+U11</f>
        <v>1732.0381333711823</v>
      </c>
      <c r="C11" s="241">
        <f t="shared" si="3"/>
        <v>4010.9292218196492</v>
      </c>
      <c r="D11" s="242">
        <f>'LE Efficiencies'!B$54*'LE StructuralVars'!$Q11*('LE Shares'!B11/'LE Efficiencies'!B11)/('LE Shares'!B$12/'LE Efficiencies'!B$12)</f>
        <v>953.06340940539621</v>
      </c>
      <c r="E11" s="242">
        <f>'LE Efficiencies'!C$54*'LE StructuralVars'!$Q11*('LE Shares'!D11/'LE Efficiencies'!C11)/('LE Shares'!D$12/'LE Efficiencies'!C$12)</f>
        <v>437.13403203007522</v>
      </c>
      <c r="F11" s="242">
        <f>'LE Efficiencies'!D$54*'LE StructuralVars'!$Q11*('LE Shares'!F11/'LE Efficiencies'!D11)/('LE Shares'!F$12/'LE Efficiencies'!D$12)</f>
        <v>8.9946166239729042</v>
      </c>
      <c r="G11" s="242">
        <f>'LE Efficiencies'!E$54*'LE StructuralVars'!$Q11*('LE Shares'!G11/(1/'LE Efficiencies'!E11))/('LE Shares'!G$12/(1/'LE Efficiencies'!E$12))</f>
        <v>95.440062265051139</v>
      </c>
      <c r="H11" s="242">
        <f>'LE Efficiencies'!F$54*'LE StructuralVars'!$R11*('LE Shares'!I11/'LE Efficiencies'!F11)/('LE Shares'!I$12/'LE Efficiencies'!F$12)</f>
        <v>2913.4358331435938</v>
      </c>
      <c r="I11" s="242">
        <f>'LE Efficiencies'!G$54*'LE StructuralVars'!$R11*('LE Shares'!K11/'LE Efficiencies'!G11)/('LE Shares'!K$12/'LE Efficiencies'!G$12)</f>
        <v>657.20590461308586</v>
      </c>
      <c r="J11" s="242">
        <f>'LE Efficiencies'!H$54*'LE StructuralVars'!$R11*('LE Shares'!N11/'LE Efficiencies'!H11)/('LE Shares'!N$12/'LE Efficiencies'!H$12)</f>
        <v>15.92272389751996</v>
      </c>
      <c r="K11" s="242">
        <f>'LE Efficiencies'!I$54*'LE StructuralVars'!$R11*('LE Shares'!O11/'LE Efficiencies'!I11)/('LE Shares'!O$12/'LE Efficiencies'!I$12)</f>
        <v>424.36476016544987</v>
      </c>
      <c r="L11" s="242">
        <f>'LE Efficiencies'!J$54*('LE Shares'!Q11/'LE Efficiencies'!J11)/('LE Shares'!Q$12/'LE Efficiencies'!J$12)</f>
        <v>2145.8083454584935</v>
      </c>
      <c r="M11" s="242">
        <f>'LE Efficiencies'!K$54*('LE Shares'!S11/(1/'LE Efficiencies'!K11))/('LE Shares'!S$12/(1/'LE Efficiencies'!K$12))</f>
        <v>565.72814543077823</v>
      </c>
      <c r="N11" s="242">
        <f>'LE Efficiencies'!L$54*('LE Shares'!U11/(1/'LE Efficiencies'!L11))/('LE Shares'!U$12/(1/'LE Efficiencies'!L$12))</f>
        <v>713.08572226321201</v>
      </c>
      <c r="O11" s="242">
        <f>'LE Efficiencies'!M$54*('LE Shares'!V11/(1/'LE Efficiencies'!M11))/('LE Shares'!V$12/(1/'LE Efficiencies'!M$12))</f>
        <v>128.3554300073782</v>
      </c>
      <c r="P11" s="242"/>
      <c r="Q11" s="242"/>
      <c r="R11" s="242">
        <f>'LE Efficiencies'!P$54*('LE Shares'!AB11/(1/'LE Efficiencies'!P11))/('LE Shares'!AB$12/(1/'LE Efficiencies'!P$12))</f>
        <v>94.011483028075773</v>
      </c>
      <c r="S11" s="242">
        <f>'LE Efficiencies'!Q$54*('LE Shares'!AD11/(1/'LE Efficiencies'!Q11))/('LE Shares'!AD$12/(1/'LE Efficiencies'!Q$12))</f>
        <v>718.141129660037</v>
      </c>
      <c r="T11" s="242">
        <f>'LE Efficiencies'!R$54*('LE Shares'!AF11/(1/'LE Efficiencies'!R11))/('LE Shares'!AF$12/(1/'LE Efficiencies'!R$12))</f>
        <v>746.87682915715868</v>
      </c>
      <c r="U11" s="242">
        <f>'LE Efficiencies'!S$54*('LE Shares'!AH11/(1/'LE Efficiencies'!S11))/('LE Shares'!AH$12/(1/'LE Efficiencies'!S$12))</f>
        <v>237.40601304668695</v>
      </c>
      <c r="V11" s="242">
        <f>'LE Efficiencies'!T$54*('LE Shares'!AI11/(1/'LE Efficiencies'!T11))/('LE Shares'!AI$12/(1/'LE Efficiencies'!T$12))</f>
        <v>2118.5203890395564</v>
      </c>
      <c r="W11" s="242">
        <f>'LE Efficiencies'!V$54*('LE Shares'!AJ11/(1/'LE Efficiencies'!X11))/('LE Shares'!AJ$12/(1/'LE Efficiencies'!X$12))</f>
        <v>3048.7284429658471</v>
      </c>
      <c r="X11" s="159">
        <f t="shared" si="2"/>
        <v>10516.661930057224</v>
      </c>
    </row>
    <row r="12" spans="1:45" x14ac:dyDescent="0.2">
      <c r="A12" s="240">
        <v>2005</v>
      </c>
      <c r="B12" s="241">
        <f t="shared" ref="B12:B49" si="4">D12+E12+F12+G12+U12</f>
        <v>1687.3790475675842</v>
      </c>
      <c r="C12" s="241">
        <f t="shared" si="3"/>
        <v>3989.7224044573591</v>
      </c>
      <c r="D12" s="242">
        <f>'LE Efficiencies'!B$54*'LE StructuralVars'!$Q12*('LE Shares'!B12/'LE Efficiencies'!B12)/('LE Shares'!B$12/'LE Efficiencies'!B$12)</f>
        <v>919.42622512873572</v>
      </c>
      <c r="E12" s="242">
        <f>'LE Efficiencies'!C$54*'LE StructuralVars'!$Q12*('LE Shares'!D12/'LE Efficiencies'!C12)/('LE Shares'!D$12/'LE Efficiencies'!C$12)</f>
        <v>419.02273861957633</v>
      </c>
      <c r="F12" s="242">
        <f>'LE Efficiencies'!D$54*'LE StructuralVars'!$Q12*('LE Shares'!F12/'LE Efficiencies'!D12)/('LE Shares'!F$12/'LE Efficiencies'!D$12)</f>
        <v>9.3617691669558436</v>
      </c>
      <c r="G12" s="242">
        <f>'LE Efficiencies'!E$54*'LE StructuralVars'!$Q12*('LE Shares'!G12/(1/'LE Efficiencies'!E12))/('LE Shares'!G$12/(1/'LE Efficiencies'!E$12))</f>
        <v>99.288857847414221</v>
      </c>
      <c r="H12" s="242">
        <f>'LE Efficiencies'!F$54*'LE StructuralVars'!$R12*('LE Shares'!I12/'LE Efficiencies'!F12)/('LE Shares'!I$12/'LE Efficiencies'!F$12)</f>
        <v>2867.3528083353372</v>
      </c>
      <c r="I12" s="242">
        <f>'LE Efficiencies'!G$54*'LE StructuralVars'!$R12*('LE Shares'!K12/'LE Efficiencies'!G12)/('LE Shares'!K$12/'LE Efficiencies'!G$12)</f>
        <v>664.72661555983632</v>
      </c>
      <c r="J12" s="242">
        <f>'LE Efficiencies'!H$54*'LE StructuralVars'!$R12*('LE Shares'!N12/'LE Efficiencies'!H12)/('LE Shares'!N$12/'LE Efficiencies'!H$12)</f>
        <v>16.593761083819938</v>
      </c>
      <c r="K12" s="242">
        <f>'LE Efficiencies'!I$54*'LE StructuralVars'!$R12*('LE Shares'!O12/'LE Efficiencies'!I12)/('LE Shares'!O$12/'LE Efficiencies'!I$12)</f>
        <v>441.04921947836539</v>
      </c>
      <c r="L12" s="242">
        <f>'LE Efficiencies'!J$54*('LE Shares'!Q12/'LE Efficiencies'!J12)/('LE Shares'!Q$12/'LE Efficiencies'!J$12)</f>
        <v>2140.6778173055504</v>
      </c>
      <c r="M12" s="242">
        <f>'LE Efficiencies'!K$54*('LE Shares'!S12/(1/'LE Efficiencies'!K12))/('LE Shares'!S$12/(1/'LE Efficiencies'!K$12))</f>
        <v>577.37892028181773</v>
      </c>
      <c r="N12" s="242">
        <f>'LE Efficiencies'!L$54*('LE Shares'!U12/(1/'LE Efficiencies'!L12))/('LE Shares'!U$12/(1/'LE Efficiencies'!L$12))</f>
        <v>700.24053059204186</v>
      </c>
      <c r="O12" s="242">
        <f>'LE Efficiencies'!M$54*('LE Shares'!V12/(1/'LE Efficiencies'!M12))/('LE Shares'!V$12/(1/'LE Efficiencies'!M$12))</f>
        <v>126.93230458107493</v>
      </c>
      <c r="P12" s="242"/>
      <c r="Q12" s="242"/>
      <c r="R12" s="242">
        <f>'LE Efficiencies'!P$54*('LE Shares'!AB12/(1/'LE Efficiencies'!P12))/('LE Shares'!AB$12/(1/'LE Efficiencies'!P$12))</f>
        <v>104.85742253450763</v>
      </c>
      <c r="S12" s="242">
        <f>'LE Efficiencies'!Q$54*('LE Shares'!AD12/(1/'LE Efficiencies'!Q12))/('LE Shares'!AD$12/(1/'LE Efficiencies'!Q$12))</f>
        <v>799.48297387048819</v>
      </c>
      <c r="T12" s="242">
        <f>'LE Efficiencies'!R$54*('LE Shares'!AF12/(1/'LE Efficiencies'!R12))/('LE Shares'!AF$12/(1/'LE Efficiencies'!R$12))</f>
        <v>761.06376265813969</v>
      </c>
      <c r="U12" s="242">
        <f>'LE Efficiencies'!S$54*('LE Shares'!AH12/(1/'LE Efficiencies'!S12))/('LE Shares'!AH$12/(1/'LE Efficiencies'!S$12))</f>
        <v>240.27945680490217</v>
      </c>
      <c r="V12" s="242">
        <f>'LE Efficiencies'!T$54*('LE Shares'!AI12/(1/'LE Efficiencies'!T12))/('LE Shares'!AI$12/(1/'LE Efficiencies'!T$12))</f>
        <v>2120.0988833208048</v>
      </c>
      <c r="W12" s="242">
        <f>'LE Efficiencies'!V$54*('LE Shares'!AJ12/(1/'LE Efficiencies'!X12))/('LE Shares'!AJ$12/(1/'LE Efficiencies'!X$12))</f>
        <v>3129.8778002153022</v>
      </c>
      <c r="X12" s="159">
        <f t="shared" si="2"/>
        <v>10700.889872164629</v>
      </c>
      <c r="Y12" s="243"/>
    </row>
    <row r="13" spans="1:45" x14ac:dyDescent="0.2">
      <c r="A13" s="240">
        <v>2006</v>
      </c>
      <c r="B13" s="241">
        <f t="shared" si="4"/>
        <v>1634.0555178039913</v>
      </c>
      <c r="C13" s="241">
        <f t="shared" si="3"/>
        <v>3969.4349458086849</v>
      </c>
      <c r="D13" s="242">
        <f>'LE Efficiencies'!B$54*'LE StructuralVars'!$Q13*('LE Shares'!B13/'LE Efficiencies'!B13)/('LE Shares'!B$12/'LE Efficiencies'!B$12)</f>
        <v>881.3586337595433</v>
      </c>
      <c r="E13" s="242">
        <f>'LE Efficiencies'!C$54*'LE StructuralVars'!$Q13*('LE Shares'!D13/'LE Efficiencies'!C13)/('LE Shares'!D$12/'LE Efficiencies'!C$12)</f>
        <v>396.79122605069637</v>
      </c>
      <c r="F13" s="242">
        <f>'LE Efficiencies'!D$54*'LE StructuralVars'!$Q13*('LE Shares'!F13/'LE Efficiencies'!D13)/('LE Shares'!F$12/'LE Efficiencies'!D$12)</f>
        <v>10.064870853714073</v>
      </c>
      <c r="G13" s="242">
        <f>'LE Efficiencies'!E$54*'LE StructuralVars'!$Q13*('LE Shares'!G13/(1/'LE Efficiencies'!E13))/('LE Shares'!G$12/(1/'LE Efficiencies'!E$12))</f>
        <v>100.50149511846396</v>
      </c>
      <c r="H13" s="242">
        <f>'LE Efficiencies'!F$54*'LE StructuralVars'!$R13*('LE Shares'!I13/'LE Efficiencies'!F13)/('LE Shares'!I$12/'LE Efficiencies'!F$12)</f>
        <v>2835.4359076103297</v>
      </c>
      <c r="I13" s="242">
        <f>'LE Efficiencies'!G$54*'LE StructuralVars'!$R13*('LE Shares'!K13/'LE Efficiencies'!G13)/('LE Shares'!K$12/'LE Efficiencies'!G$12)</f>
        <v>661.03479971924662</v>
      </c>
      <c r="J13" s="242">
        <f>'LE Efficiencies'!H$54*'LE StructuralVars'!$R13*('LE Shares'!N13/'LE Efficiencies'!H13)/('LE Shares'!N$12/'LE Efficiencies'!H$12)</f>
        <v>17.737244245301639</v>
      </c>
      <c r="K13" s="242">
        <f>'LE Efficiencies'!I$54*'LE StructuralVars'!$R13*('LE Shares'!O13/'LE Efficiencies'!I13)/('LE Shares'!O$12/'LE Efficiencies'!I$12)</f>
        <v>455.22699423380703</v>
      </c>
      <c r="L13" s="242">
        <f>'LE Efficiencies'!J$54*('LE Shares'!Q13/'LE Efficiencies'!J13)/('LE Shares'!Q$12/'LE Efficiencies'!J$12)</f>
        <v>2135.1639221167197</v>
      </c>
      <c r="M13" s="242">
        <f>'LE Efficiencies'!K$54*('LE Shares'!S13/(1/'LE Efficiencies'!K13))/('LE Shares'!S$12/(1/'LE Efficiencies'!K$12))</f>
        <v>588.6616329021889</v>
      </c>
      <c r="N13" s="242">
        <f>'LE Efficiencies'!L$54*('LE Shares'!U13/(1/'LE Efficiencies'!L13))/('LE Shares'!U$12/(1/'LE Efficiencies'!L$12))</f>
        <v>683.13615827053479</v>
      </c>
      <c r="O13" s="242">
        <f>'LE Efficiencies'!M$54*('LE Shares'!V13/(1/'LE Efficiencies'!M13))/('LE Shares'!V$12/(1/'LE Efficiencies'!M$12))</f>
        <v>122.88688713484693</v>
      </c>
      <c r="P13" s="242"/>
      <c r="Q13" s="242"/>
      <c r="R13" s="242">
        <f>'LE Efficiencies'!P$54*('LE Shares'!AB13/(1/'LE Efficiencies'!P13))/('LE Shares'!AB$12/(1/'LE Efficiencies'!P$12))</f>
        <v>106.24354041458039</v>
      </c>
      <c r="S13" s="242">
        <f>'LE Efficiencies'!Q$54*('LE Shares'!AD13/(1/'LE Efficiencies'!Q13))/('LE Shares'!AD$12/(1/'LE Efficiencies'!Q$12))</f>
        <v>801.99042801331404</v>
      </c>
      <c r="T13" s="242">
        <f>'LE Efficiencies'!R$54*('LE Shares'!AF13/(1/'LE Efficiencies'!R13))/('LE Shares'!AF$12/(1/'LE Efficiencies'!R$12))</f>
        <v>767.18185016274572</v>
      </c>
      <c r="U13" s="242">
        <f>'LE Efficiencies'!S$54*('LE Shares'!AH13/(1/'LE Efficiencies'!S13))/('LE Shares'!AH$12/(1/'LE Efficiencies'!S$12))</f>
        <v>245.3392920215735</v>
      </c>
      <c r="V13" s="242">
        <f>'LE Efficiencies'!T$54*('LE Shares'!AI13/(1/'LE Efficiencies'!T13))/('LE Shares'!AI$12/(1/'LE Efficiencies'!T$12))</f>
        <v>2104.0658493609549</v>
      </c>
      <c r="W13" s="242">
        <f>'LE Efficiencies'!V$54*('LE Shares'!AJ13/(1/'LE Efficiencies'!X13))/('LE Shares'!AJ$12/(1/'LE Efficiencies'!X$12))</f>
        <v>3343.2870308110641</v>
      </c>
      <c r="X13" s="159">
        <f t="shared" si="2"/>
        <v>10897.956591208524</v>
      </c>
      <c r="Y13" s="243"/>
    </row>
    <row r="14" spans="1:45" x14ac:dyDescent="0.2">
      <c r="A14" s="240">
        <v>2007</v>
      </c>
      <c r="B14" s="241">
        <f t="shared" si="4"/>
        <v>1579.4489640907814</v>
      </c>
      <c r="C14" s="241">
        <f t="shared" si="3"/>
        <v>3942.509189663851</v>
      </c>
      <c r="D14" s="242">
        <f>'LE Efficiencies'!B$54*'LE StructuralVars'!$Q14*('LE Shares'!B14/'LE Efficiencies'!B14)/('LE Shares'!B$12/'LE Efficiencies'!B$12)</f>
        <v>841.70297116177869</v>
      </c>
      <c r="E14" s="242">
        <f>'LE Efficiencies'!C$54*'LE StructuralVars'!$Q14*('LE Shares'!D14/'LE Efficiencies'!C14)/('LE Shares'!D$12/'LE Efficiencies'!C$12)</f>
        <v>374.33199660738592</v>
      </c>
      <c r="F14" s="242">
        <f>'LE Efficiencies'!D$54*'LE StructuralVars'!$Q14*('LE Shares'!F14/'LE Efficiencies'!D14)/('LE Shares'!F$12/'LE Efficiencies'!D$12)</f>
        <v>12.068316963980784</v>
      </c>
      <c r="G14" s="242">
        <f>'LE Efficiencies'!E$54*'LE StructuralVars'!$Q14*('LE Shares'!G14/(1/'LE Efficiencies'!E14))/('LE Shares'!G$12/(1/'LE Efficiencies'!E$12))</f>
        <v>101.24265675566681</v>
      </c>
      <c r="H14" s="242">
        <f>'LE Efficiencies'!F$54*'LE StructuralVars'!$R14*('LE Shares'!I14/'LE Efficiencies'!F14)/('LE Shares'!I$12/'LE Efficiencies'!F$12)</f>
        <v>2797.4806294030368</v>
      </c>
      <c r="I14" s="242">
        <f>'LE Efficiencies'!G$54*'LE StructuralVars'!$R14*('LE Shares'!K14/'LE Efficiencies'!G14)/('LE Shares'!K$12/'LE Efficiencies'!G$12)</f>
        <v>655.78428685595543</v>
      </c>
      <c r="J14" s="242">
        <f>'LE Efficiencies'!H$54*'LE StructuralVars'!$R14*('LE Shares'!N14/'LE Efficiencies'!H14)/('LE Shares'!N$12/'LE Efficiencies'!H$12)</f>
        <v>21.171005724547776</v>
      </c>
      <c r="K14" s="242">
        <f>'LE Efficiencies'!I$54*'LE StructuralVars'!$R14*('LE Shares'!O14/'LE Efficiencies'!I14)/('LE Shares'!O$12/'LE Efficiencies'!I$12)</f>
        <v>468.07326768031089</v>
      </c>
      <c r="L14" s="242">
        <f>'LE Efficiencies'!J$54*('LE Shares'!Q14/'LE Efficiencies'!J14)/('LE Shares'!Q$12/'LE Efficiencies'!J$12)</f>
        <v>2129.6642294575308</v>
      </c>
      <c r="M14" s="242">
        <f>'LE Efficiencies'!K$54*('LE Shares'!S14/(1/'LE Efficiencies'!K14))/('LE Shares'!S$12/(1/'LE Efficiencies'!K$12))</f>
        <v>600.1062582774</v>
      </c>
      <c r="N14" s="242">
        <f>'LE Efficiencies'!L$54*('LE Shares'!U14/(1/'LE Efficiencies'!L14))/('LE Shares'!U$12/(1/'LE Efficiencies'!L$12))</f>
        <v>666.44958460496287</v>
      </c>
      <c r="O14" s="242">
        <f>'LE Efficiencies'!M$54*('LE Shares'!V14/(1/'LE Efficiencies'!M14))/('LE Shares'!V$12/(1/'LE Efficiencies'!M$12))</f>
        <v>119.96714304675334</v>
      </c>
      <c r="P14" s="242"/>
      <c r="Q14" s="242"/>
      <c r="R14" s="242">
        <f>'LE Efficiencies'!P$54*('LE Shares'!AB14/(1/'LE Efficiencies'!P14))/('LE Shares'!AB$12/(1/'LE Efficiencies'!P$12))</f>
        <v>103.80033774670683</v>
      </c>
      <c r="S14" s="242">
        <f>'LE Efficiencies'!Q$54*('LE Shares'!AD14/(1/'LE Efficiencies'!Q14))/('LE Shares'!AD$12/(1/'LE Efficiencies'!Q$12))</f>
        <v>805.01895426277497</v>
      </c>
      <c r="T14" s="242">
        <f>'LE Efficiencies'!R$54*('LE Shares'!AF14/(1/'LE Efficiencies'!R14))/('LE Shares'!AF$12/(1/'LE Efficiencies'!R$12))</f>
        <v>811.07526029984615</v>
      </c>
      <c r="U14" s="242">
        <f>'LE Efficiencies'!S$54*('LE Shares'!AH14/(1/'LE Efficiencies'!S14))/('LE Shares'!AH$12/(1/'LE Efficiencies'!S$12))</f>
        <v>250.10302260196914</v>
      </c>
      <c r="V14" s="242">
        <f>'LE Efficiencies'!T$54*('LE Shares'!AI14/(1/'LE Efficiencies'!T14))/('LE Shares'!AI$12/(1/'LE Efficiencies'!T$12))</f>
        <v>2070.2084585754651</v>
      </c>
      <c r="W14" s="242">
        <f>'LE Efficiencies'!V$54*('LE Shares'!AJ14/(1/'LE Efficiencies'!X14))/('LE Shares'!AJ$12/(1/'LE Efficiencies'!X$12))</f>
        <v>3600.4007843526201</v>
      </c>
      <c r="X14" s="159">
        <f t="shared" si="2"/>
        <v>11156.79403322603</v>
      </c>
      <c r="Y14" s="243"/>
    </row>
    <row r="15" spans="1:45" x14ac:dyDescent="0.2">
      <c r="A15" s="240">
        <v>2008</v>
      </c>
      <c r="B15" s="241">
        <f t="shared" si="4"/>
        <v>1731.6428170890447</v>
      </c>
      <c r="C15" s="241">
        <f t="shared" si="3"/>
        <v>4071.7122631501629</v>
      </c>
      <c r="D15" s="242">
        <f>'LE Efficiencies'!B$54*'LE StructuralVars'!$Q15*('LE Shares'!B15/'LE Efficiencies'!B15)/('LE Shares'!B$12/'LE Efficiencies'!B$12)</f>
        <v>948.32131561796257</v>
      </c>
      <c r="E15" s="242">
        <f>'LE Efficiencies'!C$54*'LE StructuralVars'!$Q15*('LE Shares'!D15/'LE Efficiencies'!C15)/('LE Shares'!D$12/'LE Efficiencies'!C$12)</f>
        <v>418.08342081006651</v>
      </c>
      <c r="F15" s="242">
        <f>'LE Efficiencies'!D$54*'LE StructuralVars'!$Q15*('LE Shares'!F15/'LE Efficiencies'!D15)/('LE Shares'!F$12/'LE Efficiencies'!D$12)</f>
        <v>14.284459169767537</v>
      </c>
      <c r="G15" s="242">
        <f>'LE Efficiencies'!E$54*'LE StructuralVars'!$Q15*('LE Shares'!G15/(1/'LE Efficiencies'!E15))/('LE Shares'!G$12/(1/'LE Efficiencies'!E$12))</f>
        <v>96.137383651700745</v>
      </c>
      <c r="H15" s="242">
        <f>'LE Efficiencies'!F$54*'LE StructuralVars'!$R15*('LE Shares'!I15/'LE Efficiencies'!F15)/('LE Shares'!I$12/'LE Efficiencies'!F$12)</f>
        <v>2791.3446054482088</v>
      </c>
      <c r="I15" s="242">
        <f>'LE Efficiencies'!G$54*'LE StructuralVars'!$R15*('LE Shares'!K15/'LE Efficiencies'!G15)/('LE Shares'!K$12/'LE Efficiencies'!G$12)</f>
        <v>846.4034594532053</v>
      </c>
      <c r="J15" s="242">
        <f>'LE Efficiencies'!H$54*'LE StructuralVars'!$R15*('LE Shares'!N15/'LE Efficiencies'!H15)/('LE Shares'!N$12/'LE Efficiencies'!H$12)</f>
        <v>25.102955372842676</v>
      </c>
      <c r="K15" s="242">
        <f>'LE Efficiencies'!I$54*'LE StructuralVars'!$R15*('LE Shares'!O15/'LE Efficiencies'!I15)/('LE Shares'!O$12/'LE Efficiencies'!I$12)</f>
        <v>408.86124287590621</v>
      </c>
      <c r="L15" s="242">
        <f>'LE Efficiencies'!J$54*('LE Shares'!Q15/'LE Efficiencies'!J15)/('LE Shares'!Q$12/'LE Efficiencies'!J$12)</f>
        <v>2406.2113757379757</v>
      </c>
      <c r="M15" s="242">
        <f>'LE Efficiencies'!K$54*('LE Shares'!S15/(1/'LE Efficiencies'!K15))/('LE Shares'!S$12/(1/'LE Efficiencies'!K$12))</f>
        <v>597.4163910179218</v>
      </c>
      <c r="N15" s="242">
        <f>'LE Efficiencies'!L$54*('LE Shares'!U15/(1/'LE Efficiencies'!L15))/('LE Shares'!U$12/(1/'LE Efficiencies'!L$12))</f>
        <v>651.95234159943618</v>
      </c>
      <c r="O15" s="242">
        <f>'LE Efficiencies'!M$54*('LE Shares'!V15/(1/'LE Efficiencies'!M15))/('LE Shares'!V$12/(1/'LE Efficiencies'!M$12))</f>
        <v>117.28578878572317</v>
      </c>
      <c r="P15" s="242"/>
      <c r="Q15" s="242"/>
      <c r="R15" s="242">
        <f>'LE Efficiencies'!P$54*('LE Shares'!AB15/(1/'LE Efficiencies'!P15))/('LE Shares'!AB$12/(1/'LE Efficiencies'!P$12))</f>
        <v>103.29785135034621</v>
      </c>
      <c r="S15" s="242">
        <f>'LE Efficiencies'!Q$54*('LE Shares'!AD15/(1/'LE Efficiencies'!Q15))/('LE Shares'!AD$12/(1/'LE Efficiencies'!Q$12))</f>
        <v>800.11002854361686</v>
      </c>
      <c r="T15" s="242">
        <f>'LE Efficiencies'!R$54*('LE Shares'!AF15/(1/'LE Efficiencies'!R15))/('LE Shares'!AF$12/(1/'LE Efficiencies'!R$12))</f>
        <v>853.85476471241577</v>
      </c>
      <c r="U15" s="242">
        <f>'LE Efficiencies'!S$54*('LE Shares'!AH15/(1/'LE Efficiencies'!S15))/('LE Shares'!AH$12/(1/'LE Efficiencies'!S$12))</f>
        <v>254.81623783954726</v>
      </c>
      <c r="V15" s="242">
        <f>'LE Efficiencies'!T$54*('LE Shares'!AI15/(1/'LE Efficiencies'!T15))/('LE Shares'!AI$12/(1/'LE Efficiencies'!T$12))</f>
        <v>2039.3597378977242</v>
      </c>
      <c r="W15" s="242">
        <f>'LE Efficiencies'!V$54*('LE Shares'!AJ15/(1/'LE Efficiencies'!X15))/('LE Shares'!AJ$12/(1/'LE Efficiencies'!X$12))</f>
        <v>3778.4797999284915</v>
      </c>
      <c r="X15" s="159">
        <f t="shared" si="2"/>
        <v>11602.784317413198</v>
      </c>
      <c r="Y15" s="243"/>
    </row>
    <row r="16" spans="1:45" x14ac:dyDescent="0.2">
      <c r="A16" s="240">
        <v>2009</v>
      </c>
      <c r="B16" s="241">
        <f t="shared" si="4"/>
        <v>1872.7876457488524</v>
      </c>
      <c r="C16" s="241">
        <f t="shared" si="3"/>
        <v>4153.804483401268</v>
      </c>
      <c r="D16" s="242">
        <f>'LE Efficiencies'!B$54*'LE StructuralVars'!$Q16*('LE Shares'!B16/'LE Efficiencies'!B16)/('LE Shares'!B$12/'LE Efficiencies'!B$12)</f>
        <v>1051.296050331817</v>
      </c>
      <c r="E16" s="242">
        <f>'LE Efficiencies'!C$54*'LE StructuralVars'!$Q16*('LE Shares'!D16/'LE Efficiencies'!C16)/('LE Shares'!D$12/'LE Efficiencies'!C$12)</f>
        <v>454.48298864008149</v>
      </c>
      <c r="F16" s="242">
        <f>'LE Efficiencies'!D$54*'LE StructuralVars'!$Q16*('LE Shares'!F16/'LE Efficiencies'!D16)/('LE Shares'!F$12/'LE Efficiencies'!D$12)</f>
        <v>16.728673103844589</v>
      </c>
      <c r="G16" s="242">
        <f>'LE Efficiencies'!E$54*'LE StructuralVars'!$Q16*('LE Shares'!G16/(1/'LE Efficiencies'!E16))/('LE Shares'!G$12/(1/'LE Efficiencies'!E$12))</f>
        <v>90.877417547790273</v>
      </c>
      <c r="H16" s="242">
        <f>'LE Efficiencies'!F$54*'LE StructuralVars'!$R16*('LE Shares'!I16/'LE Efficiencies'!F16)/('LE Shares'!I$12/'LE Efficiencies'!F$12)</f>
        <v>2752.8241085983123</v>
      </c>
      <c r="I16" s="242">
        <f>'LE Efficiencies'!G$54*'LE StructuralVars'!$R16*('LE Shares'!K16/'LE Efficiencies'!G16)/('LE Shares'!K$12/'LE Efficiencies'!G$12)</f>
        <v>1022.1234497402869</v>
      </c>
      <c r="J16" s="242">
        <f>'LE Efficiencies'!H$54*'LE StructuralVars'!$R16*('LE Shares'!N16/'LE Efficiencies'!H16)/('LE Shares'!N$12/'LE Efficiencies'!H$12)</f>
        <v>29.447711775115859</v>
      </c>
      <c r="K16" s="242">
        <f>'LE Efficiencies'!I$54*'LE StructuralVars'!$R16*('LE Shares'!O16/'LE Efficiencies'!I16)/('LE Shares'!O$12/'LE Efficiencies'!I$12)</f>
        <v>349.40921328755309</v>
      </c>
      <c r="L16" s="242">
        <f>'LE Efficiencies'!J$54*('LE Shares'!Q16/'LE Efficiencies'!J16)/('LE Shares'!Q$12/'LE Efficiencies'!J$12)</f>
        <v>2677.8290439193443</v>
      </c>
      <c r="M16" s="242">
        <f>'LE Efficiencies'!K$54*('LE Shares'!S16/(1/'LE Efficiencies'!K16))/('LE Shares'!S$12/(1/'LE Efficiencies'!K$12))</f>
        <v>591.85204211154803</v>
      </c>
      <c r="N16" s="242">
        <f>'LE Efficiencies'!L$54*('LE Shares'!U16/(1/'LE Efficiencies'!L16))/('LE Shares'!U$12/(1/'LE Efficiencies'!L$12))</f>
        <v>637.80574978318441</v>
      </c>
      <c r="O16" s="242">
        <f>'LE Efficiencies'!M$54*('LE Shares'!V16/(1/'LE Efficiencies'!M16))/('LE Shares'!V$12/(1/'LE Efficiencies'!M$12))</f>
        <v>114.80924724066516</v>
      </c>
      <c r="P16" s="242">
        <f>'LE Efficiencies'!N$54*('LE Shares'!X16/(1/'LE Efficiencies'!N16))/('LE Shares'!X$12/(1/'LE Efficiencies'!N$12))</f>
        <v>245.02992413884556</v>
      </c>
      <c r="Q16" s="242">
        <f>'LE Efficiencies'!O$54*('LE Shares'!Z16/(1/'LE Efficiencies'!O16))/('LE Shares'!Z$12/(1/'LE Efficiencies'!O$12))</f>
        <v>262.58858033035881</v>
      </c>
      <c r="R16" s="242">
        <f>'LE Efficiencies'!P$54*('LE Shares'!AB16/(1/'LE Efficiencies'!P16))/('LE Shares'!AB$12/(1/'LE Efficiencies'!P$12))</f>
        <v>102.09515395891495</v>
      </c>
      <c r="S16" s="242">
        <f>'LE Efficiencies'!Q$54*('LE Shares'!AD16/(1/'LE Efficiencies'!Q16))/('LE Shares'!AD$12/(1/'LE Efficiencies'!Q$12))</f>
        <v>795.18709580614325</v>
      </c>
      <c r="T16" s="242">
        <f>'LE Efficiencies'!R$54*('LE Shares'!AF16/(1/'LE Efficiencies'!R16))/('LE Shares'!AF$12/(1/'LE Efficiencies'!R$12))</f>
        <v>876.18104243404821</v>
      </c>
      <c r="U16" s="242">
        <f>'LE Efficiencies'!S$54*('LE Shares'!AH16/(1/'LE Efficiencies'!S16))/('LE Shares'!AH$12/(1/'LE Efficiencies'!S$12))</f>
        <v>259.40251612531904</v>
      </c>
      <c r="V16" s="242">
        <f>'LE Efficiencies'!T$54*('LE Shares'!AI16/(1/'LE Efficiencies'!T16))/('LE Shares'!AI$12/(1/'LE Efficiencies'!T$12))</f>
        <v>1993.2897992726425</v>
      </c>
      <c r="W16" s="242">
        <f>'LE Efficiencies'!V$54*('LE Shares'!AJ16/(1/'LE Efficiencies'!X16))/('LE Shares'!AJ$12/(1/'LE Efficiencies'!X$12))</f>
        <v>3745.1521927746835</v>
      </c>
      <c r="X16" s="159">
        <f t="shared" si="2"/>
        <v>12301.222387895699</v>
      </c>
      <c r="Y16" s="243"/>
    </row>
    <row r="17" spans="1:45" x14ac:dyDescent="0.2">
      <c r="A17" s="240">
        <v>2010</v>
      </c>
      <c r="B17" s="241">
        <f t="shared" si="4"/>
        <v>2016.910909084992</v>
      </c>
      <c r="C17" s="241">
        <f t="shared" si="3"/>
        <v>4245.5690496783291</v>
      </c>
      <c r="D17" s="242">
        <f>'LE Efficiencies'!B$54*'LE StructuralVars'!$Q17*('LE Shares'!B17/'LE Efficiencies'!B17)/('LE Shares'!B$12/'LE Efficiencies'!B$12)</f>
        <v>1155.631604592463</v>
      </c>
      <c r="E17" s="242">
        <f>'LE Efficiencies'!C$54*'LE StructuralVars'!$Q17*('LE Shares'!D17/'LE Efficiencies'!C17)/('LE Shares'!D$12/'LE Efficiencies'!C$12)</f>
        <v>492.25165906935717</v>
      </c>
      <c r="F17" s="242">
        <f>'LE Efficiencies'!D$54*'LE StructuralVars'!$Q17*('LE Shares'!F17/'LE Efficiencies'!D17)/('LE Shares'!F$12/'LE Efficiencies'!D$12)</f>
        <v>19.965673201264966</v>
      </c>
      <c r="G17" s="242">
        <f>'LE Efficiencies'!E$54*'LE StructuralVars'!$Q17*('LE Shares'!G17/(1/'LE Efficiencies'!E17))/('LE Shares'!G$12/(1/'LE Efficiencies'!E$12))</f>
        <v>85.715021312826323</v>
      </c>
      <c r="H17" s="242">
        <f>'LE Efficiencies'!F$54*'LE StructuralVars'!$R17*('LE Shares'!I17/'LE Efficiencies'!F17)/('LE Shares'!I$12/'LE Efficiencies'!F$12)</f>
        <v>2727.4961237302373</v>
      </c>
      <c r="I17" s="242">
        <f>'LE Efficiencies'!G$54*'LE StructuralVars'!$R17*('LE Shares'!K17/'LE Efficiencies'!G17)/('LE Shares'!K$12/'LE Efficiencies'!G$12)</f>
        <v>1192.8938376316078</v>
      </c>
      <c r="J17" s="242">
        <f>'LE Efficiencies'!H$54*'LE StructuralVars'!$R17*('LE Shares'!N17/'LE Efficiencies'!H17)/('LE Shares'!N$12/'LE Efficiencies'!H$12)</f>
        <v>34.445879244261384</v>
      </c>
      <c r="K17" s="242">
        <f>'LE Efficiencies'!I$54*'LE StructuralVars'!$R17*('LE Shares'!O17/'LE Efficiencies'!I17)/('LE Shares'!O$12/'LE Efficiencies'!I$12)</f>
        <v>290.73320907222251</v>
      </c>
      <c r="L17" s="242">
        <f>'LE Efficiencies'!J$54*('LE Shares'!Q17/'LE Efficiencies'!J17)/('LE Shares'!Q$12/'LE Efficiencies'!J$12)</f>
        <v>2949.8413471031049</v>
      </c>
      <c r="M17" s="242">
        <f>'LE Efficiencies'!K$54*('LE Shares'!S17/(1/'LE Efficiencies'!K17))/('LE Shares'!S$12/(1/'LE Efficiencies'!K$12))</f>
        <v>588.82036272645234</v>
      </c>
      <c r="N17" s="242">
        <f>'LE Efficiencies'!L$54*('LE Shares'!U17/(1/'LE Efficiencies'!L17))/('LE Shares'!U$12/(1/'LE Efficiencies'!L$12))</f>
        <v>624.45735692466076</v>
      </c>
      <c r="O17" s="242">
        <f>'LE Efficiencies'!M$54*('LE Shares'!V17/(1/'LE Efficiencies'!M17))/('LE Shares'!V$12/(1/'LE Efficiencies'!M$12))</f>
        <v>112.57094895983188</v>
      </c>
      <c r="P17" s="242">
        <f>'LE Efficiencies'!N$54*('LE Shares'!X17/(1/'LE Efficiencies'!N17))/('LE Shares'!X$12/(1/'LE Efficiencies'!N$12))</f>
        <v>245.2272513715744</v>
      </c>
      <c r="Q17" s="242">
        <f>'LE Efficiencies'!O$54*('LE Shares'!Z17/(1/'LE Efficiencies'!O17))/('LE Shares'!Z$12/(1/'LE Efficiencies'!O$12))</f>
        <v>264.13419386771466</v>
      </c>
      <c r="R17" s="242">
        <f>'LE Efficiencies'!P$54*('LE Shares'!AB17/(1/'LE Efficiencies'!P17))/('LE Shares'!AB$12/(1/'LE Efficiencies'!P$12))</f>
        <v>100.98359641334417</v>
      </c>
      <c r="S17" s="242">
        <f>'LE Efficiencies'!Q$54*('LE Shares'!AD17/(1/'LE Efficiencies'!Q17))/('LE Shares'!AD$12/(1/'LE Efficiencies'!Q$12))</f>
        <v>790.25015605035435</v>
      </c>
      <c r="T17" s="242">
        <f>'LE Efficiencies'!R$54*('LE Shares'!AF17/(1/'LE Efficiencies'!R17))/('LE Shares'!AF$12/(1/'LE Efficiencies'!R$12))</f>
        <v>887.81079345996932</v>
      </c>
      <c r="U17" s="242">
        <f>'LE Efficiencies'!S$54*('LE Shares'!AH17/(1/'LE Efficiencies'!S17))/('LE Shares'!AH$12/(1/'LE Efficiencies'!S$12))</f>
        <v>263.34695090908048</v>
      </c>
      <c r="V17" s="242">
        <f>'LE Efficiencies'!T$54*('LE Shares'!AI17/(1/'LE Efficiencies'!T17))/('LE Shares'!AI$12/(1/'LE Efficiencies'!T$12))</f>
        <v>1968.458164966421</v>
      </c>
      <c r="W17" s="242">
        <f>'LE Efficiencies'!V$54*('LE Shares'!AJ17/(1/'LE Efficiencies'!X17))/('LE Shares'!AJ$12/(1/'LE Efficiencies'!X$12))</f>
        <v>3855.3260867928261</v>
      </c>
      <c r="X17" s="159">
        <f t="shared" si="2"/>
        <v>12651.227209545334</v>
      </c>
      <c r="Y17" s="243"/>
    </row>
    <row r="18" spans="1:45" x14ac:dyDescent="0.2">
      <c r="A18" s="240">
        <v>2011</v>
      </c>
      <c r="B18" s="241">
        <f t="shared" si="4"/>
        <v>2036.754482810707</v>
      </c>
      <c r="C18" s="241">
        <f t="shared" si="3"/>
        <v>4359.218990419824</v>
      </c>
      <c r="D18" s="242">
        <f>'LE Efficiencies'!B$54*'LE StructuralVars'!$Q18*('LE Shares'!B18/'LE Efficiencies'!B18)/('LE Shares'!B$12/'LE Efficiencies'!B$12)</f>
        <v>1130.8283507143492</v>
      </c>
      <c r="E18" s="242">
        <f>'LE Efficiencies'!C$54*'LE StructuralVars'!$Q18*('LE Shares'!D18/'LE Efficiencies'!C18)/('LE Shares'!D$12/'LE Efficiencies'!C$12)</f>
        <v>534.042110314703</v>
      </c>
      <c r="F18" s="242">
        <f>'LE Efficiencies'!D$54*'LE StructuralVars'!$Q18*('LE Shares'!F18/'LE Efficiencies'!D18)/('LE Shares'!F$12/'LE Efficiencies'!D$12)</f>
        <v>23.478279932878863</v>
      </c>
      <c r="G18" s="242">
        <f>'LE Efficiencies'!E$54*'LE StructuralVars'!$Q18*('LE Shares'!G18/(1/'LE Efficiencies'!E18))/('LE Shares'!G$12/(1/'LE Efficiencies'!E$12))</f>
        <v>81.17837670651744</v>
      </c>
      <c r="H18" s="242">
        <f>'LE Efficiencies'!F$54*'LE StructuralVars'!$R18*('LE Shares'!I18/'LE Efficiencies'!F18)/('LE Shares'!I$12/'LE Efficiencies'!F$12)</f>
        <v>2723.2279209218786</v>
      </c>
      <c r="I18" s="242">
        <f>'LE Efficiencies'!G$54*'LE StructuralVars'!$R18*('LE Shares'!K18/'LE Efficiencies'!G18)/('LE Shares'!K$12/'LE Efficiencies'!G$12)</f>
        <v>1307.4595954107554</v>
      </c>
      <c r="J18" s="242">
        <f>'LE Efficiencies'!H$54*'LE StructuralVars'!$R18*('LE Shares'!N18/'LE Efficiencies'!H18)/('LE Shares'!N$12/'LE Efficiencies'!H$12)</f>
        <v>40.160014122130299</v>
      </c>
      <c r="K18" s="242">
        <f>'LE Efficiencies'!I$54*'LE StructuralVars'!$R18*('LE Shares'!O18/'LE Efficiencies'!I18)/('LE Shares'!O$12/'LE Efficiencies'!I$12)</f>
        <v>288.37145996506001</v>
      </c>
      <c r="L18" s="242">
        <f>'LE Efficiencies'!J$54*('LE Shares'!Q18/'LE Efficiencies'!J18)/('LE Shares'!Q$12/'LE Efficiencies'!J$12)</f>
        <v>2959.0090050906174</v>
      </c>
      <c r="M18" s="242">
        <f>'LE Efficiencies'!K$54*('LE Shares'!S18/(1/'LE Efficiencies'!K18))/('LE Shares'!S$12/(1/'LE Efficiencies'!K$12))</f>
        <v>589.62065591497355</v>
      </c>
      <c r="N18" s="242">
        <f>'LE Efficiencies'!L$54*('LE Shares'!U18/(1/'LE Efficiencies'!L18))/('LE Shares'!U$12/(1/'LE Efficiencies'!L$12))</f>
        <v>613.13013547623098</v>
      </c>
      <c r="O18" s="242">
        <f>'LE Efficiencies'!M$54*('LE Shares'!V18/(1/'LE Efficiencies'!M18))/('LE Shares'!V$12/(1/'LE Efficiencies'!M$12))</f>
        <v>110.75000062342336</v>
      </c>
      <c r="P18" s="242">
        <f>'LE Efficiencies'!N$54*('LE Shares'!X18/(1/'LE Efficiencies'!N18))/('LE Shares'!X$12/(1/'LE Efficiencies'!N$12))</f>
        <v>242.28159257769678</v>
      </c>
      <c r="Q18" s="242">
        <f>'LE Efficiencies'!O$54*('LE Shares'!Z18/(1/'LE Efficiencies'!O18))/('LE Shares'!Z$12/(1/'LE Efficiencies'!O$12))</f>
        <v>261.48972669603529</v>
      </c>
      <c r="R18" s="242">
        <f>'LE Efficiencies'!P$54*('LE Shares'!AB18/(1/'LE Efficiencies'!P18))/('LE Shares'!AB$12/(1/'LE Efficiencies'!P$12))</f>
        <v>98.240366993083867</v>
      </c>
      <c r="S18" s="242">
        <f>'LE Efficiencies'!Q$54*('LE Shares'!AD18/(1/'LE Efficiencies'!Q18))/('LE Shares'!AD$12/(1/'LE Efficiencies'!Q$12))</f>
        <v>794.28146520602172</v>
      </c>
      <c r="T18" s="242">
        <f>'LE Efficiencies'!R$54*('LE Shares'!AF18/(1/'LE Efficiencies'!R18))/('LE Shares'!AF$12/(1/'LE Efficiencies'!R$12))</f>
        <v>882.3462621369157</v>
      </c>
      <c r="U18" s="242">
        <f>'LE Efficiencies'!S$54*('LE Shares'!AH18/(1/'LE Efficiencies'!S18))/('LE Shares'!AH$12/(1/'LE Efficiencies'!S$12))</f>
        <v>267.22736514225863</v>
      </c>
      <c r="V18" s="242">
        <f>'LE Efficiencies'!T$54*('LE Shares'!AI18/(1/'LE Efficiencies'!T18))/('LE Shares'!AI$12/(1/'LE Efficiencies'!T$12))</f>
        <v>1919.0626613075385</v>
      </c>
      <c r="W18" s="242">
        <f>'LE Efficiencies'!V$54*('LE Shares'!AJ18/(1/'LE Efficiencies'!X18))/('LE Shares'!AJ$12/(1/'LE Efficiencies'!X$12))</f>
        <v>3772.43681889153</v>
      </c>
      <c r="X18" s="159">
        <f t="shared" si="2"/>
        <v>12509.876056056326</v>
      </c>
      <c r="Y18" s="243"/>
    </row>
    <row r="19" spans="1:45" x14ac:dyDescent="0.2">
      <c r="A19" s="240">
        <v>2012</v>
      </c>
      <c r="B19" s="241">
        <f t="shared" si="4"/>
        <v>2045.523277983923</v>
      </c>
      <c r="C19" s="241">
        <f t="shared" si="3"/>
        <v>4419.406662192956</v>
      </c>
      <c r="D19" s="242">
        <f>'LE Efficiencies'!B$54*'LE StructuralVars'!$Q19*('LE Shares'!B19/'LE Efficiencies'!B19)/('LE Shares'!B$12/'LE Efficiencies'!B$12)</f>
        <v>1112.047744879477</v>
      </c>
      <c r="E19" s="242">
        <f>'LE Efficiencies'!C$54*'LE StructuralVars'!$Q19*('LE Shares'!D19/'LE Efficiencies'!C19)/('LE Shares'!D$12/'LE Efficiencies'!C$12)</f>
        <v>559.50510889015379</v>
      </c>
      <c r="F19" s="242">
        <f>'LE Efficiencies'!D$54*'LE StructuralVars'!$Q19*('LE Shares'!F19/'LE Efficiencies'!D19)/('LE Shares'!F$12/'LE Efficiencies'!D$12)</f>
        <v>25.95932964630725</v>
      </c>
      <c r="G19" s="242">
        <f>'LE Efficiencies'!E$54*'LE StructuralVars'!$Q19*('LE Shares'!G19/(1/'LE Efficiencies'!E19))/('LE Shares'!G$12/(1/'LE Efficiencies'!E$12))</f>
        <v>76.409719575211497</v>
      </c>
      <c r="H19" s="242">
        <f>'LE Efficiencies'!F$54*'LE StructuralVars'!$R19*('LE Shares'!I19/'LE Efficiencies'!F19)/('LE Shares'!I$12/'LE Efficiencies'!F$12)</f>
        <v>2708.4746988178385</v>
      </c>
      <c r="I19" s="242">
        <f>'LE Efficiencies'!G$54*'LE StructuralVars'!$R19*('LE Shares'!K19/'LE Efficiencies'!G19)/('LE Shares'!K$12/'LE Efficiencies'!G$12)</f>
        <v>1380.8417819123026</v>
      </c>
      <c r="J19" s="242">
        <f>'LE Efficiencies'!H$54*'LE StructuralVars'!$R19*('LE Shares'!N19/'LE Efficiencies'!H19)/('LE Shares'!N$12/'LE Efficiencies'!H$12)</f>
        <v>44.250681342055429</v>
      </c>
      <c r="K19" s="242">
        <f>'LE Efficiencies'!I$54*'LE StructuralVars'!$R19*('LE Shares'!O19/'LE Efficiencies'!I19)/('LE Shares'!O$12/'LE Efficiencies'!I$12)</f>
        <v>285.83950012076002</v>
      </c>
      <c r="L19" s="242">
        <f>'LE Efficiencies'!J$54*('LE Shares'!Q19/'LE Efficiencies'!J19)/('LE Shares'!Q$12/'LE Efficiencies'!J$12)</f>
        <v>2965.105973717863</v>
      </c>
      <c r="M19" s="242">
        <f>'LE Efficiencies'!K$54*('LE Shares'!S19/(1/'LE Efficiencies'!K19))/('LE Shares'!S$12/(1/'LE Efficiencies'!K$12))</f>
        <v>593.67181068026093</v>
      </c>
      <c r="N19" s="242">
        <f>'LE Efficiencies'!L$54*('LE Shares'!U19/(1/'LE Efficiencies'!L19))/('LE Shares'!U$12/(1/'LE Efficiencies'!L$12))</f>
        <v>603.5179076608274</v>
      </c>
      <c r="O19" s="242">
        <f>'LE Efficiencies'!M$54*('LE Shares'!V19/(1/'LE Efficiencies'!M19))/('LE Shares'!V$12/(1/'LE Efficiencies'!M$12))</f>
        <v>109.1672222721884</v>
      </c>
      <c r="P19" s="242">
        <f>'LE Efficiencies'!N$54*('LE Shares'!X19/(1/'LE Efficiencies'!N19))/('LE Shares'!X$12/(1/'LE Efficiencies'!N$12))</f>
        <v>239.86393554760332</v>
      </c>
      <c r="Q19" s="242">
        <f>'LE Efficiencies'!O$54*('LE Shares'!Z19/(1/'LE Efficiencies'!O19))/('LE Shares'!Z$12/(1/'LE Efficiencies'!O$12))</f>
        <v>259.58157994275876</v>
      </c>
      <c r="R19" s="242">
        <f>'LE Efficiencies'!P$54*('LE Shares'!AB19/(1/'LE Efficiencies'!P19))/('LE Shares'!AB$12/(1/'LE Efficiencies'!P$12))</f>
        <v>95.908978732412393</v>
      </c>
      <c r="S19" s="242">
        <f>'LE Efficiencies'!Q$54*('LE Shares'!AD19/(1/'LE Efficiencies'!Q19))/('LE Shares'!AD$12/(1/'LE Efficiencies'!Q$12))</f>
        <v>783.91517880290689</v>
      </c>
      <c r="T19" s="242">
        <f>'LE Efficiencies'!R$54*('LE Shares'!AF19/(1/'LE Efficiencies'!R19))/('LE Shares'!AF$12/(1/'LE Efficiencies'!R$12))</f>
        <v>871.04036374074019</v>
      </c>
      <c r="U19" s="242">
        <f>'LE Efficiencies'!S$54*('LE Shares'!AH19/(1/'LE Efficiencies'!S19))/('LE Shares'!AH$12/(1/'LE Efficiencies'!S$12))</f>
        <v>271.60137499277323</v>
      </c>
      <c r="V19" s="242">
        <f>'LE Efficiencies'!T$54*('LE Shares'!AI19/(1/'LE Efficiencies'!T19))/('LE Shares'!AI$12/(1/'LE Efficiencies'!T$12))</f>
        <v>1896.2867999411549</v>
      </c>
      <c r="W19" s="242">
        <f>'LE Efficiencies'!V$54*('LE Shares'!AJ19/(1/'LE Efficiencies'!X19))/('LE Shares'!AJ$12/(1/'LE Efficiencies'!X$12))</f>
        <v>3873.4411263283569</v>
      </c>
      <c r="X19" s="159">
        <f t="shared" si="2"/>
        <v>12563.102252359846</v>
      </c>
      <c r="Y19" s="240">
        <v>2012</v>
      </c>
      <c r="Z19" s="202">
        <f>D19/$X$19</f>
        <v>8.8516969976153034E-2</v>
      </c>
      <c r="AA19" s="202">
        <f t="shared" ref="AA19:AP32" si="5">E19/$X$19</f>
        <v>4.453558505305142E-2</v>
      </c>
      <c r="AB19" s="202">
        <f t="shared" si="5"/>
        <v>2.0663152400459896E-3</v>
      </c>
      <c r="AC19" s="202">
        <f t="shared" si="5"/>
        <v>6.0820741597369977E-3</v>
      </c>
      <c r="AD19" s="202">
        <f t="shared" si="5"/>
        <v>0.21558964055307916</v>
      </c>
      <c r="AE19" s="202">
        <f t="shared" si="5"/>
        <v>0.10991248452609913</v>
      </c>
      <c r="AF19" s="202">
        <f t="shared" si="5"/>
        <v>3.5222734363833906E-3</v>
      </c>
      <c r="AG19" s="202">
        <f t="shared" si="5"/>
        <v>2.2752302288001205E-2</v>
      </c>
      <c r="AH19" s="202">
        <f t="shared" si="5"/>
        <v>0.23601702144555092</v>
      </c>
      <c r="AI19" s="202">
        <f t="shared" si="5"/>
        <v>4.7255192129694396E-2</v>
      </c>
      <c r="AJ19" s="202">
        <f t="shared" si="5"/>
        <v>4.8038923471108656E-2</v>
      </c>
      <c r="AK19" s="202">
        <f t="shared" si="5"/>
        <v>8.689511561659263E-3</v>
      </c>
      <c r="AL19" s="202">
        <f t="shared" si="5"/>
        <v>1.9092731295930303E-2</v>
      </c>
      <c r="AM19" s="202">
        <f t="shared" si="5"/>
        <v>2.0662219786836418E-2</v>
      </c>
      <c r="AN19" s="202">
        <f t="shared" si="5"/>
        <v>7.6341795844570882E-3</v>
      </c>
      <c r="AO19" s="202">
        <f t="shared" si="5"/>
        <v>6.2398216862053858E-2</v>
      </c>
      <c r="AP19" s="202">
        <f t="shared" si="5"/>
        <v>6.9333222499014885E-2</v>
      </c>
      <c r="AQ19" s="202">
        <f t="shared" ref="AI19:AS34" si="6">U19/$X$19</f>
        <v>2.1618973525568162E-2</v>
      </c>
      <c r="AR19" s="202">
        <f t="shared" si="6"/>
        <v>0.15094096679703117</v>
      </c>
      <c r="AS19" s="202">
        <f t="shared" si="6"/>
        <v>0.30831884104109492</v>
      </c>
    </row>
    <row r="20" spans="1:45" x14ac:dyDescent="0.2">
      <c r="A20" s="240">
        <v>2013</v>
      </c>
      <c r="B20" s="241">
        <f t="shared" si="4"/>
        <v>2054.2604543225425</v>
      </c>
      <c r="C20" s="241">
        <f t="shared" si="3"/>
        <v>4485.6817516981555</v>
      </c>
      <c r="D20" s="242">
        <f>'LE Efficiencies'!B$54*'LE StructuralVars'!$Q20*('LE Shares'!B20/'LE Efficiencies'!B20)/('LE Shares'!B$12/'LE Efficiencies'!B$12)</f>
        <v>1092.9050979196916</v>
      </c>
      <c r="E20" s="242">
        <f>'LE Efficiencies'!C$54*'LE StructuralVars'!$Q20*('LE Shares'!D20/'LE Efficiencies'!C20)/('LE Shares'!D$12/'LE Efficiencies'!C$12)</f>
        <v>585.5944823696658</v>
      </c>
      <c r="F20" s="242">
        <f>'LE Efficiencies'!D$54*'LE StructuralVars'!$Q20*('LE Shares'!F20/'LE Efficiencies'!D20)/('LE Shares'!F$12/'LE Efficiencies'!D$12)</f>
        <v>28.547007746075675</v>
      </c>
      <c r="G20" s="242">
        <f>'LE Efficiencies'!E$54*'LE StructuralVars'!$Q20*('LE Shares'!G20/(1/'LE Efficiencies'!E20))/('LE Shares'!G$12/(1/'LE Efficiencies'!E$12))</f>
        <v>73.377503343490247</v>
      </c>
      <c r="H20" s="242">
        <f>'LE Efficiencies'!F$54*'LE StructuralVars'!$R20*('LE Shares'!I20/'LE Efficiencies'!F20)/('LE Shares'!I$12/'LE Efficiencies'!F$12)</f>
        <v>2696.3666078668994</v>
      </c>
      <c r="I20" s="242">
        <f>'LE Efficiencies'!G$54*'LE StructuralVars'!$R20*('LE Shares'!K20/'LE Efficiencies'!G20)/('LE Shares'!K$12/'LE Efficiencies'!G$12)</f>
        <v>1457.095472946836</v>
      </c>
      <c r="J20" s="242">
        <f>'LE Efficiencies'!H$54*'LE StructuralVars'!$R20*('LE Shares'!N20/'LE Efficiencies'!H20)/('LE Shares'!N$12/'LE Efficiencies'!H$12)</f>
        <v>48.605222276877171</v>
      </c>
      <c r="K20" s="242">
        <f>'LE Efficiencies'!I$54*'LE StructuralVars'!$R20*('LE Shares'!O20/'LE Efficiencies'!I20)/('LE Shares'!O$12/'LE Efficiencies'!I$12)</f>
        <v>283.61444860754233</v>
      </c>
      <c r="L20" s="242">
        <f>'LE Efficiencies'!J$54*('LE Shares'!Q20/'LE Efficiencies'!J20)/('LE Shares'!Q$12/'LE Efficiencies'!J$12)</f>
        <v>2970.6526365720238</v>
      </c>
      <c r="M20" s="242">
        <f>'LE Efficiencies'!K$54*('LE Shares'!S20/(1/'LE Efficiencies'!K20))/('LE Shares'!S$12/(1/'LE Efficiencies'!K$12))</f>
        <v>593.76063735684045</v>
      </c>
      <c r="N20" s="242">
        <f>'LE Efficiencies'!L$54*('LE Shares'!U20/(1/'LE Efficiencies'!L20))/('LE Shares'!U$12/(1/'LE Efficiencies'!L$12))</f>
        <v>594.98086442674094</v>
      </c>
      <c r="O20" s="242">
        <f>'LE Efficiencies'!M$54*('LE Shares'!V20/(1/'LE Efficiencies'!M20))/('LE Shares'!V$12/(1/'LE Efficiencies'!M$12))</f>
        <v>107.76236870166142</v>
      </c>
      <c r="P20" s="242">
        <f>'LE Efficiencies'!N$54*('LE Shares'!X20/(1/'LE Efficiencies'!N20))/('LE Shares'!X$12/(1/'LE Efficiencies'!N$12))</f>
        <v>237.61907885806471</v>
      </c>
      <c r="Q20" s="242">
        <f>'LE Efficiencies'!O$54*('LE Shares'!Z20/(1/'LE Efficiencies'!O20))/('LE Shares'!Z$12/(1/'LE Efficiencies'!O$12))</f>
        <v>255.63108933013831</v>
      </c>
      <c r="R20" s="242">
        <f>'LE Efficiencies'!P$54*('LE Shares'!AB20/(1/'LE Efficiencies'!P20))/('LE Shares'!AB$12/(1/'LE Efficiencies'!P$12))</f>
        <v>93.141968886338191</v>
      </c>
      <c r="S20" s="242">
        <f>'LE Efficiencies'!Q$54*('LE Shares'!AD20/(1/'LE Efficiencies'!Q20))/('LE Shares'!AD$12/(1/'LE Efficiencies'!Q$12))</f>
        <v>775.14831642047818</v>
      </c>
      <c r="T20" s="242">
        <f>'LE Efficiencies'!R$54*('LE Shares'!AF20/(1/'LE Efficiencies'!R20))/('LE Shares'!AF$12/(1/'LE Efficiencies'!R$12))</f>
        <v>854.86661253873706</v>
      </c>
      <c r="U20" s="242">
        <f>'LE Efficiencies'!S$54*('LE Shares'!AH20/(1/'LE Efficiencies'!S20))/('LE Shares'!AH$12/(1/'LE Efficiencies'!S$12))</f>
        <v>273.83636294361935</v>
      </c>
      <c r="V20" s="244">
        <f>'LE Efficiencies'!T$54*('LE Shares'!AI20/(1/'LE Efficiencies'!T20))/('LE Shares'!AI$12/(1/'LE Efficiencies'!T$12))</f>
        <v>1660.6561984567725</v>
      </c>
      <c r="W20" s="242">
        <f>'LE Efficiencies'!V$54*('LE Shares'!AJ20/(1/'LE Efficiencies'!X20))/('LE Shares'!AJ$12/(1/'LE Efficiencies'!X$12))</f>
        <v>3884.8273243078092</v>
      </c>
      <c r="X20" s="159">
        <f t="shared" si="2"/>
        <v>12302.883458799222</v>
      </c>
      <c r="Y20" s="240">
        <v>2013</v>
      </c>
      <c r="Z20" s="202">
        <f t="shared" ref="Z20:AO49" si="7">D20/$X$19</f>
        <v>8.6993250231199928E-2</v>
      </c>
      <c r="AA20" s="202">
        <f t="shared" si="5"/>
        <v>4.6612251544770167E-2</v>
      </c>
      <c r="AB20" s="202">
        <f t="shared" si="5"/>
        <v>2.2722896918803172E-3</v>
      </c>
      <c r="AC20" s="202">
        <f t="shared" si="5"/>
        <v>5.8407152842927038E-3</v>
      </c>
      <c r="AD20" s="202">
        <f t="shared" si="5"/>
        <v>0.21462585862185554</v>
      </c>
      <c r="AE20" s="202">
        <f t="shared" si="5"/>
        <v>0.11598213909889463</v>
      </c>
      <c r="AF20" s="202">
        <f t="shared" si="5"/>
        <v>3.8688869437281856E-3</v>
      </c>
      <c r="AG20" s="202">
        <f t="shared" si="5"/>
        <v>2.2575192250327211E-2</v>
      </c>
      <c r="AH20" s="202">
        <f t="shared" si="5"/>
        <v>0.23645852568094938</v>
      </c>
      <c r="AI20" s="202">
        <f t="shared" si="5"/>
        <v>4.7262262570959238E-2</v>
      </c>
      <c r="AJ20" s="202">
        <f t="shared" si="5"/>
        <v>4.7359390417679684E-2</v>
      </c>
      <c r="AK20" s="202">
        <f t="shared" si="5"/>
        <v>8.5776877826031703E-3</v>
      </c>
      <c r="AL20" s="202">
        <f t="shared" si="5"/>
        <v>1.8914044802383938E-2</v>
      </c>
      <c r="AM20" s="202">
        <f t="shared" si="5"/>
        <v>2.0347767947373089E-2</v>
      </c>
      <c r="AN20" s="202">
        <f t="shared" si="5"/>
        <v>7.4139306530632164E-3</v>
      </c>
      <c r="AO20" s="202">
        <f t="shared" si="5"/>
        <v>6.1700390624049466E-2</v>
      </c>
      <c r="AP20" s="202">
        <f t="shared" si="5"/>
        <v>6.8045821435399001E-2</v>
      </c>
      <c r="AQ20" s="202">
        <f t="shared" si="6"/>
        <v>2.1796874485534183E-2</v>
      </c>
      <c r="AR20" s="202">
        <f t="shared" si="6"/>
        <v>0.13218520116278093</v>
      </c>
      <c r="AS20" s="202">
        <f t="shared" si="6"/>
        <v>0.30922516160991093</v>
      </c>
    </row>
    <row r="21" spans="1:45" x14ac:dyDescent="0.2">
      <c r="A21" s="240">
        <v>2014</v>
      </c>
      <c r="B21" s="241">
        <f t="shared" si="4"/>
        <v>2062.1242019507058</v>
      </c>
      <c r="C21" s="241">
        <f t="shared" si="3"/>
        <v>4543.331346588423</v>
      </c>
      <c r="D21" s="242">
        <f>'LE Efficiencies'!B$54*'LE StructuralVars'!$Q21*('LE Shares'!B21/'LE Efficiencies'!B21)/('LE Shares'!B$12/'LE Efficiencies'!B$12)</f>
        <v>1075.3089410759069</v>
      </c>
      <c r="E21" s="242">
        <f>'LE Efficiencies'!C$54*'LE StructuralVars'!$Q21*('LE Shares'!D21/'LE Efficiencies'!C21)/('LE Shares'!D$12/'LE Efficiencies'!C$12)</f>
        <v>608.66354993094808</v>
      </c>
      <c r="F21" s="242">
        <f>'LE Efficiencies'!D$54*'LE StructuralVars'!$Q21*('LE Shares'!F21/'LE Efficiencies'!D21)/('LE Shares'!F$12/'LE Efficiencies'!D$12)</f>
        <v>30.876625477995614</v>
      </c>
      <c r="G21" s="242">
        <f>'LE Efficiencies'!E$54*'LE StructuralVars'!$Q21*('LE Shares'!G21/(1/'LE Efficiencies'!E21))/('LE Shares'!G$12/(1/'LE Efficiencies'!E$12))</f>
        <v>70.634358314296463</v>
      </c>
      <c r="H21" s="242">
        <f>'LE Efficiencies'!F$54*'LE StructuralVars'!$R21*('LE Shares'!I21/'LE Efficiencies'!F21)/('LE Shares'!I$12/'LE Efficiencies'!F$12)</f>
        <v>2687.225747256467</v>
      </c>
      <c r="I21" s="242">
        <f>'LE Efficiencies'!G$54*'LE StructuralVars'!$R21*('LE Shares'!K21/'LE Efficiencies'!G21)/('LE Shares'!K$12/'LE Efficiencies'!G$12)</f>
        <v>1526.1340359840403</v>
      </c>
      <c r="J21" s="242">
        <f>'LE Efficiencies'!H$54*'LE StructuralVars'!$R21*('LE Shares'!N21/'LE Efficiencies'!H21)/('LE Shares'!N$12/'LE Efficiencies'!H$12)</f>
        <v>52.610551149152776</v>
      </c>
      <c r="K21" s="242">
        <f>'LE Efficiencies'!I$54*'LE StructuralVars'!$R21*('LE Shares'!O21/'LE Efficiencies'!I21)/('LE Shares'!O$12/'LE Efficiencies'!I$12)</f>
        <v>277.36101219876269</v>
      </c>
      <c r="L21" s="242">
        <f>'LE Efficiencies'!J$54*('LE Shares'!Q21/'LE Efficiencies'!J21)/('LE Shares'!Q$12/'LE Efficiencies'!J$12)</f>
        <v>2975.7905010149143</v>
      </c>
      <c r="M21" s="242">
        <f>'LE Efficiencies'!K$54*('LE Shares'!S21/(1/'LE Efficiencies'!K21))/('LE Shares'!S$12/(1/'LE Efficiencies'!K$12))</f>
        <v>595.13772041621382</v>
      </c>
      <c r="N21" s="242">
        <f>'LE Efficiencies'!L$54*('LE Shares'!U21/(1/'LE Efficiencies'!L21))/('LE Shares'!U$12/(1/'LE Efficiencies'!L$12))</f>
        <v>575.73456561832256</v>
      </c>
      <c r="O21" s="242">
        <f>'LE Efficiencies'!M$54*('LE Shares'!V21/(1/'LE Efficiencies'!M21))/('LE Shares'!V$12/(1/'LE Efficiencies'!M$12))</f>
        <v>104.37294141842116</v>
      </c>
      <c r="P21" s="242">
        <f>'LE Efficiencies'!N$54*('LE Shares'!X21/(1/'LE Efficiencies'!N21))/('LE Shares'!X$12/(1/'LE Efficiencies'!N$12))</f>
        <v>233.83712751154124</v>
      </c>
      <c r="Q21" s="242">
        <f>'LE Efficiencies'!O$54*('LE Shares'!Z21/(1/'LE Efficiencies'!O21))/('LE Shares'!Z$12/(1/'LE Efficiencies'!O$12))</f>
        <v>252.52888633275489</v>
      </c>
      <c r="R21" s="242">
        <f>'LE Efficiencies'!P$54*('LE Shares'!AB21/(1/'LE Efficiencies'!P21))/('LE Shares'!AB$12/(1/'LE Efficiencies'!P$12))</f>
        <v>90.638352784986068</v>
      </c>
      <c r="S21" s="242">
        <f>'LE Efficiencies'!Q$54*('LE Shares'!AD21/(1/'LE Efficiencies'!Q21))/('LE Shares'!AD$12/(1/'LE Efficiencies'!Q$12))</f>
        <v>766.49798630534394</v>
      </c>
      <c r="T21" s="242">
        <f>'LE Efficiencies'!R$54*('LE Shares'!AF21/(1/'LE Efficiencies'!R21))/('LE Shares'!AF$12/(1/'LE Efficiencies'!R$12))</f>
        <v>839.46169618658848</v>
      </c>
      <c r="U21" s="242">
        <f>'LE Efficiencies'!S$54*('LE Shares'!AH21/(1/'LE Efficiencies'!S21))/('LE Shares'!AH$12/(1/'LE Efficiencies'!S$12))</f>
        <v>276.64072715155896</v>
      </c>
      <c r="V21" s="242">
        <f>'LE Efficiencies'!T$54*('LE Shares'!AI21/(1/'LE Efficiencies'!T21))/('LE Shares'!AI$12/(1/'LE Efficiencies'!T$12))</f>
        <v>1565.904029859397</v>
      </c>
      <c r="W21" s="242">
        <f>'LE Efficiencies'!V$54*('LE Shares'!AJ21/(1/'LE Efficiencies'!X21))/('LE Shares'!AJ$12/(1/'LE Efficiencies'!X$12))</f>
        <v>3960.3374473516642</v>
      </c>
      <c r="X21" s="159">
        <f t="shared" si="2"/>
        <v>12236.881981951705</v>
      </c>
      <c r="Y21" s="240">
        <v>2014</v>
      </c>
      <c r="Z21" s="202">
        <f t="shared" si="7"/>
        <v>8.5592628275704866E-2</v>
      </c>
      <c r="AA21" s="202">
        <f t="shared" si="5"/>
        <v>4.8448507200251199E-2</v>
      </c>
      <c r="AB21" s="202">
        <f t="shared" si="5"/>
        <v>2.4577230096328928E-3</v>
      </c>
      <c r="AC21" s="202">
        <f t="shared" si="5"/>
        <v>5.6223659487471371E-3</v>
      </c>
      <c r="AD21" s="202">
        <f t="shared" si="5"/>
        <v>0.21389826280779495</v>
      </c>
      <c r="AE21" s="202">
        <f t="shared" si="5"/>
        <v>0.12147748265738841</v>
      </c>
      <c r="AF21" s="202">
        <f t="shared" si="5"/>
        <v>4.1877038085294926E-3</v>
      </c>
      <c r="AG21" s="202">
        <f t="shared" si="5"/>
        <v>2.2077430130496897E-2</v>
      </c>
      <c r="AH21" s="202">
        <f t="shared" si="5"/>
        <v>0.23686749030924614</v>
      </c>
      <c r="AI21" s="202">
        <f t="shared" si="5"/>
        <v>4.7371875868034388E-2</v>
      </c>
      <c r="AJ21" s="202">
        <f t="shared" si="5"/>
        <v>4.5827420174835952E-2</v>
      </c>
      <c r="AK21" s="202">
        <f t="shared" si="5"/>
        <v>8.307895559698705E-3</v>
      </c>
      <c r="AL21" s="202">
        <f t="shared" si="5"/>
        <v>1.8613008380761797E-2</v>
      </c>
      <c r="AM21" s="202">
        <f t="shared" si="5"/>
        <v>2.0100838253172701E-2</v>
      </c>
      <c r="AN21" s="202">
        <f t="shared" si="5"/>
        <v>7.2146473828118857E-3</v>
      </c>
      <c r="AO21" s="202">
        <f t="shared" si="5"/>
        <v>6.101184014174249E-2</v>
      </c>
      <c r="AP21" s="202">
        <f t="shared" si="5"/>
        <v>6.6819618221996446E-2</v>
      </c>
      <c r="AQ21" s="202">
        <f t="shared" si="6"/>
        <v>2.2020096755926262E-2</v>
      </c>
      <c r="AR21" s="202">
        <f t="shared" si="6"/>
        <v>0.12464310155282375</v>
      </c>
      <c r="AS21" s="202">
        <f t="shared" si="6"/>
        <v>0.3152356295283481</v>
      </c>
    </row>
    <row r="22" spans="1:45" x14ac:dyDescent="0.2">
      <c r="A22" s="240">
        <v>2015</v>
      </c>
      <c r="B22" s="241">
        <f t="shared" si="4"/>
        <v>2060.612403638846</v>
      </c>
      <c r="C22" s="241">
        <f t="shared" si="3"/>
        <v>4551.3104705461119</v>
      </c>
      <c r="D22" s="242">
        <f>'LE Efficiencies'!B$54*'LE StructuralVars'!$Q22*('LE Shares'!B22/'LE Efficiencies'!B22)/('LE Shares'!B$12/'LE Efficiencies'!B$12)</f>
        <v>1058.7803411722282</v>
      </c>
      <c r="E22" s="242">
        <f>'LE Efficiencies'!C$54*'LE StructuralVars'!$Q22*('LE Shares'!D22/'LE Efficiencies'!C22)/('LE Shares'!D$12/'LE Efficiencies'!C$12)</f>
        <v>621.73101321992431</v>
      </c>
      <c r="F22" s="242">
        <f>'LE Efficiencies'!D$54*'LE StructuralVars'!$Q22*('LE Shares'!F22/'LE Efficiencies'!D22)/('LE Shares'!F$12/'LE Efficiencies'!D$12)</f>
        <v>33.240827165452686</v>
      </c>
      <c r="G22" s="242">
        <f>'LE Efficiencies'!E$54*'LE StructuralVars'!$Q22*('LE Shares'!G22/(1/'LE Efficiencies'!E22))/('LE Shares'!G$12/(1/'LE Efficiencies'!E$12))</f>
        <v>67.9370236043017</v>
      </c>
      <c r="H22" s="242">
        <f>'LE Efficiencies'!F$54*'LE StructuralVars'!$R22*('LE Shares'!I22/'LE Efficiencies'!F22)/('LE Shares'!I$12/'LE Efficiencies'!F$12)</f>
        <v>2650.7992929870293</v>
      </c>
      <c r="I22" s="242">
        <f>'LE Efficiencies'!G$54*'LE StructuralVars'!$R22*('LE Shares'!K22/'LE Efficiencies'!G22)/('LE Shares'!K$12/'LE Efficiencies'!G$12)</f>
        <v>1570.0727799855667</v>
      </c>
      <c r="J22" s="242">
        <f>'LE Efficiencies'!H$54*'LE StructuralVars'!$R22*('LE Shares'!N22/'LE Efficiencies'!H22)/('LE Shares'!N$12/'LE Efficiencies'!H$12)</f>
        <v>56.735974445769742</v>
      </c>
      <c r="K22" s="242">
        <f>'LE Efficiencies'!I$54*'LE StructuralVars'!$R22*('LE Shares'!O22/'LE Efficiencies'!I22)/('LE Shares'!O$12/'LE Efficiencies'!I$12)</f>
        <v>273.70242312774616</v>
      </c>
      <c r="L22" s="242">
        <f>'LE Efficiencies'!J$54*('LE Shares'!Q22/'LE Efficiencies'!J22)/('LE Shares'!Q$12/'LE Efficiencies'!J$12)</f>
        <v>2939.8082687150636</v>
      </c>
      <c r="M22" s="242">
        <f>'LE Efficiencies'!K$54*('LE Shares'!S22/(1/'LE Efficiencies'!K22))/('LE Shares'!S$12/(1/'LE Efficiencies'!K$12))</f>
        <v>596.5033843475095</v>
      </c>
      <c r="N22" s="242">
        <f>'LE Efficiencies'!L$54*('LE Shares'!U22/(1/'LE Efficiencies'!L22))/('LE Shares'!U$12/(1/'LE Efficiencies'!L$12))</f>
        <v>563.64431175060793</v>
      </c>
      <c r="O22" s="242">
        <f>'LE Efficiencies'!M$54*('LE Shares'!V22/(1/'LE Efficiencies'!M22))/('LE Shares'!V$12/(1/'LE Efficiencies'!M$12))</f>
        <v>102.23251814399084</v>
      </c>
      <c r="P22" s="242">
        <f>'LE Efficiencies'!N$54*('LE Shares'!X22/(1/'LE Efficiencies'!N22))/('LE Shares'!X$12/(1/'LE Efficiencies'!N$12))</f>
        <v>231.25879448222722</v>
      </c>
      <c r="Q22" s="242">
        <f>'LE Efficiencies'!O$54*('LE Shares'!Z22/(1/'LE Efficiencies'!O22))/('LE Shares'!Z$12/(1/'LE Efficiencies'!O$12))</f>
        <v>249.66688454095896</v>
      </c>
      <c r="R22" s="242">
        <f>'LE Efficiencies'!P$54*('LE Shares'!AB22/(1/'LE Efficiencies'!P22))/('LE Shares'!AB$12/(1/'LE Efficiencies'!P$12))</f>
        <v>88.040606078664382</v>
      </c>
      <c r="S22" s="242">
        <f>'LE Efficiencies'!Q$54*('LE Shares'!AD22/(1/'LE Efficiencies'!Q22))/('LE Shares'!AD$12/(1/'LE Efficiencies'!Q$12))</f>
        <v>754.88131616508622</v>
      </c>
      <c r="T22" s="242">
        <f>'LE Efficiencies'!R$54*('LE Shares'!AF22/(1/'LE Efficiencies'!R22))/('LE Shares'!AF$12/(1/'LE Efficiencies'!R$12))</f>
        <v>826.4350970966143</v>
      </c>
      <c r="U22" s="242">
        <f>'LE Efficiencies'!S$54*('LE Shares'!AH22/(1/'LE Efficiencies'!S22))/('LE Shares'!AH$12/(1/'LE Efficiencies'!S$12))</f>
        <v>278.92319847693926</v>
      </c>
      <c r="V22" s="242">
        <f>'LE Efficiencies'!T$54*('LE Shares'!AI22/(1/'LE Efficiencies'!T22))/('LE Shares'!AI$12/(1/'LE Efficiencies'!T$12))</f>
        <v>1511.7958240745759</v>
      </c>
      <c r="W22" s="242">
        <f>'LE Efficiencies'!V$54*('LE Shares'!AJ22/(1/'LE Efficiencies'!X22))/('LE Shares'!AJ$12/(1/'LE Efficiencies'!X$12))</f>
        <v>4028.6560016092408</v>
      </c>
      <c r="X22" s="159">
        <f t="shared" si="2"/>
        <v>12171.846205481477</v>
      </c>
      <c r="Y22" s="240">
        <v>2015</v>
      </c>
      <c r="Z22" s="202">
        <f t="shared" si="7"/>
        <v>8.4276981903362885E-2</v>
      </c>
      <c r="AA22" s="202">
        <f t="shared" si="5"/>
        <v>4.9488653417840221E-2</v>
      </c>
      <c r="AB22" s="202">
        <f t="shared" si="5"/>
        <v>2.6459091470985002E-3</v>
      </c>
      <c r="AC22" s="202">
        <f t="shared" si="5"/>
        <v>5.4076630309635859E-3</v>
      </c>
      <c r="AD22" s="202">
        <f t="shared" si="5"/>
        <v>0.21099878355993679</v>
      </c>
      <c r="AE22" s="202">
        <f t="shared" si="5"/>
        <v>0.12497492645104</v>
      </c>
      <c r="AF22" s="202">
        <f t="shared" si="5"/>
        <v>4.5160799702249092E-3</v>
      </c>
      <c r="AG22" s="202">
        <f t="shared" si="5"/>
        <v>2.1786213120754794E-2</v>
      </c>
      <c r="AH22" s="202">
        <f t="shared" si="5"/>
        <v>0.23400337031905091</v>
      </c>
      <c r="AI22" s="202">
        <f t="shared" si="5"/>
        <v>4.7480580223365022E-2</v>
      </c>
      <c r="AJ22" s="202">
        <f t="shared" si="5"/>
        <v>4.486505804286782E-2</v>
      </c>
      <c r="AK22" s="202">
        <f t="shared" si="5"/>
        <v>8.1375217753073322E-3</v>
      </c>
      <c r="AL22" s="202">
        <f t="shared" si="5"/>
        <v>1.840777777947224E-2</v>
      </c>
      <c r="AM22" s="202">
        <f t="shared" si="5"/>
        <v>1.9873028136347587E-2</v>
      </c>
      <c r="AN22" s="202">
        <f t="shared" si="5"/>
        <v>7.0078714882804436E-3</v>
      </c>
      <c r="AO22" s="202">
        <f t="shared" si="5"/>
        <v>6.0087174409751365E-2</v>
      </c>
      <c r="AP22" s="202">
        <f t="shared" si="5"/>
        <v>6.5782724720033006E-2</v>
      </c>
      <c r="AQ22" s="202">
        <f t="shared" si="6"/>
        <v>2.2201777305804107E-2</v>
      </c>
      <c r="AR22" s="202">
        <f t="shared" si="6"/>
        <v>0.12033618716990073</v>
      </c>
      <c r="AS22" s="202">
        <f t="shared" si="6"/>
        <v>0.32067366170266587</v>
      </c>
    </row>
    <row r="23" spans="1:45" x14ac:dyDescent="0.2">
      <c r="A23" s="240">
        <v>2016</v>
      </c>
      <c r="B23" s="241">
        <f t="shared" si="4"/>
        <v>2064.544085214337</v>
      </c>
      <c r="C23" s="241">
        <f t="shared" si="3"/>
        <v>4586.1722507292134</v>
      </c>
      <c r="D23" s="242">
        <f>'LE Efficiencies'!B$54*'LE StructuralVars'!$Q23*('LE Shares'!B23/'LE Efficiencies'!B23)/('LE Shares'!B$12/'LE Efficiencies'!B$12)</f>
        <v>1044.3428637009667</v>
      </c>
      <c r="E23" s="242">
        <f>'LE Efficiencies'!C$54*'LE StructuralVars'!$Q23*('LE Shares'!D23/'LE Efficiencies'!C23)/('LE Shares'!D$12/'LE Efficiencies'!C$12)</f>
        <v>637.25347139533017</v>
      </c>
      <c r="F23" s="242">
        <f>'LE Efficiencies'!D$54*'LE StructuralVars'!$Q23*('LE Shares'!F23/'LE Efficiencies'!D23)/('LE Shares'!F$12/'LE Efficiencies'!D$12)</f>
        <v>35.56919119861584</v>
      </c>
      <c r="G23" s="242">
        <f>'LE Efficiencies'!E$54*'LE StructuralVars'!$Q23*('LE Shares'!G23/(1/'LE Efficiencies'!E23))/('LE Shares'!G$12/(1/'LE Efficiencies'!E$12))</f>
        <v>65.473158853715461</v>
      </c>
      <c r="H23" s="242">
        <f>'LE Efficiencies'!F$54*'LE StructuralVars'!$R23*('LE Shares'!I23/'LE Efficiencies'!F23)/('LE Shares'!I$12/'LE Efficiencies'!F$12)</f>
        <v>2633.9858907432226</v>
      </c>
      <c r="I23" s="242">
        <f>'LE Efficiencies'!G$54*'LE StructuralVars'!$R23*('LE Shares'!K23/'LE Efficiencies'!G23)/('LE Shares'!K$12/'LE Efficiencies'!G$12)</f>
        <v>1620.7757911661333</v>
      </c>
      <c r="J23" s="242">
        <f>'LE Efficiencies'!H$54*'LE StructuralVars'!$R23*('LE Shares'!N23/'LE Efficiencies'!H23)/('LE Shares'!N$12/'LE Efficiencies'!H$12)</f>
        <v>60.859520677678034</v>
      </c>
      <c r="K23" s="242">
        <f>'LE Efficiencies'!I$54*'LE StructuralVars'!$R23*('LE Shares'!O23/'LE Efficiencies'!I23)/('LE Shares'!O$12/'LE Efficiencies'!I$12)</f>
        <v>270.55104814217884</v>
      </c>
      <c r="L23" s="242">
        <f>'LE Efficiencies'!J$54*('LE Shares'!Q23/'LE Efficiencies'!J23)/('LE Shares'!Q$12/'LE Efficiencies'!J$12)</f>
        <v>2926.6715725433451</v>
      </c>
      <c r="M23" s="242">
        <f>'LE Efficiencies'!K$54*('LE Shares'!S23/(1/'LE Efficiencies'!K23))/('LE Shares'!S$12/(1/'LE Efficiencies'!K$12))</f>
        <v>598.95035059407326</v>
      </c>
      <c r="N23" s="242">
        <f>'LE Efficiencies'!L$54*('LE Shares'!U23/(1/'LE Efficiencies'!L23))/('LE Shares'!U$12/(1/'LE Efficiencies'!L$12))</f>
        <v>552.59992763830303</v>
      </c>
      <c r="O23" s="242">
        <f>'LE Efficiencies'!M$54*('LE Shares'!V23/(1/'LE Efficiencies'!M23))/('LE Shares'!V$12/(1/'LE Efficiencies'!M$12))</f>
        <v>100.22672790027258</v>
      </c>
      <c r="P23" s="242">
        <f>'LE Efficiencies'!N$54*('LE Shares'!X23/(1/'LE Efficiencies'!N23))/('LE Shares'!X$12/(1/'LE Efficiencies'!N$12))</f>
        <v>228.92485034908631</v>
      </c>
      <c r="Q23" s="242">
        <f>'LE Efficiencies'!O$54*('LE Shares'!Z23/(1/'LE Efficiencies'!O23))/('LE Shares'!Z$12/(1/'LE Efficiencies'!O$12))</f>
        <v>247.87042435141024</v>
      </c>
      <c r="R23" s="242">
        <f>'LE Efficiencies'!P$54*('LE Shares'!AB23/(1/'LE Efficiencies'!P23))/('LE Shares'!AB$12/(1/'LE Efficiencies'!P$12))</f>
        <v>85.496836934543353</v>
      </c>
      <c r="S23" s="242">
        <f>'LE Efficiencies'!Q$54*('LE Shares'!AD23/(1/'LE Efficiencies'!Q23))/('LE Shares'!AD$12/(1/'LE Efficiencies'!Q$12))</f>
        <v>744.11482542075044</v>
      </c>
      <c r="T23" s="242">
        <f>'LE Efficiencies'!R$54*('LE Shares'!AF23/(1/'LE Efficiencies'!R23))/('LE Shares'!AF$12/(1/'LE Efficiencies'!R$12))</f>
        <v>817.22891998906368</v>
      </c>
      <c r="U23" s="242">
        <f>'LE Efficiencies'!S$54*('LE Shares'!AH23/(1/'LE Efficiencies'!S23))/('LE Shares'!AH$12/(1/'LE Efficiencies'!S$12))</f>
        <v>281.90540006570859</v>
      </c>
      <c r="V23" s="242">
        <f>'LE Efficiencies'!T$54*('LE Shares'!AI23/(1/'LE Efficiencies'!T23))/('LE Shares'!AI$12/(1/'LE Efficiencies'!T$12))</f>
        <v>1477.1841425568862</v>
      </c>
      <c r="W23" s="242">
        <f>'LE Efficiencies'!V$54*('LE Shares'!AJ23/(1/'LE Efficiencies'!X23))/('LE Shares'!AJ$12/(1/'LE Efficiencies'!X$12))</f>
        <v>4122.2572392728616</v>
      </c>
      <c r="X23" s="159">
        <f t="shared" si="2"/>
        <v>12183.431217616304</v>
      </c>
      <c r="Y23" s="240">
        <v>2016</v>
      </c>
      <c r="Z23" s="202">
        <f t="shared" si="7"/>
        <v>8.3127785058407691E-2</v>
      </c>
      <c r="AA23" s="202">
        <f t="shared" si="5"/>
        <v>5.0724212745751458E-2</v>
      </c>
      <c r="AB23" s="202">
        <f t="shared" si="5"/>
        <v>2.8312426727191958E-3</v>
      </c>
      <c r="AC23" s="202">
        <f t="shared" si="5"/>
        <v>5.211543895650218E-3</v>
      </c>
      <c r="AD23" s="202">
        <f t="shared" si="5"/>
        <v>0.20966046744134845</v>
      </c>
      <c r="AE23" s="202">
        <f t="shared" si="5"/>
        <v>0.12901079356109577</v>
      </c>
      <c r="AF23" s="202">
        <f t="shared" si="5"/>
        <v>4.8443067209968955E-3</v>
      </c>
      <c r="AG23" s="202">
        <f t="shared" si="5"/>
        <v>2.1535369426079351E-2</v>
      </c>
      <c r="AH23" s="202">
        <f t="shared" si="5"/>
        <v>0.23295771329040968</v>
      </c>
      <c r="AI23" s="202">
        <f t="shared" si="5"/>
        <v>4.7675354268613614E-2</v>
      </c>
      <c r="AJ23" s="202">
        <f t="shared" si="5"/>
        <v>4.3985945233750129E-2</v>
      </c>
      <c r="AK23" s="202">
        <f t="shared" si="5"/>
        <v>7.9778645343307666E-3</v>
      </c>
      <c r="AL23" s="202">
        <f t="shared" si="5"/>
        <v>1.8222000088082162E-2</v>
      </c>
      <c r="AM23" s="202">
        <f t="shared" si="5"/>
        <v>1.9730033185461848E-2</v>
      </c>
      <c r="AN23" s="202">
        <f t="shared" si="5"/>
        <v>6.8053921091411696E-3</v>
      </c>
      <c r="AO23" s="202">
        <f t="shared" si="5"/>
        <v>5.9230181405311444E-2</v>
      </c>
      <c r="AP23" s="202">
        <f t="shared" si="5"/>
        <v>6.504992983206484E-2</v>
      </c>
      <c r="AQ23" s="202">
        <f t="shared" si="6"/>
        <v>2.2439155106992435E-2</v>
      </c>
      <c r="AR23" s="202">
        <f t="shared" si="6"/>
        <v>0.11758116051944198</v>
      </c>
      <c r="AS23" s="202">
        <f t="shared" si="6"/>
        <v>0.32812414931181022</v>
      </c>
    </row>
    <row r="24" spans="1:45" x14ac:dyDescent="0.2">
      <c r="A24" s="240">
        <v>2017</v>
      </c>
      <c r="B24" s="241">
        <f t="shared" si="4"/>
        <v>2066.0088574473307</v>
      </c>
      <c r="C24" s="241">
        <f t="shared" si="3"/>
        <v>4621.5336852980681</v>
      </c>
      <c r="D24" s="242">
        <f>'LE Efficiencies'!B$54*'LE StructuralVars'!$Q24*('LE Shares'!B24/'LE Efficiencies'!B24)/('LE Shares'!B$12/'LE Efficiencies'!B$12)</f>
        <v>1031.3190140563981</v>
      </c>
      <c r="E24" s="242">
        <f>'LE Efficiencies'!C$54*'LE StructuralVars'!$Q24*('LE Shares'!D24/'LE Efficiencies'!C24)/('LE Shares'!D$12/'LE Efficiencies'!C$12)</f>
        <v>651.46560370563975</v>
      </c>
      <c r="F24" s="242">
        <f>'LE Efficiencies'!D$54*'LE StructuralVars'!$Q24*('LE Shares'!F24/'LE Efficiencies'!D24)/('LE Shares'!F$12/'LE Efficiencies'!D$12)</f>
        <v>37.478731240421808</v>
      </c>
      <c r="G24" s="242">
        <f>'LE Efficiencies'!E$54*'LE StructuralVars'!$Q24*('LE Shares'!G24/(1/'LE Efficiencies'!E24))/('LE Shares'!G$12/(1/'LE Efficiencies'!E$12))</f>
        <v>62.588181037477284</v>
      </c>
      <c r="H24" s="242">
        <f>'LE Efficiencies'!F$54*'LE StructuralVars'!$R24*('LE Shares'!I24/'LE Efficiencies'!F24)/('LE Shares'!I$12/'LE Efficiencies'!F$12)</f>
        <v>2621.059543583011</v>
      </c>
      <c r="I24" s="242">
        <f>'LE Efficiencies'!G$54*'LE StructuralVars'!$R24*('LE Shares'!K24/'LE Efficiencies'!G24)/('LE Shares'!K$12/'LE Efficiencies'!G$12)</f>
        <v>1668.4379916727908</v>
      </c>
      <c r="J24" s="242">
        <f>'LE Efficiencies'!H$54*'LE StructuralVars'!$R24*('LE Shares'!N24/'LE Efficiencies'!H24)/('LE Shares'!N$12/'LE Efficiencies'!H$12)</f>
        <v>64.406862867461527</v>
      </c>
      <c r="K24" s="242">
        <f>'LE Efficiencies'!I$54*'LE StructuralVars'!$R24*('LE Shares'!O24/'LE Efficiencies'!I24)/('LE Shares'!O$12/'LE Efficiencies'!I$12)</f>
        <v>267.6292871748056</v>
      </c>
      <c r="L24" s="242">
        <f>'LE Efficiencies'!J$54*('LE Shares'!Q24/'LE Efficiencies'!J24)/('LE Shares'!Q$12/'LE Efficiencies'!J$12)</f>
        <v>2914.4835080081775</v>
      </c>
      <c r="M24" s="242">
        <f>'LE Efficiencies'!K$54*('LE Shares'!S24/(1/'LE Efficiencies'!K24))/('LE Shares'!S$12/(1/'LE Efficiencies'!K$12))</f>
        <v>597.66075054438772</v>
      </c>
      <c r="N24" s="242">
        <f>'LE Efficiencies'!L$54*('LE Shares'!U24/(1/'LE Efficiencies'!L24))/('LE Shares'!U$12/(1/'LE Efficiencies'!L$12))</f>
        <v>542.57339712782027</v>
      </c>
      <c r="O24" s="242">
        <f>'LE Efficiencies'!M$54*('LE Shares'!V24/(1/'LE Efficiencies'!M24))/('LE Shares'!V$12/(1/'LE Efficiencies'!M$12))</f>
        <v>98.372923099236445</v>
      </c>
      <c r="P24" s="242">
        <f>'LE Efficiencies'!N$54*('LE Shares'!X24/(1/'LE Efficiencies'!N24))/('LE Shares'!X$12/(1/'LE Efficiencies'!N$12))</f>
        <v>226.81915371698631</v>
      </c>
      <c r="Q24" s="242">
        <f>'LE Efficiencies'!O$54*('LE Shares'!Z24/(1/'LE Efficiencies'!O24))/('LE Shares'!Z$12/(1/'LE Efficiencies'!O$12))</f>
        <v>245.00379464702721</v>
      </c>
      <c r="R24" s="242">
        <f>'LE Efficiencies'!P$54*('LE Shares'!AB24/(1/'LE Efficiencies'!P24))/('LE Shares'!AB$12/(1/'LE Efficiencies'!P$12))</f>
        <v>82.467604855004907</v>
      </c>
      <c r="S24" s="242">
        <f>'LE Efficiencies'!Q$54*('LE Shares'!AD24/(1/'LE Efficiencies'!Q24))/('LE Shares'!AD$12/(1/'LE Efficiencies'!Q$12))</f>
        <v>726.50421052096101</v>
      </c>
      <c r="T24" s="242">
        <f>'LE Efficiencies'!R$54*('LE Shares'!AF24/(1/'LE Efficiencies'!R24))/('LE Shares'!AF$12/(1/'LE Efficiencies'!R$12))</f>
        <v>803.87102347308098</v>
      </c>
      <c r="U24" s="242">
        <f>'LE Efficiencies'!S$54*('LE Shares'!AH24/(1/'LE Efficiencies'!S24))/('LE Shares'!AH$12/(1/'LE Efficiencies'!S$12))</f>
        <v>283.15732740739338</v>
      </c>
      <c r="V24" s="242">
        <f>'LE Efficiencies'!T$54*('LE Shares'!AI24/(1/'LE Efficiencies'!T24))/('LE Shares'!AI$12/(1/'LE Efficiencies'!T$12))</f>
        <v>1440.3093277991409</v>
      </c>
      <c r="W24" s="242">
        <f>'LE Efficiencies'!V$54*('LE Shares'!AJ24/(1/'LE Efficiencies'!X24))/('LE Shares'!AJ$12/(1/'LE Efficiencies'!X$12))</f>
        <v>4166.6782695119546</v>
      </c>
      <c r="X24" s="159">
        <f t="shared" si="2"/>
        <v>12127.901290711172</v>
      </c>
      <c r="Y24" s="240">
        <v>2017</v>
      </c>
      <c r="Z24" s="202">
        <f t="shared" si="7"/>
        <v>8.2091110407278248E-2</v>
      </c>
      <c r="AA24" s="202">
        <f t="shared" si="5"/>
        <v>5.1855472527358344E-2</v>
      </c>
      <c r="AB24" s="202">
        <f t="shared" si="5"/>
        <v>2.9832385733692349E-3</v>
      </c>
      <c r="AC24" s="202">
        <f t="shared" si="5"/>
        <v>4.9819049292320105E-3</v>
      </c>
      <c r="AD24" s="202">
        <f t="shared" si="5"/>
        <v>0.20863155380994156</v>
      </c>
      <c r="AE24" s="202">
        <f t="shared" si="5"/>
        <v>0.13280461769380189</v>
      </c>
      <c r="AF24" s="202">
        <f t="shared" si="5"/>
        <v>5.1266686821213586E-3</v>
      </c>
      <c r="AG24" s="202">
        <f t="shared" si="5"/>
        <v>2.1302802587994083E-2</v>
      </c>
      <c r="AH24" s="202">
        <f t="shared" si="5"/>
        <v>0.23198756560790729</v>
      </c>
      <c r="AI24" s="202">
        <f t="shared" si="5"/>
        <v>4.7572704459372166E-2</v>
      </c>
      <c r="AJ24" s="202">
        <f t="shared" si="5"/>
        <v>4.3187851712812704E-2</v>
      </c>
      <c r="AK24" s="202">
        <f t="shared" si="5"/>
        <v>7.8303050570776127E-3</v>
      </c>
      <c r="AL24" s="202">
        <f t="shared" si="5"/>
        <v>1.8054390481012022E-2</v>
      </c>
      <c r="AM24" s="202">
        <f t="shared" si="5"/>
        <v>1.9501854695245024E-2</v>
      </c>
      <c r="AN24" s="202">
        <f t="shared" si="5"/>
        <v>6.5642707667617874E-3</v>
      </c>
      <c r="AO24" s="202">
        <f t="shared" si="5"/>
        <v>5.7828408614957735E-2</v>
      </c>
      <c r="AP24" s="202">
        <f t="shared" si="5"/>
        <v>6.3986665659915509E-2</v>
      </c>
      <c r="AQ24" s="202">
        <f t="shared" si="6"/>
        <v>2.2538806237464577E-2</v>
      </c>
      <c r="AR24" s="202">
        <f t="shared" si="6"/>
        <v>0.11464599259538734</v>
      </c>
      <c r="AS24" s="202">
        <f t="shared" si="6"/>
        <v>0.33165998220935344</v>
      </c>
    </row>
    <row r="25" spans="1:45" x14ac:dyDescent="0.2">
      <c r="A25" s="240">
        <v>2018</v>
      </c>
      <c r="B25" s="241">
        <f t="shared" si="4"/>
        <v>2068.4459525463067</v>
      </c>
      <c r="C25" s="241">
        <f t="shared" si="3"/>
        <v>4658.5823283341542</v>
      </c>
      <c r="D25" s="242">
        <f>'LE Efficiencies'!B$54*'LE StructuralVars'!$Q25*('LE Shares'!B25/'LE Efficiencies'!B25)/('LE Shares'!B$12/'LE Efficiencies'!B$12)</f>
        <v>1019.4290044337513</v>
      </c>
      <c r="E25" s="242">
        <f>'LE Efficiencies'!C$54*'LE StructuralVars'!$Q25*('LE Shares'!D25/'LE Efficiencies'!C25)/('LE Shares'!D$12/'LE Efficiencies'!C$12)</f>
        <v>664.74013394225074</v>
      </c>
      <c r="F25" s="242">
        <f>'LE Efficiencies'!D$54*'LE StructuralVars'!$Q25*('LE Shares'!F25/'LE Efficiencies'!D25)/('LE Shares'!F$12/'LE Efficiencies'!D$12)</f>
        <v>39.14190567044043</v>
      </c>
      <c r="G25" s="242">
        <f>'LE Efficiencies'!E$54*'LE StructuralVars'!$Q25*('LE Shares'!G25/(1/'LE Efficiencies'!E25))/('LE Shares'!G$12/(1/'LE Efficiencies'!E$12))</f>
        <v>59.999080012564193</v>
      </c>
      <c r="H25" s="242">
        <f>'LE Efficiencies'!F$54*'LE StructuralVars'!$R25*('LE Shares'!I25/'LE Efficiencies'!F25)/('LE Shares'!I$12/'LE Efficiencies'!F$12)</f>
        <v>2612.2938020765519</v>
      </c>
      <c r="I25" s="242">
        <f>'LE Efficiencies'!G$54*'LE StructuralVars'!$R25*('LE Shares'!K25/'LE Efficiencies'!G25)/('LE Shares'!K$12/'LE Efficiencies'!G$12)</f>
        <v>1713.9422658746096</v>
      </c>
      <c r="J25" s="242">
        <f>'LE Efficiencies'!H$54*'LE StructuralVars'!$R25*('LE Shares'!N25/'LE Efficiencies'!H25)/('LE Shares'!N$12/'LE Efficiencies'!H$12)</f>
        <v>67.541303337150779</v>
      </c>
      <c r="K25" s="242">
        <f>'LE Efficiencies'!I$54*'LE StructuralVars'!$R25*('LE Shares'!O25/'LE Efficiencies'!I25)/('LE Shares'!O$12/'LE Efficiencies'!I$12)</f>
        <v>264.80495704584223</v>
      </c>
      <c r="L25" s="242">
        <f>'LE Efficiencies'!J$54*('LE Shares'!Q25/'LE Efficiencies'!J25)/('LE Shares'!Q$12/'LE Efficiencies'!J$12)</f>
        <v>2901.8850559952539</v>
      </c>
      <c r="M25" s="242">
        <f>'LE Efficiencies'!K$54*('LE Shares'!S25/(1/'LE Efficiencies'!K25))/('LE Shares'!S$12/(1/'LE Efficiencies'!K$12))</f>
        <v>598.02115483412751</v>
      </c>
      <c r="N25" s="242">
        <f>'LE Efficiencies'!L$54*('LE Shares'!U25/(1/'LE Efficiencies'!L25))/('LE Shares'!U$12/(1/'LE Efficiencies'!L$12))</f>
        <v>533.3050578541513</v>
      </c>
      <c r="O25" s="242">
        <f>'LE Efficiencies'!M$54*('LE Shares'!V25/(1/'LE Efficiencies'!M25))/('LE Shares'!V$12/(1/'LE Efficiencies'!M$12))</f>
        <v>96.643783549492625</v>
      </c>
      <c r="P25" s="242">
        <f>'LE Efficiencies'!N$54*('LE Shares'!X25/(1/'LE Efficiencies'!N25))/('LE Shares'!X$12/(1/'LE Efficiencies'!N$12))</f>
        <v>224.93043893608734</v>
      </c>
      <c r="Q25" s="242">
        <f>'LE Efficiencies'!O$54*('LE Shares'!Z25/(1/'LE Efficiencies'!O25))/('LE Shares'!Z$12/(1/'LE Efficiencies'!O$12))</f>
        <v>243.39527417326988</v>
      </c>
      <c r="R25" s="242">
        <f>'LE Efficiencies'!P$54*('LE Shares'!AB25/(1/'LE Efficiencies'!P25))/('LE Shares'!AB$12/(1/'LE Efficiencies'!P$12))</f>
        <v>79.576688660009623</v>
      </c>
      <c r="S25" s="242">
        <f>'LE Efficiencies'!Q$54*('LE Shares'!AD25/(1/'LE Efficiencies'!Q25))/('LE Shares'!AD$12/(1/'LE Efficiencies'!Q$12))</f>
        <v>711.92375603509254</v>
      </c>
      <c r="T25" s="242">
        <f>'LE Efficiencies'!R$54*('LE Shares'!AF25/(1/'LE Efficiencies'!R25))/('LE Shares'!AF$12/(1/'LE Efficiencies'!R$12))</f>
        <v>796.02954682430834</v>
      </c>
      <c r="U25" s="242">
        <f>'LE Efficiencies'!S$54*('LE Shares'!AH25/(1/'LE Efficiencies'!S25))/('LE Shares'!AH$12/(1/'LE Efficiencies'!S$12))</f>
        <v>285.13582848729993</v>
      </c>
      <c r="V25" s="242">
        <f>'LE Efficiencies'!T$54*('LE Shares'!AI25/(1/'LE Efficiencies'!T25))/('LE Shares'!AI$12/(1/'LE Efficiencies'!T$12))</f>
        <v>1414.7424885290411</v>
      </c>
      <c r="W25" s="242">
        <f>'LE Efficiencies'!V$54*('LE Shares'!AJ25/(1/'LE Efficiencies'!X25))/('LE Shares'!AJ$12/(1/'LE Efficiencies'!X$12))</f>
        <v>4219.3455968830121</v>
      </c>
      <c r="X25" s="159">
        <f t="shared" si="2"/>
        <v>12104.934670761146</v>
      </c>
      <c r="Y25" s="240">
        <v>2018</v>
      </c>
      <c r="Z25" s="202">
        <f t="shared" si="7"/>
        <v>8.1144687351586461E-2</v>
      </c>
      <c r="AA25" s="202">
        <f t="shared" si="5"/>
        <v>5.2912100895890289E-2</v>
      </c>
      <c r="AB25" s="202">
        <f t="shared" si="5"/>
        <v>3.1156242211662359E-3</v>
      </c>
      <c r="AC25" s="202">
        <f t="shared" si="5"/>
        <v>4.7758172151543222E-3</v>
      </c>
      <c r="AD25" s="202">
        <f t="shared" si="5"/>
        <v>0.20793381679161771</v>
      </c>
      <c r="AE25" s="202">
        <f t="shared" si="5"/>
        <v>0.13642667483285537</v>
      </c>
      <c r="AF25" s="202">
        <f t="shared" si="5"/>
        <v>5.3761644202540704E-3</v>
      </c>
      <c r="AG25" s="202">
        <f t="shared" si="5"/>
        <v>2.1077991066744795E-2</v>
      </c>
      <c r="AH25" s="202">
        <f t="shared" si="5"/>
        <v>0.23098475183151243</v>
      </c>
      <c r="AI25" s="202">
        <f t="shared" si="5"/>
        <v>4.7601391982764092E-2</v>
      </c>
      <c r="AJ25" s="202">
        <f t="shared" si="5"/>
        <v>4.2450108829924997E-2</v>
      </c>
      <c r="AK25" s="202">
        <f t="shared" si="5"/>
        <v>7.6926687061978751E-3</v>
      </c>
      <c r="AL25" s="202">
        <f t="shared" si="5"/>
        <v>1.7904052233104806E-2</v>
      </c>
      <c r="AM25" s="202">
        <f t="shared" si="5"/>
        <v>1.9373819402572375E-2</v>
      </c>
      <c r="AN25" s="202">
        <f t="shared" si="5"/>
        <v>6.3341591162375506E-3</v>
      </c>
      <c r="AO25" s="202">
        <f t="shared" si="5"/>
        <v>5.6667831060705186E-2</v>
      </c>
      <c r="AP25" s="202">
        <f t="shared" si="5"/>
        <v>6.3362498436624809E-2</v>
      </c>
      <c r="AQ25" s="202">
        <f t="shared" si="6"/>
        <v>2.269629131082971E-2</v>
      </c>
      <c r="AR25" s="202">
        <f t="shared" si="6"/>
        <v>0.11261091887262931</v>
      </c>
      <c r="AS25" s="202">
        <f t="shared" si="6"/>
        <v>0.33585220530147741</v>
      </c>
    </row>
    <row r="26" spans="1:45" x14ac:dyDescent="0.2">
      <c r="A26" s="240">
        <v>2019</v>
      </c>
      <c r="B26" s="241">
        <f t="shared" si="4"/>
        <v>2070.4436814960518</v>
      </c>
      <c r="C26" s="241">
        <f t="shared" si="3"/>
        <v>4696.2337588207783</v>
      </c>
      <c r="D26" s="242">
        <f>'LE Efficiencies'!B$54*'LE StructuralVars'!$Q26*('LE Shares'!B26/'LE Efficiencies'!B26)/('LE Shares'!B$12/'LE Efficiencies'!B$12)</f>
        <v>1008.3434641065973</v>
      </c>
      <c r="E26" s="242">
        <f>'LE Efficiencies'!C$54*'LE StructuralVars'!$Q26*('LE Shares'!D26/'LE Efficiencies'!C26)/('LE Shares'!D$12/'LE Efficiencies'!C$12)</f>
        <v>677.20644163204872</v>
      </c>
      <c r="F26" s="242">
        <f>'LE Efficiencies'!D$54*'LE StructuralVars'!$Q26*('LE Shares'!F26/'LE Efficiencies'!D26)/('LE Shares'!F$12/'LE Efficiencies'!D$12)</f>
        <v>40.5826160239884</v>
      </c>
      <c r="G26" s="242">
        <f>'LE Efficiencies'!E$54*'LE StructuralVars'!$Q26*('LE Shares'!G26/(1/'LE Efficiencies'!E26))/('LE Shares'!G$12/(1/'LE Efficiencies'!E$12))</f>
        <v>57.51153322498044</v>
      </c>
      <c r="H26" s="242">
        <f>'LE Efficiencies'!F$54*'LE StructuralVars'!$R26*('LE Shares'!I26/'LE Efficiencies'!F26)/('LE Shares'!I$12/'LE Efficiencies'!F$12)</f>
        <v>2606.1972682954106</v>
      </c>
      <c r="I26" s="242">
        <f>'LE Efficiencies'!G$54*'LE StructuralVars'!$R26*('LE Shares'!K26/'LE Efficiencies'!G26)/('LE Shares'!K$12/'LE Efficiencies'!G$12)</f>
        <v>1757.5825773048186</v>
      </c>
      <c r="J26" s="242">
        <f>'LE Efficiencies'!H$54*'LE StructuralVars'!$R26*('LE Shares'!N26/'LE Efficiencies'!H26)/('LE Shares'!N$12/'LE Efficiencies'!H$12)</f>
        <v>70.311191115102844</v>
      </c>
      <c r="K26" s="242">
        <f>'LE Efficiencies'!I$54*'LE StructuralVars'!$R26*('LE Shares'!O26/'LE Efficiencies'!I26)/('LE Shares'!O$12/'LE Efficiencies'!I$12)</f>
        <v>262.14272210544607</v>
      </c>
      <c r="L26" s="242">
        <f>'LE Efficiencies'!J$54*('LE Shares'!Q26/'LE Efficiencies'!J26)/('LE Shares'!Q$12/'LE Efficiencies'!J$12)</f>
        <v>2889.6498561844223</v>
      </c>
      <c r="M26" s="242">
        <f>'LE Efficiencies'!K$54*('LE Shares'!S26/(1/'LE Efficiencies'!K26))/('LE Shares'!S$12/(1/'LE Efficiencies'!K$12))</f>
        <v>598.41887925304218</v>
      </c>
      <c r="N26" s="242">
        <f>'LE Efficiencies'!L$54*('LE Shares'!U26/(1/'LE Efficiencies'!L26))/('LE Shares'!U$12/(1/'LE Efficiencies'!L$12))</f>
        <v>524.73849881373269</v>
      </c>
      <c r="O26" s="242">
        <f>'LE Efficiencies'!M$54*('LE Shares'!V26/(1/'LE Efficiencies'!M26))/('LE Shares'!V$12/(1/'LE Efficiencies'!M$12))</f>
        <v>95.041334338481477</v>
      </c>
      <c r="P26" s="242">
        <f>'LE Efficiencies'!N$54*('LE Shares'!X26/(1/'LE Efficiencies'!N26))/('LE Shares'!X$12/(1/'LE Efficiencies'!N$12))</f>
        <v>223.19931111078321</v>
      </c>
      <c r="Q26" s="242">
        <f>'LE Efficiencies'!O$54*('LE Shares'!Z26/(1/'LE Efficiencies'!O26))/('LE Shares'!Z$12/(1/'LE Efficiencies'!O$12))</f>
        <v>242.36389377455023</v>
      </c>
      <c r="R26" s="242">
        <f>'LE Efficiencies'!P$54*('LE Shares'!AB26/(1/'LE Efficiencies'!P26))/('LE Shares'!AB$12/(1/'LE Efficiencies'!P$12))</f>
        <v>77.061893075662283</v>
      </c>
      <c r="S26" s="242">
        <f>'LE Efficiencies'!Q$54*('LE Shares'!AD26/(1/'LE Efficiencies'!Q26))/('LE Shares'!AD$12/(1/'LE Efficiencies'!Q$12))</f>
        <v>699.47810670386377</v>
      </c>
      <c r="T26" s="242">
        <f>'LE Efficiencies'!R$54*('LE Shares'!AF26/(1/'LE Efficiencies'!R26))/('LE Shares'!AF$12/(1/'LE Efficiencies'!R$12))</f>
        <v>791.3798091333465</v>
      </c>
      <c r="U26" s="242">
        <f>'LE Efficiencies'!S$54*('LE Shares'!AH26/(1/'LE Efficiencies'!S26))/('LE Shares'!AH$12/(1/'LE Efficiencies'!S$12))</f>
        <v>286.79962650843714</v>
      </c>
      <c r="V26" s="242">
        <f>'LE Efficiencies'!T$54*('LE Shares'!AI26/(1/'LE Efficiencies'!T26))/('LE Shares'!AI$12/(1/'LE Efficiencies'!T$12))</f>
        <v>1394.8181327365662</v>
      </c>
      <c r="W26" s="242">
        <f>'LE Efficiencies'!V$54*('LE Shares'!AJ26/(1/'LE Efficiencies'!X26))/('LE Shares'!AJ$12/(1/'LE Efficiencies'!X$12))</f>
        <v>4274.0423674132044</v>
      </c>
      <c r="X26" s="159">
        <f t="shared" si="2"/>
        <v>12096.991709046091</v>
      </c>
      <c r="Y26" s="240">
        <v>2019</v>
      </c>
      <c r="Z26" s="202">
        <f t="shared" si="7"/>
        <v>8.0262298582914948E-2</v>
      </c>
      <c r="AA26" s="202">
        <f t="shared" si="5"/>
        <v>5.390439622545002E-2</v>
      </c>
      <c r="AB26" s="202">
        <f t="shared" si="5"/>
        <v>3.2303021346789871E-3</v>
      </c>
      <c r="AC26" s="202">
        <f t="shared" si="5"/>
        <v>4.5778130329375858E-3</v>
      </c>
      <c r="AD26" s="202">
        <f t="shared" si="5"/>
        <v>0.20744854383445491</v>
      </c>
      <c r="AE26" s="202">
        <f t="shared" si="5"/>
        <v>0.13990036393874572</v>
      </c>
      <c r="AF26" s="202">
        <f t="shared" si="5"/>
        <v>5.5966424297705314E-3</v>
      </c>
      <c r="AG26" s="202">
        <f t="shared" si="5"/>
        <v>2.0866082026531729E-2</v>
      </c>
      <c r="AH26" s="202">
        <f t="shared" si="5"/>
        <v>0.23001085226713269</v>
      </c>
      <c r="AI26" s="202">
        <f t="shared" si="5"/>
        <v>4.7633050120294576E-2</v>
      </c>
      <c r="AJ26" s="202">
        <f t="shared" si="5"/>
        <v>4.1768226372205647E-2</v>
      </c>
      <c r="AK26" s="202">
        <f t="shared" si="5"/>
        <v>7.5651166749541475E-3</v>
      </c>
      <c r="AL26" s="202">
        <f t="shared" si="5"/>
        <v>1.7766257619120911E-2</v>
      </c>
      <c r="AM26" s="202">
        <f t="shared" si="5"/>
        <v>1.9291723406057986E-2</v>
      </c>
      <c r="AN26" s="202">
        <f t="shared" si="5"/>
        <v>6.1339859795527035E-3</v>
      </c>
      <c r="AO26" s="202">
        <f t="shared" si="5"/>
        <v>5.5677180098766946E-2</v>
      </c>
      <c r="AP26" s="202">
        <f t="shared" si="5"/>
        <v>6.2992387806498518E-2</v>
      </c>
      <c r="AQ26" s="202">
        <f t="shared" si="6"/>
        <v>2.2828726595341121E-2</v>
      </c>
      <c r="AR26" s="202">
        <f t="shared" si="6"/>
        <v>0.11102497653193616</v>
      </c>
      <c r="AS26" s="202">
        <f t="shared" si="6"/>
        <v>0.34020596836345662</v>
      </c>
    </row>
    <row r="27" spans="1:45" x14ac:dyDescent="0.2">
      <c r="A27" s="240">
        <v>2020</v>
      </c>
      <c r="B27" s="241">
        <f t="shared" si="4"/>
        <v>2073.1200456971001</v>
      </c>
      <c r="C27" s="241">
        <f t="shared" si="3"/>
        <v>4731.6901883048349</v>
      </c>
      <c r="D27" s="242">
        <f>'LE Efficiencies'!B$54*'LE StructuralVars'!$Q27*('LE Shares'!B27/'LE Efficiencies'!B27)/('LE Shares'!B$12/'LE Efficiencies'!B$12)</f>
        <v>997.8347385483504</v>
      </c>
      <c r="E27" s="242">
        <f>'LE Efficiencies'!C$54*'LE StructuralVars'!$Q27*('LE Shares'!D27/'LE Efficiencies'!C27)/('LE Shares'!D$12/'LE Efficiencies'!C$12)</f>
        <v>689.38587602877624</v>
      </c>
      <c r="F27" s="242">
        <f>'LE Efficiencies'!D$54*'LE StructuralVars'!$Q27*('LE Shares'!F27/'LE Efficiencies'!D27)/('LE Shares'!F$12/'LE Efficiencies'!D$12)</f>
        <v>41.629739314349031</v>
      </c>
      <c r="G27" s="242">
        <f>'LE Efficiencies'!E$54*'LE StructuralVars'!$Q27*('LE Shares'!G27/(1/'LE Efficiencies'!E27))/('LE Shares'!G$12/(1/'LE Efficiencies'!E$12))</f>
        <v>55.314096017267538</v>
      </c>
      <c r="H27" s="242">
        <f>'LE Efficiencies'!F$54*'LE StructuralVars'!$R27*('LE Shares'!I27/'LE Efficiencies'!F27)/('LE Shares'!I$12/'LE Efficiencies'!F$12)</f>
        <v>2599.8652054011286</v>
      </c>
      <c r="I27" s="242">
        <f>'LE Efficiencies'!G$54*'LE StructuralVars'!$R27*('LE Shares'!K27/'LE Efficiencies'!G27)/('LE Shares'!K$12/'LE Efficiencies'!G$12)</f>
        <v>1799.8762982746546</v>
      </c>
      <c r="J27" s="242">
        <f>'LE Efficiencies'!H$54*'LE StructuralVars'!$R27*('LE Shares'!N27/'LE Efficiencies'!H27)/('LE Shares'!N$12/'LE Efficiencies'!H$12)</f>
        <v>72.246067445217122</v>
      </c>
      <c r="K27" s="242">
        <f>'LE Efficiencies'!I$54*'LE StructuralVars'!$R27*('LE Shares'!O27/'LE Efficiencies'!I27)/('LE Shares'!O$12/'LE Efficiencies'!I$12)</f>
        <v>259.70261718383529</v>
      </c>
      <c r="L27" s="242">
        <f>'LE Efficiencies'!J$54*('LE Shares'!Q27/'LE Efficiencies'!J27)/('LE Shares'!Q$12/'LE Efficiencies'!J$12)</f>
        <v>2877.4073812875286</v>
      </c>
      <c r="M27" s="242">
        <f>'LE Efficiencies'!K$54*('LE Shares'!S27/(1/'LE Efficiencies'!K27))/('LE Shares'!S$12/(1/'LE Efficiencies'!K$12))</f>
        <v>600.57271131611185</v>
      </c>
      <c r="N27" s="242">
        <f>'LE Efficiencies'!L$54*('LE Shares'!U27/(1/'LE Efficiencies'!L27))/('LE Shares'!U$12/(1/'LE Efficiencies'!L$12))</f>
        <v>516.6421024115632</v>
      </c>
      <c r="O27" s="242">
        <f>'LE Efficiencies'!M$54*('LE Shares'!V27/(1/'LE Efficiencies'!M27))/('LE Shares'!V$12/(1/'LE Efficiencies'!M$12))</f>
        <v>93.522002950615573</v>
      </c>
      <c r="P27" s="242">
        <f>'LE Efficiencies'!N$54*('LE Shares'!X27/(1/'LE Efficiencies'!N27))/('LE Shares'!X$12/(1/'LE Efficiencies'!N$12))</f>
        <v>221.63550453931444</v>
      </c>
      <c r="Q27" s="242">
        <f>'LE Efficiencies'!O$54*('LE Shares'!Z27/(1/'LE Efficiencies'!O27))/('LE Shares'!Z$12/(1/'LE Efficiencies'!O$12))</f>
        <v>242.46194131691175</v>
      </c>
      <c r="R27" s="242">
        <f>'LE Efficiencies'!P$54*('LE Shares'!AB27/(1/'LE Efficiencies'!P27))/('LE Shares'!AB$12/(1/'LE Efficiencies'!P$12))</f>
        <v>75.106732733075589</v>
      </c>
      <c r="S27" s="242">
        <f>'LE Efficiencies'!Q$54*('LE Shares'!AD27/(1/'LE Efficiencies'!Q27))/('LE Shares'!AD$12/(1/'LE Efficiencies'!Q$12))</f>
        <v>691.33820919255561</v>
      </c>
      <c r="T27" s="242">
        <f>'LE Efficiencies'!R$54*('LE Shares'!AF27/(1/'LE Efficiencies'!R27))/('LE Shares'!AF$12/(1/'LE Efficiencies'!R$12))</f>
        <v>791.91104806632609</v>
      </c>
      <c r="U27" s="242">
        <f>'LE Efficiencies'!S$54*('LE Shares'!AH27/(1/'LE Efficiencies'!S27))/('LE Shares'!AH$12/(1/'LE Efficiencies'!S$12))</f>
        <v>288.95559578835719</v>
      </c>
      <c r="V27" s="242">
        <f>'LE Efficiencies'!T$54*('LE Shares'!AI27/(1/'LE Efficiencies'!T27))/('LE Shares'!AI$12/(1/'LE Efficiencies'!T$12))</f>
        <v>1339.7059477374603</v>
      </c>
      <c r="W27" s="242">
        <f>'LE Efficiencies'!V$54*('LE Shares'!AJ27/(1/'LE Efficiencies'!X27))/('LE Shares'!AJ$12/(1/'LE Efficiencies'!X$12))</f>
        <v>4357.3862314316493</v>
      </c>
      <c r="X27" s="159">
        <f t="shared" si="2"/>
        <v>12096.64540877147</v>
      </c>
      <c r="Y27" s="240">
        <v>2020</v>
      </c>
      <c r="Z27" s="202">
        <f t="shared" si="7"/>
        <v>7.9425823216627695E-2</v>
      </c>
      <c r="AA27" s="202">
        <f t="shared" si="5"/>
        <v>5.4873856964690583E-2</v>
      </c>
      <c r="AB27" s="202">
        <f t="shared" si="5"/>
        <v>3.3136512366226524E-3</v>
      </c>
      <c r="AC27" s="202">
        <f t="shared" si="5"/>
        <v>4.4029010435601102E-3</v>
      </c>
      <c r="AD27" s="202">
        <f t="shared" si="5"/>
        <v>0.20694452318994469</v>
      </c>
      <c r="AE27" s="202">
        <f t="shared" si="5"/>
        <v>0.14326686690276416</v>
      </c>
      <c r="AF27" s="202">
        <f t="shared" si="5"/>
        <v>5.7506550527077387E-3</v>
      </c>
      <c r="AG27" s="202">
        <f t="shared" si="5"/>
        <v>2.0671854130221132E-2</v>
      </c>
      <c r="AH27" s="202">
        <f t="shared" si="5"/>
        <v>0.22903637361918613</v>
      </c>
      <c r="AI27" s="202">
        <f t="shared" si="5"/>
        <v>4.7804491219778193E-2</v>
      </c>
      <c r="AJ27" s="202">
        <f t="shared" si="5"/>
        <v>4.1123768002009016E-2</v>
      </c>
      <c r="AK27" s="202">
        <f t="shared" si="5"/>
        <v>7.4441806706658344E-3</v>
      </c>
      <c r="AL27" s="202">
        <f t="shared" si="5"/>
        <v>1.7641781471426182E-2</v>
      </c>
      <c r="AM27" s="202">
        <f t="shared" si="5"/>
        <v>1.9299527811402463E-2</v>
      </c>
      <c r="AN27" s="202">
        <f t="shared" si="5"/>
        <v>5.978358786259786E-3</v>
      </c>
      <c r="AO27" s="202">
        <f t="shared" si="5"/>
        <v>5.5029259119712653E-2</v>
      </c>
      <c r="AP27" s="202">
        <f t="shared" si="5"/>
        <v>6.3034673455561019E-2</v>
      </c>
      <c r="AQ27" s="202">
        <f t="shared" si="6"/>
        <v>2.3000337813383627E-2</v>
      </c>
      <c r="AR27" s="202">
        <f t="shared" si="6"/>
        <v>0.10663814723674725</v>
      </c>
      <c r="AS27" s="202">
        <f t="shared" si="6"/>
        <v>0.34683998775964436</v>
      </c>
    </row>
    <row r="28" spans="1:45" x14ac:dyDescent="0.2">
      <c r="A28" s="208">
        <v>2021</v>
      </c>
      <c r="B28" s="241">
        <f t="shared" si="4"/>
        <v>2073.4002824442159</v>
      </c>
      <c r="C28" s="241">
        <f t="shared" si="3"/>
        <v>4768.7316414916913</v>
      </c>
      <c r="D28" s="242">
        <f>'LE Efficiencies'!B$54*'LE StructuralVars'!$Q28*('LE Shares'!B28/'LE Efficiencies'!B28)/('LE Shares'!B$12/'LE Efficiencies'!B$12)</f>
        <v>988.3613776597025</v>
      </c>
      <c r="E28" s="242">
        <f>'LE Efficiencies'!C$54*'LE StructuralVars'!$Q28*('LE Shares'!D28/'LE Efficiencies'!C28)/('LE Shares'!D$12/'LE Efficiencies'!C$12)</f>
        <v>700.5070994775557</v>
      </c>
      <c r="F28" s="242">
        <f>'LE Efficiencies'!D$54*'LE StructuralVars'!$Q28*('LE Shares'!F28/'LE Efficiencies'!D28)/('LE Shares'!F$12/'LE Efficiencies'!D$12)</f>
        <v>42.530790472004711</v>
      </c>
      <c r="G28" s="242">
        <f>'LE Efficiencies'!E$54*'LE StructuralVars'!$Q28*('LE Shares'!G28/(1/'LE Efficiencies'!E28))/('LE Shares'!G$12/(1/'LE Efficiencies'!E$12))</f>
        <v>52.900141953564948</v>
      </c>
      <c r="H28" s="242">
        <f>'LE Efficiencies'!F$54*'LE StructuralVars'!$R28*('LE Shares'!I28/'LE Efficiencies'!F28)/('LE Shares'!I$12/'LE Efficiencies'!F$12)</f>
        <v>2597.3049763792515</v>
      </c>
      <c r="I28" s="242">
        <f>'LE Efficiencies'!G$54*'LE StructuralVars'!$R28*('LE Shares'!K28/'LE Efficiencies'!G28)/('LE Shares'!K$12/'LE Efficiencies'!G$12)</f>
        <v>1840.0002692835617</v>
      </c>
      <c r="J28" s="242">
        <f>'LE Efficiencies'!H$54*'LE StructuralVars'!$R28*('LE Shares'!N28/'LE Efficiencies'!H28)/('LE Shares'!N$12/'LE Efficiencies'!H$12)</f>
        <v>73.986488406284494</v>
      </c>
      <c r="K28" s="242">
        <f>'LE Efficiencies'!I$54*'LE StructuralVars'!$R28*('LE Shares'!O28/'LE Efficiencies'!I28)/('LE Shares'!O$12/'LE Efficiencies'!I$12)</f>
        <v>257.43990742259388</v>
      </c>
      <c r="L28" s="242">
        <f>'LE Efficiencies'!J$54*('LE Shares'!Q28/'LE Efficiencies'!J28)/('LE Shares'!Q$12/'LE Efficiencies'!J$12)</f>
        <v>2865.9680564873906</v>
      </c>
      <c r="M28" s="242">
        <f>'LE Efficiencies'!K$54*('LE Shares'!S28/(1/'LE Efficiencies'!K28))/('LE Shares'!S$12/(1/'LE Efficiencies'!K$12))</f>
        <v>599.72891429887557</v>
      </c>
      <c r="N28" s="242">
        <f>'LE Efficiencies'!L$54*('LE Shares'!U28/(1/'LE Efficiencies'!L28))/('LE Shares'!U$12/(1/'LE Efficiencies'!L$12))</f>
        <v>509.0613009159909</v>
      </c>
      <c r="O28" s="242">
        <f>'LE Efficiencies'!M$54*('LE Shares'!V28/(1/'LE Efficiencies'!M28))/('LE Shares'!V$12/(1/'LE Efficiencies'!M$12))</f>
        <v>92.079900633018426</v>
      </c>
      <c r="P28" s="242">
        <f>'LE Efficiencies'!N$54*('LE Shares'!X28/(1/'LE Efficiencies'!N28))/('LE Shares'!X$12/(1/'LE Efficiencies'!N$12))</f>
        <v>220.13077156814603</v>
      </c>
      <c r="Q28" s="242">
        <f>'LE Efficiencies'!O$54*('LE Shares'!Z28/(1/'LE Efficiencies'!O28))/('LE Shares'!Z$12/(1/'LE Efficiencies'!O$12))</f>
        <v>241.65051248120901</v>
      </c>
      <c r="R28" s="242">
        <f>'LE Efficiencies'!P$54*('LE Shares'!AB28/(1/'LE Efficiencies'!P28))/('LE Shares'!AB$12/(1/'LE Efficiencies'!P$12))</f>
        <v>73.159172193562242</v>
      </c>
      <c r="S28" s="242">
        <f>'LE Efficiencies'!Q$54*('LE Shares'!AD28/(1/'LE Efficiencies'!Q28))/('LE Shares'!AD$12/(1/'LE Efficiencies'!Q$12))</f>
        <v>681.26841964749144</v>
      </c>
      <c r="T28" s="242">
        <f>'LE Efficiencies'!R$54*('LE Shares'!AF28/(1/'LE Efficiencies'!R28))/('LE Shares'!AF$12/(1/'LE Efficiencies'!R$12))</f>
        <v>789.59053405399743</v>
      </c>
      <c r="U28" s="242">
        <f>'LE Efficiencies'!S$54*('LE Shares'!AH28/(1/'LE Efficiencies'!S28))/('LE Shares'!AH$12/(1/'LE Efficiencies'!S$12))</f>
        <v>289.10087288138777</v>
      </c>
      <c r="V28" s="242">
        <f>'LE Efficiencies'!T$54*('LE Shares'!AI28/(1/'LE Efficiencies'!T28))/('LE Shares'!AI$12/(1/'LE Efficiencies'!T$12))</f>
        <v>1307.1125450197126</v>
      </c>
      <c r="W28" s="242">
        <f>'LE Efficiencies'!V$54*('LE Shares'!AJ28/(1/'LE Efficiencies'!X28))/('LE Shares'!AJ$12/(1/'LE Efficiencies'!X$12))</f>
        <v>4419.7784415372143</v>
      </c>
      <c r="X28" s="159">
        <f t="shared" si="2"/>
        <v>12088.629441717996</v>
      </c>
      <c r="Y28" s="208">
        <v>2021</v>
      </c>
      <c r="Z28" s="202">
        <f t="shared" si="7"/>
        <v>7.8671760987541847E-2</v>
      </c>
      <c r="AA28" s="202">
        <f t="shared" si="5"/>
        <v>5.5759086044688752E-2</v>
      </c>
      <c r="AB28" s="202">
        <f t="shared" si="5"/>
        <v>3.3853732635198246E-3</v>
      </c>
      <c r="AC28" s="202">
        <f t="shared" si="5"/>
        <v>4.2107547077894882E-3</v>
      </c>
      <c r="AD28" s="202">
        <f t="shared" si="5"/>
        <v>0.20674073363459056</v>
      </c>
      <c r="AE28" s="202">
        <f t="shared" si="5"/>
        <v>0.14646066173169425</v>
      </c>
      <c r="AF28" s="202">
        <f t="shared" si="5"/>
        <v>5.8891893833298153E-3</v>
      </c>
      <c r="AG28" s="202">
        <f t="shared" si="5"/>
        <v>2.0491746564765604E-2</v>
      </c>
      <c r="AH28" s="202">
        <f t="shared" si="5"/>
        <v>0.22812582425244918</v>
      </c>
      <c r="AI28" s="202">
        <f t="shared" si="5"/>
        <v>4.7737326517916609E-2</v>
      </c>
      <c r="AJ28" s="202">
        <f t="shared" si="5"/>
        <v>4.0520350044939667E-2</v>
      </c>
      <c r="AK28" s="202">
        <f t="shared" si="5"/>
        <v>7.3293919593563914E-3</v>
      </c>
      <c r="AL28" s="202">
        <f t="shared" si="5"/>
        <v>1.7522007474451366E-2</v>
      </c>
      <c r="AM28" s="202">
        <f t="shared" si="5"/>
        <v>1.9234939557689068E-2</v>
      </c>
      <c r="AN28" s="202">
        <f t="shared" si="5"/>
        <v>5.8233365234148333E-3</v>
      </c>
      <c r="AO28" s="202">
        <f t="shared" si="5"/>
        <v>5.422772225861032E-2</v>
      </c>
      <c r="AP28" s="202">
        <f t="shared" si="5"/>
        <v>6.2849964777265205E-2</v>
      </c>
      <c r="AQ28" s="202">
        <f t="shared" si="6"/>
        <v>2.3011901604723724E-2</v>
      </c>
      <c r="AR28" s="202">
        <f t="shared" si="6"/>
        <v>0.10404377189353731</v>
      </c>
      <c r="AS28" s="202">
        <f t="shared" si="6"/>
        <v>0.35180629376052447</v>
      </c>
    </row>
    <row r="29" spans="1:45" x14ac:dyDescent="0.2">
      <c r="A29" s="208">
        <v>2022</v>
      </c>
      <c r="B29" s="241">
        <f t="shared" si="4"/>
        <v>2074.8877589028712</v>
      </c>
      <c r="C29" s="241">
        <f t="shared" si="3"/>
        <v>4807.030747968478</v>
      </c>
      <c r="D29" s="242">
        <f>'LE Efficiencies'!B$54*'LE StructuralVars'!$Q29*('LE Shares'!B29/'LE Efficiencies'!B29)/('LE Shares'!B$12/'LE Efficiencies'!B$12)</f>
        <v>979.74636609605329</v>
      </c>
      <c r="E29" s="242">
        <f>'LE Efficiencies'!C$54*'LE StructuralVars'!$Q29*('LE Shares'!D29/'LE Efficiencies'!C29)/('LE Shares'!D$12/'LE Efficiencies'!C$12)</f>
        <v>711.26429930911843</v>
      </c>
      <c r="F29" s="242">
        <f>'LE Efficiencies'!D$54*'LE StructuralVars'!$Q29*('LE Shares'!F29/'LE Efficiencies'!D29)/('LE Shares'!F$12/'LE Efficiencies'!D$12)</f>
        <v>43.318052302962329</v>
      </c>
      <c r="G29" s="242">
        <f>'LE Efficiencies'!E$54*'LE StructuralVars'!$Q29*('LE Shares'!G29/(1/'LE Efficiencies'!E29))/('LE Shares'!G$12/(1/'LE Efficiencies'!E$12))</f>
        <v>50.747627669016268</v>
      </c>
      <c r="H29" s="242">
        <f>'LE Efficiencies'!F$54*'LE StructuralVars'!$R29*('LE Shares'!I29/'LE Efficiencies'!F29)/('LE Shares'!I$12/'LE Efficiencies'!F$12)</f>
        <v>2596.81096617403</v>
      </c>
      <c r="I29" s="242">
        <f>'LE Efficiencies'!G$54*'LE StructuralVars'!$R29*('LE Shares'!K29/'LE Efficiencies'!G29)/('LE Shares'!K$12/'LE Efficiencies'!G$12)</f>
        <v>1879.3942085710457</v>
      </c>
      <c r="J29" s="242">
        <f>'LE Efficiencies'!H$54*'LE StructuralVars'!$R29*('LE Shares'!N29/'LE Efficiencies'!H29)/('LE Shares'!N$12/'LE Efficiencies'!H$12)</f>
        <v>75.539720661479564</v>
      </c>
      <c r="K29" s="242">
        <f>'LE Efficiencies'!I$54*'LE StructuralVars'!$R29*('LE Shares'!O29/'LE Efficiencies'!I29)/('LE Shares'!O$12/'LE Efficiencies'!I$12)</f>
        <v>255.28585256192247</v>
      </c>
      <c r="L29" s="242">
        <f>'LE Efficiencies'!J$54*('LE Shares'!Q29/'LE Efficiencies'!J29)/('LE Shares'!Q$12/'LE Efficiencies'!J$12)</f>
        <v>2854.8855473451877</v>
      </c>
      <c r="M29" s="242">
        <f>'LE Efficiencies'!K$54*('LE Shares'!S29/(1/'LE Efficiencies'!K29))/('LE Shares'!S$12/(1/'LE Efficiencies'!K$12))</f>
        <v>600.59867468010077</v>
      </c>
      <c r="N29" s="242">
        <f>'LE Efficiencies'!L$54*('LE Shares'!U29/(1/'LE Efficiencies'!L29))/('LE Shares'!U$12/(1/'LE Efficiencies'!L$12))</f>
        <v>502.16887692492077</v>
      </c>
      <c r="O29" s="242">
        <f>'LE Efficiencies'!M$54*('LE Shares'!V29/(1/'LE Efficiencies'!M29))/('LE Shares'!V$12/(1/'LE Efficiencies'!M$12))</f>
        <v>90.748901049304862</v>
      </c>
      <c r="P29" s="242">
        <f>'LE Efficiencies'!N$54*('LE Shares'!X29/(1/'LE Efficiencies'!N29))/('LE Shares'!X$12/(1/'LE Efficiencies'!N$12))</f>
        <v>218.71087072124297</v>
      </c>
      <c r="Q29" s="242">
        <f>'LE Efficiencies'!O$54*('LE Shares'!Z29/(1/'LE Efficiencies'!O29))/('LE Shares'!Z$12/(1/'LE Efficiencies'!O$12))</f>
        <v>241.96007043017417</v>
      </c>
      <c r="R29" s="242">
        <f>'LE Efficiencies'!P$54*('LE Shares'!AB29/(1/'LE Efficiencies'!P29))/('LE Shares'!AB$12/(1/'LE Efficiencies'!P$12))</f>
        <v>71.88861531021621</v>
      </c>
      <c r="S29" s="242">
        <f>'LE Efficiencies'!Q$54*('LE Shares'!AD29/(1/'LE Efficiencies'!Q29))/('LE Shares'!AD$12/(1/'LE Efficiencies'!Q$12))</f>
        <v>675.24424391773562</v>
      </c>
      <c r="T29" s="242">
        <f>'LE Efficiencies'!R$54*('LE Shares'!AF29/(1/'LE Efficiencies'!R29))/('LE Shares'!AF$12/(1/'LE Efficiencies'!R$12))</f>
        <v>792.12050639675351</v>
      </c>
      <c r="U29" s="242">
        <f>'LE Efficiencies'!S$54*('LE Shares'!AH29/(1/'LE Efficiencies'!S29))/('LE Shares'!AH$12/(1/'LE Efficiencies'!S$12))</f>
        <v>289.81141352572087</v>
      </c>
      <c r="V29" s="242">
        <f>'LE Efficiencies'!T$54*('LE Shares'!AI29/(1/'LE Efficiencies'!T29))/('LE Shares'!AI$12/(1/'LE Efficiencies'!T$12))</f>
        <v>1286.6113783883116</v>
      </c>
      <c r="W29" s="242">
        <f>'LE Efficiencies'!V$54*('LE Shares'!AJ29/(1/'LE Efficiencies'!X29))/('LE Shares'!AJ$12/(1/'LE Efficiencies'!X$12))</f>
        <v>4507.5161361295432</v>
      </c>
      <c r="X29" s="159">
        <f t="shared" si="2"/>
        <v>12132.265234819211</v>
      </c>
      <c r="Y29" s="208">
        <v>2022</v>
      </c>
      <c r="Z29" s="202">
        <f t="shared" si="7"/>
        <v>7.7986021797444044E-2</v>
      </c>
      <c r="AA29" s="202">
        <f t="shared" si="5"/>
        <v>5.6615339509436452E-2</v>
      </c>
      <c r="AB29" s="202">
        <f t="shared" si="5"/>
        <v>3.4480378677826562E-3</v>
      </c>
      <c r="AC29" s="202">
        <f t="shared" si="5"/>
        <v>4.0394185010699775E-3</v>
      </c>
      <c r="AD29" s="202">
        <f t="shared" si="5"/>
        <v>0.20670141132428071</v>
      </c>
      <c r="AE29" s="202">
        <f t="shared" si="5"/>
        <v>0.14959634736858257</v>
      </c>
      <c r="AF29" s="202">
        <f t="shared" si="5"/>
        <v>6.0128238347570738E-3</v>
      </c>
      <c r="AG29" s="202">
        <f t="shared" si="5"/>
        <v>2.0320287730999701E-2</v>
      </c>
      <c r="AH29" s="202">
        <f t="shared" si="5"/>
        <v>0.22724367676056506</v>
      </c>
      <c r="AI29" s="202">
        <f t="shared" si="5"/>
        <v>4.7806557856144544E-2</v>
      </c>
      <c r="AJ29" s="202">
        <f t="shared" si="5"/>
        <v>3.9971725680302703E-2</v>
      </c>
      <c r="AK29" s="202">
        <f t="shared" si="5"/>
        <v>7.223446822798775E-3</v>
      </c>
      <c r="AL29" s="202">
        <f t="shared" si="5"/>
        <v>1.7408985959670945E-2</v>
      </c>
      <c r="AM29" s="202">
        <f t="shared" si="5"/>
        <v>1.9259579805196964E-2</v>
      </c>
      <c r="AN29" s="202">
        <f t="shared" si="5"/>
        <v>5.7222025154426088E-3</v>
      </c>
      <c r="AO29" s="202">
        <f t="shared" si="5"/>
        <v>5.3748208870217397E-2</v>
      </c>
      <c r="AP29" s="202">
        <f t="shared" si="5"/>
        <v>6.3051345956207761E-2</v>
      </c>
      <c r="AQ29" s="202">
        <f t="shared" si="6"/>
        <v>2.3068459342618409E-2</v>
      </c>
      <c r="AR29" s="202">
        <f t="shared" si="6"/>
        <v>0.10241191646327923</v>
      </c>
      <c r="AS29" s="202">
        <f t="shared" si="6"/>
        <v>0.35879005404758635</v>
      </c>
    </row>
    <row r="30" spans="1:45" x14ac:dyDescent="0.2">
      <c r="A30" s="208">
        <v>2023</v>
      </c>
      <c r="B30" s="241">
        <f t="shared" si="4"/>
        <v>2076.0651485468898</v>
      </c>
      <c r="C30" s="241">
        <f t="shared" si="3"/>
        <v>4846.897942411284</v>
      </c>
      <c r="D30" s="242">
        <f>'LE Efficiencies'!B$54*'LE StructuralVars'!$Q30*('LE Shares'!B30/'LE Efficiencies'!B30)/('LE Shares'!B$12/'LE Efficiencies'!B$12)</f>
        <v>971.46753707964353</v>
      </c>
      <c r="E30" s="242">
        <f>'LE Efficiencies'!C$54*'LE StructuralVars'!$Q30*('LE Shares'!D30/'LE Efficiencies'!C30)/('LE Shares'!D$12/'LE Efficiencies'!C$12)</f>
        <v>721.73323895547287</v>
      </c>
      <c r="F30" s="242">
        <f>'LE Efficiencies'!D$54*'LE StructuralVars'!$Q30*('LE Shares'!F30/'LE Efficiencies'!D30)/('LE Shares'!F$12/'LE Efficiencies'!D$12)</f>
        <v>43.998089321717345</v>
      </c>
      <c r="G30" s="242">
        <f>'LE Efficiencies'!E$54*'LE StructuralVars'!$Q30*('LE Shares'!G30/(1/'LE Efficiencies'!E30))/('LE Shares'!G$12/(1/'LE Efficiencies'!E$12))</f>
        <v>48.672066401712463</v>
      </c>
      <c r="H30" s="242">
        <f>'LE Efficiencies'!F$54*'LE StructuralVars'!$R30*('LE Shares'!I30/'LE Efficiencies'!F30)/('LE Shares'!I$12/'LE Efficiencies'!F$12)</f>
        <v>2598.586968294901</v>
      </c>
      <c r="I30" s="242">
        <f>'LE Efficiencies'!G$54*'LE StructuralVars'!$R30*('LE Shares'!K30/'LE Efficiencies'!G30)/('LE Shares'!K$12/'LE Efficiencies'!G$12)</f>
        <v>1918.216292000491</v>
      </c>
      <c r="J30" s="242">
        <f>'LE Efficiencies'!H$54*'LE StructuralVars'!$R30*('LE Shares'!N30/'LE Efficiencies'!H30)/('LE Shares'!N$12/'LE Efficiencies'!H$12)</f>
        <v>76.917965527784219</v>
      </c>
      <c r="K30" s="242">
        <f>'LE Efficiencies'!I$54*'LE StructuralVars'!$R30*('LE Shares'!O30/'LE Efficiencies'!I30)/('LE Shares'!O$12/'LE Efficiencies'!I$12)</f>
        <v>253.17671658810826</v>
      </c>
      <c r="L30" s="242">
        <f>'LE Efficiencies'!J$54*('LE Shares'!Q30/'LE Efficiencies'!J30)/('LE Shares'!Q$12/'LE Efficiencies'!J$12)</f>
        <v>2844.5727705599397</v>
      </c>
      <c r="M30" s="242">
        <f>'LE Efficiencies'!K$54*('LE Shares'!S30/(1/'LE Efficiencies'!K30))/('LE Shares'!S$12/(1/'LE Efficiencies'!K$12))</f>
        <v>601.55198873574716</v>
      </c>
      <c r="N30" s="242">
        <f>'LE Efficiencies'!L$54*('LE Shares'!U30/(1/'LE Efficiencies'!L30))/('LE Shares'!U$12/(1/'LE Efficiencies'!L$12))</f>
        <v>496.03752980416095</v>
      </c>
      <c r="O30" s="242">
        <f>'LE Efficiencies'!M$54*('LE Shares'!V30/(1/'LE Efficiencies'!M30))/('LE Shares'!V$12/(1/'LE Efficiencies'!M$12))</f>
        <v>89.558838166839351</v>
      </c>
      <c r="P30" s="242">
        <f>'LE Efficiencies'!N$54*('LE Shares'!X30/(1/'LE Efficiencies'!N30))/('LE Shares'!X$12/(1/'LE Efficiencies'!N$12))</f>
        <v>217.39659758674185</v>
      </c>
      <c r="Q30" s="242">
        <f>'LE Efficiencies'!O$54*('LE Shares'!Z30/(1/'LE Efficiencies'!O30))/('LE Shares'!Z$12/(1/'LE Efficiencies'!O$12))</f>
        <v>242.51777668304891</v>
      </c>
      <c r="R30" s="242">
        <f>'LE Efficiencies'!P$54*('LE Shares'!AB30/(1/'LE Efficiencies'!P30))/('LE Shares'!AB$12/(1/'LE Efficiencies'!P$12))</f>
        <v>71.160082450406449</v>
      </c>
      <c r="S30" s="242">
        <f>'LE Efficiencies'!Q$54*('LE Shares'!AD30/(1/'LE Efficiencies'!Q30))/('LE Shares'!AD$12/(1/'LE Efficiencies'!Q$12))</f>
        <v>671.27915970534536</v>
      </c>
      <c r="T30" s="242">
        <f>'LE Efficiencies'!R$54*('LE Shares'!AF30/(1/'LE Efficiencies'!R30))/('LE Shares'!AF$12/(1/'LE Efficiencies'!R$12))</f>
        <v>796.25869926418</v>
      </c>
      <c r="U30" s="242">
        <f>'LE Efficiencies'!S$54*('LE Shares'!AH30/(1/'LE Efficiencies'!S30))/('LE Shares'!AH$12/(1/'LE Efficiencies'!S$12))</f>
        <v>290.19421678834374</v>
      </c>
      <c r="V30" s="242">
        <f>'LE Efficiencies'!T$54*('LE Shares'!AI30/(1/'LE Efficiencies'!T30))/('LE Shares'!AI$12/(1/'LE Efficiencies'!T$12))</f>
        <v>1272.0205974644439</v>
      </c>
      <c r="W30" s="242">
        <f>'LE Efficiencies'!V$54*('LE Shares'!AJ30/(1/'LE Efficiencies'!X30))/('LE Shares'!AJ$12/(1/'LE Efficiencies'!X$12))</f>
        <v>4595.4255753521002</v>
      </c>
      <c r="X30" s="159">
        <f t="shared" si="2"/>
        <v>12187.9738325613</v>
      </c>
      <c r="Y30" s="208">
        <v>2023</v>
      </c>
      <c r="Z30" s="202">
        <f t="shared" si="7"/>
        <v>7.7327042124262238E-2</v>
      </c>
      <c r="AA30" s="202">
        <f t="shared" si="5"/>
        <v>5.7448647989783171E-2</v>
      </c>
      <c r="AB30" s="202">
        <f t="shared" si="5"/>
        <v>3.5021675727786718E-3</v>
      </c>
      <c r="AC30" s="202">
        <f t="shared" si="5"/>
        <v>3.8742076140126881E-3</v>
      </c>
      <c r="AD30" s="202">
        <f t="shared" si="5"/>
        <v>0.20684277785025462</v>
      </c>
      <c r="AE30" s="202">
        <f t="shared" si="5"/>
        <v>0.15268651432333716</v>
      </c>
      <c r="AF30" s="202">
        <f t="shared" si="5"/>
        <v>6.1225296095425786E-3</v>
      </c>
      <c r="AG30" s="202">
        <f t="shared" si="5"/>
        <v>2.0152404358609093E-2</v>
      </c>
      <c r="AH30" s="202">
        <f t="shared" si="5"/>
        <v>0.22642279855882069</v>
      </c>
      <c r="AI30" s="202">
        <f t="shared" si="5"/>
        <v>4.7882439914293619E-2</v>
      </c>
      <c r="AJ30" s="202">
        <f t="shared" si="5"/>
        <v>3.9483681644872828E-2</v>
      </c>
      <c r="AK30" s="202">
        <f t="shared" si="5"/>
        <v>7.1287199903205967E-3</v>
      </c>
      <c r="AL30" s="202">
        <f t="shared" si="5"/>
        <v>1.7304372217929388E-2</v>
      </c>
      <c r="AM30" s="202">
        <f t="shared" si="5"/>
        <v>1.9303972204595763E-2</v>
      </c>
      <c r="AN30" s="202">
        <f t="shared" si="5"/>
        <v>5.664212630048425E-3</v>
      </c>
      <c r="AO30" s="202">
        <f t="shared" si="5"/>
        <v>5.3432595406859212E-2</v>
      </c>
      <c r="AP30" s="202">
        <f t="shared" si="5"/>
        <v>6.3380738552423321E-2</v>
      </c>
      <c r="AQ30" s="202">
        <f t="shared" si="6"/>
        <v>2.309892978335298E-2</v>
      </c>
      <c r="AR30" s="202">
        <f t="shared" si="6"/>
        <v>0.10125051694341725</v>
      </c>
      <c r="AS30" s="202">
        <f t="shared" si="6"/>
        <v>0.36578748489362156</v>
      </c>
    </row>
    <row r="31" spans="1:45" x14ac:dyDescent="0.2">
      <c r="A31" s="208">
        <v>2024</v>
      </c>
      <c r="B31" s="241">
        <f t="shared" si="4"/>
        <v>2078.2569317863281</v>
      </c>
      <c r="C31" s="241">
        <f t="shared" si="3"/>
        <v>4888.9580487906851</v>
      </c>
      <c r="D31" s="242">
        <f>'LE Efficiencies'!B$54*'LE StructuralVars'!$Q31*('LE Shares'!B31/'LE Efficiencies'!B31)/('LE Shares'!B$12/'LE Efficiencies'!B$12)</f>
        <v>963.46625781837236</v>
      </c>
      <c r="E31" s="242">
        <f>'LE Efficiencies'!C$54*'LE StructuralVars'!$Q31*('LE Shares'!D31/'LE Efficiencies'!C31)/('LE Shares'!D$12/'LE Efficiencies'!C$12)</f>
        <v>732.11891169416117</v>
      </c>
      <c r="F31" s="242">
        <f>'LE Efficiencies'!D$54*'LE StructuralVars'!$Q31*('LE Shares'!F31/'LE Efficiencies'!D31)/('LE Shares'!F$12/'LE Efficiencies'!D$12)</f>
        <v>44.601068637607561</v>
      </c>
      <c r="G31" s="242">
        <f>'LE Efficiencies'!E$54*'LE StructuralVars'!$Q31*('LE Shares'!G31/(1/'LE Efficiencies'!E31))/('LE Shares'!G$12/(1/'LE Efficiencies'!E$12))</f>
        <v>46.810172239961453</v>
      </c>
      <c r="H31" s="242">
        <f>'LE Efficiencies'!F$54*'LE StructuralVars'!$R31*('LE Shares'!I31/'LE Efficiencies'!F31)/('LE Shares'!I$12/'LE Efficiencies'!F$12)</f>
        <v>2602.6449128908203</v>
      </c>
      <c r="I31" s="242">
        <f>'LE Efficiencies'!G$54*'LE StructuralVars'!$R31*('LE Shares'!K31/'LE Efficiencies'!G31)/('LE Shares'!K$12/'LE Efficiencies'!G$12)</f>
        <v>1956.9443154163789</v>
      </c>
      <c r="J31" s="242">
        <f>'LE Efficiencies'!H$54*'LE StructuralVars'!$R31*('LE Shares'!N31/'LE Efficiencies'!H31)/('LE Shares'!N$12/'LE Efficiencies'!H$12)</f>
        <v>78.166717650754265</v>
      </c>
      <c r="K31" s="242">
        <f>'LE Efficiencies'!I$54*'LE StructuralVars'!$R31*('LE Shares'!O31/'LE Efficiencies'!I31)/('LE Shares'!O$12/'LE Efficiencies'!I$12)</f>
        <v>251.20210283273138</v>
      </c>
      <c r="L31" s="242">
        <f>'LE Efficiencies'!J$54*('LE Shares'!Q31/'LE Efficiencies'!J31)/('LE Shares'!Q$12/'LE Efficiencies'!J$12)</f>
        <v>2834.3823132496696</v>
      </c>
      <c r="M31" s="242">
        <f>'LE Efficiencies'!K$54*('LE Shares'!S31/(1/'LE Efficiencies'!K31))/('LE Shares'!S$12/(1/'LE Efficiencies'!K$12))</f>
        <v>604.19366372112745</v>
      </c>
      <c r="N31" s="242">
        <f>'LE Efficiencies'!L$54*('LE Shares'!U31/(1/'LE Efficiencies'!L31))/('LE Shares'!U$12/(1/'LE Efficiencies'!L$12))</f>
        <v>490.64866456430866</v>
      </c>
      <c r="O31" s="242">
        <f>'LE Efficiencies'!M$54*('LE Shares'!V31/(1/'LE Efficiencies'!M31))/('LE Shares'!V$12/(1/'LE Efficiencies'!M$12))</f>
        <v>88.510181131160763</v>
      </c>
      <c r="P31" s="242">
        <f>'LE Efficiencies'!N$54*('LE Shares'!X31/(1/'LE Efficiencies'!N31))/('LE Shares'!X$12/(1/'LE Efficiencies'!N$12))</f>
        <v>216.20489694849002</v>
      </c>
      <c r="Q31" s="242">
        <f>'LE Efficiencies'!O$54*('LE Shares'!Z31/(1/'LE Efficiencies'!O31))/('LE Shares'!Z$12/(1/'LE Efficiencies'!O$12))</f>
        <v>244.01571933063471</v>
      </c>
      <c r="R31" s="242">
        <f>'LE Efficiencies'!P$54*('LE Shares'!AB31/(1/'LE Efficiencies'!P31))/('LE Shares'!AB$12/(1/'LE Efficiencies'!P$12))</f>
        <v>70.995670953729871</v>
      </c>
      <c r="S31" s="242">
        <f>'LE Efficiencies'!Q$54*('LE Shares'!AD31/(1/'LE Efficiencies'!Q31))/('LE Shares'!AD$12/(1/'LE Efficiencies'!Q$12))</f>
        <v>670.77610394873432</v>
      </c>
      <c r="T31" s="242">
        <f>'LE Efficiencies'!R$54*('LE Shares'!AF31/(1/'LE Efficiencies'!R31))/('LE Shares'!AF$12/(1/'LE Efficiencies'!R$12))</f>
        <v>803.3728497315783</v>
      </c>
      <c r="U31" s="242">
        <f>'LE Efficiencies'!S$54*('LE Shares'!AH31/(1/'LE Efficiencies'!S31))/('LE Shares'!AH$12/(1/'LE Efficiencies'!S$12))</f>
        <v>291.26052139622584</v>
      </c>
      <c r="V31" s="242">
        <f>'LE Efficiencies'!T$54*('LE Shares'!AI31/(1/'LE Efficiencies'!T31))/('LE Shares'!AI$12/(1/'LE Efficiencies'!T$12))</f>
        <v>1264.4465890880192</v>
      </c>
      <c r="W31" s="242">
        <f>'LE Efficiencies'!V$54*('LE Shares'!AJ31/(1/'LE Efficiencies'!X31))/('LE Shares'!AJ$12/(1/'LE Efficiencies'!X$12))</f>
        <v>4699.6032344355999</v>
      </c>
      <c r="X31" s="159">
        <f t="shared" si="2"/>
        <v>12278.41040849928</v>
      </c>
      <c r="Y31" s="208">
        <v>2024</v>
      </c>
      <c r="Z31" s="202">
        <f t="shared" si="7"/>
        <v>7.6690154904804297E-2</v>
      </c>
      <c r="AA31" s="202">
        <f t="shared" si="5"/>
        <v>5.8275328576318827E-2</v>
      </c>
      <c r="AB31" s="202">
        <f t="shared" si="5"/>
        <v>3.5501636253282682E-3</v>
      </c>
      <c r="AC31" s="202">
        <f t="shared" si="5"/>
        <v>3.7260042384171998E-3</v>
      </c>
      <c r="AD31" s="202">
        <f t="shared" si="5"/>
        <v>0.20716578283058557</v>
      </c>
      <c r="AE31" s="202">
        <f t="shared" si="5"/>
        <v>0.15576919427275915</v>
      </c>
      <c r="AF31" s="202">
        <f t="shared" si="5"/>
        <v>6.2219279984027411E-3</v>
      </c>
      <c r="AG31" s="202">
        <f t="shared" si="5"/>
        <v>1.9995228709178556E-2</v>
      </c>
      <c r="AH31" s="202">
        <f t="shared" si="5"/>
        <v>0.2256116567639383</v>
      </c>
      <c r="AI31" s="202">
        <f t="shared" si="5"/>
        <v>4.8092712419628363E-2</v>
      </c>
      <c r="AJ31" s="202">
        <f t="shared" si="5"/>
        <v>3.9054737811446652E-2</v>
      </c>
      <c r="AK31" s="202">
        <f t="shared" si="5"/>
        <v>7.0452488050501269E-3</v>
      </c>
      <c r="AL31" s="202">
        <f t="shared" si="5"/>
        <v>1.7209515023081039E-2</v>
      </c>
      <c r="AM31" s="202">
        <f t="shared" si="5"/>
        <v>1.9423205704212024E-2</v>
      </c>
      <c r="AN31" s="202">
        <f t="shared" si="5"/>
        <v>5.6511257751161014E-3</v>
      </c>
      <c r="AO31" s="202">
        <f t="shared" si="5"/>
        <v>5.3392553087175276E-2</v>
      </c>
      <c r="AP31" s="202">
        <f t="shared" si="5"/>
        <v>6.3947011939719994E-2</v>
      </c>
      <c r="AQ31" s="202">
        <f t="shared" si="6"/>
        <v>2.3183805683147696E-2</v>
      </c>
      <c r="AR31" s="202">
        <f t="shared" si="6"/>
        <v>0.10064763970622832</v>
      </c>
      <c r="AS31" s="202">
        <f t="shared" si="6"/>
        <v>0.37407983633603148</v>
      </c>
    </row>
    <row r="32" spans="1:45" x14ac:dyDescent="0.2">
      <c r="A32" s="208">
        <v>2025</v>
      </c>
      <c r="B32" s="241">
        <f t="shared" si="4"/>
        <v>2078.6134581623337</v>
      </c>
      <c r="C32" s="241">
        <f t="shared" si="3"/>
        <v>4933.4338739361965</v>
      </c>
      <c r="D32" s="242">
        <f>'LE Efficiencies'!B$54*'LE StructuralVars'!$Q32*('LE Shares'!B32/'LE Efficiencies'!B32)/('LE Shares'!B$12/'LE Efficiencies'!B$12)</f>
        <v>955.52172865079683</v>
      </c>
      <c r="E32" s="242">
        <f>'LE Efficiencies'!C$54*'LE StructuralVars'!$Q32*('LE Shares'!D32/'LE Efficiencies'!C32)/('LE Shares'!D$12/'LE Efficiencies'!C$12)</f>
        <v>742.68024931347622</v>
      </c>
      <c r="F32" s="242">
        <f>'LE Efficiencies'!D$54*'LE StructuralVars'!$Q32*('LE Shares'!F32/'LE Efficiencies'!D32)/('LE Shares'!F$12/'LE Efficiencies'!D$12)</f>
        <v>45.156101246211122</v>
      </c>
      <c r="G32" s="242">
        <f>'LE Efficiencies'!E$54*'LE StructuralVars'!$Q32*('LE Shares'!G32/(1/'LE Efficiencies'!E32))/('LE Shares'!G$12/(1/'LE Efficiencies'!E$12))</f>
        <v>44.704961864288528</v>
      </c>
      <c r="H32" s="242">
        <f>'LE Efficiencies'!F$54*'LE StructuralVars'!$R32*('LE Shares'!I32/'LE Efficiencies'!F32)/('LE Shares'!I$12/'LE Efficiencies'!F$12)</f>
        <v>2608.3469779119832</v>
      </c>
      <c r="I32" s="242">
        <f>'LE Efficiencies'!G$54*'LE StructuralVars'!$R32*('LE Shares'!K32/'LE Efficiencies'!G32)/('LE Shares'!K$12/'LE Efficiencies'!G$12)</f>
        <v>1996.3755975660072</v>
      </c>
      <c r="J32" s="242">
        <f>'LE Efficiencies'!H$54*'LE StructuralVars'!$R32*('LE Shares'!N32/'LE Efficiencies'!H32)/('LE Shares'!N$12/'LE Efficiencies'!H$12)</f>
        <v>79.33628352645654</v>
      </c>
      <c r="K32" s="242">
        <f>'LE Efficiencies'!I$54*'LE StructuralVars'!$R32*('LE Shares'!O32/'LE Efficiencies'!I32)/('LE Shares'!O$12/'LE Efficiencies'!I$12)</f>
        <v>249.37501493175054</v>
      </c>
      <c r="L32" s="242">
        <f>'LE Efficiencies'!J$54*('LE Shares'!Q32/'LE Efficiencies'!J32)/('LE Shares'!Q$12/'LE Efficiencies'!J$12)</f>
        <v>2824.5492424415424</v>
      </c>
      <c r="M32" s="242">
        <f>'LE Efficiencies'!K$54*('LE Shares'!S32/(1/'LE Efficiencies'!K32))/('LE Shares'!S$12/(1/'LE Efficiencies'!K$12))</f>
        <v>603.32056717620196</v>
      </c>
      <c r="N32" s="242">
        <f>'LE Efficiencies'!L$54*('LE Shares'!U32/(1/'LE Efficiencies'!L32))/('LE Shares'!U$12/(1/'LE Efficiencies'!L$12))</f>
        <v>485.97013259417912</v>
      </c>
      <c r="O32" s="242">
        <f>'LE Efficiencies'!M$54*('LE Shares'!V32/(1/'LE Efficiencies'!M32))/('LE Shares'!V$12/(1/'LE Efficiencies'!M$12))</f>
        <v>87.59612479643333</v>
      </c>
      <c r="P32" s="242">
        <f>'LE Efficiencies'!N$54*('LE Shares'!X32/(1/'LE Efficiencies'!N32))/('LE Shares'!X$12/(1/'LE Efficiencies'!N$12))</f>
        <v>215.03798347348692</v>
      </c>
      <c r="Q32" s="242">
        <f>'LE Efficiencies'!O$54*('LE Shares'!Z32/(1/'LE Efficiencies'!O32))/('LE Shares'!Z$12/(1/'LE Efficiencies'!O$12))</f>
        <v>244.345728455092</v>
      </c>
      <c r="R32" s="242">
        <f>'LE Efficiencies'!P$54*('LE Shares'!AB32/(1/'LE Efficiencies'!P32))/('LE Shares'!AB$12/(1/'LE Efficiencies'!P$12))</f>
        <v>70.872007925013833</v>
      </c>
      <c r="S32" s="242">
        <f>'LE Efficiencies'!Q$54*('LE Shares'!AD32/(1/'LE Efficiencies'!Q32))/('LE Shares'!AD$12/(1/'LE Efficiencies'!Q$12))</f>
        <v>667.2247151712171</v>
      </c>
      <c r="T32" s="242">
        <f>'LE Efficiencies'!R$54*('LE Shares'!AF32/(1/'LE Efficiencies'!R32))/('LE Shares'!AF$12/(1/'LE Efficiencies'!R$12))</f>
        <v>805.49751236459838</v>
      </c>
      <c r="U32" s="242">
        <f>'LE Efficiencies'!S$54*('LE Shares'!AH32/(1/'LE Efficiencies'!S32))/('LE Shares'!AH$12/(1/'LE Efficiencies'!S$12))</f>
        <v>290.55041708756073</v>
      </c>
      <c r="V32" s="242">
        <f>'LE Efficiencies'!T$54*('LE Shares'!AI32/(1/'LE Efficiencies'!T32))/('LE Shares'!AI$12/(1/'LE Efficiencies'!T$12))</f>
        <v>1250.4121488905596</v>
      </c>
      <c r="W32" s="242">
        <f>'LE Efficiencies'!V$54*('LE Shares'!AJ32/(1/'LE Efficiencies'!X32))/('LE Shares'!AJ$12/(1/'LE Efficiencies'!X$12))</f>
        <v>4780.7324861579509</v>
      </c>
      <c r="X32" s="159">
        <f t="shared" si="2"/>
        <v>12326.109066533838</v>
      </c>
      <c r="Y32" s="208">
        <v>2025</v>
      </c>
      <c r="Z32" s="202">
        <f t="shared" si="7"/>
        <v>7.6057784889183105E-2</v>
      </c>
      <c r="AA32" s="202">
        <f t="shared" si="5"/>
        <v>5.9115991766601407E-2</v>
      </c>
      <c r="AB32" s="202">
        <f t="shared" si="5"/>
        <v>3.5943432075249589E-3</v>
      </c>
      <c r="AC32" s="202">
        <f t="shared" si="5"/>
        <v>3.5584333364707889E-3</v>
      </c>
      <c r="AD32" s="202">
        <f t="shared" si="5"/>
        <v>0.20761965679472463</v>
      </c>
      <c r="AE32" s="202">
        <f t="shared" si="5"/>
        <v>0.15890785233328886</v>
      </c>
      <c r="AF32" s="202">
        <f t="shared" si="5"/>
        <v>6.3150233065685712E-3</v>
      </c>
      <c r="AG32" s="202">
        <f t="shared" si="5"/>
        <v>1.9849795848386739E-2</v>
      </c>
      <c r="AH32" s="202">
        <f t="shared" si="5"/>
        <v>0.22482896228206539</v>
      </c>
      <c r="AI32" s="202">
        <f t="shared" si="5"/>
        <v>4.8023215528861476E-2</v>
      </c>
      <c r="AJ32" s="202">
        <f t="shared" si="5"/>
        <v>3.8682335209274825E-2</v>
      </c>
      <c r="AK32" s="202">
        <f t="shared" si="5"/>
        <v>6.9724915898045263E-3</v>
      </c>
      <c r="AL32" s="202">
        <f t="shared" si="5"/>
        <v>1.7116630841167779E-2</v>
      </c>
      <c r="AM32" s="202">
        <f t="shared" si="5"/>
        <v>1.9449473827946775E-2</v>
      </c>
      <c r="AN32" s="202">
        <f t="shared" si="5"/>
        <v>5.6412824238297734E-3</v>
      </c>
      <c r="AO32" s="202">
        <f t="shared" si="5"/>
        <v>5.3109869025055975E-2</v>
      </c>
      <c r="AP32" s="202">
        <f t="shared" si="5"/>
        <v>6.4116131205832871E-2</v>
      </c>
      <c r="AQ32" s="202">
        <f t="shared" si="6"/>
        <v>2.3127282676775468E-2</v>
      </c>
      <c r="AR32" s="202">
        <f t="shared" si="6"/>
        <v>9.9530523892351744E-2</v>
      </c>
      <c r="AS32" s="202">
        <f t="shared" si="6"/>
        <v>0.38053757663716709</v>
      </c>
    </row>
    <row r="33" spans="1:45" x14ac:dyDescent="0.2">
      <c r="A33" s="208">
        <f t="shared" ref="A33:A49" si="8">A32+1</f>
        <v>2026</v>
      </c>
      <c r="B33" s="241">
        <f t="shared" si="4"/>
        <v>2080.0395323397343</v>
      </c>
      <c r="C33" s="241">
        <f t="shared" si="3"/>
        <v>4979.0296982931877</v>
      </c>
      <c r="D33" s="242">
        <f>'LE Efficiencies'!B$54*'LE StructuralVars'!$Q33*('LE Shares'!B33/'LE Efficiencies'!B33)/('LE Shares'!B$12/'LE Efficiencies'!B$12)</f>
        <v>948.10750119671297</v>
      </c>
      <c r="E33" s="242">
        <f>'LE Efficiencies'!C$54*'LE StructuralVars'!$Q33*('LE Shares'!D33/'LE Efficiencies'!C33)/('LE Shares'!D$12/'LE Efficiencies'!C$12)</f>
        <v>753.11950259450737</v>
      </c>
      <c r="F33" s="242">
        <f>'LE Efficiencies'!D$54*'LE StructuralVars'!$Q33*('LE Shares'!F33/'LE Efficiencies'!D33)/('LE Shares'!F$12/'LE Efficiencies'!D$12)</f>
        <v>45.643404395467449</v>
      </c>
      <c r="G33" s="242">
        <f>'LE Efficiencies'!E$54*'LE StructuralVars'!$Q33*('LE Shares'!G33/(1/'LE Efficiencies'!E33))/('LE Shares'!G$12/(1/'LE Efficiencies'!E$12))</f>
        <v>42.738114870000722</v>
      </c>
      <c r="H33" s="242">
        <f>'LE Efficiencies'!F$54*'LE StructuralVars'!$R33*('LE Shares'!I33/'LE Efficiencies'!F33)/('LE Shares'!I$12/'LE Efficiencies'!F$12)</f>
        <v>2615.3906431892947</v>
      </c>
      <c r="I33" s="242">
        <f>'LE Efficiencies'!G$54*'LE StructuralVars'!$R33*('LE Shares'!K33/'LE Efficiencies'!G33)/('LE Shares'!K$12/'LE Efficiencies'!G$12)</f>
        <v>2035.5797904417427</v>
      </c>
      <c r="J33" s="242">
        <f>'LE Efficiencies'!H$54*'LE StructuralVars'!$R33*('LE Shares'!N33/'LE Efficiencies'!H33)/('LE Shares'!N$12/'LE Efficiencies'!H$12)</f>
        <v>80.388021784175351</v>
      </c>
      <c r="K33" s="242">
        <f>'LE Efficiencies'!I$54*'LE StructuralVars'!$R33*('LE Shares'!O33/'LE Efficiencies'!I33)/('LE Shares'!O$12/'LE Efficiencies'!I$12)</f>
        <v>247.67124287797574</v>
      </c>
      <c r="L33" s="242">
        <f>'LE Efficiencies'!J$54*('LE Shares'!Q33/'LE Efficiencies'!J33)/('LE Shares'!Q$12/'LE Efficiencies'!J$12)</f>
        <v>2816.2682284461134</v>
      </c>
      <c r="M33" s="242">
        <f>'LE Efficiencies'!K$54*('LE Shares'!S33/(1/'LE Efficiencies'!K33))/('LE Shares'!S$12/(1/'LE Efficiencies'!K$12))</f>
        <v>603.87058028894342</v>
      </c>
      <c r="N33" s="242">
        <f>'LE Efficiencies'!L$54*('LE Shares'!U33/(1/'LE Efficiencies'!L33))/('LE Shares'!U$12/(1/'LE Efficiencies'!L$12))</f>
        <v>482.04348468082611</v>
      </c>
      <c r="O33" s="242">
        <f>'LE Efficiencies'!M$54*('LE Shares'!V33/(1/'LE Efficiencies'!M33))/('LE Shares'!V$12/(1/'LE Efficiencies'!M$12))</f>
        <v>86.811347245227992</v>
      </c>
      <c r="P33" s="242">
        <f>'LE Efficiencies'!N$54*('LE Shares'!X33/(1/'LE Efficiencies'!N33))/('LE Shares'!X$12/(1/'LE Efficiencies'!N$12))</f>
        <v>213.95295004707143</v>
      </c>
      <c r="Q33" s="242">
        <f>'LE Efficiencies'!O$54*('LE Shares'!Z33/(1/'LE Efficiencies'!O33))/('LE Shares'!Z$12/(1/'LE Efficiencies'!O$12))</f>
        <v>245.49134837868507</v>
      </c>
      <c r="R33" s="242">
        <f>'LE Efficiencies'!P$54*('LE Shares'!AB33/(1/'LE Efficiencies'!P33))/('LE Shares'!AB$12/(1/'LE Efficiencies'!P$12))</f>
        <v>70.942547084617601</v>
      </c>
      <c r="S33" s="242">
        <f>'LE Efficiencies'!Q$54*('LE Shares'!AD33/(1/'LE Efficiencies'!Q33))/('LE Shares'!AD$12/(1/'LE Efficiencies'!Q$12))</f>
        <v>665.94147704056365</v>
      </c>
      <c r="T33" s="242">
        <f>'LE Efficiencies'!R$54*('LE Shares'!AF33/(1/'LE Efficiencies'!R33))/('LE Shares'!AF$12/(1/'LE Efficiencies'!R$12))</f>
        <v>808.8938313517192</v>
      </c>
      <c r="U33" s="242">
        <f>'LE Efficiencies'!S$54*('LE Shares'!AH33/(1/'LE Efficiencies'!S33))/('LE Shares'!AH$12/(1/'LE Efficiencies'!S$12))</f>
        <v>290.43100928304534</v>
      </c>
      <c r="V33" s="242">
        <f>'LE Efficiencies'!T$54*('LE Shares'!AI33/(1/'LE Efficiencies'!T33))/('LE Shares'!AI$12/(1/'LE Efficiencies'!T$12))</f>
        <v>1239.4050654585817</v>
      </c>
      <c r="W33" s="242">
        <f>'LE Efficiencies'!V$54*('LE Shares'!AJ33/(1/'LE Efficiencies'!X33))/('LE Shares'!AJ$12/(1/'LE Efficiencies'!X$12))</f>
        <v>4860.741946223955</v>
      </c>
      <c r="X33" s="159">
        <f t="shared" si="2"/>
        <v>12384.793815529349</v>
      </c>
      <c r="Y33" s="208">
        <f t="shared" ref="Y33:Y49" si="9">Y32+1</f>
        <v>2026</v>
      </c>
      <c r="Z33" s="202">
        <f t="shared" si="7"/>
        <v>7.546762592166445E-2</v>
      </c>
      <c r="AA33" s="202">
        <f t="shared" si="7"/>
        <v>5.9946937266473481E-2</v>
      </c>
      <c r="AB33" s="202">
        <f t="shared" si="7"/>
        <v>3.6331316484265515E-3</v>
      </c>
      <c r="AC33" s="202">
        <f t="shared" si="7"/>
        <v>3.4018759070414172E-3</v>
      </c>
      <c r="AD33" s="202">
        <f t="shared" si="7"/>
        <v>0.20818031968959111</v>
      </c>
      <c r="AE33" s="202">
        <f t="shared" si="7"/>
        <v>0.16202843450226481</v>
      </c>
      <c r="AF33" s="202">
        <f t="shared" si="7"/>
        <v>6.3987397514873616E-3</v>
      </c>
      <c r="AG33" s="202">
        <f t="shared" si="7"/>
        <v>1.9714178703866977E-2</v>
      </c>
      <c r="AH33" s="202">
        <f t="shared" si="7"/>
        <v>0.22416980868854325</v>
      </c>
      <c r="AI33" s="202">
        <f t="shared" si="6"/>
        <v>4.8066995568352769E-2</v>
      </c>
      <c r="AJ33" s="202">
        <f t="shared" si="6"/>
        <v>3.836978120513819E-2</v>
      </c>
      <c r="AK33" s="202">
        <f t="shared" si="6"/>
        <v>6.9100247296738672E-3</v>
      </c>
      <c r="AL33" s="202">
        <f t="shared" si="6"/>
        <v>1.7030264161615228E-2</v>
      </c>
      <c r="AM33" s="202">
        <f t="shared" si="6"/>
        <v>1.9540663082048236E-2</v>
      </c>
      <c r="AN33" s="202">
        <f t="shared" si="6"/>
        <v>5.6468972121349881E-3</v>
      </c>
      <c r="AO33" s="202">
        <f t="shared" si="6"/>
        <v>5.300772561295309E-2</v>
      </c>
      <c r="AP33" s="202">
        <f t="shared" si="6"/>
        <v>6.4386471995782499E-2</v>
      </c>
      <c r="AQ33" s="202">
        <f t="shared" si="6"/>
        <v>2.3117778033565791E-2</v>
      </c>
      <c r="AR33" s="202">
        <f t="shared" si="6"/>
        <v>9.8654380149279811E-2</v>
      </c>
      <c r="AS33" s="202">
        <f t="shared" si="6"/>
        <v>0.38690618356711343</v>
      </c>
    </row>
    <row r="34" spans="1:45" x14ac:dyDescent="0.2">
      <c r="A34" s="208">
        <f t="shared" si="8"/>
        <v>2027</v>
      </c>
      <c r="B34" s="241">
        <f t="shared" si="4"/>
        <v>2081.9543160597232</v>
      </c>
      <c r="C34" s="241">
        <f t="shared" si="3"/>
        <v>5024.8926358652261</v>
      </c>
      <c r="D34" s="242">
        <f>'LE Efficiencies'!B$54*'LE StructuralVars'!$Q34*('LE Shares'!B34/'LE Efficiencies'!B34)/('LE Shares'!B$12/'LE Efficiencies'!B$12)</f>
        <v>941.75687607855434</v>
      </c>
      <c r="E34" s="242">
        <f>'LE Efficiencies'!C$54*'LE StructuralVars'!$Q34*('LE Shares'!D34/'LE Efficiencies'!C34)/('LE Shares'!D$12/'LE Efficiencies'!C$12)</f>
        <v>763.10510002354363</v>
      </c>
      <c r="F34" s="242">
        <f>'LE Efficiencies'!D$54*'LE StructuralVars'!$Q34*('LE Shares'!F34/'LE Efficiencies'!D34)/('LE Shares'!F$12/'LE Efficiencies'!D$12)</f>
        <v>46.044876247074576</v>
      </c>
      <c r="G34" s="242">
        <f>'LE Efficiencies'!E$54*'LE StructuralVars'!$Q34*('LE Shares'!G34/(1/'LE Efficiencies'!E34))/('LE Shares'!G$12/(1/'LE Efficiencies'!E$12))</f>
        <v>40.859731756935126</v>
      </c>
      <c r="H34" s="242">
        <f>'LE Efficiencies'!F$54*'LE StructuralVars'!$R34*('LE Shares'!I34/'LE Efficiencies'!F34)/('LE Shares'!I$12/'LE Efficiencies'!F$12)</f>
        <v>2623.9863193291753</v>
      </c>
      <c r="I34" s="242">
        <f>'LE Efficiencies'!G$54*'LE StructuralVars'!$R34*('LE Shares'!K34/'LE Efficiencies'!G34)/('LE Shares'!K$12/'LE Efficiencies'!G$12)</f>
        <v>2073.5246720697282</v>
      </c>
      <c r="J34" s="242">
        <f>'LE Efficiencies'!H$54*'LE StructuralVars'!$R34*('LE Shares'!N34/'LE Efficiencies'!H34)/('LE Shares'!N$12/'LE Efficiencies'!H$12)</f>
        <v>81.286664522032993</v>
      </c>
      <c r="K34" s="242">
        <f>'LE Efficiencies'!I$54*'LE StructuralVars'!$R34*('LE Shares'!O34/'LE Efficiencies'!I34)/('LE Shares'!O$12/'LE Efficiencies'!I$12)</f>
        <v>246.09497994428989</v>
      </c>
      <c r="L34" s="242">
        <f>'LE Efficiencies'!J$54*('LE Shares'!Q34/'LE Efficiencies'!J34)/('LE Shares'!Q$12/'LE Efficiencies'!J$12)</f>
        <v>2809.3968080339955</v>
      </c>
      <c r="M34" s="242">
        <f>'LE Efficiencies'!K$54*('LE Shares'!S34/(1/'LE Efficiencies'!K34))/('LE Shares'!S$12/(1/'LE Efficiencies'!K$12))</f>
        <v>604.37445636747361</v>
      </c>
      <c r="N34" s="242">
        <f>'LE Efficiencies'!L$54*('LE Shares'!U34/(1/'LE Efficiencies'!L34))/('LE Shares'!U$12/(1/'LE Efficiencies'!L$12))</f>
        <v>478.88302812169974</v>
      </c>
      <c r="O34" s="242">
        <f>'LE Efficiencies'!M$54*('LE Shares'!V34/(1/'LE Efficiencies'!M34))/('LE Shares'!V$12/(1/'LE Efficiencies'!M$12))</f>
        <v>86.150703991457391</v>
      </c>
      <c r="P34" s="242">
        <f>'LE Efficiencies'!N$54*('LE Shares'!X34/(1/'LE Efficiencies'!N34))/('LE Shares'!X$12/(1/'LE Efficiencies'!N$12))</f>
        <v>212.918613971642</v>
      </c>
      <c r="Q34" s="242">
        <f>'LE Efficiencies'!O$54*('LE Shares'!Z34/(1/'LE Efficiencies'!O34))/('LE Shares'!Z$12/(1/'LE Efficiencies'!O$12))</f>
        <v>246.69171982854502</v>
      </c>
      <c r="R34" s="242">
        <f>'LE Efficiencies'!P$54*('LE Shares'!AB34/(1/'LE Efficiencies'!P34))/('LE Shares'!AB$12/(1/'LE Efficiencies'!P$12))</f>
        <v>71.00786099920407</v>
      </c>
      <c r="S34" s="242">
        <f>'LE Efficiencies'!Q$54*('LE Shares'!AD34/(1/'LE Efficiencies'!Q34))/('LE Shares'!AD$12/(1/'LE Efficiencies'!Q$12))</f>
        <v>665.42112425246273</v>
      </c>
      <c r="T34" s="242">
        <f>'LE Efficiencies'!R$54*('LE Shares'!AF34/(1/'LE Efficiencies'!R34))/('LE Shares'!AF$12/(1/'LE Efficiencies'!R$12))</f>
        <v>812.46645245565765</v>
      </c>
      <c r="U34" s="242">
        <f>'LE Efficiencies'!S$54*('LE Shares'!AH34/(1/'LE Efficiencies'!S34))/('LE Shares'!AH$12/(1/'LE Efficiencies'!S$12))</f>
        <v>290.18773195361547</v>
      </c>
      <c r="V34" s="242">
        <f>'LE Efficiencies'!T$54*('LE Shares'!AI34/(1/'LE Efficiencies'!T34))/('LE Shares'!AI$12/(1/'LE Efficiencies'!T$12))</f>
        <v>1229.3088465722753</v>
      </c>
      <c r="W34" s="242">
        <f>'LE Efficiencies'!V$54*('LE Shares'!AJ34/(1/'LE Efficiencies'!X34))/('LE Shares'!AJ$12/(1/'LE Efficiencies'!X$12))</f>
        <v>4942.9372854593857</v>
      </c>
      <c r="X34" s="159">
        <f t="shared" si="2"/>
        <v>12449.744632007412</v>
      </c>
      <c r="Y34" s="208">
        <f t="shared" si="9"/>
        <v>2027</v>
      </c>
      <c r="Z34" s="202">
        <f t="shared" si="7"/>
        <v>7.4962127758026909E-2</v>
      </c>
      <c r="AA34" s="202">
        <f t="shared" si="7"/>
        <v>6.0741772588868516E-2</v>
      </c>
      <c r="AB34" s="202">
        <f t="shared" si="7"/>
        <v>3.665088074756817E-3</v>
      </c>
      <c r="AC34" s="202">
        <f t="shared" si="7"/>
        <v>3.2523600410288836E-3</v>
      </c>
      <c r="AD34" s="202">
        <f t="shared" si="7"/>
        <v>0.20886451981526197</v>
      </c>
      <c r="AE34" s="202">
        <f t="shared" si="7"/>
        <v>0.16504877779532826</v>
      </c>
      <c r="AF34" s="202">
        <f t="shared" si="7"/>
        <v>6.470270072566205E-3</v>
      </c>
      <c r="AG34" s="202">
        <f t="shared" si="7"/>
        <v>1.9588711052484154E-2</v>
      </c>
      <c r="AH34" s="202">
        <f t="shared" si="7"/>
        <v>0.22362285617043992</v>
      </c>
      <c r="AI34" s="202">
        <f t="shared" si="6"/>
        <v>4.8107103184163627E-2</v>
      </c>
      <c r="AJ34" s="202">
        <f t="shared" si="6"/>
        <v>3.8118214633789727E-2</v>
      </c>
      <c r="AK34" s="202">
        <f t="shared" si="6"/>
        <v>6.857438732959042E-3</v>
      </c>
      <c r="AL34" s="202">
        <f t="shared" si="6"/>
        <v>1.6947932898631585E-2</v>
      </c>
      <c r="AM34" s="202">
        <f t="shared" si="6"/>
        <v>1.9636210457668335E-2</v>
      </c>
      <c r="AN34" s="202">
        <f t="shared" si="6"/>
        <v>5.6520960804777335E-3</v>
      </c>
      <c r="AO34" s="202">
        <f t="shared" si="6"/>
        <v>5.2966306481145642E-2</v>
      </c>
      <c r="AP34" s="202">
        <f t="shared" si="6"/>
        <v>6.4670846112316285E-2</v>
      </c>
      <c r="AQ34" s="202">
        <f t="shared" si="6"/>
        <v>2.3098413602349432E-2</v>
      </c>
      <c r="AR34" s="202">
        <f t="shared" si="6"/>
        <v>9.7850739560872604E-2</v>
      </c>
      <c r="AS34" s="202">
        <f t="shared" si="6"/>
        <v>0.39344878248769388</v>
      </c>
    </row>
    <row r="35" spans="1:45" x14ac:dyDescent="0.2">
      <c r="A35" s="208">
        <f t="shared" si="8"/>
        <v>2028</v>
      </c>
      <c r="B35" s="241">
        <f t="shared" si="4"/>
        <v>2085.0944938494508</v>
      </c>
      <c r="C35" s="241">
        <f t="shared" si="3"/>
        <v>5069.5247513146269</v>
      </c>
      <c r="D35" s="242">
        <f>'LE Efficiencies'!B$54*'LE StructuralVars'!$Q35*('LE Shares'!B35/'LE Efficiencies'!B35)/('LE Shares'!B$12/'LE Efficiencies'!B$12)</f>
        <v>936.36279093028759</v>
      </c>
      <c r="E35" s="242">
        <f>'LE Efficiencies'!C$54*'LE StructuralVars'!$Q35*('LE Shares'!D35/'LE Efficiencies'!C35)/('LE Shares'!D$12/'LE Efficiencies'!C$12)</f>
        <v>772.44433628605441</v>
      </c>
      <c r="F35" s="242">
        <f>'LE Efficiencies'!D$54*'LE StructuralVars'!$Q35*('LE Shares'!F35/'LE Efficiencies'!D35)/('LE Shares'!F$12/'LE Efficiencies'!D$12)</f>
        <v>46.362699244661471</v>
      </c>
      <c r="G35" s="242">
        <f>'LE Efficiencies'!E$54*'LE StructuralVars'!$Q35*('LE Shares'!G35/(1/'LE Efficiencies'!E35))/('LE Shares'!G$12/(1/'LE Efficiencies'!E$12))</f>
        <v>39.170121033259178</v>
      </c>
      <c r="H35" s="242">
        <f>'LE Efficiencies'!F$54*'LE StructuralVars'!$R35*('LE Shares'!I35/'LE Efficiencies'!F35)/('LE Shares'!I$12/'LE Efficiencies'!F$12)</f>
        <v>2633.2651961908718</v>
      </c>
      <c r="I35" s="242">
        <f>'LE Efficiencies'!G$54*'LE StructuralVars'!$R35*('LE Shares'!K35/'LE Efficiencies'!G35)/('LE Shares'!K$12/'LE Efficiencies'!G$12)</f>
        <v>2109.575982630819</v>
      </c>
      <c r="J35" s="242">
        <f>'LE Efficiencies'!H$54*'LE StructuralVars'!$R35*('LE Shares'!N35/'LE Efficiencies'!H35)/('LE Shares'!N$12/'LE Efficiencies'!H$12)</f>
        <v>82.031623897259436</v>
      </c>
      <c r="K35" s="242">
        <f>'LE Efficiencies'!I$54*'LE StructuralVars'!$R35*('LE Shares'!O35/'LE Efficiencies'!I35)/('LE Shares'!O$12/'LE Efficiencies'!I$12)</f>
        <v>244.6519485956766</v>
      </c>
      <c r="L35" s="242">
        <f>'LE Efficiencies'!J$54*('LE Shares'!Q35/'LE Efficiencies'!J35)/('LE Shares'!Q$12/'LE Efficiencies'!J$12)</f>
        <v>2803.6785140576749</v>
      </c>
      <c r="M35" s="242">
        <f>'LE Efficiencies'!K$54*('LE Shares'!S35/(1/'LE Efficiencies'!K35))/('LE Shares'!S$12/(1/'LE Efficiencies'!K$12))</f>
        <v>606.47033436421339</v>
      </c>
      <c r="N35" s="242">
        <f>'LE Efficiencies'!L$54*('LE Shares'!U35/(1/'LE Efficiencies'!L35))/('LE Shares'!U$12/(1/'LE Efficiencies'!L$12))</f>
        <v>476.13371737623561</v>
      </c>
      <c r="O35" s="242">
        <f>'LE Efficiencies'!M$54*('LE Shares'!V35/(1/'LE Efficiencies'!M35))/('LE Shares'!V$12/(1/'LE Efficiencies'!M$12))</f>
        <v>85.552782659809367</v>
      </c>
      <c r="P35" s="242">
        <f>'LE Efficiencies'!N$54*('LE Shares'!X35/(1/'LE Efficiencies'!N35))/('LE Shares'!X$12/(1/'LE Efficiencies'!N$12))</f>
        <v>211.91044310705692</v>
      </c>
      <c r="Q35" s="242">
        <f>'LE Efficiencies'!O$54*('LE Shares'!Z35/(1/'LE Efficiencies'!O35))/('LE Shares'!Z$12/(1/'LE Efficiencies'!O$12))</f>
        <v>248.59843251285764</v>
      </c>
      <c r="R35" s="242">
        <f>'LE Efficiencies'!P$54*('LE Shares'!AB35/(1/'LE Efficiencies'!P35))/('LE Shares'!AB$12/(1/'LE Efficiencies'!P$12))</f>
        <v>71.259113844636673</v>
      </c>
      <c r="S35" s="242">
        <f>'LE Efficiencies'!Q$54*('LE Shares'!AD35/(1/'LE Efficiencies'!Q35))/('LE Shares'!AD$12/(1/'LE Efficiencies'!Q$12))</f>
        <v>666.81971814360065</v>
      </c>
      <c r="T35" s="242">
        <f>'LE Efficiencies'!R$54*('LE Shares'!AF35/(1/'LE Efficiencies'!R35))/('LE Shares'!AF$12/(1/'LE Efficiencies'!R$12))</f>
        <v>818.51742034393999</v>
      </c>
      <c r="U35" s="242">
        <f>'LE Efficiencies'!S$54*('LE Shares'!AH35/(1/'LE Efficiencies'!S35))/('LE Shares'!AH$12/(1/'LE Efficiencies'!S$12))</f>
        <v>290.75454635518838</v>
      </c>
      <c r="V35" s="242">
        <f>'LE Efficiencies'!T$54*('LE Shares'!AI35/(1/'LE Efficiencies'!T35))/('LE Shares'!AI$12/(1/'LE Efficiencies'!T$12))</f>
        <v>1223.3336881261505</v>
      </c>
      <c r="W35" s="242">
        <f>'LE Efficiencies'!V$54*('LE Shares'!AJ35/(1/'LE Efficiencies'!X35))/('LE Shares'!AJ$12/(1/'LE Efficiencies'!X$12))</f>
        <v>5040.7167517456473</v>
      </c>
      <c r="X35" s="159">
        <f t="shared" si="2"/>
        <v>12543.745462637013</v>
      </c>
      <c r="Y35" s="208">
        <f t="shared" si="9"/>
        <v>2028</v>
      </c>
      <c r="Z35" s="202">
        <f t="shared" si="7"/>
        <v>7.4532768429422094E-2</v>
      </c>
      <c r="AA35" s="202">
        <f t="shared" si="7"/>
        <v>6.1485158742615419E-2</v>
      </c>
      <c r="AB35" s="202">
        <f t="shared" si="7"/>
        <v>3.6903862050436408E-3</v>
      </c>
      <c r="AC35" s="202">
        <f t="shared" si="7"/>
        <v>3.11787011252746E-3</v>
      </c>
      <c r="AD35" s="202">
        <f t="shared" si="7"/>
        <v>0.20960310147091582</v>
      </c>
      <c r="AE35" s="202">
        <f t="shared" si="7"/>
        <v>0.16791839628898647</v>
      </c>
      <c r="AF35" s="202">
        <f t="shared" si="7"/>
        <v>6.5295674785939648E-3</v>
      </c>
      <c r="AG35" s="202">
        <f t="shared" si="7"/>
        <v>1.9473848392002169E-2</v>
      </c>
      <c r="AH35" s="202">
        <f t="shared" si="7"/>
        <v>0.22316769041110315</v>
      </c>
      <c r="AI35" s="202">
        <f t="shared" si="7"/>
        <v>4.8273931245787188E-2</v>
      </c>
      <c r="AJ35" s="202">
        <f t="shared" si="7"/>
        <v>3.7899374518487176E-2</v>
      </c>
      <c r="AK35" s="202">
        <f t="shared" si="7"/>
        <v>6.8098452867196221E-3</v>
      </c>
      <c r="AL35" s="202">
        <f t="shared" si="7"/>
        <v>1.6867684338655431E-2</v>
      </c>
      <c r="AM35" s="202">
        <f t="shared" si="7"/>
        <v>1.9787981305824449E-2</v>
      </c>
      <c r="AN35" s="202">
        <f t="shared" si="7"/>
        <v>5.6720953482052097E-3</v>
      </c>
      <c r="AO35" s="202">
        <f t="shared" si="7"/>
        <v>5.3077632001152071E-2</v>
      </c>
      <c r="AP35" s="202">
        <f t="shared" ref="AI35:AS49" si="10">T35/$X$19</f>
        <v>6.5152492107607429E-2</v>
      </c>
      <c r="AQ35" s="202">
        <f t="shared" si="10"/>
        <v>2.3143530993753811E-2</v>
      </c>
      <c r="AR35" s="202">
        <f t="shared" si="10"/>
        <v>9.7375127858754809E-2</v>
      </c>
      <c r="AS35" s="202">
        <f t="shared" si="10"/>
        <v>0.40123184946606655</v>
      </c>
    </row>
    <row r="36" spans="1:45" x14ac:dyDescent="0.2">
      <c r="A36" s="208">
        <f t="shared" si="8"/>
        <v>2029</v>
      </c>
      <c r="B36" s="241">
        <f t="shared" si="4"/>
        <v>2086.2418599516432</v>
      </c>
      <c r="C36" s="241">
        <f t="shared" si="3"/>
        <v>5113.8533324045775</v>
      </c>
      <c r="D36" s="242">
        <f>'LE Efficiencies'!B$54*'LE StructuralVars'!$Q36*('LE Shares'!B36/'LE Efficiencies'!B36)/('LE Shares'!B$12/'LE Efficiencies'!B$12)</f>
        <v>931.3974730437767</v>
      </c>
      <c r="E36" s="242">
        <f>'LE Efficiencies'!C$54*'LE StructuralVars'!$Q36*('LE Shares'!D36/'LE Efficiencies'!C36)/('LE Shares'!D$12/'LE Efficiencies'!C$12)</f>
        <v>781.39123031734152</v>
      </c>
      <c r="F36" s="242">
        <f>'LE Efficiencies'!D$54*'LE StructuralVars'!$Q36*('LE Shares'!F36/'LE Efficiencies'!D36)/('LE Shares'!F$12/'LE Efficiencies'!D$12)</f>
        <v>46.622311253890608</v>
      </c>
      <c r="G36" s="242">
        <f>'LE Efficiencies'!E$54*'LE StructuralVars'!$Q36*('LE Shares'!G36/(1/'LE Efficiencies'!E36))/('LE Shares'!G$12/(1/'LE Efficiencies'!E$12))</f>
        <v>37.33098455184119</v>
      </c>
      <c r="H36" s="242">
        <f>'LE Efficiencies'!F$54*'LE StructuralVars'!$R36*('LE Shares'!I36/'LE Efficiencies'!F36)/('LE Shares'!I$12/'LE Efficiencies'!F$12)</f>
        <v>2643.2667846730569</v>
      </c>
      <c r="I36" s="242">
        <f>'LE Efficiencies'!G$54*'LE StructuralVars'!$R36*('LE Shares'!K36/'LE Efficiencies'!G36)/('LE Shares'!K$12/'LE Efficiencies'!G$12)</f>
        <v>2144.5503656788346</v>
      </c>
      <c r="J36" s="242">
        <f>'LE Efficiencies'!H$54*'LE StructuralVars'!$R36*('LE Shares'!N36/'LE Efficiencies'!H36)/('LE Shares'!N$12/'LE Efficiencies'!H$12)</f>
        <v>82.669479474389277</v>
      </c>
      <c r="K36" s="242">
        <f>'LE Efficiencies'!I$54*'LE StructuralVars'!$R36*('LE Shares'!O36/'LE Efficiencies'!I36)/('LE Shares'!O$12/'LE Efficiencies'!I$12)</f>
        <v>243.36670257829721</v>
      </c>
      <c r="L36" s="242">
        <f>'LE Efficiencies'!J$54*('LE Shares'!Q36/'LE Efficiencies'!J36)/('LE Shares'!Q$12/'LE Efficiencies'!J$12)</f>
        <v>2799.1590679483925</v>
      </c>
      <c r="M36" s="242">
        <f>'LE Efficiencies'!K$54*('LE Shares'!S36/(1/'LE Efficiencies'!K36))/('LE Shares'!S$12/(1/'LE Efficiencies'!K$12))</f>
        <v>605.28072739616084</v>
      </c>
      <c r="N36" s="242">
        <f>'LE Efficiencies'!L$54*('LE Shares'!U36/(1/'LE Efficiencies'!L36))/('LE Shares'!U$12/(1/'LE Efficiencies'!L$12))</f>
        <v>473.65516057619038</v>
      </c>
      <c r="O36" s="242">
        <f>'LE Efficiencies'!M$54*('LE Shares'!V36/(1/'LE Efficiencies'!M36))/('LE Shares'!V$12/(1/'LE Efficiencies'!M$12))</f>
        <v>85.00549826993867</v>
      </c>
      <c r="P36" s="242">
        <f>'LE Efficiencies'!N$54*('LE Shares'!X36/(1/'LE Efficiencies'!N36))/('LE Shares'!X$12/(1/'LE Efficiencies'!N$12))</f>
        <v>210.95101307495645</v>
      </c>
      <c r="Q36" s="242">
        <f>'LE Efficiencies'!O$54*('LE Shares'!Z36/(1/'LE Efficiencies'!O36))/('LE Shares'!Z$12/(1/'LE Efficiencies'!O$12))</f>
        <v>249.1939464087589</v>
      </c>
      <c r="R36" s="242">
        <f>'LE Efficiencies'!P$54*('LE Shares'!AB36/(1/'LE Efficiencies'!P36))/('LE Shares'!AB$12/(1/'LE Efficiencies'!P$12))</f>
        <v>71.114059843937511</v>
      </c>
      <c r="S36" s="242">
        <f>'LE Efficiencies'!Q$54*('LE Shares'!AD36/(1/'LE Efficiencies'!Q36))/('LE Shares'!AD$12/(1/'LE Efficiencies'!Q$12))</f>
        <v>664.85250787472125</v>
      </c>
      <c r="T36" s="242">
        <f>'LE Efficiencies'!R$54*('LE Shares'!AF36/(1/'LE Efficiencies'!R36))/('LE Shares'!AF$12/(1/'LE Efficiencies'!R$12))</f>
        <v>820.52394686160324</v>
      </c>
      <c r="U36" s="242">
        <f>'LE Efficiencies'!S$54*('LE Shares'!AH36/(1/'LE Efficiencies'!S36))/('LE Shares'!AH$12/(1/'LE Efficiencies'!S$12))</f>
        <v>289.49986078479327</v>
      </c>
      <c r="V36" s="242">
        <f>'LE Efficiencies'!T$54*('LE Shares'!AI36/(1/'LE Efficiencies'!T36))/('LE Shares'!AI$12/(1/'LE Efficiencies'!T$12))</f>
        <v>1211.6607361795152</v>
      </c>
      <c r="W36" s="242">
        <f>'LE Efficiencies'!V$54*('LE Shares'!AJ36/(1/'LE Efficiencies'!X36))/('LE Shares'!AJ$12/(1/'LE Efficiencies'!X$12))</f>
        <v>5104.0342908898765</v>
      </c>
      <c r="X36" s="159">
        <f t="shared" si="2"/>
        <v>12584.930816108845</v>
      </c>
      <c r="Y36" s="208">
        <f t="shared" si="9"/>
        <v>2029</v>
      </c>
      <c r="Z36" s="202">
        <f t="shared" si="7"/>
        <v>7.4137538191956009E-2</v>
      </c>
      <c r="AA36" s="202">
        <f t="shared" si="7"/>
        <v>6.2197315171144567E-2</v>
      </c>
      <c r="AB36" s="202">
        <f t="shared" si="7"/>
        <v>3.7110508469461118E-3</v>
      </c>
      <c r="AC36" s="202">
        <f t="shared" si="7"/>
        <v>2.9714782067326532E-3</v>
      </c>
      <c r="AD36" s="202">
        <f t="shared" si="7"/>
        <v>0.21039920965194303</v>
      </c>
      <c r="AE36" s="202">
        <f t="shared" si="7"/>
        <v>0.1707022933189932</v>
      </c>
      <c r="AF36" s="202">
        <f t="shared" si="7"/>
        <v>6.5803396178567833E-3</v>
      </c>
      <c r="AG36" s="202">
        <f t="shared" si="7"/>
        <v>1.9371545155782151E-2</v>
      </c>
      <c r="AH36" s="202">
        <f t="shared" si="7"/>
        <v>0.22280795075297585</v>
      </c>
      <c r="AI36" s="202">
        <f t="shared" si="10"/>
        <v>4.817924070326382E-2</v>
      </c>
      <c r="AJ36" s="202">
        <f t="shared" si="10"/>
        <v>3.7702085922863462E-2</v>
      </c>
      <c r="AK36" s="202">
        <f t="shared" si="10"/>
        <v>6.7662824485863983E-3</v>
      </c>
      <c r="AL36" s="202">
        <f t="shared" si="10"/>
        <v>1.6791315459947921E-2</v>
      </c>
      <c r="AM36" s="202">
        <f t="shared" si="10"/>
        <v>1.9835383124574224E-2</v>
      </c>
      <c r="AN36" s="202">
        <f t="shared" si="10"/>
        <v>5.6605493146073445E-3</v>
      </c>
      <c r="AO36" s="202">
        <f t="shared" si="10"/>
        <v>5.2921045655728527E-2</v>
      </c>
      <c r="AP36" s="202">
        <f t="shared" si="10"/>
        <v>6.5312207954645637E-2</v>
      </c>
      <c r="AQ36" s="202">
        <f t="shared" si="10"/>
        <v>2.3043660313312644E-2</v>
      </c>
      <c r="AR36" s="202">
        <f t="shared" si="10"/>
        <v>9.6445982197742405E-2</v>
      </c>
      <c r="AS36" s="202">
        <f t="shared" si="10"/>
        <v>0.40627180996884249</v>
      </c>
    </row>
    <row r="37" spans="1:45" x14ac:dyDescent="0.2">
      <c r="A37" s="208">
        <f t="shared" si="8"/>
        <v>2030</v>
      </c>
      <c r="B37" s="241">
        <f t="shared" si="4"/>
        <v>2087.9494040777381</v>
      </c>
      <c r="C37" s="241">
        <f t="shared" si="3"/>
        <v>5157.4351543259936</v>
      </c>
      <c r="D37" s="242">
        <f>'LE Efficiencies'!B$54*'LE StructuralVars'!$Q37*('LE Shares'!B37/'LE Efficiencies'!B37)/('LE Shares'!B$12/'LE Efficiencies'!B$12)</f>
        <v>926.32193603925134</v>
      </c>
      <c r="E37" s="242">
        <f>'LE Efficiencies'!C$54*'LE StructuralVars'!$Q37*('LE Shares'!D37/'LE Efficiencies'!C37)/('LE Shares'!D$12/'LE Efficiencies'!C$12)</f>
        <v>790.19473690623386</v>
      </c>
      <c r="F37" s="242">
        <f>'LE Efficiencies'!D$54*'LE StructuralVars'!$Q37*('LE Shares'!F37/'LE Efficiencies'!D37)/('LE Shares'!F$12/'LE Efficiencies'!D$12)</f>
        <v>46.85497383342264</v>
      </c>
      <c r="G37" s="242">
        <f>'LE Efficiencies'!E$54*'LE StructuralVars'!$Q37*('LE Shares'!G37/(1/'LE Efficiencies'!E37))/('LE Shares'!G$12/(1/'LE Efficiencies'!E$12))</f>
        <v>35.67885584057646</v>
      </c>
      <c r="H37" s="242">
        <f>'LE Efficiencies'!F$54*'LE StructuralVars'!$R37*('LE Shares'!I37/'LE Efficiencies'!F37)/('LE Shares'!I$12/'LE Efficiencies'!F$12)</f>
        <v>2653.5058647600522</v>
      </c>
      <c r="I37" s="242">
        <f>'LE Efficiencies'!G$54*'LE StructuralVars'!$R37*('LE Shares'!K37/'LE Efficiencies'!G37)/('LE Shares'!K$12/'LE Efficiencies'!G$12)</f>
        <v>2178.4447614197966</v>
      </c>
      <c r="J37" s="242">
        <f>'LE Efficiencies'!H$54*'LE StructuralVars'!$R37*('LE Shares'!N37/'LE Efficiencies'!H37)/('LE Shares'!N$12/'LE Efficiencies'!H$12)</f>
        <v>83.254693222874423</v>
      </c>
      <c r="K37" s="242">
        <f>'LE Efficiencies'!I$54*'LE StructuralVars'!$R37*('LE Shares'!O37/'LE Efficiencies'!I37)/('LE Shares'!O$12/'LE Efficiencies'!I$12)</f>
        <v>242.22983492327043</v>
      </c>
      <c r="L37" s="242">
        <f>'LE Efficiencies'!J$54*('LE Shares'!Q37/'LE Efficiencies'!J37)/('LE Shares'!Q$12/'LE Efficiencies'!J$12)</f>
        <v>2795.4968830068347</v>
      </c>
      <c r="M37" s="242">
        <f>'LE Efficiencies'!K$54*('LE Shares'!S37/(1/'LE Efficiencies'!K37))/('LE Shares'!S$12/(1/'LE Efficiencies'!K$12))</f>
        <v>605.87996404893795</v>
      </c>
      <c r="N37" s="242">
        <f>'LE Efficiencies'!L$54*('LE Shares'!U37/(1/'LE Efficiencies'!L37))/('LE Shares'!U$12/(1/'LE Efficiencies'!L$12))</f>
        <v>471.43419489219815</v>
      </c>
      <c r="O37" s="242">
        <f>'LE Efficiencies'!M$54*('LE Shares'!V37/(1/'LE Efficiencies'!M37))/('LE Shares'!V$12/(1/'LE Efficiencies'!M$12))</f>
        <v>84.511678888051279</v>
      </c>
      <c r="P37" s="242">
        <f>'LE Efficiencies'!N$54*('LE Shares'!X37/(1/'LE Efficiencies'!N37))/('LE Shares'!X$12/(1/'LE Efficiencies'!N$12))</f>
        <v>210.05485584361386</v>
      </c>
      <c r="Q37" s="242">
        <f>'LE Efficiencies'!O$54*('LE Shares'!Z37/(1/'LE Efficiencies'!O37))/('LE Shares'!Z$12/(1/'LE Efficiencies'!O$12))</f>
        <v>250.55888763946183</v>
      </c>
      <c r="R37" s="242">
        <f>'LE Efficiencies'!P$54*('LE Shares'!AB37/(1/'LE Efficiencies'!P37))/('LE Shares'!AB$12/(1/'LE Efficiencies'!P$12))</f>
        <v>71.16377871079311</v>
      </c>
      <c r="S37" s="242">
        <f>'LE Efficiencies'!Q$54*('LE Shares'!AD37/(1/'LE Efficiencies'!Q37))/('LE Shares'!AD$12/(1/'LE Efficiencies'!Q$12))</f>
        <v>665.79165003396361</v>
      </c>
      <c r="T37" s="242">
        <f>'LE Efficiencies'!R$54*('LE Shares'!AF37/(1/'LE Efficiencies'!R37))/('LE Shares'!AF$12/(1/'LE Efficiencies'!R$12))</f>
        <v>826.26472260043204</v>
      </c>
      <c r="U37" s="242">
        <f>'LE Efficiencies'!S$54*('LE Shares'!AH37/(1/'LE Efficiencies'!S37))/('LE Shares'!AH$12/(1/'LE Efficiencies'!S$12))</f>
        <v>288.89890145825348</v>
      </c>
      <c r="V37" s="242">
        <f>'LE Efficiencies'!T$54*('LE Shares'!AI37/(1/'LE Efficiencies'!T37))/('LE Shares'!AI$12/(1/'LE Efficiencies'!T$12))</f>
        <v>1205.6535898996285</v>
      </c>
      <c r="W37" s="242">
        <f>'LE Efficiencies'!V$54*('LE Shares'!AJ37/(1/'LE Efficiencies'!X37))/('LE Shares'!AJ$12/(1/'LE Efficiencies'!X$12))</f>
        <v>5196.5954231553469</v>
      </c>
      <c r="X37" s="159">
        <f t="shared" si="2"/>
        <v>12672.304530177516</v>
      </c>
      <c r="Y37" s="208">
        <f t="shared" si="9"/>
        <v>2030</v>
      </c>
      <c r="Z37" s="202">
        <f t="shared" si="7"/>
        <v>7.3733534713947863E-2</v>
      </c>
      <c r="AA37" s="202">
        <f t="shared" si="7"/>
        <v>6.2898058221073874E-2</v>
      </c>
      <c r="AB37" s="202">
        <f t="shared" si="7"/>
        <v>3.7295703634523413E-3</v>
      </c>
      <c r="AC37" s="202">
        <f t="shared" si="7"/>
        <v>2.8399717779798031E-3</v>
      </c>
      <c r="AD37" s="202">
        <f t="shared" si="7"/>
        <v>0.21121422173107118</v>
      </c>
      <c r="AE37" s="202">
        <f t="shared" si="7"/>
        <v>0.17340022533133476</v>
      </c>
      <c r="AF37" s="202">
        <f t="shared" si="7"/>
        <v>6.6269215636795371E-3</v>
      </c>
      <c r="AG37" s="202">
        <f t="shared" si="7"/>
        <v>1.9281052566277577E-2</v>
      </c>
      <c r="AH37" s="202">
        <f t="shared" si="7"/>
        <v>0.22251644751850444</v>
      </c>
      <c r="AI37" s="202">
        <f t="shared" si="10"/>
        <v>4.8226938846663438E-2</v>
      </c>
      <c r="AJ37" s="202">
        <f t="shared" si="10"/>
        <v>3.7525301109735391E-2</v>
      </c>
      <c r="AK37" s="202">
        <f t="shared" si="10"/>
        <v>6.7269753274655274E-3</v>
      </c>
      <c r="AL37" s="202">
        <f t="shared" si="10"/>
        <v>1.6719982980649327E-2</v>
      </c>
      <c r="AM37" s="202">
        <f t="shared" si="10"/>
        <v>1.9944029954257276E-2</v>
      </c>
      <c r="AN37" s="202">
        <f t="shared" si="10"/>
        <v>5.664506845626107E-3</v>
      </c>
      <c r="AO37" s="202">
        <f t="shared" si="10"/>
        <v>5.2995799656800666E-2</v>
      </c>
      <c r="AP37" s="202">
        <f t="shared" si="10"/>
        <v>6.5769163221228014E-2</v>
      </c>
      <c r="AQ37" s="202">
        <f t="shared" si="10"/>
        <v>2.2995825048226993E-2</v>
      </c>
      <c r="AR37" s="202">
        <f t="shared" si="10"/>
        <v>9.5967824322464562E-2</v>
      </c>
      <c r="AS37" s="202">
        <f t="shared" si="10"/>
        <v>0.41363950708744901</v>
      </c>
    </row>
    <row r="38" spans="1:45" x14ac:dyDescent="0.2">
      <c r="A38" s="208">
        <f t="shared" si="8"/>
        <v>2031</v>
      </c>
      <c r="B38" s="241">
        <f t="shared" si="4"/>
        <v>2089.2021240252634</v>
      </c>
      <c r="C38" s="241">
        <f t="shared" si="3"/>
        <v>5200.5153747481945</v>
      </c>
      <c r="D38" s="242">
        <f>'LE Efficiencies'!B$54*'LE StructuralVars'!$Q38*('LE Shares'!B38/'LE Efficiencies'!B38)/('LE Shares'!B$12/'LE Efficiencies'!B$12)</f>
        <v>921.46949257954907</v>
      </c>
      <c r="E38" s="242">
        <f>'LE Efficiencies'!C$54*'LE StructuralVars'!$Q38*('LE Shares'!D38/'LE Efficiencies'!C38)/('LE Shares'!D$12/'LE Efficiencies'!C$12)</f>
        <v>798.65966875438721</v>
      </c>
      <c r="F38" s="242">
        <f>'LE Efficiencies'!D$54*'LE StructuralVars'!$Q38*('LE Shares'!F38/'LE Efficiencies'!D38)/('LE Shares'!F$12/'LE Efficiencies'!D$12)</f>
        <v>47.058051715673109</v>
      </c>
      <c r="G38" s="242">
        <f>'LE Efficiencies'!E$54*'LE StructuralVars'!$Q38*('LE Shares'!G38/(1/'LE Efficiencies'!E38))/('LE Shares'!G$12/(1/'LE Efficiencies'!E$12))</f>
        <v>34.07092034859059</v>
      </c>
      <c r="H38" s="242">
        <f>'LE Efficiencies'!F$54*'LE StructuralVars'!$R38*('LE Shares'!I38/'LE Efficiencies'!F38)/('LE Shares'!I$12/'LE Efficiencies'!F$12)</f>
        <v>2663.6891864623208</v>
      </c>
      <c r="I38" s="242">
        <f>'LE Efficiencies'!G$54*'LE StructuralVars'!$R38*('LE Shares'!K38/'LE Efficiencies'!G38)/('LE Shares'!K$12/'LE Efficiencies'!G$12)</f>
        <v>2211.9670725548217</v>
      </c>
      <c r="J38" s="242">
        <f>'LE Efficiencies'!H$54*'LE StructuralVars'!$R38*('LE Shares'!N38/'LE Efficiencies'!H38)/('LE Shares'!N$12/'LE Efficiencies'!H$12)</f>
        <v>83.791276227647984</v>
      </c>
      <c r="K38" s="242">
        <f>'LE Efficiencies'!I$54*'LE StructuralVars'!$R38*('LE Shares'!O38/'LE Efficiencies'!I38)/('LE Shares'!O$12/'LE Efficiencies'!I$12)</f>
        <v>241.0678395034038</v>
      </c>
      <c r="L38" s="242">
        <f>'LE Efficiencies'!J$54*('LE Shares'!Q38/'LE Efficiencies'!J38)/('LE Shares'!Q$12/'LE Efficiencies'!J$12)</f>
        <v>2793.1142181540945</v>
      </c>
      <c r="M38" s="242">
        <f>'LE Efficiencies'!K$54*('LE Shares'!S38/(1/'LE Efficiencies'!K38))/('LE Shares'!S$12/(1/'LE Efficiencies'!K$12))</f>
        <v>606.30061240490977</v>
      </c>
      <c r="N38" s="242">
        <f>'LE Efficiencies'!L$54*('LE Shares'!U38/(1/'LE Efficiencies'!L38))/('LE Shares'!U$12/(1/'LE Efficiencies'!L$12))</f>
        <v>469.44481622422671</v>
      </c>
      <c r="O38" s="242">
        <f>'LE Efficiencies'!M$54*('LE Shares'!V38/(1/'LE Efficiencies'!M38))/('LE Shares'!V$12/(1/'LE Efficiencies'!M$12))</f>
        <v>84.061867277561632</v>
      </c>
      <c r="P38" s="242">
        <f>'LE Efficiencies'!N$54*('LE Shares'!X38/(1/'LE Efficiencies'!N38))/('LE Shares'!X$12/(1/'LE Efficiencies'!N$12))</f>
        <v>209.23173313725547</v>
      </c>
      <c r="Q38" s="242">
        <f>'LE Efficiencies'!O$54*('LE Shares'!Z38/(1/'LE Efficiencies'!O38))/('LE Shares'!Z$12/(1/'LE Efficiencies'!O$12))</f>
        <v>251.9908815843005</v>
      </c>
      <c r="R38" s="242">
        <f>'LE Efficiencies'!P$54*('LE Shares'!AB38/(1/'LE Efficiencies'!P38))/('LE Shares'!AB$12/(1/'LE Efficiencies'!P$12))</f>
        <v>71.212538881091433</v>
      </c>
      <c r="S38" s="242">
        <f>'LE Efficiencies'!Q$54*('LE Shares'!AD38/(1/'LE Efficiencies'!Q38))/('LE Shares'!AD$12/(1/'LE Efficiencies'!Q$12))</f>
        <v>666.55483999077376</v>
      </c>
      <c r="T38" s="242">
        <f>'LE Efficiencies'!R$54*('LE Shares'!AF38/(1/'LE Efficiencies'!R38))/('LE Shares'!AF$12/(1/'LE Efficiencies'!R$12))</f>
        <v>831.75892802754072</v>
      </c>
      <c r="U38" s="242">
        <f>'LE Efficiencies'!S$54*('LE Shares'!AH38/(1/'LE Efficiencies'!S38))/('LE Shares'!AH$12/(1/'LE Efficiencies'!S$12))</f>
        <v>287.94399062706361</v>
      </c>
      <c r="V38" s="242">
        <f>'LE Efficiencies'!T$54*('LE Shares'!AI38/(1/'LE Efficiencies'!T38))/('LE Shares'!AI$12/(1/'LE Efficiencies'!T$12))</f>
        <v>1200.958574729153</v>
      </c>
      <c r="W38" s="242">
        <f>'LE Efficiencies'!V$54*('LE Shares'!AJ38/(1/'LE Efficiencies'!X38))/('LE Shares'!AJ$12/(1/'LE Efficiencies'!X$12))</f>
        <v>5275.0670240298059</v>
      </c>
      <c r="X38" s="159">
        <f t="shared" si="2"/>
        <v>12747.640025067778</v>
      </c>
      <c r="Y38" s="208">
        <f t="shared" si="9"/>
        <v>2031</v>
      </c>
      <c r="Z38" s="202">
        <f t="shared" si="7"/>
        <v>7.3347289074755462E-2</v>
      </c>
      <c r="AA38" s="202">
        <f t="shared" si="7"/>
        <v>6.3571851339852575E-2</v>
      </c>
      <c r="AB38" s="202">
        <f t="shared" si="7"/>
        <v>3.7457349920744102E-3</v>
      </c>
      <c r="AC38" s="202">
        <f t="shared" si="7"/>
        <v>2.7119830487880277E-3</v>
      </c>
      <c r="AD38" s="202">
        <f t="shared" si="7"/>
        <v>0.21202479554458573</v>
      </c>
      <c r="AE38" s="202">
        <f t="shared" si="7"/>
        <v>0.1760685400884425</v>
      </c>
      <c r="AF38" s="202">
        <f t="shared" si="7"/>
        <v>6.6696325910989606E-3</v>
      </c>
      <c r="AG38" s="202">
        <f t="shared" si="7"/>
        <v>1.918855985257318E-2</v>
      </c>
      <c r="AH38" s="202">
        <f t="shared" si="7"/>
        <v>0.22232679174679468</v>
      </c>
      <c r="AI38" s="202">
        <f t="shared" si="10"/>
        <v>4.8260421687726263E-2</v>
      </c>
      <c r="AJ38" s="202">
        <f t="shared" si="10"/>
        <v>3.736695020022196E-2</v>
      </c>
      <c r="AK38" s="202">
        <f t="shared" si="10"/>
        <v>6.6911711445930087E-3</v>
      </c>
      <c r="AL38" s="202">
        <f t="shared" si="10"/>
        <v>1.665446391618388E-2</v>
      </c>
      <c r="AM38" s="202">
        <f t="shared" si="10"/>
        <v>2.0058014057552281E-2</v>
      </c>
      <c r="AN38" s="202">
        <f t="shared" si="10"/>
        <v>5.6683880661494183E-3</v>
      </c>
      <c r="AO38" s="202">
        <f t="shared" si="10"/>
        <v>5.305654818383481E-2</v>
      </c>
      <c r="AP38" s="202">
        <f t="shared" si="10"/>
        <v>6.6206491941216472E-2</v>
      </c>
      <c r="AQ38" s="202">
        <f t="shared" si="10"/>
        <v>2.2919815889660244E-2</v>
      </c>
      <c r="AR38" s="202">
        <f t="shared" si="10"/>
        <v>9.5594109687642287E-2</v>
      </c>
      <c r="AS38" s="202">
        <f t="shared" si="10"/>
        <v>0.41988570323376462</v>
      </c>
    </row>
    <row r="39" spans="1:45" x14ac:dyDescent="0.2">
      <c r="A39" s="208">
        <f t="shared" si="8"/>
        <v>2032</v>
      </c>
      <c r="B39" s="241">
        <f t="shared" si="4"/>
        <v>2090.7594497101732</v>
      </c>
      <c r="C39" s="241">
        <f t="shared" si="3"/>
        <v>5240.7820899479912</v>
      </c>
      <c r="D39" s="242">
        <f>'LE Efficiencies'!B$54*'LE StructuralVars'!$Q39*('LE Shares'!B39/'LE Efficiencies'!B39)/('LE Shares'!B$12/'LE Efficiencies'!B$12)</f>
        <v>917.0545683818807</v>
      </c>
      <c r="E39" s="242">
        <f>'LE Efficiencies'!C$54*'LE StructuralVars'!$Q39*('LE Shares'!D39/'LE Efficiencies'!C39)/('LE Shares'!D$12/'LE Efficiencies'!C$12)</f>
        <v>806.31183088579257</v>
      </c>
      <c r="F39" s="242">
        <f>'LE Efficiencies'!D$54*'LE StructuralVars'!$Q39*('LE Shares'!F39/'LE Efficiencies'!D39)/('LE Shares'!F$12/'LE Efficiencies'!D$12)</f>
        <v>47.200362673678633</v>
      </c>
      <c r="G39" s="242">
        <f>'LE Efficiencies'!E$54*'LE StructuralVars'!$Q39*('LE Shares'!G39/(1/'LE Efficiencies'!E39))/('LE Shares'!G$12/(1/'LE Efficiencies'!E$12))</f>
        <v>32.602314922980767</v>
      </c>
      <c r="H39" s="242">
        <f>'LE Efficiencies'!F$54*'LE StructuralVars'!$R39*('LE Shares'!I39/'LE Efficiencies'!F39)/('LE Shares'!I$12/'LE Efficiencies'!F$12)</f>
        <v>2673.4140966225027</v>
      </c>
      <c r="I39" s="242">
        <f>'LE Efficiencies'!G$54*'LE StructuralVars'!$R39*('LE Shares'!K39/'LE Efficiencies'!G39)/('LE Shares'!K$12/'LE Efficiencies'!G$12)</f>
        <v>2243.3080768818495</v>
      </c>
      <c r="J39" s="242">
        <f>'LE Efficiencies'!H$54*'LE StructuralVars'!$R39*('LE Shares'!N39/'LE Efficiencies'!H39)/('LE Shares'!N$12/'LE Efficiencies'!H$12)</f>
        <v>84.225871239835655</v>
      </c>
      <c r="K39" s="242">
        <f>'LE Efficiencies'!I$54*'LE StructuralVars'!$R39*('LE Shares'!O39/'LE Efficiencies'!I39)/('LE Shares'!O$12/'LE Efficiencies'!I$12)</f>
        <v>239.83404520380358</v>
      </c>
      <c r="L39" s="242">
        <f>'LE Efficiencies'!J$54*('LE Shares'!Q39/'LE Efficiencies'!J39)/('LE Shares'!Q$12/'LE Efficiencies'!J$12)</f>
        <v>2791.8277015893668</v>
      </c>
      <c r="M39" s="242">
        <f>'LE Efficiencies'!K$54*('LE Shares'!S39/(1/'LE Efficiencies'!K39))/('LE Shares'!S$12/(1/'LE Efficiencies'!K$12))</f>
        <v>608.55649032890597</v>
      </c>
      <c r="N39" s="242">
        <f>'LE Efficiencies'!L$54*('LE Shares'!U39/(1/'LE Efficiencies'!L39))/('LE Shares'!U$12/(1/'LE Efficiencies'!L$12))</f>
        <v>467.64969009039703</v>
      </c>
      <c r="O39" s="242">
        <f>'LE Efficiencies'!M$54*('LE Shares'!V39/(1/'LE Efficiencies'!M39))/('LE Shares'!V$12/(1/'LE Efficiencies'!M$12))</f>
        <v>83.640986110932417</v>
      </c>
      <c r="P39" s="242">
        <f>'LE Efficiencies'!N$54*('LE Shares'!X39/(1/'LE Efficiencies'!N39))/('LE Shares'!X$12/(1/'LE Efficiencies'!N$12))</f>
        <v>208.45919672110264</v>
      </c>
      <c r="Q39" s="242">
        <f>'LE Efficiencies'!O$54*('LE Shares'!Z39/(1/'LE Efficiencies'!O39))/('LE Shares'!Z$12/(1/'LE Efficiencies'!O$12))</f>
        <v>254.05248479437782</v>
      </c>
      <c r="R39" s="242">
        <f>'LE Efficiencies'!P$54*('LE Shares'!AB39/(1/'LE Efficiencies'!P39))/('LE Shares'!AB$12/(1/'LE Efficiencies'!P$12))</f>
        <v>71.454497868607973</v>
      </c>
      <c r="S39" s="242">
        <f>'LE Efficiencies'!Q$54*('LE Shares'!AD39/(1/'LE Efficiencies'!Q39))/('LE Shares'!AD$12/(1/'LE Efficiencies'!Q$12))</f>
        <v>669.86092813070661</v>
      </c>
      <c r="T39" s="242">
        <f>'LE Efficiencies'!R$54*('LE Shares'!AF39/(1/'LE Efficiencies'!R39))/('LE Shares'!AF$12/(1/'LE Efficiencies'!R$12))</f>
        <v>840.49598026277818</v>
      </c>
      <c r="U39" s="242">
        <f>'LE Efficiencies'!S$54*('LE Shares'!AH39/(1/'LE Efficiencies'!S39))/('LE Shares'!AH$12/(1/'LE Efficiencies'!S$12))</f>
        <v>287.59037284584042</v>
      </c>
      <c r="V39" s="242">
        <f>'LE Efficiencies'!T$54*('LE Shares'!AI39/(1/'LE Efficiencies'!T39))/('LE Shares'!AI$12/(1/'LE Efficiencies'!T$12))</f>
        <v>1201.755770410462</v>
      </c>
      <c r="W39" s="242">
        <f>'LE Efficiencies'!V$54*('LE Shares'!AJ39/(1/'LE Efficiencies'!X39))/('LE Shares'!AJ$12/(1/'LE Efficiencies'!X$12))</f>
        <v>5371.6504381158193</v>
      </c>
      <c r="X39" s="159">
        <f t="shared" si="2"/>
        <v>12856.994537269296</v>
      </c>
      <c r="Y39" s="208">
        <f t="shared" si="9"/>
        <v>2032</v>
      </c>
      <c r="Z39" s="202">
        <f t="shared" si="7"/>
        <v>7.2995869169943411E-2</v>
      </c>
      <c r="AA39" s="202">
        <f t="shared" si="7"/>
        <v>6.4180949473235036E-2</v>
      </c>
      <c r="AB39" s="202">
        <f t="shared" si="7"/>
        <v>3.7570626844824527E-3</v>
      </c>
      <c r="AC39" s="202">
        <f t="shared" si="7"/>
        <v>2.5950847384734743E-3</v>
      </c>
      <c r="AD39" s="202">
        <f t="shared" si="7"/>
        <v>0.21279888063637548</v>
      </c>
      <c r="AE39" s="202">
        <f t="shared" si="7"/>
        <v>0.17856322680653719</v>
      </c>
      <c r="AF39" s="202">
        <f t="shared" si="7"/>
        <v>6.704225560531016E-3</v>
      </c>
      <c r="AG39" s="202">
        <f t="shared" si="7"/>
        <v>1.9090352079141382E-2</v>
      </c>
      <c r="AH39" s="202">
        <f t="shared" si="7"/>
        <v>0.22222438737732567</v>
      </c>
      <c r="AI39" s="202">
        <f t="shared" si="10"/>
        <v>4.8439985451411496E-2</v>
      </c>
      <c r="AJ39" s="202">
        <f t="shared" si="10"/>
        <v>3.7224061437735573E-2</v>
      </c>
      <c r="AK39" s="202">
        <f t="shared" si="10"/>
        <v>6.6576697722269471E-3</v>
      </c>
      <c r="AL39" s="202">
        <f t="shared" si="10"/>
        <v>1.6592971428051998E-2</v>
      </c>
      <c r="AM39" s="202">
        <f t="shared" si="10"/>
        <v>2.0222113908740715E-2</v>
      </c>
      <c r="AN39" s="202">
        <f t="shared" si="10"/>
        <v>5.6876475597566678E-3</v>
      </c>
      <c r="AO39" s="202">
        <f t="shared" si="10"/>
        <v>5.3319706763103061E-2</v>
      </c>
      <c r="AP39" s="202">
        <f t="shared" si="10"/>
        <v>6.6901945345935548E-2</v>
      </c>
      <c r="AQ39" s="202">
        <f t="shared" si="10"/>
        <v>2.2891668559954576E-2</v>
      </c>
      <c r="AR39" s="202">
        <f t="shared" si="10"/>
        <v>9.5657565008254619E-2</v>
      </c>
      <c r="AS39" s="202">
        <f t="shared" si="10"/>
        <v>0.42757356664089968</v>
      </c>
    </row>
    <row r="40" spans="1:45" x14ac:dyDescent="0.2">
      <c r="A40" s="208">
        <f t="shared" si="8"/>
        <v>2033</v>
      </c>
      <c r="B40" s="241">
        <f t="shared" si="4"/>
        <v>2090.4540092993025</v>
      </c>
      <c r="C40" s="241">
        <f t="shared" si="3"/>
        <v>5280.7596604786622</v>
      </c>
      <c r="D40" s="242">
        <f>'LE Efficiencies'!B$54*'LE StructuralVars'!$Q40*('LE Shares'!B40/'LE Efficiencies'!B40)/('LE Shares'!B$12/'LE Efficiencies'!B$12)</f>
        <v>912.62793568043389</v>
      </c>
      <c r="E40" s="242">
        <f>'LE Efficiencies'!C$54*'LE StructuralVars'!$Q40*('LE Shares'!D40/'LE Efficiencies'!C40)/('LE Shares'!D$12/'LE Efficiencies'!C$12)</f>
        <v>813.74959592593495</v>
      </c>
      <c r="F40" s="242">
        <f>'LE Efficiencies'!D$54*'LE StructuralVars'!$Q40*('LE Shares'!F40/'LE Efficiencies'!D40)/('LE Shares'!F$12/'LE Efficiencies'!D$12)</f>
        <v>47.31925757176694</v>
      </c>
      <c r="G40" s="242">
        <f>'LE Efficiencies'!E$54*'LE StructuralVars'!$Q40*('LE Shares'!G40/(1/'LE Efficiencies'!E40))/('LE Shares'!G$12/(1/'LE Efficiencies'!E$12))</f>
        <v>30.99756139735932</v>
      </c>
      <c r="H40" s="242">
        <f>'LE Efficiencies'!F$54*'LE StructuralVars'!$R40*('LE Shares'!I40/'LE Efficiencies'!F40)/('LE Shares'!I$12/'LE Efficiencies'!F$12)</f>
        <v>2683.4759331934738</v>
      </c>
      <c r="I40" s="242">
        <f>'LE Efficiencies'!G$54*'LE StructuralVars'!$R40*('LE Shares'!K40/'LE Efficiencies'!G40)/('LE Shares'!K$12/'LE Efficiencies'!G$12)</f>
        <v>2274.107129708626</v>
      </c>
      <c r="J40" s="242">
        <f>'LE Efficiencies'!H$54*'LE StructuralVars'!$R40*('LE Shares'!N40/'LE Efficiencies'!H40)/('LE Shares'!N$12/'LE Efficiencies'!H$12)</f>
        <v>84.621244395154747</v>
      </c>
      <c r="K40" s="242">
        <f>'LE Efficiencies'!I$54*'LE StructuralVars'!$R40*('LE Shares'!O40/'LE Efficiencies'!I40)/('LE Shares'!O$12/'LE Efficiencies'!I$12)</f>
        <v>238.55535318140716</v>
      </c>
      <c r="L40" s="242">
        <f>'LE Efficiencies'!J$54*('LE Shares'!Q40/'LE Efficiencies'!J40)/('LE Shares'!Q$12/'LE Efficiencies'!J$12)</f>
        <v>2791.4885591619204</v>
      </c>
      <c r="M40" s="242">
        <f>'LE Efficiencies'!K$54*('LE Shares'!S40/(1/'LE Efficiencies'!K40))/('LE Shares'!S$12/(1/'LE Efficiencies'!K$12))</f>
        <v>607.35415763836659</v>
      </c>
      <c r="N40" s="242">
        <f>'LE Efficiencies'!L$54*('LE Shares'!U40/(1/'LE Efficiencies'!L40))/('LE Shares'!U$12/(1/'LE Efficiencies'!L$12))</f>
        <v>466.06074203261977</v>
      </c>
      <c r="O40" s="242">
        <f>'LE Efficiencies'!M$54*('LE Shares'!V40/(1/'LE Efficiencies'!M40))/('LE Shares'!V$12/(1/'LE Efficiencies'!M$12))</f>
        <v>83.261449283356782</v>
      </c>
      <c r="P40" s="242">
        <f>'LE Efficiencies'!N$54*('LE Shares'!X40/(1/'LE Efficiencies'!N40))/('LE Shares'!X$12/(1/'LE Efficiencies'!N$12))</f>
        <v>207.71694310167624</v>
      </c>
      <c r="Q40" s="242">
        <f>'LE Efficiencies'!O$54*('LE Shares'!Z40/(1/'LE Efficiencies'!O40))/('LE Shares'!Z$12/(1/'LE Efficiencies'!O$12))</f>
        <v>254.68585698839956</v>
      </c>
      <c r="R40" s="242">
        <f>'LE Efficiencies'!P$54*('LE Shares'!AB40/(1/'LE Efficiencies'!P40))/('LE Shares'!AB$12/(1/'LE Efficiencies'!P$12))</f>
        <v>71.304785123454295</v>
      </c>
      <c r="S40" s="242">
        <f>'LE Efficiencies'!Q$54*('LE Shares'!AD40/(1/'LE Efficiencies'!Q40))/('LE Shares'!AD$12/(1/'LE Efficiencies'!Q$12))</f>
        <v>669.05795205403683</v>
      </c>
      <c r="T40" s="242">
        <f>'LE Efficiencies'!R$54*('LE Shares'!AF40/(1/'LE Efficiencies'!R40))/('LE Shares'!AF$12/(1/'LE Efficiencies'!R$12))</f>
        <v>844.15406447689008</v>
      </c>
      <c r="U40" s="242">
        <f>'LE Efficiencies'!S$54*('LE Shares'!AH40/(1/'LE Efficiencies'!S40))/('LE Shares'!AH$12/(1/'LE Efficiencies'!S$12))</f>
        <v>285.75965872380755</v>
      </c>
      <c r="V40" s="242">
        <f>'LE Efficiencies'!T$54*('LE Shares'!AI40/(1/'LE Efficiencies'!T40))/('LE Shares'!AI$12/(1/'LE Efficiencies'!T$12))</f>
        <v>1195.7285652781579</v>
      </c>
      <c r="W40" s="242">
        <f>'LE Efficiencies'!V$54*('LE Shares'!AJ40/(1/'LE Efficiencies'!X40))/('LE Shares'!AJ$12/(1/'LE Efficiencies'!X$12))</f>
        <v>5431.3426894214508</v>
      </c>
      <c r="X40" s="159">
        <f t="shared" si="2"/>
        <v>12907.915423284136</v>
      </c>
      <c r="Y40" s="208">
        <f t="shared" si="9"/>
        <v>2033</v>
      </c>
      <c r="Z40" s="202">
        <f t="shared" si="7"/>
        <v>7.2643517289609452E-2</v>
      </c>
      <c r="AA40" s="202">
        <f t="shared" si="7"/>
        <v>6.4772981989626069E-2</v>
      </c>
      <c r="AB40" s="202">
        <f t="shared" si="7"/>
        <v>3.7665265012770646E-3</v>
      </c>
      <c r="AC40" s="202">
        <f t="shared" si="7"/>
        <v>2.4673492879942736E-3</v>
      </c>
      <c r="AD40" s="202">
        <f t="shared" si="7"/>
        <v>0.21359978445526154</v>
      </c>
      <c r="AE40" s="202">
        <f t="shared" si="7"/>
        <v>0.18101477517477493</v>
      </c>
      <c r="AF40" s="202">
        <f t="shared" si="7"/>
        <v>6.7356965417725186E-3</v>
      </c>
      <c r="AG40" s="202">
        <f t="shared" si="7"/>
        <v>1.8988570528954904E-2</v>
      </c>
      <c r="AH40" s="202">
        <f t="shared" si="7"/>
        <v>0.2221973922593497</v>
      </c>
      <c r="AI40" s="202">
        <f t="shared" si="10"/>
        <v>4.8344281964614398E-2</v>
      </c>
      <c r="AJ40" s="202">
        <f t="shared" si="10"/>
        <v>3.7097584073637162E-2</v>
      </c>
      <c r="AK40" s="202">
        <f t="shared" si="10"/>
        <v>6.6274593337578699E-3</v>
      </c>
      <c r="AL40" s="202">
        <f t="shared" si="10"/>
        <v>1.6533889395245416E-2</v>
      </c>
      <c r="AM40" s="202">
        <f t="shared" si="10"/>
        <v>2.0272529178894449E-2</v>
      </c>
      <c r="AN40" s="202">
        <f t="shared" si="10"/>
        <v>5.6757306986067431E-3</v>
      </c>
      <c r="AO40" s="202">
        <f t="shared" si="10"/>
        <v>5.3255791333574588E-2</v>
      </c>
      <c r="AP40" s="202">
        <f t="shared" si="10"/>
        <v>6.7193122169989877E-2</v>
      </c>
      <c r="AQ40" s="202">
        <f t="shared" si="10"/>
        <v>2.2745947058588227E-2</v>
      </c>
      <c r="AR40" s="202">
        <f t="shared" si="10"/>
        <v>9.5177810484950318E-2</v>
      </c>
      <c r="AS40" s="202">
        <f t="shared" si="10"/>
        <v>0.43232496085122851</v>
      </c>
    </row>
    <row r="41" spans="1:45" x14ac:dyDescent="0.2">
      <c r="A41" s="208">
        <f t="shared" si="8"/>
        <v>2034</v>
      </c>
      <c r="B41" s="241">
        <f t="shared" si="4"/>
        <v>2090.7875894602616</v>
      </c>
      <c r="C41" s="241">
        <f t="shared" si="3"/>
        <v>5321.3354637756029</v>
      </c>
      <c r="D41" s="242">
        <f>'LE Efficiencies'!B$54*'LE StructuralVars'!$Q41*('LE Shares'!B41/'LE Efficiencies'!B41)/('LE Shares'!B$12/'LE Efficiencies'!B$12)</f>
        <v>907.95636845867182</v>
      </c>
      <c r="E41" s="242">
        <f>'LE Efficiencies'!C$54*'LE StructuralVars'!$Q41*('LE Shares'!D41/'LE Efficiencies'!C41)/('LE Shares'!D$12/'LE Efficiencies'!C$12)</f>
        <v>821.22818374511667</v>
      </c>
      <c r="F41" s="242">
        <f>'LE Efficiencies'!D$54*'LE StructuralVars'!$Q41*('LE Shares'!F41/'LE Efficiencies'!D41)/('LE Shares'!F$12/'LE Efficiencies'!D$12)</f>
        <v>47.426366581662208</v>
      </c>
      <c r="G41" s="242">
        <f>'LE Efficiencies'!E$54*'LE StructuralVars'!$Q41*('LE Shares'!G41/(1/'LE Efficiencies'!E41))/('LE Shares'!G$12/(1/'LE Efficiencies'!E$12))</f>
        <v>29.513604801857806</v>
      </c>
      <c r="H41" s="242">
        <f>'LE Efficiencies'!F$54*'LE StructuralVars'!$R41*('LE Shares'!I41/'LE Efficiencies'!F41)/('LE Shares'!I$12/'LE Efficiencies'!F$12)</f>
        <v>2693.9512482583605</v>
      </c>
      <c r="I41" s="242">
        <f>'LE Efficiencies'!G$54*'LE StructuralVars'!$R41*('LE Shares'!K41/'LE Efficiencies'!G41)/('LE Shares'!K$12/'LE Efficiencies'!G$12)</f>
        <v>2305.1331823942533</v>
      </c>
      <c r="J41" s="242">
        <f>'LE Efficiencies'!H$54*'LE StructuralVars'!$R41*('LE Shares'!N41/'LE Efficiencies'!H41)/('LE Shares'!N$12/'LE Efficiencies'!H$12)</f>
        <v>84.998632678988358</v>
      </c>
      <c r="K41" s="242">
        <f>'LE Efficiencies'!I$54*'LE StructuralVars'!$R41*('LE Shares'!O41/'LE Efficiencies'!I41)/('LE Shares'!O$12/'LE Efficiencies'!I$12)</f>
        <v>237.25240044400033</v>
      </c>
      <c r="L41" s="242">
        <f>'LE Efficiencies'!J$54*('LE Shares'!Q41/'LE Efficiencies'!J41)/('LE Shares'!Q$12/'LE Efficiencies'!J$12)</f>
        <v>2792.2649569186865</v>
      </c>
      <c r="M41" s="242">
        <f>'LE Efficiencies'!K$54*('LE Shares'!S41/(1/'LE Efficiencies'!K41))/('LE Shares'!S$12/(1/'LE Efficiencies'!K$12))</f>
        <v>607.75166907112612</v>
      </c>
      <c r="N41" s="242">
        <f>'LE Efficiencies'!L$54*('LE Shares'!U41/(1/'LE Efficiencies'!L41))/('LE Shares'!U$12/(1/'LE Efficiencies'!L$12))</f>
        <v>464.70109499536665</v>
      </c>
      <c r="O41" s="242">
        <f>'LE Efficiencies'!M$54*('LE Shares'!V41/(1/'LE Efficiencies'!M41))/('LE Shares'!V$12/(1/'LE Efficiencies'!M$12))</f>
        <v>82.932034776983571</v>
      </c>
      <c r="P41" s="242">
        <f>'LE Efficiencies'!N$54*('LE Shares'!X41/(1/'LE Efficiencies'!N41))/('LE Shares'!X$12/(1/'LE Efficiencies'!N$12))</f>
        <v>207.02513205338965</v>
      </c>
      <c r="Q41" s="242">
        <f>'LE Efficiencies'!O$54*('LE Shares'!Z41/(1/'LE Efficiencies'!O41))/('LE Shares'!Z$12/(1/'LE Efficiencies'!O$12))</f>
        <v>255.99111450244632</v>
      </c>
      <c r="R41" s="242">
        <f>'LE Efficiencies'!P$54*('LE Shares'!AB41/(1/'LE Efficiencies'!P41))/('LE Shares'!AB$12/(1/'LE Efficiencies'!P$12))</f>
        <v>71.349252872886581</v>
      </c>
      <c r="S41" s="242">
        <f>'LE Efficiencies'!Q$54*('LE Shares'!AD41/(1/'LE Efficiencies'!Q41))/('LE Shares'!AD$12/(1/'LE Efficiencies'!Q$12))</f>
        <v>669.99758314967096</v>
      </c>
      <c r="T41" s="242">
        <f>'LE Efficiencies'!R$54*('LE Shares'!AF41/(1/'LE Efficiencies'!R41))/('LE Shares'!AF$12/(1/'LE Efficiencies'!R$12))</f>
        <v>849.88869964323067</v>
      </c>
      <c r="U41" s="242">
        <f>'LE Efficiencies'!S$54*('LE Shares'!AH41/(1/'LE Efficiencies'!S41))/('LE Shares'!AH$12/(1/'LE Efficiencies'!S$12))</f>
        <v>284.66306587295327</v>
      </c>
      <c r="V41" s="242">
        <f>'LE Efficiencies'!T$54*('LE Shares'!AI41/(1/'LE Efficiencies'!T41))/('LE Shares'!AI$12/(1/'LE Efficiencies'!T$12))</f>
        <v>1193.2290156805734</v>
      </c>
      <c r="W41" s="242">
        <f>'LE Efficiencies'!V$54*('LE Shares'!AJ41/(1/'LE Efficiencies'!X41))/('LE Shares'!AJ$12/(1/'LE Efficiencies'!X$12))</f>
        <v>5505.5849640206752</v>
      </c>
      <c r="X41" s="159">
        <f t="shared" si="2"/>
        <v>12985.378583557991</v>
      </c>
      <c r="Y41" s="208">
        <f t="shared" si="9"/>
        <v>2034</v>
      </c>
      <c r="Z41" s="202">
        <f t="shared" si="7"/>
        <v>7.2271669068690564E-2</v>
      </c>
      <c r="AA41" s="202">
        <f t="shared" si="7"/>
        <v>6.5368263924689279E-2</v>
      </c>
      <c r="AB41" s="202">
        <f t="shared" si="7"/>
        <v>3.7750521828916633E-3</v>
      </c>
      <c r="AC41" s="202">
        <f t="shared" si="7"/>
        <v>2.349229052586433E-3</v>
      </c>
      <c r="AD41" s="202">
        <f t="shared" si="7"/>
        <v>0.21443360040728238</v>
      </c>
      <c r="AE41" s="202">
        <f t="shared" si="7"/>
        <v>0.18348439231729236</v>
      </c>
      <c r="AF41" s="202">
        <f t="shared" si="7"/>
        <v>6.7657359600828103E-3</v>
      </c>
      <c r="AG41" s="202">
        <f t="shared" si="7"/>
        <v>1.8884857870151855E-2</v>
      </c>
      <c r="AH41" s="202">
        <f t="shared" si="7"/>
        <v>0.22225919210314388</v>
      </c>
      <c r="AI41" s="202">
        <f t="shared" si="10"/>
        <v>4.837592314883582E-2</v>
      </c>
      <c r="AJ41" s="202">
        <f t="shared" si="10"/>
        <v>3.6989358652085913E-2</v>
      </c>
      <c r="AK41" s="202">
        <f t="shared" si="10"/>
        <v>6.6012385405368858E-3</v>
      </c>
      <c r="AL41" s="202">
        <f t="shared" si="10"/>
        <v>1.6478822498997188E-2</v>
      </c>
      <c r="AM41" s="202">
        <f t="shared" si="10"/>
        <v>2.0376425293709689E-2</v>
      </c>
      <c r="AN41" s="202">
        <f t="shared" si="10"/>
        <v>5.6792702502667589E-3</v>
      </c>
      <c r="AO41" s="202">
        <f t="shared" si="10"/>
        <v>5.333058425309075E-2</v>
      </c>
      <c r="AP41" s="202">
        <f t="shared" si="10"/>
        <v>6.7649588658214424E-2</v>
      </c>
      <c r="AQ41" s="202">
        <f t="shared" si="10"/>
        <v>2.2658660269956995E-2</v>
      </c>
      <c r="AR41" s="202">
        <f t="shared" si="10"/>
        <v>9.4978850900973757E-2</v>
      </c>
      <c r="AS41" s="202">
        <f t="shared" si="10"/>
        <v>0.43823451034846983</v>
      </c>
    </row>
    <row r="42" spans="1:45" x14ac:dyDescent="0.2">
      <c r="A42" s="208">
        <f t="shared" si="8"/>
        <v>2035</v>
      </c>
      <c r="B42" s="241">
        <f t="shared" si="4"/>
        <v>2090.9122272031209</v>
      </c>
      <c r="C42" s="241">
        <f t="shared" si="3"/>
        <v>5362.9271164156635</v>
      </c>
      <c r="D42" s="242">
        <f>'LE Efficiencies'!B$54*'LE StructuralVars'!$Q42*('LE Shares'!B42/'LE Efficiencies'!B42)/('LE Shares'!B$12/'LE Efficiencies'!B$12)</f>
        <v>903.08865553552459</v>
      </c>
      <c r="E42" s="242">
        <f>'LE Efficiencies'!C$54*'LE StructuralVars'!$Q42*('LE Shares'!D42/'LE Efficiencies'!C42)/('LE Shares'!D$12/'LE Efficiencies'!C$12)</f>
        <v>828.83984310272638</v>
      </c>
      <c r="F42" s="242">
        <f>'LE Efficiencies'!D$54*'LE StructuralVars'!$Q42*('LE Shares'!F42/'LE Efficiencies'!D42)/('LE Shares'!F$12/'LE Efficiencies'!D$12)</f>
        <v>47.532867390990631</v>
      </c>
      <c r="G42" s="242">
        <f>'LE Efficiencies'!E$54*'LE StructuralVars'!$Q42*('LE Shares'!G42/(1/'LE Efficiencies'!E42))/('LE Shares'!G$12/(1/'LE Efficiencies'!E$12))</f>
        <v>28.091129393743447</v>
      </c>
      <c r="H42" s="242">
        <f>'LE Efficiencies'!F$54*'LE StructuralVars'!$R42*('LE Shares'!I42/'LE Efficiencies'!F42)/('LE Shares'!I$12/'LE Efficiencies'!F$12)</f>
        <v>2705.0001140417412</v>
      </c>
      <c r="I42" s="242">
        <f>'LE Efficiencies'!G$54*'LE StructuralVars'!$R42*('LE Shares'!K42/'LE Efficiencies'!G42)/('LE Shares'!K$12/'LE Efficiencies'!G$12)</f>
        <v>2336.6147416418944</v>
      </c>
      <c r="J42" s="242">
        <f>'LE Efficiencies'!H$54*'LE StructuralVars'!$R42*('LE Shares'!N42/'LE Efficiencies'!H42)/('LE Shares'!N$12/'LE Efficiencies'!H$12)</f>
        <v>85.376590411068207</v>
      </c>
      <c r="K42" s="242">
        <f>'LE Efficiencies'!I$54*'LE StructuralVars'!$R42*('LE Shares'!O42/'LE Efficiencies'!I42)/('LE Shares'!O$12/'LE Efficiencies'!I$12)</f>
        <v>235.93567032095936</v>
      </c>
      <c r="L42" s="242">
        <f>'LE Efficiencies'!J$54*('LE Shares'!Q42/'LE Efficiencies'!J42)/('LE Shares'!Q$12/'LE Efficiencies'!J$12)</f>
        <v>2794.272094274495</v>
      </c>
      <c r="M42" s="242">
        <f>'LE Efficiencies'!K$54*('LE Shares'!S42/(1/'LE Efficiencies'!K42))/('LE Shares'!S$12/(1/'LE Efficiencies'!K$12))</f>
        <v>608.42572486506856</v>
      </c>
      <c r="N42" s="242">
        <f>'LE Efficiencies'!L$54*('LE Shares'!U42/(1/'LE Efficiencies'!L42))/('LE Shares'!U$12/(1/'LE Efficiencies'!L$12))</f>
        <v>463.55448289935231</v>
      </c>
      <c r="O42" s="242">
        <f>'LE Efficiencies'!M$54*('LE Shares'!V42/(1/'LE Efficiencies'!M42))/('LE Shares'!V$12/(1/'LE Efficiencies'!M$12))</f>
        <v>82.649462168811482</v>
      </c>
      <c r="P42" s="242">
        <f>'LE Efficiencies'!N$54*('LE Shares'!X42/(1/'LE Efficiencies'!N42))/('LE Shares'!X$12/(1/'LE Efficiencies'!N$12))</f>
        <v>206.38633105715667</v>
      </c>
      <c r="Q42" s="242">
        <f>'LE Efficiencies'!O$54*('LE Shares'!Z42/(1/'LE Efficiencies'!O42))/('LE Shares'!Z$12/(1/'LE Efficiencies'!O$12))</f>
        <v>257.27972300210962</v>
      </c>
      <c r="R42" s="242">
        <f>'LE Efficiencies'!P$54*('LE Shares'!AB42/(1/'LE Efficiencies'!P42))/('LE Shares'!AB$12/(1/'LE Efficiencies'!P$12))</f>
        <v>71.39309345109443</v>
      </c>
      <c r="S42" s="242">
        <f>'LE Efficiencies'!Q$54*('LE Shares'!AD42/(1/'LE Efficiencies'!Q42))/('LE Shares'!AD$12/(1/'LE Efficiencies'!Q$12))</f>
        <v>672.67842640111655</v>
      </c>
      <c r="T42" s="242">
        <f>'LE Efficiencies'!R$54*('LE Shares'!AF42/(1/'LE Efficiencies'!R42))/('LE Shares'!AF$12/(1/'LE Efficiencies'!R$12))</f>
        <v>857.73515980129309</v>
      </c>
      <c r="U42" s="242">
        <f>'LE Efficiencies'!S$54*('LE Shares'!AH42/(1/'LE Efficiencies'!S42))/('LE Shares'!AH$12/(1/'LE Efficiencies'!S$12))</f>
        <v>283.35973178013592</v>
      </c>
      <c r="V42" s="242">
        <f>'LE Efficiencies'!T$54*('LE Shares'!AI42/(1/'LE Efficiencies'!T42))/('LE Shares'!AI$12/(1/'LE Efficiencies'!T$12))</f>
        <v>1194.2528328100279</v>
      </c>
      <c r="W42" s="242">
        <f>'LE Efficiencies'!V$54*('LE Shares'!AJ42/(1/'LE Efficiencies'!X42))/('LE Shares'!AJ$12/(1/'LE Efficiencies'!X$12))</f>
        <v>5591.5633860146345</v>
      </c>
      <c r="X42" s="159">
        <f t="shared" si="2"/>
        <v>13083.550448525297</v>
      </c>
      <c r="Y42" s="208">
        <f t="shared" si="9"/>
        <v>2035</v>
      </c>
      <c r="Z42" s="202">
        <f t="shared" si="7"/>
        <v>7.188420800808884E-2</v>
      </c>
      <c r="AA42" s="202">
        <f t="shared" si="7"/>
        <v>6.597413811123265E-2</v>
      </c>
      <c r="AB42" s="202">
        <f t="shared" si="7"/>
        <v>3.7835294528516701E-3</v>
      </c>
      <c r="AC42" s="202">
        <f t="shared" si="7"/>
        <v>2.2360026074345471E-3</v>
      </c>
      <c r="AD42" s="202">
        <f t="shared" si="7"/>
        <v>0.21531306994923452</v>
      </c>
      <c r="AE42" s="202">
        <f t="shared" si="7"/>
        <v>0.18599026695042509</v>
      </c>
      <c r="AF42" s="202">
        <f t="shared" si="7"/>
        <v>6.7958207054337333E-3</v>
      </c>
      <c r="AG42" s="202">
        <f t="shared" si="7"/>
        <v>1.8780048556608805E-2</v>
      </c>
      <c r="AH42" s="202">
        <f t="shared" si="7"/>
        <v>0.22241895657178309</v>
      </c>
      <c r="AI42" s="202">
        <f t="shared" si="10"/>
        <v>4.8429576759258026E-2</v>
      </c>
      <c r="AJ42" s="202">
        <f t="shared" si="10"/>
        <v>3.689809042287135E-2</v>
      </c>
      <c r="AK42" s="202">
        <f t="shared" si="10"/>
        <v>6.5787462768828976E-3</v>
      </c>
      <c r="AL42" s="202">
        <f t="shared" si="10"/>
        <v>1.6427975106100022E-2</v>
      </c>
      <c r="AM42" s="202">
        <f t="shared" si="10"/>
        <v>2.0478996177379864E-2</v>
      </c>
      <c r="AN42" s="202">
        <f t="shared" si="10"/>
        <v>5.6827598802424769E-3</v>
      </c>
      <c r="AO42" s="202">
        <f t="shared" si="10"/>
        <v>5.3543974480885964E-2</v>
      </c>
      <c r="AP42" s="202">
        <f t="shared" si="10"/>
        <v>6.8274152559745074E-2</v>
      </c>
      <c r="AQ42" s="202">
        <f t="shared" si="10"/>
        <v>2.2554917255959595E-2</v>
      </c>
      <c r="AR42" s="202">
        <f t="shared" si="10"/>
        <v>9.5060344875064609E-2</v>
      </c>
      <c r="AS42" s="202">
        <f t="shared" si="10"/>
        <v>0.44507823574900207</v>
      </c>
    </row>
    <row r="43" spans="1:45" x14ac:dyDescent="0.2">
      <c r="A43" s="208">
        <f t="shared" si="8"/>
        <v>2036</v>
      </c>
      <c r="B43" s="241">
        <f t="shared" si="4"/>
        <v>2094.1294049290232</v>
      </c>
      <c r="C43" s="241">
        <f t="shared" si="3"/>
        <v>5392.3851177621045</v>
      </c>
      <c r="D43" s="242">
        <f>'LE Efficiencies'!B$54*'LE StructuralVars'!$Q43*('LE Shares'!B43/'LE Efficiencies'!B43)/('LE Shares'!B$12/'LE Efficiencies'!B$12)</f>
        <v>899.84278751882505</v>
      </c>
      <c r="E43" s="242">
        <f>'LE Efficiencies'!C$54*'LE StructuralVars'!$Q43*('LE Shares'!D43/'LE Efficiencies'!C43)/('LE Shares'!D$12/'LE Efficiencies'!C$12)</f>
        <v>837.91371276316124</v>
      </c>
      <c r="F43" s="242">
        <f t="shared" ref="F43:N49" si="11">F42</f>
        <v>47.532867390990631</v>
      </c>
      <c r="G43" s="242">
        <f>'LE Efficiencies'!E$54*'LE StructuralVars'!$Q43*('LE Shares'!G43/(1/'LE Efficiencies'!E43))/('LE Shares'!G$12/(1/'LE Efficiencies'!E$12))</f>
        <v>26.777672234144909</v>
      </c>
      <c r="H43" s="242">
        <f>'LE Efficiencies'!F$54*'LE StructuralVars'!$R43*('LE Shares'!I43/'LE Efficiencies'!F43)/('LE Shares'!I$12/'LE Efficiencies'!F$12)</f>
        <v>2710.2369425128936</v>
      </c>
      <c r="I43" s="242">
        <f>'LE Efficiencies'!G$54*'LE StructuralVars'!$R43*('LE Shares'!K43/'LE Efficiencies'!G43)/('LE Shares'!K$12/'LE Efficiencies'!G$12)</f>
        <v>2363.1021289612804</v>
      </c>
      <c r="J43" s="242">
        <f>'LE Efficiencies'!H$54*'LE StructuralVars'!$R43*('LE Shares'!N43/'LE Efficiencies'!H43)/('LE Shares'!N$12/'LE Efficiencies'!H$12)</f>
        <v>84.938548355670378</v>
      </c>
      <c r="K43" s="242">
        <f>'LE Efficiencies'!I$54*'LE StructuralVars'!$R43*('LE Shares'!O43/'LE Efficiencies'!I43)/('LE Shares'!O$12/'LE Efficiencies'!I$12)</f>
        <v>234.10749793225921</v>
      </c>
      <c r="L43" s="242">
        <f>'LE Efficiencies'!J$54*('LE Shares'!Q43/'LE Efficiencies'!J43)/('LE Shares'!Q$12/'LE Efficiencies'!J$12)</f>
        <v>2796.2760097834803</v>
      </c>
      <c r="M43" s="242">
        <f>'LE Efficiencies'!K$54*('LE Shares'!S43/(1/'LE Efficiencies'!K43))/('LE Shares'!S$12/(1/'LE Efficiencies'!K$12))</f>
        <v>609.09948672452083</v>
      </c>
      <c r="N43" s="242">
        <f t="shared" si="11"/>
        <v>463.55448289935231</v>
      </c>
      <c r="O43" s="242">
        <f>'LE Efficiencies'!M$54*('LE Shares'!V43/(1/'LE Efficiencies'!M43))/('LE Shares'!V$12/(1/'LE Efficiencies'!M$12))</f>
        <v>82.367287278248938</v>
      </c>
      <c r="P43" s="242">
        <f>'LE Efficiencies'!N$54*('LE Shares'!X43/(1/'LE Efficiencies'!N43))/('LE Shares'!X$12/(1/'LE Efficiencies'!N$12))</f>
        <v>205.74850494608154</v>
      </c>
      <c r="Q43" s="242">
        <f>'LE Efficiencies'!O$54*('LE Shares'!Z43/(1/'LE Efficiencies'!O43))/('LE Shares'!Z$12/(1/'LE Efficiencies'!O$12))</f>
        <v>258.5683339653944</v>
      </c>
      <c r="R43" s="242">
        <f>'LE Efficiencies'!P$54*('LE Shares'!AB43/(1/'LE Efficiencies'!P43))/('LE Shares'!AB$12/(1/'LE Efficiencies'!P$12))</f>
        <v>71.436936130671498</v>
      </c>
      <c r="S43" s="242">
        <f>'LE Efficiencies'!Q$54*('LE Shares'!AD43/(1/'LE Efficiencies'!Q43))/('LE Shares'!AD$12/(1/'LE Efficiencies'!Q$12))</f>
        <v>675.36853627311939</v>
      </c>
      <c r="T43" s="242">
        <f>'LE Efficiencies'!R$54*('LE Shares'!AF43/(1/'LE Efficiencies'!R43))/('LE Shares'!AF$12/(1/'LE Efficiencies'!R$12))</f>
        <v>865.65406113552081</v>
      </c>
      <c r="U43" s="242">
        <f>'LE Efficiencies'!S$54*('LE Shares'!AH43/(1/'LE Efficiencies'!S43))/('LE Shares'!AH$12/(1/'LE Efficiencies'!S$12))</f>
        <v>282.06236502190148</v>
      </c>
      <c r="V43" s="242">
        <f>'LE Efficiencies'!T$54*('LE Shares'!AI43/(1/'LE Efficiencies'!T43))/('LE Shares'!AI$12/(1/'LE Efficiencies'!T$12))</f>
        <v>1195.2775283974322</v>
      </c>
      <c r="W43" s="242">
        <f>'LE Efficiencies'!V$54*('LE Shares'!AJ43/(1/'LE Efficiencies'!X43))/('LE Shares'!AJ$12/(1/'LE Efficiencies'!X$12))</f>
        <v>5678.8844971318895</v>
      </c>
      <c r="X43" s="159">
        <f t="shared" si="2"/>
        <v>13184.298029687612</v>
      </c>
      <c r="Y43" s="208">
        <f t="shared" si="9"/>
        <v>2036</v>
      </c>
      <c r="Z43" s="202">
        <f t="shared" si="7"/>
        <v>7.1625842840672499E-2</v>
      </c>
      <c r="AA43" s="202">
        <f t="shared" si="7"/>
        <v>6.6696401567993932E-2</v>
      </c>
      <c r="AB43" s="202">
        <f t="shared" si="7"/>
        <v>3.7835294528516701E-3</v>
      </c>
      <c r="AC43" s="202">
        <f t="shared" si="7"/>
        <v>2.1314538158053284E-3</v>
      </c>
      <c r="AD43" s="202">
        <f t="shared" si="7"/>
        <v>0.21572991193347998</v>
      </c>
      <c r="AE43" s="202">
        <f t="shared" si="7"/>
        <v>0.18809861461705421</v>
      </c>
      <c r="AF43" s="202">
        <f t="shared" si="7"/>
        <v>6.760953357656193E-3</v>
      </c>
      <c r="AG43" s="202">
        <f t="shared" si="7"/>
        <v>1.8634529372574721E-2</v>
      </c>
      <c r="AH43" s="202">
        <f t="shared" si="7"/>
        <v>0.22257846458729805</v>
      </c>
      <c r="AI43" s="202">
        <f t="shared" si="10"/>
        <v>4.8483206973031517E-2</v>
      </c>
      <c r="AJ43" s="202">
        <f t="shared" si="10"/>
        <v>3.689809042287135E-2</v>
      </c>
      <c r="AK43" s="202">
        <f t="shared" si="10"/>
        <v>6.5562856708244266E-3</v>
      </c>
      <c r="AL43" s="202">
        <f t="shared" si="10"/>
        <v>1.6377205312281356E-2</v>
      </c>
      <c r="AM43" s="202">
        <f t="shared" si="10"/>
        <v>2.0581567257149807E-2</v>
      </c>
      <c r="AN43" s="202">
        <f t="shared" si="10"/>
        <v>5.6862496774833481E-3</v>
      </c>
      <c r="AO43" s="202">
        <f t="shared" si="10"/>
        <v>5.3758102314757375E-2</v>
      </c>
      <c r="AP43" s="202">
        <f t="shared" si="10"/>
        <v>6.8904482646626297E-2</v>
      </c>
      <c r="AQ43" s="202">
        <f t="shared" si="10"/>
        <v>2.2451649230899085E-2</v>
      </c>
      <c r="AR43" s="202">
        <f t="shared" si="10"/>
        <v>9.5141908772804262E-2</v>
      </c>
      <c r="AS43" s="202">
        <f t="shared" si="10"/>
        <v>0.45202883675209848</v>
      </c>
    </row>
    <row r="44" spans="1:45" x14ac:dyDescent="0.2">
      <c r="A44" s="208">
        <f t="shared" si="8"/>
        <v>2037</v>
      </c>
      <c r="B44" s="241">
        <f t="shared" si="4"/>
        <v>2097.4019453653541</v>
      </c>
      <c r="C44" s="241">
        <f t="shared" si="3"/>
        <v>5421.8176220074747</v>
      </c>
      <c r="D44" s="242">
        <f>'LE Efficiencies'!B$54*'LE StructuralVars'!$Q44*('LE Shares'!B44/'LE Efficiencies'!B44)/('LE Shares'!B$12/'LE Efficiencies'!B$12)</f>
        <v>896.59691950212562</v>
      </c>
      <c r="E44" s="242">
        <f>'LE Efficiencies'!C$54*'LE StructuralVars'!$Q44*('LE Shares'!D44/'LE Efficiencies'!C44)/('LE Shares'!D$12/'LE Efficiencies'!C$12)</f>
        <v>846.98287046227767</v>
      </c>
      <c r="F44" s="242">
        <f t="shared" si="11"/>
        <v>47.532867390990631</v>
      </c>
      <c r="G44" s="242">
        <f>'LE Efficiencies'!E$54*'LE StructuralVars'!$Q44*('LE Shares'!G44/(1/'LE Efficiencies'!E44))/('LE Shares'!G$12/(1/'LE Efficiencies'!E$12))</f>
        <v>25.518349733240427</v>
      </c>
      <c r="H44" s="242">
        <f>'LE Efficiencies'!F$54*'LE StructuralVars'!$R44*('LE Shares'!I44/'LE Efficiencies'!F44)/('LE Shares'!I$12/'LE Efficiencies'!F$12)</f>
        <v>2715.4689206392759</v>
      </c>
      <c r="I44" s="242">
        <f>'LE Efficiencies'!G$54*'LE StructuralVars'!$R44*('LE Shares'!K44/'LE Efficiencies'!G44)/('LE Shares'!K$12/'LE Efficiencies'!G$12)</f>
        <v>2389.564409820754</v>
      </c>
      <c r="J44" s="242">
        <f>'LE Efficiencies'!H$54*'LE StructuralVars'!$R44*('LE Shares'!N44/'LE Efficiencies'!H44)/('LE Shares'!N$12/'LE Efficiencies'!H$12)</f>
        <v>84.504978284520035</v>
      </c>
      <c r="K44" s="242">
        <f>'LE Efficiencies'!I$54*'LE StructuralVars'!$R44*('LE Shares'!O44/'LE Efficiencies'!I44)/('LE Shares'!O$12/'LE Efficiencies'!I$12)</f>
        <v>232.27931326292526</v>
      </c>
      <c r="L44" s="242">
        <f>'LE Efficiencies'!J$54*('LE Shares'!Q44/'LE Efficiencies'!J44)/('LE Shares'!Q$12/'LE Efficiencies'!J$12)</f>
        <v>2798.2767111969588</v>
      </c>
      <c r="M44" s="242">
        <f>'LE Efficiencies'!K$54*('LE Shares'!S44/(1/'LE Efficiencies'!K44))/('LE Shares'!S$12/(1/'LE Efficiencies'!K$12))</f>
        <v>609.77295474009497</v>
      </c>
      <c r="N44" s="242">
        <f t="shared" si="11"/>
        <v>463.55448289935231</v>
      </c>
      <c r="O44" s="242">
        <f>'LE Efficiencies'!M$54*('LE Shares'!V44/(1/'LE Efficiencies'!M44))/('LE Shares'!V$12/(1/'LE Efficiencies'!M$12))</f>
        <v>82.085510013232224</v>
      </c>
      <c r="P44" s="242">
        <f>'LE Efficiencies'!N$54*('LE Shares'!X44/(1/'LE Efficiencies'!N44))/('LE Shares'!X$12/(1/'LE Efficiencies'!N$12))</f>
        <v>205.1116537201643</v>
      </c>
      <c r="Q44" s="242">
        <f>'LE Efficiencies'!O$54*('LE Shares'!Z44/(1/'LE Efficiencies'!O44))/('LE Shares'!Z$12/(1/'LE Efficiencies'!O$12))</f>
        <v>259.85694739230422</v>
      </c>
      <c r="R44" s="242">
        <f>'LE Efficiencies'!P$54*('LE Shares'!AB44/(1/'LE Efficiencies'!P44))/('LE Shares'!AB$12/(1/'LE Efficiencies'!P$12))</f>
        <v>71.480780911694396</v>
      </c>
      <c r="S44" s="242">
        <f>'LE Efficiencies'!Q$54*('LE Shares'!AD44/(1/'LE Efficiencies'!Q44))/('LE Shares'!AD$12/(1/'LE Efficiencies'!Q$12))</f>
        <v>678.06794247010043</v>
      </c>
      <c r="T44" s="242">
        <f>'LE Efficiencies'!R$54*('LE Shares'!AF44/(1/'LE Efficiencies'!R44))/('LE Shares'!AF$12/(1/'LE Efficiencies'!R$12))</f>
        <v>873.64607244737397</v>
      </c>
      <c r="U44" s="242">
        <f>'LE Efficiencies'!S$54*('LE Shares'!AH44/(1/'LE Efficiencies'!S44))/('LE Shares'!AH$12/(1/'LE Efficiencies'!S$12))</f>
        <v>280.77093827671985</v>
      </c>
      <c r="V44" s="242">
        <f>'LE Efficiencies'!T$54*('LE Shares'!AI44/(1/'LE Efficiencies'!T44))/('LE Shares'!AI$12/(1/'LE Efficiencies'!T$12))</f>
        <v>1196.3031031965222</v>
      </c>
      <c r="W44" s="242">
        <f>'LE Efficiencies'!V$54*('LE Shares'!AJ44/(1/'LE Efficiencies'!X44))/('LE Shares'!AJ$12/(1/'LE Efficiencies'!X$12))</f>
        <v>5767.5692655879529</v>
      </c>
      <c r="X44" s="159">
        <f t="shared" si="2"/>
        <v>13286.496362852471</v>
      </c>
      <c r="Y44" s="208">
        <f t="shared" si="9"/>
        <v>2037</v>
      </c>
      <c r="Z44" s="202">
        <f t="shared" si="7"/>
        <v>7.1367477673256172E-2</v>
      </c>
      <c r="AA44" s="202">
        <f t="shared" si="7"/>
        <v>6.7418289961237957E-2</v>
      </c>
      <c r="AB44" s="202">
        <f t="shared" si="7"/>
        <v>3.7835294528516701E-3</v>
      </c>
      <c r="AC44" s="202">
        <f t="shared" si="7"/>
        <v>2.0312140441623066E-3</v>
      </c>
      <c r="AD44" s="202">
        <f t="shared" si="7"/>
        <v>0.21614636783913813</v>
      </c>
      <c r="AE44" s="202">
        <f t="shared" si="7"/>
        <v>0.19020496385531685</v>
      </c>
      <c r="AF44" s="202">
        <f t="shared" si="7"/>
        <v>6.7264419716592432E-3</v>
      </c>
      <c r="AG44" s="202">
        <f t="shared" si="7"/>
        <v>1.8489009211024615E-2</v>
      </c>
      <c r="AH44" s="202">
        <f t="shared" si="7"/>
        <v>0.22273771676667936</v>
      </c>
      <c r="AI44" s="202">
        <f t="shared" si="10"/>
        <v>4.8536813797368843E-2</v>
      </c>
      <c r="AJ44" s="202">
        <f t="shared" si="10"/>
        <v>3.689809042287135E-2</v>
      </c>
      <c r="AK44" s="202">
        <f t="shared" si="10"/>
        <v>6.5338567150333695E-3</v>
      </c>
      <c r="AL44" s="202">
        <f t="shared" si="10"/>
        <v>1.6326513117541189E-2</v>
      </c>
      <c r="AM44" s="202">
        <f t="shared" si="10"/>
        <v>2.0684138533019807E-2</v>
      </c>
      <c r="AN44" s="202">
        <f t="shared" si="10"/>
        <v>5.6897396419954699E-3</v>
      </c>
      <c r="AO44" s="202">
        <f t="shared" si="10"/>
        <v>5.3972970119122651E-2</v>
      </c>
      <c r="AP44" s="202">
        <f t="shared" si="10"/>
        <v>6.9540632154233145E-2</v>
      </c>
      <c r="AQ44" s="202">
        <f t="shared" si="10"/>
        <v>2.2348854020031558E-2</v>
      </c>
      <c r="AR44" s="202">
        <f t="shared" si="10"/>
        <v>9.5223542654188725E-2</v>
      </c>
      <c r="AS44" s="202">
        <f t="shared" si="10"/>
        <v>0.45908798238942744</v>
      </c>
    </row>
    <row r="45" spans="1:45" x14ac:dyDescent="0.2">
      <c r="A45" s="208">
        <f t="shared" si="8"/>
        <v>2038</v>
      </c>
      <c r="B45" s="241">
        <f t="shared" si="4"/>
        <v>2103.97360815704</v>
      </c>
      <c r="C45" s="241">
        <f t="shared" si="3"/>
        <v>5451.224603432358</v>
      </c>
      <c r="D45" s="242">
        <f>'LE Efficiencies'!B$54*'LE StructuralVars'!$Q45*('LE Shares'!B45/'LE Efficiencies'!B45)/('LE Shares'!B$12/'LE Efficiencies'!B$12)</f>
        <v>896.59691950212562</v>
      </c>
      <c r="E45" s="242">
        <f>'LE Efficiencies'!C$54*'LE StructuralVars'!$Q45*('LE Shares'!D45/'LE Efficiencies'!C45)/('LE Shares'!D$12/'LE Efficiencies'!C$12)</f>
        <v>856.04731986942795</v>
      </c>
      <c r="F45" s="242">
        <f t="shared" si="11"/>
        <v>47.532867390990631</v>
      </c>
      <c r="G45" s="242">
        <f>'LE Efficiencies'!E$54*'LE StructuralVars'!$Q45*('LE Shares'!G45/(1/'LE Efficiencies'!E45))/('LE Shares'!G$12/(1/'LE Efficiencies'!E$12))</f>
        <v>24.311077046343637</v>
      </c>
      <c r="H45" s="242">
        <f>'LE Efficiencies'!F$54*'LE StructuralVars'!$R45*('LE Shares'!I45/'LE Efficiencies'!F45)/('LE Shares'!I$12/'LE Efficiencies'!F$12)</f>
        <v>2720.6960551563461</v>
      </c>
      <c r="I45" s="242">
        <f>'LE Efficiencies'!G$54*'LE StructuralVars'!$R45*('LE Shares'!K45/'LE Efficiencies'!G45)/('LE Shares'!K$12/'LE Efficiencies'!G$12)</f>
        <v>2416.0016198996982</v>
      </c>
      <c r="J45" s="242">
        <f>'LE Efficiencies'!H$54*'LE StructuralVars'!$R45*('LE Shares'!N45/'LE Efficiencies'!H45)/('LE Shares'!N$12/'LE Efficiencies'!H$12)</f>
        <v>84.075812063480484</v>
      </c>
      <c r="K45" s="242">
        <f>'LE Efficiencies'!I$54*'LE StructuralVars'!$R45*('LE Shares'!O45/'LE Efficiencies'!I45)/('LE Shares'!O$12/'LE Efficiencies'!I$12)</f>
        <v>230.45111631283388</v>
      </c>
      <c r="L45" s="242">
        <f>'LE Efficiencies'!J$54*('LE Shares'!Q45/'LE Efficiencies'!J45)/('LE Shares'!Q$12/'LE Efficiencies'!J$12)</f>
        <v>2800.2742062414027</v>
      </c>
      <c r="M45" s="242">
        <f>'LE Efficiencies'!K$54*('LE Shares'!S45/(1/'LE Efficiencies'!K45))/('LE Shares'!S$12/(1/'LE Efficiencies'!K$12))</f>
        <v>610.44612900237883</v>
      </c>
      <c r="N45" s="242">
        <f t="shared" si="11"/>
        <v>463.55448289935231</v>
      </c>
      <c r="O45" s="242">
        <f>'LE Efficiencies'!M$54*('LE Shares'!V45/(1/'LE Efficiencies'!M45))/('LE Shares'!V$12/(1/'LE Efficiencies'!M$12))</f>
        <v>81.804130281716567</v>
      </c>
      <c r="P45" s="242">
        <f>'LE Efficiencies'!N$54*('LE Shares'!X45/(1/'LE Efficiencies'!N45))/('LE Shares'!X$12/(1/'LE Efficiencies'!N$12))</f>
        <v>204.47577737940492</v>
      </c>
      <c r="Q45" s="242">
        <f>'LE Efficiencies'!O$54*('LE Shares'!Z45/(1/'LE Efficiencies'!O45))/('LE Shares'!Z$12/(1/'LE Efficiencies'!O$12))</f>
        <v>261.14556328284266</v>
      </c>
      <c r="R45" s="242">
        <f>'LE Efficiencies'!P$54*('LE Shares'!AB45/(1/'LE Efficiencies'!P45))/('LE Shares'!AB$12/(1/'LE Efficiencies'!P$12))</f>
        <v>71.52462779423962</v>
      </c>
      <c r="S45" s="242">
        <f>'LE Efficiencies'!Q$54*('LE Shares'!AD45/(1/'LE Efficiencies'!Q45))/('LE Shares'!AD$12/(1/'LE Efficiencies'!Q$12))</f>
        <v>680.77667478740852</v>
      </c>
      <c r="T45" s="242">
        <f>'LE Efficiencies'!R$54*('LE Shares'!AF45/(1/'LE Efficiencies'!R45))/('LE Shares'!AF$12/(1/'LE Efficiencies'!R$12))</f>
        <v>881.71186871291286</v>
      </c>
      <c r="U45" s="242">
        <f>'LE Efficiencies'!S$54*('LE Shares'!AH45/(1/'LE Efficiencies'!S45))/('LE Shares'!AH$12/(1/'LE Efficiencies'!S$12))</f>
        <v>279.48542434815238</v>
      </c>
      <c r="V45" s="242">
        <f>'LE Efficiencies'!T$54*('LE Shares'!AI45/(1/'LE Efficiencies'!T45))/('LE Shares'!AI$12/(1/'LE Efficiencies'!T$12))</f>
        <v>1197.3295579616827</v>
      </c>
      <c r="W45" s="242">
        <f>'LE Efficiencies'!V$54*('LE Shares'!AJ45/(1/'LE Efficiencies'!X45))/('LE Shares'!AJ$12/(1/'LE Efficiencies'!X$12))</f>
        <v>5857.6389870502062</v>
      </c>
      <c r="X45" s="159">
        <f t="shared" si="2"/>
        <v>13390.167429741701</v>
      </c>
      <c r="Y45" s="208">
        <f t="shared" si="9"/>
        <v>2038</v>
      </c>
      <c r="Z45" s="202">
        <f t="shared" si="7"/>
        <v>7.1367477673256172E-2</v>
      </c>
      <c r="AA45" s="202">
        <f t="shared" si="7"/>
        <v>6.8139803583038464E-2</v>
      </c>
      <c r="AB45" s="202">
        <f t="shared" si="7"/>
        <v>3.7835294528516701E-3</v>
      </c>
      <c r="AC45" s="202">
        <f t="shared" si="7"/>
        <v>1.9351173426752186E-3</v>
      </c>
      <c r="AD45" s="202">
        <f t="shared" si="7"/>
        <v>0.21656243820233909</v>
      </c>
      <c r="AE45" s="202">
        <f t="shared" si="7"/>
        <v>0.1923093175052267</v>
      </c>
      <c r="AF45" s="202">
        <f t="shared" si="7"/>
        <v>6.6922811240900095E-3</v>
      </c>
      <c r="AG45" s="202">
        <f t="shared" si="7"/>
        <v>1.8343488071948636E-2</v>
      </c>
      <c r="AH45" s="202">
        <f t="shared" si="7"/>
        <v>0.2228967137249401</v>
      </c>
      <c r="AI45" s="202">
        <f t="shared" si="10"/>
        <v>4.8590397239480637E-2</v>
      </c>
      <c r="AJ45" s="202">
        <f t="shared" si="10"/>
        <v>3.689809042287135E-2</v>
      </c>
      <c r="AK45" s="202">
        <f t="shared" si="10"/>
        <v>6.5114594021831295E-3</v>
      </c>
      <c r="AL45" s="202">
        <f t="shared" si="10"/>
        <v>1.6275898521879523E-2</v>
      </c>
      <c r="AM45" s="202">
        <f t="shared" si="10"/>
        <v>2.0786710004990147E-2</v>
      </c>
      <c r="AN45" s="202">
        <f t="shared" si="10"/>
        <v>5.6932297737849321E-3</v>
      </c>
      <c r="AO45" s="202">
        <f t="shared" si="10"/>
        <v>5.4188580265637165E-2</v>
      </c>
      <c r="AP45" s="202">
        <f t="shared" si="10"/>
        <v>7.018265480942755E-2</v>
      </c>
      <c r="AQ45" s="202">
        <f t="shared" si="10"/>
        <v>2.2246529458570155E-2</v>
      </c>
      <c r="AR45" s="202">
        <f t="shared" si="10"/>
        <v>9.5305246579265646E-2</v>
      </c>
      <c r="AS45" s="202">
        <f t="shared" si="10"/>
        <v>0.46625736775722815</v>
      </c>
    </row>
    <row r="46" spans="1:45" x14ac:dyDescent="0.2">
      <c r="A46" s="208">
        <f t="shared" si="8"/>
        <v>2039</v>
      </c>
      <c r="B46" s="241">
        <f t="shared" si="4"/>
        <v>2110.5964939906089</v>
      </c>
      <c r="C46" s="241">
        <f t="shared" si="3"/>
        <v>5480.6060376143996</v>
      </c>
      <c r="D46" s="242">
        <f>'LE Efficiencies'!B$54*'LE StructuralVars'!$Q46*('LE Shares'!B46/'LE Efficiencies'!B46)/('LE Shares'!B$12/'LE Efficiencies'!B$12)</f>
        <v>896.59691950212562</v>
      </c>
      <c r="E46" s="242">
        <f>'LE Efficiencies'!C$54*'LE StructuralVars'!$Q46*('LE Shares'!D46/'LE Efficiencies'!C46)/('LE Shares'!D$12/'LE Efficiencies'!C$12)</f>
        <v>865.10706465015494</v>
      </c>
      <c r="F46" s="242">
        <f t="shared" si="11"/>
        <v>47.532867390990631</v>
      </c>
      <c r="G46" s="242">
        <f>'LE Efficiencies'!E$54*'LE StructuralVars'!$Q46*('LE Shares'!G46/(1/'LE Efficiencies'!E46))/('LE Shares'!G$12/(1/'LE Efficiencies'!E$12))</f>
        <v>23.153846283057717</v>
      </c>
      <c r="H46" s="242">
        <f>'LE Efficiencies'!F$54*'LE StructuralVars'!$R46*('LE Shares'!I46/'LE Efficiencies'!F46)/('LE Shares'!I$12/'LE Efficiencies'!F$12)</f>
        <v>2725.9183527870964</v>
      </c>
      <c r="I46" s="242">
        <f>'LE Efficiencies'!G$54*'LE StructuralVars'!$R46*('LE Shares'!K46/'LE Efficiencies'!G46)/('LE Shares'!K$12/'LE Efficiencies'!G$12)</f>
        <v>2442.4137948099187</v>
      </c>
      <c r="J46" s="242">
        <f>'LE Efficiencies'!H$54*'LE StructuralVars'!$R46*('LE Shares'!N46/'LE Efficiencies'!H46)/('LE Shares'!N$12/'LE Efficiencies'!H$12)</f>
        <v>83.650982935522975</v>
      </c>
      <c r="K46" s="242">
        <f>'LE Efficiencies'!I$54*'LE StructuralVars'!$R46*('LE Shares'!O46/'LE Efficiencies'!I46)/('LE Shares'!O$12/'LE Efficiencies'!I$12)</f>
        <v>228.62290708186131</v>
      </c>
      <c r="L46" s="242">
        <f>'LE Efficiencies'!J$54*('LE Shares'!Q46/'LE Efficiencies'!J46)/('LE Shares'!Q$12/'LE Efficiencies'!J$12)</f>
        <v>2802.2685026185404</v>
      </c>
      <c r="M46" s="242">
        <f>'LE Efficiencies'!K$54*('LE Shares'!S46/(1/'LE Efficiencies'!K46))/('LE Shares'!S$12/(1/'LE Efficiencies'!K$12))</f>
        <v>611.11900960193486</v>
      </c>
      <c r="N46" s="242">
        <f t="shared" si="11"/>
        <v>463.55448289935231</v>
      </c>
      <c r="O46" s="242">
        <f>'LE Efficiencies'!M$54*('LE Shares'!V46/(1/'LE Efficiencies'!M46))/('LE Shares'!V$12/(1/'LE Efficiencies'!M$12))</f>
        <v>81.523147991676325</v>
      </c>
      <c r="P46" s="242">
        <f>'LE Efficiencies'!N$54*('LE Shares'!X46/(1/'LE Efficiencies'!N46))/('LE Shares'!X$12/(1/'LE Efficiencies'!N$12))</f>
        <v>203.8408759238034</v>
      </c>
      <c r="Q46" s="242">
        <f>'LE Efficiencies'!O$54*('LE Shares'!Z46/(1/'LE Efficiencies'!O46))/('LE Shares'!Z$12/(1/'LE Efficiencies'!O$12))</f>
        <v>262.43418163701324</v>
      </c>
      <c r="R46" s="242">
        <f>'LE Efficiencies'!P$54*('LE Shares'!AB46/(1/'LE Efficiencies'!P46))/('LE Shares'!AB$12/(1/'LE Efficiencies'!P$12))</f>
        <v>71.568476778383754</v>
      </c>
      <c r="S46" s="242">
        <f>'LE Efficiencies'!Q$54*('LE Shares'!AD46/(1/'LE Efficiencies'!Q46))/('LE Shares'!AD$12/(1/'LE Efficiencies'!Q$12))</f>
        <v>683.4947631115889</v>
      </c>
      <c r="T46" s="242">
        <f>'LE Efficiencies'!R$54*('LE Shares'!AF46/(1/'LE Efficiencies'!R46))/('LE Shares'!AF$12/(1/'LE Efficiencies'!R$12))</f>
        <v>889.85213113980535</v>
      </c>
      <c r="U46" s="242">
        <f>'LE Efficiencies'!S$54*('LE Shares'!AH46/(1/'LE Efficiencies'!S46))/('LE Shares'!AH$12/(1/'LE Efficiencies'!S$12))</f>
        <v>278.20579616428023</v>
      </c>
      <c r="V46" s="242">
        <f>'LE Efficiencies'!T$54*('LE Shares'!AI46/(1/'LE Efficiencies'!T46))/('LE Shares'!AI$12/(1/'LE Efficiencies'!T$12))</f>
        <v>1198.356893447942</v>
      </c>
      <c r="W46" s="242">
        <f>'LE Efficiencies'!V$54*('LE Shares'!AJ46/(1/'LE Efficiencies'!X46))/('LE Shares'!AJ$12/(1/'LE Efficiencies'!X$12))</f>
        <v>5949.1152897515767</v>
      </c>
      <c r="X46" s="159">
        <f t="shared" si="2"/>
        <v>13495.333551065898</v>
      </c>
      <c r="Y46" s="208">
        <f t="shared" si="9"/>
        <v>2039</v>
      </c>
      <c r="Z46" s="202">
        <f t="shared" si="7"/>
        <v>7.1367477673256172E-2</v>
      </c>
      <c r="AA46" s="202">
        <f t="shared" si="7"/>
        <v>6.8860942725165963E-2</v>
      </c>
      <c r="AB46" s="202">
        <f t="shared" si="7"/>
        <v>3.7835294528516701E-3</v>
      </c>
      <c r="AC46" s="202">
        <f t="shared" si="7"/>
        <v>1.8430038869347348E-3</v>
      </c>
      <c r="AD46" s="202">
        <f t="shared" si="7"/>
        <v>0.21697812355822077</v>
      </c>
      <c r="AE46" s="202">
        <f t="shared" si="7"/>
        <v>0.19441167840141849</v>
      </c>
      <c r="AF46" s="202">
        <f t="shared" si="7"/>
        <v>6.6584655012108989E-3</v>
      </c>
      <c r="AG46" s="202">
        <f t="shared" si="7"/>
        <v>1.8197965955336941E-2</v>
      </c>
      <c r="AH46" s="202">
        <f t="shared" si="7"/>
        <v>0.22305545607512381</v>
      </c>
      <c r="AI46" s="202">
        <f t="shared" si="10"/>
        <v>4.8643957306575503E-2</v>
      </c>
      <c r="AJ46" s="202">
        <f t="shared" si="10"/>
        <v>3.689809042287135E-2</v>
      </c>
      <c r="AK46" s="202">
        <f t="shared" si="10"/>
        <v>6.4890937249486337E-3</v>
      </c>
      <c r="AL46" s="202">
        <f t="shared" si="10"/>
        <v>1.6225361525296352E-2</v>
      </c>
      <c r="AM46" s="202">
        <f t="shared" si="10"/>
        <v>2.0889281673061106E-2</v>
      </c>
      <c r="AN46" s="202">
        <f t="shared" si="10"/>
        <v>5.6967200728578306E-3</v>
      </c>
      <c r="AO46" s="202">
        <f t="shared" si="10"/>
        <v>5.4404935133215336E-2</v>
      </c>
      <c r="AP46" s="202">
        <f t="shared" si="10"/>
        <v>7.0830604835096053E-2</v>
      </c>
      <c r="AQ46" s="202">
        <f t="shared" si="10"/>
        <v>2.2144673391639572E-2</v>
      </c>
      <c r="AR46" s="202">
        <f t="shared" si="10"/>
        <v>9.5387020608133893E-2</v>
      </c>
      <c r="AS46" s="202">
        <f t="shared" si="10"/>
        <v>0.47353871442335022</v>
      </c>
    </row>
    <row r="47" spans="1:45" x14ac:dyDescent="0.2">
      <c r="A47" s="208">
        <f t="shared" si="8"/>
        <v>2040</v>
      </c>
      <c r="B47" s="241">
        <f t="shared" si="4"/>
        <v>2117.2686458847111</v>
      </c>
      <c r="C47" s="241">
        <f t="shared" si="3"/>
        <v>5509.9619013938836</v>
      </c>
      <c r="D47" s="242">
        <f>'LE Efficiencies'!B$54*'LE StructuralVars'!$Q47*('LE Shares'!B47/'LE Efficiencies'!B47)/('LE Shares'!B$12/'LE Efficiencies'!B$12)</f>
        <v>896.59691950212562</v>
      </c>
      <c r="E47" s="242">
        <f>'LE Efficiencies'!C$54*'LE StructuralVars'!$Q47*('LE Shares'!D47/'LE Efficiencies'!C47)/('LE Shares'!D$12/'LE Efficiencies'!C$12)</f>
        <v>874.16210846619856</v>
      </c>
      <c r="F47" s="242">
        <f t="shared" si="11"/>
        <v>47.532867390990631</v>
      </c>
      <c r="G47" s="242">
        <f>'LE Efficiencies'!E$54*'LE StructuralVars'!$Q47*('LE Shares'!G47/(1/'LE Efficiencies'!E47))/('LE Shares'!G$12/(1/'LE Efficiencies'!E$12))</f>
        <v>22.04472374826284</v>
      </c>
      <c r="H47" s="242">
        <f>'LE Efficiencies'!F$54*'LE StructuralVars'!$R47*('LE Shares'!I47/'LE Efficiencies'!F47)/('LE Shares'!I$12/'LE Efficiencies'!F$12)</f>
        <v>2731.1358202420806</v>
      </c>
      <c r="I47" s="242">
        <f>'LE Efficiencies'!G$54*'LE StructuralVars'!$R47*('LE Shares'!K47/'LE Efficiencies'!G47)/('LE Shares'!K$12/'LE Efficiencies'!G$12)</f>
        <v>2468.80097009581</v>
      </c>
      <c r="J47" s="242">
        <f>'LE Efficiencies'!H$54*'LE StructuralVars'!$R47*('LE Shares'!N47/'LE Efficiencies'!H47)/('LE Shares'!N$12/'LE Efficiencies'!H$12)</f>
        <v>83.230425486109368</v>
      </c>
      <c r="K47" s="242">
        <f>'LE Efficiencies'!I$54*'LE StructuralVars'!$R47*('LE Shares'!O47/'LE Efficiencies'!I47)/('LE Shares'!O$12/'LE Efficiencies'!I$12)</f>
        <v>226.7946855698838</v>
      </c>
      <c r="L47" s="242">
        <f>'LE Efficiencies'!J$54*('LE Shares'!Q47/'LE Efficiencies'!J47)/('LE Shares'!Q$12/'LE Efficiencies'!J$12)</f>
        <v>2804.2596080054523</v>
      </c>
      <c r="M47" s="242">
        <f>'LE Efficiencies'!K$54*('LE Shares'!S47/(1/'LE Efficiencies'!K47))/('LE Shares'!S$12/(1/'LE Efficiencies'!K$12))</f>
        <v>611.79159662930192</v>
      </c>
      <c r="N47" s="242">
        <f t="shared" si="11"/>
        <v>463.55448289935231</v>
      </c>
      <c r="O47" s="242">
        <f>'LE Efficiencies'!M$54*('LE Shares'!V47/(1/'LE Efficiencies'!M47))/('LE Shares'!V$12/(1/'LE Efficiencies'!M$12))</f>
        <v>81.242563051104824</v>
      </c>
      <c r="P47" s="242">
        <f>'LE Efficiencies'!N$54*('LE Shares'!X47/(1/'LE Efficiencies'!N47))/('LE Shares'!X$12/(1/'LE Efficiencies'!N$12))</f>
        <v>203.20694935335979</v>
      </c>
      <c r="Q47" s="242">
        <f>'LE Efficiencies'!O$54*('LE Shares'!Z47/(1/'LE Efficiencies'!O47))/('LE Shares'!Z$12/(1/'LE Efficiencies'!O$12))</f>
        <v>263.72280245481954</v>
      </c>
      <c r="R47" s="242">
        <f>'LE Efficiencies'!P$54*('LE Shares'!AB47/(1/'LE Efficiencies'!P47))/('LE Shares'!AB$12/(1/'LE Efficiencies'!P$12))</f>
        <v>71.612327864203351</v>
      </c>
      <c r="S47" s="242">
        <f>'LE Efficiencies'!Q$54*('LE Shares'!AD47/(1/'LE Efficiencies'!Q47))/('LE Shares'!AD$12/(1/'LE Efficiencies'!Q$12))</f>
        <v>686.2222374206541</v>
      </c>
      <c r="T47" s="242">
        <f>'LE Efficiencies'!R$54*('LE Shares'!AF47/(1/'LE Efficiencies'!R47))/('LE Shares'!AF$12/(1/'LE Efficiencies'!R$12))</f>
        <v>898.06754722486016</v>
      </c>
      <c r="U47" s="242">
        <f>'LE Efficiencies'!S$54*('LE Shares'!AH47/(1/'LE Efficiencies'!S47))/('LE Shares'!AH$12/(1/'LE Efficiencies'!S$12))</f>
        <v>276.93202677713339</v>
      </c>
      <c r="V47" s="242">
        <f>'LE Efficiencies'!T$54*('LE Shares'!AI47/(1/'LE Efficiencies'!T47))/('LE Shares'!AI$12/(1/'LE Efficiencies'!T$12))</f>
        <v>1199.3851104109797</v>
      </c>
      <c r="W47" s="242">
        <f>'LE Efficiencies'!V$54*('LE Shares'!AJ47/(1/'LE Efficiencies'!X47))/('LE Shares'!AJ$12/(1/'LE Efficiencies'!X$12))</f>
        <v>6042.0201396840775</v>
      </c>
      <c r="X47" s="159">
        <f t="shared" si="2"/>
        <v>13602.017391775298</v>
      </c>
      <c r="Y47" s="208">
        <f t="shared" si="9"/>
        <v>2040</v>
      </c>
      <c r="Z47" s="202">
        <f t="shared" si="7"/>
        <v>7.1367477673256172E-2</v>
      </c>
      <c r="AA47" s="202">
        <f t="shared" si="7"/>
        <v>6.9581707679088292E-2</v>
      </c>
      <c r="AB47" s="202">
        <f t="shared" si="7"/>
        <v>3.7835294528516701E-3</v>
      </c>
      <c r="AC47" s="202">
        <f t="shared" si="7"/>
        <v>1.7547197583401004E-3</v>
      </c>
      <c r="AD47" s="202">
        <f t="shared" si="7"/>
        <v>0.21739342444093104</v>
      </c>
      <c r="AE47" s="202">
        <f t="shared" si="7"/>
        <v>0.19651204937316114</v>
      </c>
      <c r="AF47" s="202">
        <f t="shared" si="7"/>
        <v>6.6249898961441159E-3</v>
      </c>
      <c r="AG47" s="202">
        <f t="shared" si="7"/>
        <v>1.8052442861179675E-2</v>
      </c>
      <c r="AH47" s="202">
        <f t="shared" si="7"/>
        <v>0.22321394442831202</v>
      </c>
      <c r="AI47" s="202">
        <f t="shared" si="10"/>
        <v>4.8697494005860167E-2</v>
      </c>
      <c r="AJ47" s="202">
        <f t="shared" si="10"/>
        <v>3.689809042287135E-2</v>
      </c>
      <c r="AK47" s="202">
        <f t="shared" si="10"/>
        <v>6.4667596760063202E-3</v>
      </c>
      <c r="AL47" s="202">
        <f t="shared" si="10"/>
        <v>1.6174902127791685E-2</v>
      </c>
      <c r="AM47" s="202">
        <f t="shared" si="10"/>
        <v>2.0991853537232971E-2</v>
      </c>
      <c r="AN47" s="202">
        <f t="shared" si="10"/>
        <v>5.7002105392202577E-3</v>
      </c>
      <c r="AO47" s="202">
        <f t="shared" si="10"/>
        <v>5.4622037108052232E-2</v>
      </c>
      <c r="AP47" s="202">
        <f t="shared" si="10"/>
        <v>7.1484536954729283E-2</v>
      </c>
      <c r="AQ47" s="202">
        <f t="shared" si="10"/>
        <v>2.2043283674230595E-2</v>
      </c>
      <c r="AR47" s="202">
        <f t="shared" si="10"/>
        <v>9.54688648009442E-2</v>
      </c>
      <c r="AS47" s="202">
        <f t="shared" si="10"/>
        <v>0.48093377084064948</v>
      </c>
    </row>
    <row r="48" spans="1:45" x14ac:dyDescent="0.2">
      <c r="A48" s="208">
        <f t="shared" si="8"/>
        <v>2041</v>
      </c>
      <c r="B48" s="241">
        <f t="shared" si="4"/>
        <v>2123.9881785106854</v>
      </c>
      <c r="C48" s="241">
        <f t="shared" si="3"/>
        <v>5539.292172840348</v>
      </c>
      <c r="D48" s="242">
        <f>'LE Efficiencies'!B$54*'LE StructuralVars'!$Q48*('LE Shares'!B48/'LE Efficiencies'!B48)/('LE Shares'!B$12/'LE Efficiencies'!B$12)</f>
        <v>896.59691950212562</v>
      </c>
      <c r="E48" s="242">
        <f>'LE Efficiencies'!C$54*'LE StructuralVars'!$Q48*('LE Shares'!D48/'LE Efficiencies'!C48)/('LE Shares'!D$12/'LE Efficiencies'!C$12)</f>
        <v>883.21245497549876</v>
      </c>
      <c r="F48" s="242">
        <f t="shared" si="11"/>
        <v>47.532867390990631</v>
      </c>
      <c r="G48" s="242">
        <f>'LE Efficiencies'!E$54*'LE StructuralVars'!$Q48*('LE Shares'!G48/(1/'LE Efficiencies'!E48))/('LE Shares'!G$12/(1/'LE Efficiencies'!E$12))</f>
        <v>20.981847279946749</v>
      </c>
      <c r="H48" s="242">
        <f>'LE Efficiencies'!F$54*'LE StructuralVars'!$R48*('LE Shares'!I48/'LE Efficiencies'!F48)/('LE Shares'!I$12/'LE Efficiencies'!F$12)</f>
        <v>2736.3484642194471</v>
      </c>
      <c r="I48" s="242">
        <f>'LE Efficiencies'!G$54*'LE StructuralVars'!$R48*('LE Shares'!K48/'LE Efficiencies'!G48)/('LE Shares'!K$12/'LE Efficiencies'!G$12)</f>
        <v>2495.1631812345095</v>
      </c>
      <c r="J48" s="242">
        <f>'LE Efficiencies'!H$54*'LE StructuralVars'!$R48*('LE Shares'!N48/'LE Efficiencies'!H48)/('LE Shares'!N$12/'LE Efficiencies'!H$12)</f>
        <v>82.814075609613951</v>
      </c>
      <c r="K48" s="242">
        <f>'LE Efficiencies'!I$54*'LE StructuralVars'!$R48*('LE Shares'!O48/'LE Efficiencies'!I48)/('LE Shares'!O$12/'LE Efficiencies'!I$12)</f>
        <v>224.96645177677757</v>
      </c>
      <c r="L48" s="242">
        <f>'LE Efficiencies'!J$54*('LE Shares'!Q48/'LE Efficiencies'!J48)/('LE Shares'!Q$12/'LE Efficiencies'!J$12)</f>
        <v>2806.2475300546703</v>
      </c>
      <c r="M48" s="242">
        <f>'LE Efficiencies'!K$54*('LE Shares'!S48/(1/'LE Efficiencies'!K48))/('LE Shares'!S$12/(1/'LE Efficiencies'!K$12))</f>
        <v>612.46389017499394</v>
      </c>
      <c r="N48" s="242">
        <f t="shared" si="11"/>
        <v>463.55448289935231</v>
      </c>
      <c r="O48" s="242">
        <f>'LE Efficiencies'!M$54*('LE Shares'!V48/(1/'LE Efficiencies'!M48))/('LE Shares'!V$12/(1/'LE Efficiencies'!M$12))</f>
        <v>80.962375368014392</v>
      </c>
      <c r="P48" s="242">
        <f>'LE Efficiencies'!N$54*('LE Shares'!X48/(1/'LE Efficiencies'!N48))/('LE Shares'!X$12/(1/'LE Efficiencies'!N$12))</f>
        <v>202.57399766807407</v>
      </c>
      <c r="Q48" s="242">
        <f>'LE Efficiencies'!O$54*('LE Shares'!Z48/(1/'LE Efficiencies'!O48))/('LE Shares'!Z$12/(1/'LE Efficiencies'!O$12))</f>
        <v>265.01142573626498</v>
      </c>
      <c r="R48" s="242">
        <f>'LE Efficiencies'!P$54*('LE Shares'!AB48/(1/'LE Efficiencies'!P48))/('LE Shares'!AB$12/(1/'LE Efficiencies'!P$12))</f>
        <v>71.656181051774965</v>
      </c>
      <c r="S48" s="242">
        <f>'LE Efficiencies'!Q$54*('LE Shares'!AD48/(1/'LE Efficiencies'!Q48))/('LE Shares'!AD$12/(1/'LE Efficiencies'!Q$12))</f>
        <v>688.95912778435525</v>
      </c>
      <c r="T48" s="242">
        <f>'LE Efficiencies'!R$54*('LE Shares'!AF48/(1/'LE Efficiencies'!R48))/('LE Shares'!AF$12/(1/'LE Efficiencies'!R$12))</f>
        <v>906.35881081208822</v>
      </c>
      <c r="U48" s="242">
        <f>'LE Efficiencies'!S$54*('LE Shares'!AH48/(1/'LE Efficiencies'!S48))/('LE Shares'!AH$12/(1/'LE Efficiencies'!S$12))</f>
        <v>275.66408936212378</v>
      </c>
      <c r="V48" s="242">
        <f>'LE Efficiencies'!T$54*('LE Shares'!AI48/(1/'LE Efficiencies'!T48))/('LE Shares'!AI$12/(1/'LE Efficiencies'!T$12))</f>
        <v>1200.4142096071228</v>
      </c>
      <c r="W48" s="242">
        <f>'LE Efficiencies'!V$54*('LE Shares'!AJ48/(1/'LE Efficiencies'!X48))/('LE Shares'!AJ$12/(1/'LE Efficiencies'!X$12))</f>
        <v>6136.3758458734501</v>
      </c>
      <c r="X48" s="159">
        <f t="shared" si="2"/>
        <v>13710.241966392285</v>
      </c>
      <c r="Y48" s="208">
        <f t="shared" si="9"/>
        <v>2041</v>
      </c>
      <c r="Z48" s="202">
        <f t="shared" si="7"/>
        <v>7.1367477673256172E-2</v>
      </c>
      <c r="AA48" s="202">
        <f t="shared" si="7"/>
        <v>7.0302098735970778E-2</v>
      </c>
      <c r="AB48" s="202">
        <f t="shared" si="7"/>
        <v>3.7835294528516701E-3</v>
      </c>
      <c r="AC48" s="202">
        <f t="shared" si="7"/>
        <v>1.6701167321953086E-3</v>
      </c>
      <c r="AD48" s="202">
        <f t="shared" si="7"/>
        <v>0.21780834138363023</v>
      </c>
      <c r="AE48" s="202">
        <f t="shared" si="7"/>
        <v>0.19861043324437</v>
      </c>
      <c r="AF48" s="202">
        <f t="shared" si="7"/>
        <v>6.5918492061989072E-3</v>
      </c>
      <c r="AG48" s="202">
        <f t="shared" si="7"/>
        <v>1.7906918789466989E-2</v>
      </c>
      <c r="AH48" s="202">
        <f t="shared" si="7"/>
        <v>0.22337217939363235</v>
      </c>
      <c r="AI48" s="202">
        <f t="shared" si="10"/>
        <v>4.8751007344539368E-2</v>
      </c>
      <c r="AJ48" s="202">
        <f t="shared" si="10"/>
        <v>3.689809042287135E-2</v>
      </c>
      <c r="AK48" s="202">
        <f t="shared" si="10"/>
        <v>6.4444572480341364E-3</v>
      </c>
      <c r="AL48" s="202">
        <f t="shared" si="10"/>
        <v>1.6124520329365517E-2</v>
      </c>
      <c r="AM48" s="202">
        <f t="shared" si="10"/>
        <v>2.1094425597506013E-2</v>
      </c>
      <c r="AN48" s="202">
        <f t="shared" si="10"/>
        <v>5.7037011728783083E-3</v>
      </c>
      <c r="AO48" s="202">
        <f t="shared" si="10"/>
        <v>5.4839888583645142E-2</v>
      </c>
      <c r="AP48" s="202">
        <f t="shared" si="10"/>
        <v>7.2144506397043631E-2</v>
      </c>
      <c r="AQ48" s="202">
        <f t="shared" si="10"/>
        <v>2.1942358171154995E-2</v>
      </c>
      <c r="AR48" s="202">
        <f t="shared" si="10"/>
        <v>9.5550779217898799E-2</v>
      </c>
      <c r="AS48" s="202">
        <f t="shared" si="10"/>
        <v>0.48844431276684042</v>
      </c>
    </row>
    <row r="49" spans="1:45" x14ac:dyDescent="0.2">
      <c r="A49" s="208">
        <f t="shared" si="8"/>
        <v>2042</v>
      </c>
      <c r="B49" s="241">
        <f t="shared" si="4"/>
        <v>2130.7532756233313</v>
      </c>
      <c r="C49" s="241">
        <f t="shared" si="3"/>
        <v>5568.5968312201885</v>
      </c>
      <c r="D49" s="242">
        <f>'LE Efficiencies'!B$54*'LE StructuralVars'!$Q49*('LE Shares'!B49/'LE Efficiencies'!B49)/('LE Shares'!B$12/'LE Efficiencies'!B$12)</f>
        <v>896.59691950212562</v>
      </c>
      <c r="E49" s="242">
        <f>'LE Efficiencies'!C$54*'LE StructuralVars'!$Q49*('LE Shares'!D49/'LE Efficiencies'!C49)/('LE Shares'!D$12/'LE Efficiencies'!C$12)</f>
        <v>892.25810783220186</v>
      </c>
      <c r="F49" s="242">
        <f t="shared" si="11"/>
        <v>47.532867390990631</v>
      </c>
      <c r="G49" s="242">
        <f>'LE Efficiencies'!E$54*'LE StructuralVars'!$Q49*('LE Shares'!G49/(1/'LE Efficiencies'!E49))/('LE Shares'!G$12/(1/'LE Efficiencies'!E$12))</f>
        <v>19.963423680533353</v>
      </c>
      <c r="H49" s="242">
        <f>'LE Efficiencies'!F$54*'LE StructuralVars'!$R49*('LE Shares'!I49/'LE Efficiencies'!F49)/('LE Shares'!I$12/'LE Efficiencies'!F$12)</f>
        <v>2741.5562914049633</v>
      </c>
      <c r="I49" s="242">
        <f>'LE Efficiencies'!G$54*'LE StructuralVars'!$R49*('LE Shares'!K49/'LE Efficiencies'!G49)/('LE Shares'!K$12/'LE Efficiencies'!G$12)</f>
        <v>2521.5004636360582</v>
      </c>
      <c r="J49" s="242">
        <f>'LE Efficiencies'!H$54*'LE StructuralVars'!$R49*('LE Shares'!N49/'LE Efficiencies'!H49)/('LE Shares'!N$12/'LE Efficiencies'!H$12)</f>
        <v>82.401870476748059</v>
      </c>
      <c r="K49" s="242">
        <f>'LE Efficiencies'!I$54*'LE StructuralVars'!$R49*('LE Shares'!O49/'LE Efficiencies'!I49)/('LE Shares'!O$12/'LE Efficiencies'!I$12)</f>
        <v>223.1382057024189</v>
      </c>
      <c r="L49" s="242">
        <f>'LE Efficiencies'!J$54*('LE Shares'!Q49/'LE Efficiencies'!J49)/('LE Shares'!Q$12/'LE Efficiencies'!J$12)</f>
        <v>2808.2322763942775</v>
      </c>
      <c r="M49" s="242">
        <f>'LE Efficiencies'!K$54*('LE Shares'!S49/(1/'LE Efficiencies'!K49))/('LE Shares'!S$12/(1/'LE Efficiencies'!K$12))</f>
        <v>613.13589032950063</v>
      </c>
      <c r="N49" s="242">
        <f t="shared" si="11"/>
        <v>463.55448289935231</v>
      </c>
      <c r="O49" s="242">
        <f>'LE Efficiencies'!M$54*('LE Shares'!V49/(1/'LE Efficiencies'!M49))/('LE Shares'!V$12/(1/'LE Efficiencies'!M$12))</f>
        <v>80.682584850436413</v>
      </c>
      <c r="P49" s="242">
        <f>'LE Efficiencies'!N$54*('LE Shares'!X49/(1/'LE Efficiencies'!N49))/('LE Shares'!X$12/(1/'LE Efficiencies'!N$12))</f>
        <v>201.94202086794624</v>
      </c>
      <c r="Q49" s="242">
        <f>'LE Efficiencies'!O$54*('LE Shares'!Z49/(1/'LE Efficiencies'!O49))/('LE Shares'!Z$12/(1/'LE Efficiencies'!O$12))</f>
        <v>266.30005148135314</v>
      </c>
      <c r="R49" s="242">
        <f>'LE Efficiencies'!P$54*('LE Shares'!AB49/(1/'LE Efficiencies'!P49))/('LE Shares'!AB$12/(1/'LE Efficiencies'!P$12))</f>
        <v>71.700036341175206</v>
      </c>
      <c r="S49" s="242">
        <f>'LE Efficiencies'!Q$54*('LE Shares'!AD49/(1/'LE Efficiencies'!Q49))/('LE Shares'!AD$12/(1/'LE Efficiencies'!Q$12))</f>
        <v>691.705464364455</v>
      </c>
      <c r="T49" s="242">
        <f>'LE Efficiencies'!R$54*('LE Shares'!AF49/(1/'LE Efficiencies'!R49))/('LE Shares'!AF$12/(1/'LE Efficiencies'!R$12))</f>
        <v>914.72662215130356</v>
      </c>
      <c r="U49" s="242">
        <f>'LE Efficiencies'!S$54*('LE Shares'!AH49/(1/'LE Efficiencies'!S49))/('LE Shares'!AH$12/(1/'LE Efficiencies'!S$12))</f>
        <v>274.40195721747995</v>
      </c>
      <c r="V49" s="242">
        <f>'LE Efficiencies'!T$54*('LE Shares'!AI49/(1/'LE Efficiencies'!T49))/('LE Shares'!AI$12/(1/'LE Efficiencies'!T$12))</f>
        <v>1201.4441917933466</v>
      </c>
      <c r="W49" s="242">
        <f>'LE Efficiencies'!V$54*('LE Shares'!AJ49/(1/'LE Efficiencies'!X49))/('LE Shares'!AJ$12/(1/'LE Efficiencies'!X$12))</f>
        <v>6232.205065736176</v>
      </c>
      <c r="X49" s="159">
        <f t="shared" si="2"/>
        <v>13820.030644426803</v>
      </c>
      <c r="Y49" s="208">
        <f t="shared" si="9"/>
        <v>2042</v>
      </c>
      <c r="Z49" s="202">
        <f t="shared" si="7"/>
        <v>7.1367477673256172E-2</v>
      </c>
      <c r="AA49" s="202">
        <f t="shared" si="7"/>
        <v>7.1022116186676795E-2</v>
      </c>
      <c r="AB49" s="202">
        <f t="shared" si="7"/>
        <v>3.7835294528516701E-3</v>
      </c>
      <c r="AC49" s="202">
        <f t="shared" si="7"/>
        <v>1.5890520732475481E-3</v>
      </c>
      <c r="AD49" s="202">
        <f t="shared" si="7"/>
        <v>0.21822287491849324</v>
      </c>
      <c r="AE49" s="202">
        <f t="shared" si="7"/>
        <v>0.20070683283361965</v>
      </c>
      <c r="AF49" s="202">
        <f t="shared" si="7"/>
        <v>6.5590384302786154E-3</v>
      </c>
      <c r="AG49" s="202">
        <f t="shared" si="7"/>
        <v>1.7761393740189032E-2</v>
      </c>
      <c r="AH49" s="202">
        <f t="shared" si="7"/>
        <v>0.2235301615782663</v>
      </c>
      <c r="AI49" s="202">
        <f t="shared" si="10"/>
        <v>4.8804497329815934E-2</v>
      </c>
      <c r="AJ49" s="202">
        <f t="shared" si="10"/>
        <v>3.689809042287135E-2</v>
      </c>
      <c r="AK49" s="202">
        <f t="shared" si="10"/>
        <v>6.4221864337115492E-3</v>
      </c>
      <c r="AL49" s="202">
        <f t="shared" si="10"/>
        <v>1.6074216130017853E-2</v>
      </c>
      <c r="AM49" s="202">
        <f t="shared" si="10"/>
        <v>2.1196997853880517E-2</v>
      </c>
      <c r="AN49" s="202">
        <f t="shared" si="10"/>
        <v>5.7071919738380791E-3</v>
      </c>
      <c r="AO49" s="202">
        <f t="shared" si="10"/>
        <v>5.505849196081529E-2</v>
      </c>
      <c r="AP49" s="202">
        <f t="shared" si="10"/>
        <v>7.2810568900645689E-2</v>
      </c>
      <c r="AQ49" s="202">
        <f t="shared" si="10"/>
        <v>2.1841894757000522E-2</v>
      </c>
      <c r="AR49" s="202">
        <f t="shared" si="10"/>
        <v>9.5632763919251559E-2</v>
      </c>
      <c r="AS49" s="202">
        <f t="shared" si="10"/>
        <v>0.49607214369090424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5"/>
  <sheetViews>
    <sheetView zoomScaleNormal="100" workbookViewId="0">
      <pane ySplit="1" topLeftCell="A2" activePane="bottomLeft" state="frozen"/>
      <selection activeCell="P1" sqref="P1:Q15"/>
      <selection pane="bottomLeft" activeCell="F2" sqref="F2"/>
    </sheetView>
  </sheetViews>
  <sheetFormatPr defaultColWidth="9.140625" defaultRowHeight="12.75" x14ac:dyDescent="0.2"/>
  <cols>
    <col min="1" max="1" width="6" style="153" bestFit="1" customWidth="1"/>
    <col min="2" max="2" width="7.140625" style="153" bestFit="1" customWidth="1"/>
    <col min="3" max="4" width="7.140625" style="153" customWidth="1"/>
    <col min="5" max="5" width="18.28515625" style="153" bestFit="1" customWidth="1"/>
    <col min="6" max="6" width="27.42578125" style="153" bestFit="1" customWidth="1"/>
    <col min="7" max="7" width="11.42578125" style="153" customWidth="1"/>
    <col min="8" max="8" width="18.28515625" style="153" customWidth="1"/>
    <col min="9" max="9" width="12.7109375" style="153" bestFit="1" customWidth="1"/>
    <col min="10" max="12" width="7.140625" style="153" customWidth="1"/>
    <col min="13" max="13" width="5.7109375" style="177" customWidth="1"/>
    <col min="14" max="14" width="8.7109375" style="177" customWidth="1"/>
    <col min="15" max="15" width="26.5703125" style="156" bestFit="1" customWidth="1"/>
    <col min="16" max="16" width="31.5703125" style="156" bestFit="1" customWidth="1"/>
    <col min="17" max="17" width="18.28515625" style="156" customWidth="1"/>
    <col min="18" max="18" width="18.28515625" style="156" hidden="1" customWidth="1"/>
    <col min="19" max="19" width="20.140625" style="177" bestFit="1" customWidth="1"/>
    <col min="20" max="20" width="20.140625" style="177" customWidth="1"/>
    <col min="21" max="21" width="10.28515625" style="177" customWidth="1"/>
    <col min="22" max="16384" width="9.140625" style="177"/>
  </cols>
  <sheetData>
    <row r="1" spans="1:25" x14ac:dyDescent="0.2">
      <c r="A1" s="150" t="s">
        <v>15</v>
      </c>
      <c r="B1" s="150" t="s">
        <v>18</v>
      </c>
      <c r="C1" s="150" t="s">
        <v>189</v>
      </c>
      <c r="D1" s="150" t="s">
        <v>188</v>
      </c>
      <c r="E1" s="152" t="s">
        <v>185</v>
      </c>
      <c r="F1" s="152" t="s">
        <v>245</v>
      </c>
      <c r="G1" s="152" t="s">
        <v>156</v>
      </c>
      <c r="H1" s="152" t="s">
        <v>186</v>
      </c>
      <c r="I1" s="152"/>
      <c r="J1" s="152"/>
      <c r="K1" s="152"/>
      <c r="L1" s="150" t="s">
        <v>184</v>
      </c>
      <c r="M1" s="177" t="s">
        <v>183</v>
      </c>
      <c r="N1" s="177" t="s">
        <v>182</v>
      </c>
      <c r="O1" s="152" t="s">
        <v>185</v>
      </c>
      <c r="P1" s="152"/>
      <c r="Q1" s="152"/>
      <c r="R1" s="152" t="s">
        <v>186</v>
      </c>
      <c r="S1" s="152" t="s">
        <v>187</v>
      </c>
      <c r="T1" s="152"/>
      <c r="U1" s="152" t="s">
        <v>156</v>
      </c>
      <c r="V1" s="195" t="s">
        <v>219</v>
      </c>
      <c r="W1" s="195" t="s">
        <v>220</v>
      </c>
      <c r="X1" s="177" t="s">
        <v>221</v>
      </c>
      <c r="Y1" s="177" t="s">
        <v>221</v>
      </c>
    </row>
    <row r="2" spans="1:25" x14ac:dyDescent="0.2">
      <c r="A2" s="153">
        <v>2001</v>
      </c>
      <c r="B2" s="153">
        <v>1</v>
      </c>
      <c r="C2" s="153" t="str">
        <f>A2&amp;B2</f>
        <v>20011</v>
      </c>
      <c r="D2" s="177" t="s">
        <v>178</v>
      </c>
      <c r="E2" s="153">
        <f>VLOOKUP($A2&amp;$D2,$N$1:$U$169,MATCH(E$1,$N$1:$U$1,0),0)</f>
        <v>113069.322</v>
      </c>
      <c r="F2" s="153" t="e">
        <f>VLOOKUP($A2&amp;$D2,$N$1:$U$169,MATCH(F$1,$N$1:$U$1,0),0)</f>
        <v>#N/A</v>
      </c>
      <c r="G2" s="153">
        <f>VLOOKUP($A2&amp;$D2,$N$1:$U$169,MATCH(G$1,$N$1:$U$1,0),0)</f>
        <v>4063.346</v>
      </c>
      <c r="H2" s="153">
        <f>VLOOKUP($A2&amp;$D2,$N$1:$U$169,MATCH(H$1,$N$1:$U$1,0),0)</f>
        <v>1603.5920000000001</v>
      </c>
      <c r="L2" s="153">
        <v>2001</v>
      </c>
      <c r="M2" s="177" t="s">
        <v>178</v>
      </c>
      <c r="N2" s="177" t="str">
        <f t="shared" ref="N2:N49" si="0">L2&amp;M2</f>
        <v>2001Q1</v>
      </c>
      <c r="O2" s="184">
        <v>113069.322</v>
      </c>
      <c r="P2" s="184"/>
      <c r="Q2" s="251"/>
      <c r="R2" s="251">
        <v>1603.5920000000001</v>
      </c>
      <c r="S2" s="189">
        <v>34569.886538168648</v>
      </c>
      <c r="T2" s="189"/>
      <c r="U2" s="253">
        <f>W2</f>
        <v>4063.346</v>
      </c>
      <c r="V2" s="189">
        <v>413.29820000000001</v>
      </c>
      <c r="W2" s="189">
        <v>4063.346</v>
      </c>
      <c r="X2" s="177" t="e">
        <f>V2/Q2</f>
        <v>#DIV/0!</v>
      </c>
      <c r="Y2" s="177">
        <f>W2/R2</f>
        <v>2.5339026385763956</v>
      </c>
    </row>
    <row r="3" spans="1:25" x14ac:dyDescent="0.2">
      <c r="A3" s="153">
        <v>2001</v>
      </c>
      <c r="B3" s="153">
        <v>2</v>
      </c>
      <c r="C3" s="153" t="str">
        <f t="shared" ref="C3:C66" si="1">A3&amp;B3</f>
        <v>20012</v>
      </c>
      <c r="D3" s="177" t="s">
        <v>178</v>
      </c>
      <c r="E3" s="153">
        <f t="shared" ref="E3:E34" si="2">VLOOKUP($A3&amp;$D3,$N$1:$U$169,MATCH(E$1,$N$1:$U$1,0),0)</f>
        <v>113069.322</v>
      </c>
      <c r="F3" s="153" t="e">
        <f t="shared" ref="F3:H66" si="3">VLOOKUP($A3&amp;$D3,$N$1:$U$169,MATCH(F$1,$N$1:$U$1,0),0)</f>
        <v>#N/A</v>
      </c>
      <c r="G3" s="153">
        <f t="shared" si="3"/>
        <v>4063.346</v>
      </c>
      <c r="H3" s="153">
        <f t="shared" si="3"/>
        <v>1603.5920000000001</v>
      </c>
      <c r="L3" s="153">
        <v>2001</v>
      </c>
      <c r="M3" s="177" t="s">
        <v>179</v>
      </c>
      <c r="N3" s="177" t="str">
        <f t="shared" si="0"/>
        <v>2001Q2</v>
      </c>
      <c r="O3" s="184">
        <v>112494.27</v>
      </c>
      <c r="P3" s="184"/>
      <c r="Q3" s="251"/>
      <c r="R3" s="251">
        <v>1606.74</v>
      </c>
      <c r="S3" s="189">
        <v>34431.916408019461</v>
      </c>
      <c r="T3" s="189"/>
      <c r="U3" s="253">
        <f t="shared" ref="U3:U66" si="4">W3</f>
        <v>4068.1320000000001</v>
      </c>
      <c r="V3" s="189">
        <v>414.52</v>
      </c>
      <c r="W3" s="189">
        <v>4068.1320000000001</v>
      </c>
      <c r="X3" s="177" t="e">
        <f t="shared" ref="X3:X66" si="5">V3/Q3</f>
        <v>#DIV/0!</v>
      </c>
      <c r="Y3" s="177">
        <f t="shared" ref="Y3:Y66" si="6">W3/R3</f>
        <v>2.5319168004779864</v>
      </c>
    </row>
    <row r="4" spans="1:25" x14ac:dyDescent="0.2">
      <c r="A4" s="153">
        <v>2001</v>
      </c>
      <c r="B4" s="153">
        <v>3</v>
      </c>
      <c r="C4" s="153" t="str">
        <f t="shared" si="1"/>
        <v>20013</v>
      </c>
      <c r="D4" s="177" t="s">
        <v>178</v>
      </c>
      <c r="E4" s="153">
        <f t="shared" si="2"/>
        <v>113069.322</v>
      </c>
      <c r="F4" s="153" t="e">
        <f t="shared" si="3"/>
        <v>#N/A</v>
      </c>
      <c r="G4" s="153">
        <f t="shared" si="3"/>
        <v>4063.346</v>
      </c>
      <c r="H4" s="153">
        <f t="shared" si="3"/>
        <v>1603.5920000000001</v>
      </c>
      <c r="L4" s="153">
        <v>2001</v>
      </c>
      <c r="M4" s="177" t="s">
        <v>180</v>
      </c>
      <c r="N4" s="177" t="str">
        <f t="shared" si="0"/>
        <v>2001Q3</v>
      </c>
      <c r="O4" s="184">
        <v>112373.137</v>
      </c>
      <c r="P4" s="184"/>
      <c r="Q4" s="251"/>
      <c r="R4" s="251">
        <v>1609.894</v>
      </c>
      <c r="S4" s="189">
        <v>34399.937636938055</v>
      </c>
      <c r="T4" s="189"/>
      <c r="U4" s="253">
        <f t="shared" si="4"/>
        <v>4073.5569999999998</v>
      </c>
      <c r="V4" s="189">
        <v>415.50199999999995</v>
      </c>
      <c r="W4" s="189">
        <v>4073.5569999999998</v>
      </c>
      <c r="X4" s="177" t="e">
        <f t="shared" si="5"/>
        <v>#DIV/0!</v>
      </c>
      <c r="Y4" s="177">
        <f t="shared" si="6"/>
        <v>2.5303262202356178</v>
      </c>
    </row>
    <row r="5" spans="1:25" x14ac:dyDescent="0.2">
      <c r="A5" s="153">
        <v>2001</v>
      </c>
      <c r="B5" s="153">
        <v>4</v>
      </c>
      <c r="C5" s="153" t="str">
        <f t="shared" si="1"/>
        <v>20014</v>
      </c>
      <c r="D5" s="177" t="s">
        <v>179</v>
      </c>
      <c r="E5" s="153">
        <f t="shared" si="2"/>
        <v>112494.27</v>
      </c>
      <c r="F5" s="153" t="e">
        <f t="shared" si="3"/>
        <v>#N/A</v>
      </c>
      <c r="G5" s="153">
        <f t="shared" si="3"/>
        <v>4068.1320000000001</v>
      </c>
      <c r="H5" s="153">
        <f t="shared" si="3"/>
        <v>1606.74</v>
      </c>
      <c r="L5" s="153">
        <v>2001</v>
      </c>
      <c r="M5" s="177" t="s">
        <v>181</v>
      </c>
      <c r="N5" s="177" t="str">
        <f t="shared" si="0"/>
        <v>2001Q4</v>
      </c>
      <c r="O5" s="184">
        <v>112983.58500000001</v>
      </c>
      <c r="P5" s="184"/>
      <c r="Q5" s="251"/>
      <c r="R5" s="251">
        <v>1613.0550000000001</v>
      </c>
      <c r="S5" s="189">
        <v>34635.991880930669</v>
      </c>
      <c r="T5" s="189"/>
      <c r="U5" s="253">
        <f t="shared" si="4"/>
        <v>4078.989</v>
      </c>
      <c r="V5" s="189">
        <v>416.48399999999992</v>
      </c>
      <c r="W5" s="189">
        <v>4078.989</v>
      </c>
      <c r="X5" s="177" t="e">
        <f t="shared" si="5"/>
        <v>#DIV/0!</v>
      </c>
      <c r="Y5" s="177">
        <f t="shared" si="6"/>
        <v>2.528735226015232</v>
      </c>
    </row>
    <row r="6" spans="1:25" x14ac:dyDescent="0.2">
      <c r="A6" s="153">
        <v>2001</v>
      </c>
      <c r="B6" s="153">
        <v>5</v>
      </c>
      <c r="C6" s="153" t="str">
        <f t="shared" si="1"/>
        <v>20015</v>
      </c>
      <c r="D6" s="177" t="s">
        <v>179</v>
      </c>
      <c r="E6" s="153">
        <f t="shared" si="2"/>
        <v>112494.27</v>
      </c>
      <c r="F6" s="153" t="e">
        <f t="shared" si="3"/>
        <v>#N/A</v>
      </c>
      <c r="G6" s="153">
        <f t="shared" si="3"/>
        <v>4068.1320000000001</v>
      </c>
      <c r="H6" s="153">
        <f t="shared" si="3"/>
        <v>1606.74</v>
      </c>
      <c r="L6" s="153">
        <f>L2+1</f>
        <v>2002</v>
      </c>
      <c r="M6" s="177" t="str">
        <f>M2</f>
        <v>Q1</v>
      </c>
      <c r="N6" s="177" t="str">
        <f t="shared" si="0"/>
        <v>2002Q1</v>
      </c>
      <c r="O6" s="184">
        <v>113421.694</v>
      </c>
      <c r="P6" s="184"/>
      <c r="Q6" s="251"/>
      <c r="R6" s="251">
        <v>1616.222</v>
      </c>
      <c r="S6" s="189">
        <v>35447.445392607326</v>
      </c>
      <c r="T6" s="189"/>
      <c r="U6" s="253">
        <f t="shared" si="4"/>
        <v>4084.4279999999999</v>
      </c>
      <c r="V6" s="189">
        <v>417.46599999999995</v>
      </c>
      <c r="W6" s="189">
        <v>4084.4279999999999</v>
      </c>
      <c r="X6" s="177" t="e">
        <f t="shared" si="5"/>
        <v>#DIV/0!</v>
      </c>
      <c r="Y6" s="177">
        <f t="shared" si="6"/>
        <v>2.5271454045298234</v>
      </c>
    </row>
    <row r="7" spans="1:25" x14ac:dyDescent="0.2">
      <c r="A7" s="153">
        <v>2001</v>
      </c>
      <c r="B7" s="153">
        <v>6</v>
      </c>
      <c r="C7" s="153" t="str">
        <f t="shared" si="1"/>
        <v>20016</v>
      </c>
      <c r="D7" s="177" t="s">
        <v>179</v>
      </c>
      <c r="E7" s="153">
        <f t="shared" si="2"/>
        <v>112494.27</v>
      </c>
      <c r="F7" s="153" t="e">
        <f t="shared" si="3"/>
        <v>#N/A</v>
      </c>
      <c r="G7" s="153">
        <f t="shared" si="3"/>
        <v>4068.1320000000001</v>
      </c>
      <c r="H7" s="153">
        <f t="shared" si="3"/>
        <v>1606.74</v>
      </c>
      <c r="L7" s="153">
        <f t="shared" ref="L7:L70" si="7">L3+1</f>
        <v>2002</v>
      </c>
      <c r="M7" s="177" t="str">
        <f t="shared" ref="M7:M70" si="8">M3</f>
        <v>Q2</v>
      </c>
      <c r="N7" s="177" t="str">
        <f t="shared" si="0"/>
        <v>2002Q2</v>
      </c>
      <c r="O7" s="184">
        <v>114074.546</v>
      </c>
      <c r="P7" s="184"/>
      <c r="Q7" s="251"/>
      <c r="R7" s="251">
        <v>1619.394</v>
      </c>
      <c r="S7" s="189">
        <v>35596.576099127022</v>
      </c>
      <c r="T7" s="189"/>
      <c r="U7" s="253">
        <f t="shared" si="4"/>
        <v>4089.875</v>
      </c>
      <c r="V7" s="189">
        <v>418.44800000000004</v>
      </c>
      <c r="W7" s="189">
        <v>4089.875</v>
      </c>
      <c r="X7" s="177" t="e">
        <f t="shared" si="5"/>
        <v>#DIV/0!</v>
      </c>
      <c r="Y7" s="177">
        <f t="shared" si="6"/>
        <v>2.5255589436542309</v>
      </c>
    </row>
    <row r="8" spans="1:25" x14ac:dyDescent="0.2">
      <c r="A8" s="153">
        <v>2001</v>
      </c>
      <c r="B8" s="153">
        <v>7</v>
      </c>
      <c r="C8" s="153" t="str">
        <f t="shared" si="1"/>
        <v>20017</v>
      </c>
      <c r="D8" s="177" t="s">
        <v>180</v>
      </c>
      <c r="E8" s="153">
        <f t="shared" si="2"/>
        <v>112373.137</v>
      </c>
      <c r="F8" s="153" t="e">
        <f t="shared" si="3"/>
        <v>#N/A</v>
      </c>
      <c r="G8" s="153">
        <f t="shared" si="3"/>
        <v>4073.5569999999998</v>
      </c>
      <c r="H8" s="153">
        <f t="shared" si="3"/>
        <v>1609.894</v>
      </c>
      <c r="L8" s="153">
        <f t="shared" si="7"/>
        <v>2002</v>
      </c>
      <c r="M8" s="177" t="str">
        <f t="shared" si="8"/>
        <v>Q3</v>
      </c>
      <c r="N8" s="177" t="str">
        <f t="shared" si="0"/>
        <v>2002Q3</v>
      </c>
      <c r="O8" s="184">
        <v>114002.70699999999</v>
      </c>
      <c r="P8" s="184"/>
      <c r="Q8" s="251"/>
      <c r="R8" s="251">
        <v>1622.5740000000001</v>
      </c>
      <c r="S8" s="189">
        <v>35529.120654001694</v>
      </c>
      <c r="T8" s="189"/>
      <c r="U8" s="253">
        <f t="shared" si="4"/>
        <v>4096.6819999999998</v>
      </c>
      <c r="V8" s="189">
        <v>420.07424999999984</v>
      </c>
      <c r="W8" s="189">
        <v>4096.6819999999998</v>
      </c>
      <c r="X8" s="177" t="e">
        <f t="shared" si="5"/>
        <v>#DIV/0!</v>
      </c>
      <c r="Y8" s="177">
        <f t="shared" si="6"/>
        <v>2.5248044156999927</v>
      </c>
    </row>
    <row r="9" spans="1:25" x14ac:dyDescent="0.2">
      <c r="A9" s="153">
        <v>2001</v>
      </c>
      <c r="B9" s="153">
        <v>8</v>
      </c>
      <c r="C9" s="153" t="str">
        <f t="shared" si="1"/>
        <v>20018</v>
      </c>
      <c r="D9" s="177" t="s">
        <v>180</v>
      </c>
      <c r="E9" s="153">
        <f t="shared" si="2"/>
        <v>112373.137</v>
      </c>
      <c r="F9" s="153" t="e">
        <f t="shared" si="3"/>
        <v>#N/A</v>
      </c>
      <c r="G9" s="153">
        <f t="shared" si="3"/>
        <v>4073.5569999999998</v>
      </c>
      <c r="H9" s="153">
        <f t="shared" si="3"/>
        <v>1609.894</v>
      </c>
      <c r="L9" s="153">
        <f t="shared" si="7"/>
        <v>2002</v>
      </c>
      <c r="M9" s="177" t="str">
        <f t="shared" si="8"/>
        <v>Q4</v>
      </c>
      <c r="N9" s="177" t="str">
        <f t="shared" si="0"/>
        <v>2002Q4</v>
      </c>
      <c r="O9" s="184">
        <v>114407.613</v>
      </c>
      <c r="P9" s="184"/>
      <c r="Q9" s="251"/>
      <c r="R9" s="251">
        <v>1625.759</v>
      </c>
      <c r="S9" s="189">
        <v>35618.929902433476</v>
      </c>
      <c r="T9" s="189"/>
      <c r="U9" s="253">
        <f t="shared" si="4"/>
        <v>4103.5</v>
      </c>
      <c r="V9" s="189">
        <v>421.70050000000003</v>
      </c>
      <c r="W9" s="189">
        <v>4103.5</v>
      </c>
      <c r="X9" s="177" t="e">
        <f t="shared" si="5"/>
        <v>#DIV/0!</v>
      </c>
      <c r="Y9" s="177">
        <f t="shared" si="6"/>
        <v>2.5240518428623187</v>
      </c>
    </row>
    <row r="10" spans="1:25" x14ac:dyDescent="0.2">
      <c r="A10" s="153">
        <v>2001</v>
      </c>
      <c r="B10" s="153">
        <v>9</v>
      </c>
      <c r="C10" s="153" t="str">
        <f t="shared" si="1"/>
        <v>20019</v>
      </c>
      <c r="D10" s="177" t="s">
        <v>180</v>
      </c>
      <c r="E10" s="153">
        <f t="shared" si="2"/>
        <v>112373.137</v>
      </c>
      <c r="F10" s="153" t="e">
        <f t="shared" si="3"/>
        <v>#N/A</v>
      </c>
      <c r="G10" s="153">
        <f t="shared" si="3"/>
        <v>4073.5569999999998</v>
      </c>
      <c r="H10" s="153">
        <f t="shared" si="3"/>
        <v>1609.894</v>
      </c>
      <c r="L10" s="153">
        <f t="shared" si="7"/>
        <v>2003</v>
      </c>
      <c r="M10" s="177" t="str">
        <f t="shared" si="8"/>
        <v>Q1</v>
      </c>
      <c r="N10" s="177" t="str">
        <f t="shared" si="0"/>
        <v>2003Q1</v>
      </c>
      <c r="O10" s="184">
        <v>113801.59699999999</v>
      </c>
      <c r="P10" s="184"/>
      <c r="Q10" s="251"/>
      <c r="R10" s="251">
        <v>1628.951</v>
      </c>
      <c r="S10" s="189">
        <v>35646.967823316591</v>
      </c>
      <c r="T10" s="189"/>
      <c r="U10" s="253">
        <f t="shared" si="4"/>
        <v>4110.3289999999997</v>
      </c>
      <c r="V10" s="189">
        <v>423.32675</v>
      </c>
      <c r="W10" s="189">
        <v>4110.3289999999997</v>
      </c>
      <c r="X10" s="177" t="e">
        <f t="shared" si="5"/>
        <v>#DIV/0!</v>
      </c>
      <c r="Y10" s="177">
        <f t="shared" si="6"/>
        <v>2.5232981225340723</v>
      </c>
    </row>
    <row r="11" spans="1:25" x14ac:dyDescent="0.2">
      <c r="A11" s="153">
        <v>2001</v>
      </c>
      <c r="B11" s="153">
        <v>10</v>
      </c>
      <c r="C11" s="153" t="str">
        <f t="shared" si="1"/>
        <v>200110</v>
      </c>
      <c r="D11" s="177" t="s">
        <v>181</v>
      </c>
      <c r="E11" s="153">
        <f t="shared" si="2"/>
        <v>112983.58500000001</v>
      </c>
      <c r="F11" s="153" t="e">
        <f t="shared" si="3"/>
        <v>#N/A</v>
      </c>
      <c r="G11" s="153">
        <f t="shared" si="3"/>
        <v>4078.989</v>
      </c>
      <c r="H11" s="153">
        <f t="shared" si="3"/>
        <v>1613.0550000000001</v>
      </c>
      <c r="L11" s="153">
        <f t="shared" si="7"/>
        <v>2003</v>
      </c>
      <c r="M11" s="177" t="str">
        <f t="shared" si="8"/>
        <v>Q2</v>
      </c>
      <c r="N11" s="177" t="str">
        <f t="shared" si="0"/>
        <v>2003Q2</v>
      </c>
      <c r="O11" s="184">
        <v>114321.784</v>
      </c>
      <c r="P11" s="184"/>
      <c r="Q11" s="251"/>
      <c r="R11" s="251">
        <v>1632.1479999999999</v>
      </c>
      <c r="S11" s="189">
        <v>35842.575547320266</v>
      </c>
      <c r="T11" s="189"/>
      <c r="U11" s="253">
        <f t="shared" si="4"/>
        <v>4117.17</v>
      </c>
      <c r="V11" s="189">
        <v>424.95300000000003</v>
      </c>
      <c r="W11" s="189">
        <v>4117.17</v>
      </c>
      <c r="X11" s="177" t="e">
        <f t="shared" si="5"/>
        <v>#DIV/0!</v>
      </c>
      <c r="Y11" s="177">
        <f t="shared" si="6"/>
        <v>2.5225469749066876</v>
      </c>
    </row>
    <row r="12" spans="1:25" x14ac:dyDescent="0.2">
      <c r="A12" s="153">
        <v>2001</v>
      </c>
      <c r="B12" s="153">
        <v>11</v>
      </c>
      <c r="C12" s="153" t="str">
        <f t="shared" si="1"/>
        <v>200111</v>
      </c>
      <c r="D12" s="177" t="s">
        <v>181</v>
      </c>
      <c r="E12" s="153">
        <f t="shared" si="2"/>
        <v>112983.58500000001</v>
      </c>
      <c r="F12" s="153" t="e">
        <f t="shared" si="3"/>
        <v>#N/A</v>
      </c>
      <c r="G12" s="153">
        <f t="shared" si="3"/>
        <v>4078.989</v>
      </c>
      <c r="H12" s="153">
        <f t="shared" si="3"/>
        <v>1613.0550000000001</v>
      </c>
      <c r="L12" s="153">
        <f t="shared" si="7"/>
        <v>2003</v>
      </c>
      <c r="M12" s="177" t="str">
        <f t="shared" si="8"/>
        <v>Q3</v>
      </c>
      <c r="N12" s="177" t="str">
        <f t="shared" si="0"/>
        <v>2003Q3</v>
      </c>
      <c r="O12" s="184">
        <v>114399.553</v>
      </c>
      <c r="P12" s="184"/>
      <c r="Q12" s="251"/>
      <c r="R12" s="251">
        <v>1635.3530000000001</v>
      </c>
      <c r="S12" s="189">
        <v>35879.356060081816</v>
      </c>
      <c r="T12" s="189"/>
      <c r="U12" s="253">
        <f t="shared" si="4"/>
        <v>4124.384</v>
      </c>
      <c r="V12" s="189">
        <v>426.27199999999993</v>
      </c>
      <c r="W12" s="189">
        <v>4124.384</v>
      </c>
      <c r="X12" s="177" t="e">
        <f t="shared" si="5"/>
        <v>#DIV/0!</v>
      </c>
      <c r="Y12" s="177">
        <f t="shared" si="6"/>
        <v>2.5220145130745473</v>
      </c>
    </row>
    <row r="13" spans="1:25" x14ac:dyDescent="0.2">
      <c r="A13" s="153">
        <v>2001</v>
      </c>
      <c r="B13" s="153">
        <v>12</v>
      </c>
      <c r="C13" s="153" t="str">
        <f t="shared" si="1"/>
        <v>200112</v>
      </c>
      <c r="D13" s="177" t="s">
        <v>181</v>
      </c>
      <c r="E13" s="153">
        <f t="shared" si="2"/>
        <v>112983.58500000001</v>
      </c>
      <c r="F13" s="153" t="e">
        <f t="shared" si="3"/>
        <v>#N/A</v>
      </c>
      <c r="G13" s="153">
        <f t="shared" si="3"/>
        <v>4078.989</v>
      </c>
      <c r="H13" s="153">
        <f t="shared" si="3"/>
        <v>1613.0550000000001</v>
      </c>
      <c r="L13" s="153">
        <f t="shared" si="7"/>
        <v>2003</v>
      </c>
      <c r="M13" s="177" t="str">
        <f t="shared" si="8"/>
        <v>Q4</v>
      </c>
      <c r="N13" s="177" t="str">
        <f t="shared" si="0"/>
        <v>2003Q4</v>
      </c>
      <c r="O13" s="184">
        <v>115855.962</v>
      </c>
      <c r="P13" s="184"/>
      <c r="Q13" s="251"/>
      <c r="R13" s="251">
        <v>1638.5630000000001</v>
      </c>
      <c r="S13" s="189">
        <v>36361.519986701038</v>
      </c>
      <c r="T13" s="189"/>
      <c r="U13" s="253">
        <f t="shared" si="4"/>
        <v>4131.6099999999997</v>
      </c>
      <c r="V13" s="189">
        <v>427.59099999999995</v>
      </c>
      <c r="W13" s="189">
        <v>4131.6099999999997</v>
      </c>
      <c r="X13" s="177" t="e">
        <f t="shared" si="5"/>
        <v>#DIV/0!</v>
      </c>
      <c r="Y13" s="177">
        <f t="shared" si="6"/>
        <v>2.5214837635171792</v>
      </c>
    </row>
    <row r="14" spans="1:25" x14ac:dyDescent="0.2">
      <c r="A14" s="153">
        <v>2002</v>
      </c>
      <c r="B14" s="153">
        <v>1</v>
      </c>
      <c r="C14" s="153" t="str">
        <f t="shared" si="1"/>
        <v>20021</v>
      </c>
      <c r="D14" s="153" t="str">
        <f>D2</f>
        <v>Q1</v>
      </c>
      <c r="E14" s="153">
        <f t="shared" si="2"/>
        <v>113421.694</v>
      </c>
      <c r="F14" s="153" t="e">
        <f t="shared" si="3"/>
        <v>#N/A</v>
      </c>
      <c r="G14" s="153">
        <f t="shared" si="3"/>
        <v>4084.4279999999999</v>
      </c>
      <c r="H14" s="153">
        <f t="shared" si="3"/>
        <v>1616.222</v>
      </c>
      <c r="L14" s="153">
        <f t="shared" si="7"/>
        <v>2004</v>
      </c>
      <c r="M14" s="177" t="str">
        <f t="shared" si="8"/>
        <v>Q1</v>
      </c>
      <c r="N14" s="177" t="str">
        <f t="shared" si="0"/>
        <v>2004Q1</v>
      </c>
      <c r="O14" s="184">
        <v>116263.073</v>
      </c>
      <c r="P14" s="184"/>
      <c r="Q14" s="251"/>
      <c r="R14" s="251">
        <v>1641.78</v>
      </c>
      <c r="S14" s="189">
        <v>36644.026083426186</v>
      </c>
      <c r="T14" s="189"/>
      <c r="U14" s="253">
        <f t="shared" si="4"/>
        <v>4138.8490000000002</v>
      </c>
      <c r="V14" s="189">
        <v>428.91</v>
      </c>
      <c r="W14" s="189">
        <v>4138.8490000000002</v>
      </c>
      <c r="X14" s="177" t="e">
        <f t="shared" si="5"/>
        <v>#DIV/0!</v>
      </c>
      <c r="Y14" s="177">
        <f t="shared" si="6"/>
        <v>2.5209522591333799</v>
      </c>
    </row>
    <row r="15" spans="1:25" x14ac:dyDescent="0.2">
      <c r="A15" s="153">
        <v>2002</v>
      </c>
      <c r="B15" s="153">
        <v>2</v>
      </c>
      <c r="C15" s="153" t="str">
        <f t="shared" si="1"/>
        <v>20022</v>
      </c>
      <c r="D15" s="153" t="str">
        <f t="shared" ref="D15:D78" si="9">D3</f>
        <v>Q1</v>
      </c>
      <c r="E15" s="153">
        <f t="shared" si="2"/>
        <v>113421.694</v>
      </c>
      <c r="F15" s="153" t="e">
        <f t="shared" si="3"/>
        <v>#N/A</v>
      </c>
      <c r="G15" s="153">
        <f t="shared" si="3"/>
        <v>4084.4279999999999</v>
      </c>
      <c r="H15" s="153">
        <f t="shared" si="3"/>
        <v>1616.222</v>
      </c>
      <c r="L15" s="153">
        <f t="shared" si="7"/>
        <v>2004</v>
      </c>
      <c r="M15" s="177" t="str">
        <f t="shared" si="8"/>
        <v>Q2</v>
      </c>
      <c r="N15" s="177" t="str">
        <f t="shared" si="0"/>
        <v>2004Q2</v>
      </c>
      <c r="O15" s="184">
        <v>116694.558</v>
      </c>
      <c r="P15" s="184"/>
      <c r="Q15" s="251"/>
      <c r="R15" s="251">
        <v>1645.002</v>
      </c>
      <c r="S15" s="189">
        <v>36771.492378685805</v>
      </c>
      <c r="T15" s="189"/>
      <c r="U15" s="253">
        <f t="shared" si="4"/>
        <v>4146.1009999999997</v>
      </c>
      <c r="V15" s="189">
        <v>430.22899999999998</v>
      </c>
      <c r="W15" s="189">
        <v>4146.1009999999997</v>
      </c>
      <c r="X15" s="177" t="e">
        <f t="shared" si="5"/>
        <v>#DIV/0!</v>
      </c>
      <c r="Y15" s="177">
        <f t="shared" si="6"/>
        <v>2.5204230754734644</v>
      </c>
    </row>
    <row r="16" spans="1:25" x14ac:dyDescent="0.2">
      <c r="A16" s="153">
        <v>2002</v>
      </c>
      <c r="B16" s="153">
        <v>3</v>
      </c>
      <c r="C16" s="153" t="str">
        <f t="shared" si="1"/>
        <v>20023</v>
      </c>
      <c r="D16" s="153" t="str">
        <f t="shared" si="9"/>
        <v>Q1</v>
      </c>
      <c r="E16" s="153">
        <f t="shared" si="2"/>
        <v>113421.694</v>
      </c>
      <c r="F16" s="153" t="e">
        <f t="shared" si="3"/>
        <v>#N/A</v>
      </c>
      <c r="G16" s="153">
        <f t="shared" si="3"/>
        <v>4084.4279999999999</v>
      </c>
      <c r="H16" s="153">
        <f t="shared" si="3"/>
        <v>1616.222</v>
      </c>
      <c r="L16" s="153">
        <f t="shared" si="7"/>
        <v>2004</v>
      </c>
      <c r="M16" s="177" t="str">
        <f t="shared" si="8"/>
        <v>Q3</v>
      </c>
      <c r="N16" s="177" t="str">
        <f t="shared" si="0"/>
        <v>2004Q3</v>
      </c>
      <c r="O16" s="184">
        <v>117551.33500000001</v>
      </c>
      <c r="P16" s="184">
        <v>117551.33500000001</v>
      </c>
      <c r="Q16" s="251">
        <v>1648.232</v>
      </c>
      <c r="R16" s="251">
        <v>1648.232</v>
      </c>
      <c r="S16" s="189">
        <v>36973.693354213639</v>
      </c>
      <c r="T16" s="189"/>
      <c r="U16" s="253">
        <f t="shared" si="4"/>
        <v>4155.2309999999998</v>
      </c>
      <c r="V16" s="189">
        <v>431.89625000000001</v>
      </c>
      <c r="W16" s="189">
        <v>4155.2309999999998</v>
      </c>
      <c r="X16" s="177">
        <f t="shared" si="5"/>
        <v>0.26203607865882961</v>
      </c>
      <c r="Y16" s="177">
        <f t="shared" si="6"/>
        <v>2.5210231326657895</v>
      </c>
    </row>
    <row r="17" spans="1:25" x14ac:dyDescent="0.2">
      <c r="A17" s="153">
        <v>2002</v>
      </c>
      <c r="B17" s="153">
        <v>4</v>
      </c>
      <c r="C17" s="153" t="str">
        <f t="shared" si="1"/>
        <v>20024</v>
      </c>
      <c r="D17" s="153" t="str">
        <f t="shared" si="9"/>
        <v>Q2</v>
      </c>
      <c r="E17" s="153">
        <f t="shared" si="2"/>
        <v>114074.546</v>
      </c>
      <c r="F17" s="153" t="e">
        <f t="shared" si="3"/>
        <v>#N/A</v>
      </c>
      <c r="G17" s="153">
        <f t="shared" si="3"/>
        <v>4089.875</v>
      </c>
      <c r="H17" s="153">
        <f t="shared" si="3"/>
        <v>1619.394</v>
      </c>
      <c r="L17" s="153">
        <f t="shared" si="7"/>
        <v>2004</v>
      </c>
      <c r="M17" s="177" t="str">
        <f t="shared" si="8"/>
        <v>Q4</v>
      </c>
      <c r="N17" s="177" t="str">
        <f t="shared" si="0"/>
        <v>2004Q4</v>
      </c>
      <c r="O17" s="184">
        <v>118914.68</v>
      </c>
      <c r="P17" s="184">
        <v>118914.68</v>
      </c>
      <c r="Q17" s="251">
        <v>1651.4670000000001</v>
      </c>
      <c r="R17" s="251">
        <v>1651.4670000000001</v>
      </c>
      <c r="S17" s="189">
        <v>37306.699921138053</v>
      </c>
      <c r="T17" s="189"/>
      <c r="U17" s="253">
        <f t="shared" si="4"/>
        <v>4164.3810000000003</v>
      </c>
      <c r="V17" s="189">
        <v>433.56350000000003</v>
      </c>
      <c r="W17" s="189">
        <v>4164.3810000000003</v>
      </c>
      <c r="X17" s="177">
        <f t="shared" si="5"/>
        <v>0.26253234245673696</v>
      </c>
      <c r="Y17" s="177">
        <f t="shared" si="6"/>
        <v>2.5216253185803894</v>
      </c>
    </row>
    <row r="18" spans="1:25" x14ac:dyDescent="0.2">
      <c r="A18" s="153">
        <v>2002</v>
      </c>
      <c r="B18" s="153">
        <v>5</v>
      </c>
      <c r="C18" s="153" t="str">
        <f t="shared" si="1"/>
        <v>20025</v>
      </c>
      <c r="D18" s="153" t="str">
        <f t="shared" si="9"/>
        <v>Q2</v>
      </c>
      <c r="E18" s="153">
        <f t="shared" si="2"/>
        <v>114074.546</v>
      </c>
      <c r="F18" s="153" t="e">
        <f t="shared" si="3"/>
        <v>#N/A</v>
      </c>
      <c r="G18" s="153">
        <f t="shared" si="3"/>
        <v>4089.875</v>
      </c>
      <c r="H18" s="153">
        <f t="shared" si="3"/>
        <v>1619.394</v>
      </c>
      <c r="L18" s="153">
        <f t="shared" si="7"/>
        <v>2005</v>
      </c>
      <c r="M18" s="177" t="str">
        <f t="shared" si="8"/>
        <v>Q1</v>
      </c>
      <c r="N18" s="177" t="str">
        <f t="shared" si="0"/>
        <v>2005Q1</v>
      </c>
      <c r="O18" s="184">
        <v>118334.43</v>
      </c>
      <c r="P18" s="184">
        <v>118334.43</v>
      </c>
      <c r="Q18" s="251">
        <v>1654.7090000000001</v>
      </c>
      <c r="R18" s="251">
        <v>1654.7090000000001</v>
      </c>
      <c r="S18" s="189">
        <v>36497.743140651095</v>
      </c>
      <c r="T18" s="189"/>
      <c r="U18" s="253">
        <f t="shared" si="4"/>
        <v>4173.5519999999997</v>
      </c>
      <c r="V18" s="189">
        <v>435.23075</v>
      </c>
      <c r="W18" s="189">
        <v>4173.5519999999997</v>
      </c>
      <c r="X18" s="177">
        <f t="shared" si="5"/>
        <v>0.26302555313351167</v>
      </c>
      <c r="Y18" s="177">
        <f t="shared" si="6"/>
        <v>2.5222271710614974</v>
      </c>
    </row>
    <row r="19" spans="1:25" x14ac:dyDescent="0.2">
      <c r="A19" s="153">
        <v>2002</v>
      </c>
      <c r="B19" s="153">
        <v>6</v>
      </c>
      <c r="C19" s="153" t="str">
        <f t="shared" si="1"/>
        <v>20026</v>
      </c>
      <c r="D19" s="153" t="str">
        <f t="shared" si="9"/>
        <v>Q2</v>
      </c>
      <c r="E19" s="153">
        <f t="shared" si="2"/>
        <v>114074.546</v>
      </c>
      <c r="F19" s="153" t="e">
        <f t="shared" si="3"/>
        <v>#N/A</v>
      </c>
      <c r="G19" s="153">
        <f t="shared" si="3"/>
        <v>4089.875</v>
      </c>
      <c r="H19" s="153">
        <f t="shared" si="3"/>
        <v>1619.394</v>
      </c>
      <c r="L19" s="153">
        <f t="shared" si="7"/>
        <v>2005</v>
      </c>
      <c r="M19" s="177" t="str">
        <f t="shared" si="8"/>
        <v>Q2</v>
      </c>
      <c r="N19" s="177" t="str">
        <f t="shared" si="0"/>
        <v>2005Q2</v>
      </c>
      <c r="O19" s="184">
        <v>119333.414</v>
      </c>
      <c r="P19" s="184">
        <v>119333.414</v>
      </c>
      <c r="Q19" s="251">
        <v>1657.9570000000001</v>
      </c>
      <c r="R19" s="251">
        <v>1657.9570000000001</v>
      </c>
      <c r="S19" s="189">
        <v>36925.598833112439</v>
      </c>
      <c r="T19" s="189"/>
      <c r="U19" s="253">
        <f t="shared" si="4"/>
        <v>4182.7420000000002</v>
      </c>
      <c r="V19" s="189">
        <v>436.89800000000002</v>
      </c>
      <c r="W19" s="189">
        <v>4182.7420000000002</v>
      </c>
      <c r="X19" s="177">
        <f t="shared" si="5"/>
        <v>0.26351588129245812</v>
      </c>
      <c r="Y19" s="177">
        <f t="shared" si="6"/>
        <v>2.5228289997870874</v>
      </c>
    </row>
    <row r="20" spans="1:25" x14ac:dyDescent="0.2">
      <c r="A20" s="153">
        <v>2002</v>
      </c>
      <c r="B20" s="153">
        <v>7</v>
      </c>
      <c r="C20" s="153" t="str">
        <f t="shared" si="1"/>
        <v>20027</v>
      </c>
      <c r="D20" s="153" t="str">
        <f t="shared" si="9"/>
        <v>Q3</v>
      </c>
      <c r="E20" s="153">
        <f t="shared" si="2"/>
        <v>114002.70699999999</v>
      </c>
      <c r="F20" s="153" t="e">
        <f t="shared" si="3"/>
        <v>#N/A</v>
      </c>
      <c r="G20" s="153">
        <f t="shared" si="3"/>
        <v>4096.6819999999998</v>
      </c>
      <c r="H20" s="153">
        <f t="shared" si="3"/>
        <v>1622.5740000000001</v>
      </c>
      <c r="L20" s="153">
        <f t="shared" si="7"/>
        <v>2005</v>
      </c>
      <c r="M20" s="177" t="str">
        <f t="shared" si="8"/>
        <v>Q3</v>
      </c>
      <c r="N20" s="177" t="str">
        <f t="shared" si="0"/>
        <v>2005Q3</v>
      </c>
      <c r="O20" s="184">
        <v>119379.652</v>
      </c>
      <c r="P20" s="184">
        <v>119379.652</v>
      </c>
      <c r="Q20" s="251">
        <v>1657.652</v>
      </c>
      <c r="R20" s="251">
        <v>1657.652</v>
      </c>
      <c r="S20" s="189">
        <v>37050.927192459436</v>
      </c>
      <c r="T20" s="189"/>
      <c r="U20" s="253">
        <f t="shared" si="4"/>
        <v>4191.8370000000004</v>
      </c>
      <c r="V20" s="189">
        <v>439.09474999999986</v>
      </c>
      <c r="W20" s="189">
        <v>4191.8370000000004</v>
      </c>
      <c r="X20" s="177">
        <f t="shared" si="5"/>
        <v>0.26488958478619146</v>
      </c>
      <c r="Y20" s="177">
        <f t="shared" si="6"/>
        <v>2.5287798645312769</v>
      </c>
    </row>
    <row r="21" spans="1:25" x14ac:dyDescent="0.2">
      <c r="A21" s="153">
        <v>2002</v>
      </c>
      <c r="B21" s="153">
        <v>8</v>
      </c>
      <c r="C21" s="153" t="str">
        <f t="shared" si="1"/>
        <v>20028</v>
      </c>
      <c r="D21" s="153" t="str">
        <f t="shared" si="9"/>
        <v>Q3</v>
      </c>
      <c r="E21" s="153">
        <f t="shared" si="2"/>
        <v>114002.70699999999</v>
      </c>
      <c r="F21" s="153" t="e">
        <f t="shared" si="3"/>
        <v>#N/A</v>
      </c>
      <c r="G21" s="153">
        <f t="shared" si="3"/>
        <v>4096.6819999999998</v>
      </c>
      <c r="H21" s="153">
        <f t="shared" si="3"/>
        <v>1622.5740000000001</v>
      </c>
      <c r="L21" s="153">
        <f t="shared" si="7"/>
        <v>2005</v>
      </c>
      <c r="M21" s="177" t="str">
        <f t="shared" si="8"/>
        <v>Q4</v>
      </c>
      <c r="N21" s="177" t="str">
        <f t="shared" si="0"/>
        <v>2005Q4</v>
      </c>
      <c r="O21" s="184">
        <v>119542.07799999999</v>
      </c>
      <c r="P21" s="184">
        <v>119542.07799999999</v>
      </c>
      <c r="Q21" s="251">
        <v>1657.348</v>
      </c>
      <c r="R21" s="251">
        <v>1657.348</v>
      </c>
      <c r="S21" s="189">
        <v>37214.08364461326</v>
      </c>
      <c r="T21" s="189"/>
      <c r="U21" s="253">
        <f t="shared" si="4"/>
        <v>4200.951</v>
      </c>
      <c r="V21" s="189">
        <v>441.29150000000004</v>
      </c>
      <c r="W21" s="189">
        <v>4200.951</v>
      </c>
      <c r="X21" s="177">
        <f t="shared" si="5"/>
        <v>0.26626363322609375</v>
      </c>
      <c r="Y21" s="177">
        <f t="shared" si="6"/>
        <v>2.5347428542466641</v>
      </c>
    </row>
    <row r="22" spans="1:25" x14ac:dyDescent="0.2">
      <c r="A22" s="153">
        <v>2002</v>
      </c>
      <c r="B22" s="153">
        <v>9</v>
      </c>
      <c r="C22" s="153" t="str">
        <f t="shared" si="1"/>
        <v>20029</v>
      </c>
      <c r="D22" s="153" t="str">
        <f t="shared" si="9"/>
        <v>Q3</v>
      </c>
      <c r="E22" s="153">
        <f t="shared" si="2"/>
        <v>114002.70699999999</v>
      </c>
      <c r="F22" s="153" t="e">
        <f t="shared" si="3"/>
        <v>#N/A</v>
      </c>
      <c r="G22" s="153">
        <f t="shared" si="3"/>
        <v>4096.6819999999998</v>
      </c>
      <c r="H22" s="153">
        <f t="shared" si="3"/>
        <v>1622.5740000000001</v>
      </c>
      <c r="L22" s="153">
        <f t="shared" si="7"/>
        <v>2006</v>
      </c>
      <c r="M22" s="177" t="str">
        <f t="shared" si="8"/>
        <v>Q1</v>
      </c>
      <c r="N22" s="177" t="str">
        <f t="shared" si="0"/>
        <v>2006Q1</v>
      </c>
      <c r="O22" s="184">
        <v>121891.27099999999</v>
      </c>
      <c r="P22" s="184">
        <v>121891.27099999999</v>
      </c>
      <c r="Q22" s="251">
        <v>1657.0429999999999</v>
      </c>
      <c r="R22" s="251">
        <v>1657.0429999999999</v>
      </c>
      <c r="S22" s="189">
        <v>38232.076121240505</v>
      </c>
      <c r="T22" s="189"/>
      <c r="U22" s="253">
        <f t="shared" si="4"/>
        <v>4210.085</v>
      </c>
      <c r="V22" s="189">
        <v>443.48824999999999</v>
      </c>
      <c r="W22" s="189">
        <v>4210.085</v>
      </c>
      <c r="X22" s="177">
        <f t="shared" si="5"/>
        <v>0.26763834734524089</v>
      </c>
      <c r="Y22" s="177">
        <f t="shared" si="6"/>
        <v>2.540721634864032</v>
      </c>
    </row>
    <row r="23" spans="1:25" x14ac:dyDescent="0.2">
      <c r="A23" s="153">
        <v>2002</v>
      </c>
      <c r="B23" s="153">
        <v>10</v>
      </c>
      <c r="C23" s="153" t="str">
        <f t="shared" si="1"/>
        <v>200210</v>
      </c>
      <c r="D23" s="153" t="str">
        <f t="shared" si="9"/>
        <v>Q4</v>
      </c>
      <c r="E23" s="153">
        <f t="shared" si="2"/>
        <v>114407.613</v>
      </c>
      <c r="F23" s="153" t="e">
        <f t="shared" si="3"/>
        <v>#N/A</v>
      </c>
      <c r="G23" s="153">
        <f t="shared" si="3"/>
        <v>4103.5</v>
      </c>
      <c r="H23" s="153">
        <f t="shared" si="3"/>
        <v>1625.759</v>
      </c>
      <c r="L23" s="153">
        <f t="shared" si="7"/>
        <v>2006</v>
      </c>
      <c r="M23" s="177" t="str">
        <f t="shared" si="8"/>
        <v>Q2</v>
      </c>
      <c r="N23" s="177" t="str">
        <f t="shared" si="0"/>
        <v>2006Q2</v>
      </c>
      <c r="O23" s="184">
        <v>123006.787</v>
      </c>
      <c r="P23" s="184">
        <v>123006.787</v>
      </c>
      <c r="Q23" s="251">
        <v>1656.7380000000001</v>
      </c>
      <c r="R23" s="251">
        <v>1656.7380000000001</v>
      </c>
      <c r="S23" s="189">
        <v>38551.986971371545</v>
      </c>
      <c r="T23" s="189"/>
      <c r="U23" s="253">
        <f t="shared" si="4"/>
        <v>4219.2389999999996</v>
      </c>
      <c r="V23" s="189">
        <v>445.685</v>
      </c>
      <c r="W23" s="189">
        <v>4219.2389999999996</v>
      </c>
      <c r="X23" s="177">
        <f t="shared" si="5"/>
        <v>0.26901356762505596</v>
      </c>
      <c r="Y23" s="177">
        <f t="shared" si="6"/>
        <v>2.5467146887437839</v>
      </c>
    </row>
    <row r="24" spans="1:25" x14ac:dyDescent="0.2">
      <c r="A24" s="153">
        <v>2002</v>
      </c>
      <c r="B24" s="153">
        <v>11</v>
      </c>
      <c r="C24" s="153" t="str">
        <f t="shared" si="1"/>
        <v>200211</v>
      </c>
      <c r="D24" s="153" t="str">
        <f t="shared" si="9"/>
        <v>Q4</v>
      </c>
      <c r="E24" s="153">
        <f t="shared" si="2"/>
        <v>114407.613</v>
      </c>
      <c r="F24" s="153" t="e">
        <f t="shared" si="3"/>
        <v>#N/A</v>
      </c>
      <c r="G24" s="153">
        <f t="shared" si="3"/>
        <v>4103.5</v>
      </c>
      <c r="H24" s="153">
        <f t="shared" si="3"/>
        <v>1625.759</v>
      </c>
      <c r="L24" s="153">
        <f t="shared" si="7"/>
        <v>2006</v>
      </c>
      <c r="M24" s="177" t="str">
        <f t="shared" si="8"/>
        <v>Q3</v>
      </c>
      <c r="N24" s="177" t="str">
        <f t="shared" si="0"/>
        <v>2006Q3</v>
      </c>
      <c r="O24" s="184">
        <v>123530.77899999999</v>
      </c>
      <c r="P24" s="184">
        <v>123530.77899999999</v>
      </c>
      <c r="Q24" s="251">
        <v>1657.8969999999999</v>
      </c>
      <c r="R24" s="251">
        <v>1657.8969999999999</v>
      </c>
      <c r="S24" s="189">
        <v>38698.21171607422</v>
      </c>
      <c r="T24" s="189"/>
      <c r="U24" s="253">
        <f t="shared" si="4"/>
        <v>4228.5659999999998</v>
      </c>
      <c r="V24" s="189">
        <v>447.29824999999994</v>
      </c>
      <c r="W24" s="189">
        <v>4228.5659999999998</v>
      </c>
      <c r="X24" s="177">
        <f t="shared" si="5"/>
        <v>0.26979857614797537</v>
      </c>
      <c r="Y24" s="177">
        <f t="shared" si="6"/>
        <v>2.5505601373306064</v>
      </c>
    </row>
    <row r="25" spans="1:25" x14ac:dyDescent="0.2">
      <c r="A25" s="153">
        <v>2002</v>
      </c>
      <c r="B25" s="153">
        <v>12</v>
      </c>
      <c r="C25" s="153" t="str">
        <f t="shared" si="1"/>
        <v>200212</v>
      </c>
      <c r="D25" s="153" t="str">
        <f t="shared" si="9"/>
        <v>Q4</v>
      </c>
      <c r="E25" s="153">
        <f t="shared" si="2"/>
        <v>114407.613</v>
      </c>
      <c r="F25" s="153" t="e">
        <f t="shared" si="3"/>
        <v>#N/A</v>
      </c>
      <c r="G25" s="153">
        <f t="shared" si="3"/>
        <v>4103.5</v>
      </c>
      <c r="H25" s="153">
        <f t="shared" si="3"/>
        <v>1625.759</v>
      </c>
      <c r="L25" s="153">
        <f t="shared" si="7"/>
        <v>2006</v>
      </c>
      <c r="M25" s="177" t="str">
        <f t="shared" si="8"/>
        <v>Q4</v>
      </c>
      <c r="N25" s="177" t="str">
        <f t="shared" si="0"/>
        <v>2006Q4</v>
      </c>
      <c r="O25" s="184">
        <v>124988.379</v>
      </c>
      <c r="P25" s="184">
        <v>124988.379</v>
      </c>
      <c r="Q25" s="251">
        <v>1659.057</v>
      </c>
      <c r="R25" s="251">
        <v>1659.057</v>
      </c>
      <c r="S25" s="189">
        <v>39120.882163460956</v>
      </c>
      <c r="T25" s="189"/>
      <c r="U25" s="253">
        <f t="shared" si="4"/>
        <v>4237.9139999999998</v>
      </c>
      <c r="V25" s="189">
        <v>448.91149999999993</v>
      </c>
      <c r="W25" s="189">
        <v>4237.9139999999998</v>
      </c>
      <c r="X25" s="177">
        <f t="shared" si="5"/>
        <v>0.27058232477847349</v>
      </c>
      <c r="Y25" s="177">
        <f t="shared" si="6"/>
        <v>2.5544113312562495</v>
      </c>
    </row>
    <row r="26" spans="1:25" x14ac:dyDescent="0.2">
      <c r="A26" s="153">
        <v>2003</v>
      </c>
      <c r="B26" s="153">
        <v>1</v>
      </c>
      <c r="C26" s="153" t="str">
        <f t="shared" si="1"/>
        <v>20031</v>
      </c>
      <c r="D26" s="153" t="str">
        <f t="shared" si="9"/>
        <v>Q1</v>
      </c>
      <c r="E26" s="153">
        <f t="shared" si="2"/>
        <v>113801.59699999999</v>
      </c>
      <c r="F26" s="153" t="e">
        <f t="shared" si="3"/>
        <v>#N/A</v>
      </c>
      <c r="G26" s="153">
        <f t="shared" si="3"/>
        <v>4110.3289999999997</v>
      </c>
      <c r="H26" s="153">
        <f t="shared" si="3"/>
        <v>1628.951</v>
      </c>
      <c r="L26" s="153">
        <f t="shared" si="7"/>
        <v>2007</v>
      </c>
      <c r="M26" s="177" t="str">
        <f t="shared" si="8"/>
        <v>Q1</v>
      </c>
      <c r="N26" s="177" t="str">
        <f t="shared" si="0"/>
        <v>2007Q1</v>
      </c>
      <c r="O26" s="184">
        <v>125421.274</v>
      </c>
      <c r="P26" s="184">
        <v>125421.274</v>
      </c>
      <c r="Q26" s="251">
        <v>1660.2180000000001</v>
      </c>
      <c r="R26" s="251">
        <v>1660.2180000000001</v>
      </c>
      <c r="S26" s="189">
        <v>39207.939116974187</v>
      </c>
      <c r="T26" s="189"/>
      <c r="U26" s="253">
        <f t="shared" si="4"/>
        <v>4247.2830000000004</v>
      </c>
      <c r="V26" s="189">
        <v>450.52474999999998</v>
      </c>
      <c r="W26" s="189">
        <v>4247.2830000000004</v>
      </c>
      <c r="X26" s="177">
        <f t="shared" si="5"/>
        <v>0.27136481474119661</v>
      </c>
      <c r="Y26" s="177">
        <f t="shared" si="6"/>
        <v>2.5582682515187765</v>
      </c>
    </row>
    <row r="27" spans="1:25" x14ac:dyDescent="0.2">
      <c r="A27" s="153">
        <v>2003</v>
      </c>
      <c r="B27" s="153">
        <v>2</v>
      </c>
      <c r="C27" s="153" t="str">
        <f t="shared" si="1"/>
        <v>20032</v>
      </c>
      <c r="D27" s="153" t="str">
        <f t="shared" si="9"/>
        <v>Q1</v>
      </c>
      <c r="E27" s="153">
        <f t="shared" si="2"/>
        <v>113801.59699999999</v>
      </c>
      <c r="F27" s="153" t="e">
        <f t="shared" si="3"/>
        <v>#N/A</v>
      </c>
      <c r="G27" s="153">
        <f t="shared" si="3"/>
        <v>4110.3289999999997</v>
      </c>
      <c r="H27" s="153">
        <f t="shared" si="3"/>
        <v>1628.951</v>
      </c>
      <c r="L27" s="153">
        <f t="shared" si="7"/>
        <v>2007</v>
      </c>
      <c r="M27" s="177" t="str">
        <f t="shared" si="8"/>
        <v>Q2</v>
      </c>
      <c r="N27" s="177" t="str">
        <f t="shared" si="0"/>
        <v>2007Q2</v>
      </c>
      <c r="O27" s="184">
        <v>125696.571</v>
      </c>
      <c r="P27" s="184">
        <v>125696.571</v>
      </c>
      <c r="Q27" s="251">
        <v>1661.3789999999999</v>
      </c>
      <c r="R27" s="251">
        <v>1661.3789999999999</v>
      </c>
      <c r="S27" s="189">
        <v>39146.160290129192</v>
      </c>
      <c r="T27" s="189"/>
      <c r="U27" s="253">
        <f t="shared" si="4"/>
        <v>4256.6719999999996</v>
      </c>
      <c r="V27" s="189">
        <v>452.13799999999998</v>
      </c>
      <c r="W27" s="189">
        <v>4256.6719999999996</v>
      </c>
      <c r="X27" s="177">
        <f t="shared" si="5"/>
        <v>0.27214621106923825</v>
      </c>
      <c r="Y27" s="177">
        <f t="shared" si="6"/>
        <v>2.5621318194102609</v>
      </c>
    </row>
    <row r="28" spans="1:25" x14ac:dyDescent="0.2">
      <c r="A28" s="153">
        <v>2003</v>
      </c>
      <c r="B28" s="153">
        <v>3</v>
      </c>
      <c r="C28" s="153" t="str">
        <f t="shared" si="1"/>
        <v>20033</v>
      </c>
      <c r="D28" s="153" t="str">
        <f t="shared" si="9"/>
        <v>Q1</v>
      </c>
      <c r="E28" s="153">
        <f t="shared" si="2"/>
        <v>113801.59699999999</v>
      </c>
      <c r="F28" s="153" t="e">
        <f t="shared" si="3"/>
        <v>#N/A</v>
      </c>
      <c r="G28" s="153">
        <f t="shared" si="3"/>
        <v>4110.3289999999997</v>
      </c>
      <c r="H28" s="153">
        <f t="shared" si="3"/>
        <v>1628.951</v>
      </c>
      <c r="L28" s="153">
        <f t="shared" si="7"/>
        <v>2007</v>
      </c>
      <c r="M28" s="177" t="str">
        <f t="shared" si="8"/>
        <v>Q3</v>
      </c>
      <c r="N28" s="177" t="str">
        <f t="shared" si="0"/>
        <v>2007Q3</v>
      </c>
      <c r="O28" s="184">
        <v>125601.717</v>
      </c>
      <c r="P28" s="184">
        <v>125601.717</v>
      </c>
      <c r="Q28" s="251">
        <v>1669.175</v>
      </c>
      <c r="R28" s="251">
        <v>1669.175</v>
      </c>
      <c r="S28" s="189">
        <v>39001.852326761655</v>
      </c>
      <c r="T28" s="189"/>
      <c r="U28" s="253">
        <f t="shared" si="4"/>
        <v>4264.9489999999996</v>
      </c>
      <c r="V28" s="189">
        <v>454.13150000000007</v>
      </c>
      <c r="W28" s="189">
        <v>4264.9489999999996</v>
      </c>
      <c r="X28" s="177">
        <f t="shared" si="5"/>
        <v>0.27206943549957319</v>
      </c>
      <c r="Y28" s="177">
        <f t="shared" si="6"/>
        <v>2.5551239384725988</v>
      </c>
    </row>
    <row r="29" spans="1:25" x14ac:dyDescent="0.2">
      <c r="A29" s="153">
        <v>2003</v>
      </c>
      <c r="B29" s="153">
        <v>4</v>
      </c>
      <c r="C29" s="153" t="str">
        <f t="shared" si="1"/>
        <v>20034</v>
      </c>
      <c r="D29" s="153" t="str">
        <f t="shared" si="9"/>
        <v>Q2</v>
      </c>
      <c r="E29" s="153">
        <f t="shared" si="2"/>
        <v>114321.784</v>
      </c>
      <c r="F29" s="153" t="e">
        <f t="shared" si="3"/>
        <v>#N/A</v>
      </c>
      <c r="G29" s="153">
        <f t="shared" si="3"/>
        <v>4117.17</v>
      </c>
      <c r="H29" s="153">
        <f t="shared" si="3"/>
        <v>1632.1479999999999</v>
      </c>
      <c r="L29" s="153">
        <f t="shared" si="7"/>
        <v>2007</v>
      </c>
      <c r="M29" s="177" t="str">
        <f t="shared" si="8"/>
        <v>Q4</v>
      </c>
      <c r="N29" s="177" t="str">
        <f t="shared" si="0"/>
        <v>2007Q4</v>
      </c>
      <c r="O29" s="184">
        <v>126411.315</v>
      </c>
      <c r="P29" s="184">
        <v>126411.315</v>
      </c>
      <c r="Q29" s="251">
        <v>1677.0070000000001</v>
      </c>
      <c r="R29" s="251">
        <v>1677.0070000000001</v>
      </c>
      <c r="S29" s="189">
        <v>39135.118262944496</v>
      </c>
      <c r="T29" s="189"/>
      <c r="U29" s="253">
        <f t="shared" si="4"/>
        <v>4273.2430000000004</v>
      </c>
      <c r="V29" s="189">
        <v>456.125</v>
      </c>
      <c r="W29" s="189">
        <v>4273.2430000000004</v>
      </c>
      <c r="X29" s="177">
        <f t="shared" si="5"/>
        <v>0.27198753493575162</v>
      </c>
      <c r="Y29" s="177">
        <f t="shared" si="6"/>
        <v>2.548136650592395</v>
      </c>
    </row>
    <row r="30" spans="1:25" x14ac:dyDescent="0.2">
      <c r="A30" s="153">
        <v>2003</v>
      </c>
      <c r="B30" s="153">
        <v>5</v>
      </c>
      <c r="C30" s="153" t="str">
        <f t="shared" si="1"/>
        <v>20035</v>
      </c>
      <c r="D30" s="153" t="str">
        <f t="shared" si="9"/>
        <v>Q2</v>
      </c>
      <c r="E30" s="153">
        <f t="shared" si="2"/>
        <v>114321.784</v>
      </c>
      <c r="F30" s="153" t="e">
        <f t="shared" si="3"/>
        <v>#N/A</v>
      </c>
      <c r="G30" s="153">
        <f t="shared" si="3"/>
        <v>4117.17</v>
      </c>
      <c r="H30" s="153">
        <f t="shared" si="3"/>
        <v>1632.1479999999999</v>
      </c>
      <c r="L30" s="153">
        <f t="shared" si="7"/>
        <v>2008</v>
      </c>
      <c r="M30" s="177" t="str">
        <f t="shared" si="8"/>
        <v>Q1</v>
      </c>
      <c r="N30" s="177" t="str">
        <f t="shared" si="0"/>
        <v>2008Q1</v>
      </c>
      <c r="O30" s="184">
        <v>128364.796</v>
      </c>
      <c r="P30" s="184">
        <v>128374.995</v>
      </c>
      <c r="Q30" s="251">
        <v>1684.875</v>
      </c>
      <c r="R30" s="251">
        <v>1684.875</v>
      </c>
      <c r="S30" s="189">
        <v>39632.680925057175</v>
      </c>
      <c r="T30" s="189"/>
      <c r="U30" s="253">
        <f t="shared" si="4"/>
        <v>4281.5519999999997</v>
      </c>
      <c r="V30" s="189">
        <v>458.11849999999993</v>
      </c>
      <c r="W30" s="189">
        <v>4281.5519999999997</v>
      </c>
      <c r="X30" s="177">
        <f t="shared" si="5"/>
        <v>0.27190058609689144</v>
      </c>
      <c r="Y30" s="177">
        <f t="shared" si="6"/>
        <v>2.5411689294458042</v>
      </c>
    </row>
    <row r="31" spans="1:25" x14ac:dyDescent="0.2">
      <c r="A31" s="153">
        <v>2003</v>
      </c>
      <c r="B31" s="153">
        <v>6</v>
      </c>
      <c r="C31" s="153" t="str">
        <f t="shared" si="1"/>
        <v>20036</v>
      </c>
      <c r="D31" s="153" t="str">
        <f t="shared" si="9"/>
        <v>Q2</v>
      </c>
      <c r="E31" s="153">
        <f t="shared" si="2"/>
        <v>114321.784</v>
      </c>
      <c r="F31" s="153" t="e">
        <f t="shared" si="3"/>
        <v>#N/A</v>
      </c>
      <c r="G31" s="153">
        <f t="shared" si="3"/>
        <v>4117.17</v>
      </c>
      <c r="H31" s="153">
        <f t="shared" si="3"/>
        <v>1632.1479999999999</v>
      </c>
      <c r="L31" s="153">
        <f t="shared" si="7"/>
        <v>2008</v>
      </c>
      <c r="M31" s="177" t="str">
        <f t="shared" si="8"/>
        <v>Q2</v>
      </c>
      <c r="N31" s="177" t="str">
        <f t="shared" si="0"/>
        <v>2008Q2</v>
      </c>
      <c r="O31" s="184">
        <v>129399.736</v>
      </c>
      <c r="P31" s="184">
        <v>129347.467</v>
      </c>
      <c r="Q31" s="251">
        <v>1692.7809999999999</v>
      </c>
      <c r="R31" s="251">
        <v>1692.7809999999999</v>
      </c>
      <c r="S31" s="189">
        <v>39855.727140851915</v>
      </c>
      <c r="T31" s="189"/>
      <c r="U31" s="253">
        <f t="shared" si="4"/>
        <v>4289.8779999999997</v>
      </c>
      <c r="V31" s="189">
        <v>460.11199999999997</v>
      </c>
      <c r="W31" s="189">
        <v>4289.8779999999997</v>
      </c>
      <c r="X31" s="177">
        <f t="shared" si="5"/>
        <v>0.27180834378457697</v>
      </c>
      <c r="Y31" s="177">
        <f t="shared" si="6"/>
        <v>2.5342191340758196</v>
      </c>
    </row>
    <row r="32" spans="1:25" x14ac:dyDescent="0.2">
      <c r="A32" s="153">
        <v>2003</v>
      </c>
      <c r="B32" s="153">
        <v>7</v>
      </c>
      <c r="C32" s="153" t="str">
        <f t="shared" si="1"/>
        <v>20037</v>
      </c>
      <c r="D32" s="153" t="str">
        <f t="shared" si="9"/>
        <v>Q3</v>
      </c>
      <c r="E32" s="153">
        <f t="shared" si="2"/>
        <v>114399.553</v>
      </c>
      <c r="F32" s="153" t="e">
        <f t="shared" si="3"/>
        <v>#N/A</v>
      </c>
      <c r="G32" s="153">
        <f t="shared" si="3"/>
        <v>4124.384</v>
      </c>
      <c r="H32" s="153">
        <f t="shared" si="3"/>
        <v>1635.3530000000001</v>
      </c>
      <c r="L32" s="153">
        <f t="shared" si="7"/>
        <v>2008</v>
      </c>
      <c r="M32" s="177" t="str">
        <f t="shared" si="8"/>
        <v>Q3</v>
      </c>
      <c r="N32" s="177" t="str">
        <f t="shared" si="0"/>
        <v>2008Q3</v>
      </c>
      <c r="O32" s="184">
        <v>126756.973</v>
      </c>
      <c r="P32" s="184">
        <v>126688.018</v>
      </c>
      <c r="Q32" s="251">
        <v>1694.962</v>
      </c>
      <c r="R32" s="251">
        <v>1694.962</v>
      </c>
      <c r="S32" s="189">
        <v>38971.970554889042</v>
      </c>
      <c r="T32" s="189"/>
      <c r="U32" s="253">
        <f t="shared" si="4"/>
        <v>4296.6610000000001</v>
      </c>
      <c r="V32" s="189">
        <v>461.91600000000005</v>
      </c>
      <c r="W32" s="189">
        <v>4296.6610000000001</v>
      </c>
      <c r="X32" s="177">
        <f t="shared" si="5"/>
        <v>0.27252292381776116</v>
      </c>
      <c r="Y32" s="177">
        <f t="shared" si="6"/>
        <v>2.5349600758011093</v>
      </c>
    </row>
    <row r="33" spans="1:25" x14ac:dyDescent="0.2">
      <c r="A33" s="153">
        <v>2003</v>
      </c>
      <c r="B33" s="153">
        <v>8</v>
      </c>
      <c r="C33" s="153" t="str">
        <f t="shared" si="1"/>
        <v>20038</v>
      </c>
      <c r="D33" s="153" t="str">
        <f t="shared" si="9"/>
        <v>Q3</v>
      </c>
      <c r="E33" s="153">
        <f t="shared" si="2"/>
        <v>114399.553</v>
      </c>
      <c r="F33" s="153" t="e">
        <f t="shared" si="3"/>
        <v>#N/A</v>
      </c>
      <c r="G33" s="153">
        <f t="shared" si="3"/>
        <v>4124.384</v>
      </c>
      <c r="H33" s="153">
        <f t="shared" si="3"/>
        <v>1635.3530000000001</v>
      </c>
      <c r="L33" s="153">
        <f t="shared" si="7"/>
        <v>2008</v>
      </c>
      <c r="M33" s="177" t="str">
        <f t="shared" si="8"/>
        <v>Q4</v>
      </c>
      <c r="N33" s="177" t="str">
        <f t="shared" si="0"/>
        <v>2008Q4</v>
      </c>
      <c r="O33" s="184">
        <v>127793.833</v>
      </c>
      <c r="P33" s="184">
        <v>127768.98299999999</v>
      </c>
      <c r="Q33" s="251">
        <v>1697.1469999999999</v>
      </c>
      <c r="R33" s="251">
        <v>1697.1469999999999</v>
      </c>
      <c r="S33" s="189">
        <v>39250.753059038092</v>
      </c>
      <c r="T33" s="189"/>
      <c r="U33" s="253">
        <f t="shared" si="4"/>
        <v>4303.4549999999999</v>
      </c>
      <c r="V33" s="189">
        <v>463.72</v>
      </c>
      <c r="W33" s="189">
        <v>4303.4549999999999</v>
      </c>
      <c r="X33" s="177">
        <f t="shared" si="5"/>
        <v>0.27323502324783888</v>
      </c>
      <c r="Y33" s="177">
        <f t="shared" si="6"/>
        <v>2.5356996182416727</v>
      </c>
    </row>
    <row r="34" spans="1:25" x14ac:dyDescent="0.2">
      <c r="A34" s="153">
        <v>2003</v>
      </c>
      <c r="B34" s="153">
        <v>9</v>
      </c>
      <c r="C34" s="153" t="str">
        <f t="shared" si="1"/>
        <v>20039</v>
      </c>
      <c r="D34" s="153" t="str">
        <f t="shared" si="9"/>
        <v>Q3</v>
      </c>
      <c r="E34" s="153">
        <f t="shared" si="2"/>
        <v>114399.553</v>
      </c>
      <c r="F34" s="153" t="e">
        <f t="shared" si="3"/>
        <v>#N/A</v>
      </c>
      <c r="G34" s="153">
        <f t="shared" si="3"/>
        <v>4124.384</v>
      </c>
      <c r="H34" s="153">
        <f t="shared" si="3"/>
        <v>1635.3530000000001</v>
      </c>
      <c r="L34" s="153">
        <f t="shared" si="7"/>
        <v>2009</v>
      </c>
      <c r="M34" s="177" t="str">
        <f t="shared" si="8"/>
        <v>Q1</v>
      </c>
      <c r="N34" s="177" t="str">
        <f t="shared" si="0"/>
        <v>2009Q1</v>
      </c>
      <c r="O34" s="184">
        <v>126804.629</v>
      </c>
      <c r="P34" s="184">
        <v>126780.598</v>
      </c>
      <c r="Q34" s="251">
        <v>1699.3340000000001</v>
      </c>
      <c r="R34" s="251">
        <v>1699.3340000000001</v>
      </c>
      <c r="S34" s="189">
        <v>39351.75300796557</v>
      </c>
      <c r="T34" s="189"/>
      <c r="U34" s="253">
        <f t="shared" si="4"/>
        <v>4310.259</v>
      </c>
      <c r="V34" s="189">
        <v>465.524</v>
      </c>
      <c r="W34" s="189">
        <v>4310.259</v>
      </c>
      <c r="X34" s="177">
        <f t="shared" si="5"/>
        <v>0.27394496902904314</v>
      </c>
      <c r="Y34" s="177">
        <f t="shared" si="6"/>
        <v>2.5364401583208478</v>
      </c>
    </row>
    <row r="35" spans="1:25" x14ac:dyDescent="0.2">
      <c r="A35" s="153">
        <v>2003</v>
      </c>
      <c r="B35" s="153">
        <v>10</v>
      </c>
      <c r="C35" s="153" t="str">
        <f t="shared" si="1"/>
        <v>200310</v>
      </c>
      <c r="D35" s="153" t="str">
        <f t="shared" si="9"/>
        <v>Q4</v>
      </c>
      <c r="E35" s="153">
        <f t="shared" ref="E35:E66" si="10">VLOOKUP($A35&amp;$D35,$N$1:$U$169,MATCH(E$1,$N$1:$U$1,0),0)</f>
        <v>115855.962</v>
      </c>
      <c r="F35" s="153" t="e">
        <f t="shared" si="3"/>
        <v>#N/A</v>
      </c>
      <c r="G35" s="153">
        <f t="shared" si="3"/>
        <v>4131.6099999999997</v>
      </c>
      <c r="H35" s="153">
        <f t="shared" si="3"/>
        <v>1638.5630000000001</v>
      </c>
      <c r="L35" s="153">
        <f t="shared" si="7"/>
        <v>2009</v>
      </c>
      <c r="M35" s="177" t="str">
        <f t="shared" si="8"/>
        <v>Q2</v>
      </c>
      <c r="N35" s="177" t="str">
        <f t="shared" si="0"/>
        <v>2009Q2</v>
      </c>
      <c r="O35" s="184">
        <v>127078.37</v>
      </c>
      <c r="P35" s="184">
        <v>126870.46400000001</v>
      </c>
      <c r="Q35" s="251">
        <v>1701.5239999999999</v>
      </c>
      <c r="R35" s="251">
        <v>1701.5239999999999</v>
      </c>
      <c r="S35" s="189">
        <v>39473.581717535344</v>
      </c>
      <c r="T35" s="189"/>
      <c r="U35" s="253">
        <f t="shared" si="4"/>
        <v>4317.0739999999996</v>
      </c>
      <c r="V35" s="189">
        <v>467.32800000000003</v>
      </c>
      <c r="W35" s="189">
        <v>4317.0739999999996</v>
      </c>
      <c r="X35" s="177">
        <f t="shared" si="5"/>
        <v>0.27465260554655713</v>
      </c>
      <c r="Y35" s="177">
        <f t="shared" si="6"/>
        <v>2.5371807861658136</v>
      </c>
    </row>
    <row r="36" spans="1:25" x14ac:dyDescent="0.2">
      <c r="A36" s="153">
        <v>2003</v>
      </c>
      <c r="B36" s="153">
        <v>11</v>
      </c>
      <c r="C36" s="153" t="str">
        <f t="shared" si="1"/>
        <v>200311</v>
      </c>
      <c r="D36" s="153" t="str">
        <f t="shared" si="9"/>
        <v>Q4</v>
      </c>
      <c r="E36" s="153">
        <f t="shared" si="10"/>
        <v>115855.962</v>
      </c>
      <c r="F36" s="153" t="e">
        <f t="shared" si="3"/>
        <v>#N/A</v>
      </c>
      <c r="G36" s="153">
        <f t="shared" si="3"/>
        <v>4131.6099999999997</v>
      </c>
      <c r="H36" s="153">
        <f t="shared" si="3"/>
        <v>1638.5630000000001</v>
      </c>
      <c r="L36" s="153">
        <f t="shared" si="7"/>
        <v>2009</v>
      </c>
      <c r="M36" s="177" t="str">
        <f t="shared" si="8"/>
        <v>Q3</v>
      </c>
      <c r="N36" s="177" t="str">
        <f t="shared" si="0"/>
        <v>2009Q3</v>
      </c>
      <c r="O36" s="184">
        <v>125951.257</v>
      </c>
      <c r="P36" s="184">
        <v>125672.751</v>
      </c>
      <c r="Q36" s="251">
        <v>1707.499</v>
      </c>
      <c r="R36" s="251">
        <v>1707.499</v>
      </c>
      <c r="S36" s="189">
        <v>39137.875476073954</v>
      </c>
      <c r="T36" s="189"/>
      <c r="U36" s="253">
        <f t="shared" si="4"/>
        <v>4324.5050000000001</v>
      </c>
      <c r="V36" s="189">
        <v>468.91833333333329</v>
      </c>
      <c r="W36" s="189">
        <v>4324.5050000000001</v>
      </c>
      <c r="X36" s="177">
        <f t="shared" si="5"/>
        <v>0.27462290363469222</v>
      </c>
      <c r="Y36" s="177">
        <f t="shared" si="6"/>
        <v>2.5326544847171215</v>
      </c>
    </row>
    <row r="37" spans="1:25" x14ac:dyDescent="0.2">
      <c r="A37" s="153">
        <v>2003</v>
      </c>
      <c r="B37" s="153">
        <v>12</v>
      </c>
      <c r="C37" s="153" t="str">
        <f t="shared" si="1"/>
        <v>200312</v>
      </c>
      <c r="D37" s="153" t="str">
        <f t="shared" si="9"/>
        <v>Q4</v>
      </c>
      <c r="E37" s="153">
        <f t="shared" si="10"/>
        <v>115855.962</v>
      </c>
      <c r="F37" s="153" t="e">
        <f t="shared" si="3"/>
        <v>#N/A</v>
      </c>
      <c r="G37" s="153">
        <f t="shared" si="3"/>
        <v>4131.6099999999997</v>
      </c>
      <c r="H37" s="153">
        <f t="shared" si="3"/>
        <v>1638.5630000000001</v>
      </c>
      <c r="L37" s="153">
        <f t="shared" si="7"/>
        <v>2009</v>
      </c>
      <c r="M37" s="177" t="str">
        <f t="shared" si="8"/>
        <v>Q4</v>
      </c>
      <c r="N37" s="177" t="str">
        <f t="shared" si="0"/>
        <v>2009Q4</v>
      </c>
      <c r="O37" s="184">
        <v>125669.07</v>
      </c>
      <c r="P37" s="184">
        <v>125444.15700000001</v>
      </c>
      <c r="Q37" s="251">
        <v>1713.644</v>
      </c>
      <c r="R37" s="251">
        <v>1713.644</v>
      </c>
      <c r="S37" s="189">
        <v>39094.688351422847</v>
      </c>
      <c r="T37" s="189"/>
      <c r="U37" s="253">
        <f t="shared" si="4"/>
        <v>4331.9359999999997</v>
      </c>
      <c r="V37" s="189">
        <v>470.50866666666684</v>
      </c>
      <c r="W37" s="189">
        <v>4331.9359999999997</v>
      </c>
      <c r="X37" s="177">
        <f t="shared" si="5"/>
        <v>0.27456616815783608</v>
      </c>
      <c r="Y37" s="177">
        <f t="shared" si="6"/>
        <v>2.5279089472492533</v>
      </c>
    </row>
    <row r="38" spans="1:25" x14ac:dyDescent="0.2">
      <c r="A38" s="153">
        <v>2004</v>
      </c>
      <c r="B38" s="153">
        <v>1</v>
      </c>
      <c r="C38" s="153" t="str">
        <f t="shared" si="1"/>
        <v>20041</v>
      </c>
      <c r="D38" s="153" t="str">
        <f t="shared" si="9"/>
        <v>Q1</v>
      </c>
      <c r="E38" s="153">
        <f t="shared" si="10"/>
        <v>116263.073</v>
      </c>
      <c r="F38" s="153" t="e">
        <f t="shared" si="3"/>
        <v>#N/A</v>
      </c>
      <c r="G38" s="153">
        <f t="shared" si="3"/>
        <v>4138.8490000000002</v>
      </c>
      <c r="H38" s="153">
        <f t="shared" si="3"/>
        <v>1641.78</v>
      </c>
      <c r="L38" s="153">
        <f t="shared" si="7"/>
        <v>2010</v>
      </c>
      <c r="M38" s="177" t="str">
        <f t="shared" si="8"/>
        <v>Q1</v>
      </c>
      <c r="N38" s="177" t="str">
        <f t="shared" si="0"/>
        <v>2010Q1</v>
      </c>
      <c r="O38" s="184">
        <v>124919.205</v>
      </c>
      <c r="P38" s="184">
        <v>124901.15</v>
      </c>
      <c r="Q38" s="251">
        <v>1719.9649999999999</v>
      </c>
      <c r="R38" s="251">
        <v>1719.9649999999999</v>
      </c>
      <c r="S38" s="189">
        <v>38849.752908087466</v>
      </c>
      <c r="T38" s="189"/>
      <c r="U38" s="253">
        <f t="shared" si="4"/>
        <v>4339.3670000000002</v>
      </c>
      <c r="V38" s="189">
        <v>472.0990000000001</v>
      </c>
      <c r="W38" s="189">
        <v>4339.3670000000002</v>
      </c>
      <c r="X38" s="177">
        <f t="shared" si="5"/>
        <v>0.27448174817510829</v>
      </c>
      <c r="Y38" s="177">
        <f t="shared" si="6"/>
        <v>2.5229391295753114</v>
      </c>
    </row>
    <row r="39" spans="1:25" x14ac:dyDescent="0.2">
      <c r="A39" s="153">
        <v>2004</v>
      </c>
      <c r="B39" s="153">
        <v>2</v>
      </c>
      <c r="C39" s="153" t="str">
        <f t="shared" si="1"/>
        <v>20042</v>
      </c>
      <c r="D39" s="153" t="str">
        <f t="shared" si="9"/>
        <v>Q1</v>
      </c>
      <c r="E39" s="153">
        <f t="shared" si="10"/>
        <v>116263.073</v>
      </c>
      <c r="F39" s="153" t="e">
        <f t="shared" si="3"/>
        <v>#N/A</v>
      </c>
      <c r="G39" s="153">
        <f t="shared" si="3"/>
        <v>4138.8490000000002</v>
      </c>
      <c r="H39" s="153">
        <f t="shared" si="3"/>
        <v>1641.78</v>
      </c>
      <c r="L39" s="153">
        <f t="shared" si="7"/>
        <v>2010</v>
      </c>
      <c r="M39" s="177" t="str">
        <f t="shared" si="8"/>
        <v>Q2</v>
      </c>
      <c r="N39" s="177" t="str">
        <f t="shared" si="0"/>
        <v>2010Q2</v>
      </c>
      <c r="O39" s="184">
        <v>126480.192</v>
      </c>
      <c r="P39" s="184">
        <v>126199.66800000001</v>
      </c>
      <c r="Q39" s="251">
        <v>1722.9169999999999</v>
      </c>
      <c r="R39" s="251">
        <v>1722.9169999999999</v>
      </c>
      <c r="S39" s="189">
        <v>39352.623912366878</v>
      </c>
      <c r="T39" s="189"/>
      <c r="U39" s="253">
        <f t="shared" si="4"/>
        <v>4347.223</v>
      </c>
      <c r="V39" s="189">
        <v>473.74394922397329</v>
      </c>
      <c r="W39" s="189">
        <v>4347.223</v>
      </c>
      <c r="X39" s="177">
        <f t="shared" si="5"/>
        <v>0.27496620511839709</v>
      </c>
      <c r="Y39" s="177">
        <f t="shared" si="6"/>
        <v>2.5231761019248173</v>
      </c>
    </row>
    <row r="40" spans="1:25" x14ac:dyDescent="0.2">
      <c r="A40" s="153">
        <v>2004</v>
      </c>
      <c r="B40" s="153">
        <v>3</v>
      </c>
      <c r="C40" s="153" t="str">
        <f t="shared" si="1"/>
        <v>20043</v>
      </c>
      <c r="D40" s="153" t="str">
        <f t="shared" si="9"/>
        <v>Q1</v>
      </c>
      <c r="E40" s="153">
        <f t="shared" si="10"/>
        <v>116263.073</v>
      </c>
      <c r="F40" s="153" t="e">
        <f t="shared" si="3"/>
        <v>#N/A</v>
      </c>
      <c r="G40" s="153">
        <f t="shared" si="3"/>
        <v>4138.8490000000002</v>
      </c>
      <c r="H40" s="153">
        <f t="shared" si="3"/>
        <v>1641.78</v>
      </c>
      <c r="L40" s="153">
        <f t="shared" si="7"/>
        <v>2010</v>
      </c>
      <c r="M40" s="177" t="str">
        <f t="shared" si="8"/>
        <v>Q3</v>
      </c>
      <c r="N40" s="177" t="str">
        <f t="shared" si="0"/>
        <v>2010Q3</v>
      </c>
      <c r="O40" s="184">
        <v>127650.806</v>
      </c>
      <c r="P40" s="184">
        <v>127361.97100000001</v>
      </c>
      <c r="Q40" s="251">
        <v>1724.191</v>
      </c>
      <c r="R40" s="251">
        <v>1724.191</v>
      </c>
      <c r="S40" s="189">
        <v>39753.15333007311</v>
      </c>
      <c r="T40" s="189"/>
      <c r="U40" s="253">
        <f t="shared" si="4"/>
        <v>4352.7560000000003</v>
      </c>
      <c r="V40" s="189">
        <v>475.14385549795145</v>
      </c>
      <c r="W40" s="189">
        <v>4352.7560000000003</v>
      </c>
      <c r="X40" s="177">
        <f t="shared" si="5"/>
        <v>0.27557495399172799</v>
      </c>
      <c r="Y40" s="177">
        <f t="shared" si="6"/>
        <v>2.5245207752505379</v>
      </c>
    </row>
    <row r="41" spans="1:25" x14ac:dyDescent="0.2">
      <c r="A41" s="153">
        <v>2004</v>
      </c>
      <c r="B41" s="153">
        <v>4</v>
      </c>
      <c r="C41" s="153" t="str">
        <f t="shared" si="1"/>
        <v>20044</v>
      </c>
      <c r="D41" s="153" t="str">
        <f t="shared" si="9"/>
        <v>Q2</v>
      </c>
      <c r="E41" s="153">
        <f t="shared" si="10"/>
        <v>116694.558</v>
      </c>
      <c r="F41" s="153" t="e">
        <f t="shared" si="3"/>
        <v>#N/A</v>
      </c>
      <c r="G41" s="153">
        <f t="shared" si="3"/>
        <v>4146.1009999999997</v>
      </c>
      <c r="H41" s="153">
        <f t="shared" si="3"/>
        <v>1645.002</v>
      </c>
      <c r="L41" s="153">
        <f t="shared" si="7"/>
        <v>2010</v>
      </c>
      <c r="M41" s="177" t="str">
        <f t="shared" si="8"/>
        <v>Q4</v>
      </c>
      <c r="N41" s="177" t="str">
        <f t="shared" si="0"/>
        <v>2010Q4</v>
      </c>
      <c r="O41" s="184">
        <v>127503.515</v>
      </c>
      <c r="P41" s="184">
        <v>127262.633</v>
      </c>
      <c r="Q41" s="251">
        <v>1725.0830000000001</v>
      </c>
      <c r="R41" s="251">
        <v>1725.0830000000001</v>
      </c>
      <c r="S41" s="189">
        <v>39757.383833693879</v>
      </c>
      <c r="T41" s="189"/>
      <c r="U41" s="253">
        <f t="shared" si="4"/>
        <v>4358.29</v>
      </c>
      <c r="V41" s="189">
        <v>476.55146399433579</v>
      </c>
      <c r="W41" s="189">
        <v>4358.29</v>
      </c>
      <c r="X41" s="177">
        <f t="shared" si="5"/>
        <v>0.27624842630432028</v>
      </c>
      <c r="Y41" s="177">
        <f t="shared" si="6"/>
        <v>2.5264233662959983</v>
      </c>
    </row>
    <row r="42" spans="1:25" x14ac:dyDescent="0.2">
      <c r="A42" s="153">
        <v>2004</v>
      </c>
      <c r="B42" s="153">
        <v>5</v>
      </c>
      <c r="C42" s="153" t="str">
        <f t="shared" si="1"/>
        <v>20045</v>
      </c>
      <c r="D42" s="153" t="str">
        <f t="shared" si="9"/>
        <v>Q2</v>
      </c>
      <c r="E42" s="153">
        <f t="shared" si="10"/>
        <v>116694.558</v>
      </c>
      <c r="F42" s="153" t="e">
        <f t="shared" si="3"/>
        <v>#N/A</v>
      </c>
      <c r="G42" s="153">
        <f t="shared" si="3"/>
        <v>4146.1009999999997</v>
      </c>
      <c r="H42" s="153">
        <f t="shared" si="3"/>
        <v>1645.002</v>
      </c>
      <c r="L42" s="153">
        <f t="shared" si="7"/>
        <v>2011</v>
      </c>
      <c r="M42" s="177" t="str">
        <f t="shared" si="8"/>
        <v>Q1</v>
      </c>
      <c r="N42" s="177" t="str">
        <f t="shared" si="0"/>
        <v>2011Q1</v>
      </c>
      <c r="O42" s="184">
        <v>128893.008</v>
      </c>
      <c r="P42" s="184">
        <v>128958.64200000001</v>
      </c>
      <c r="Q42" s="251">
        <v>1728.1579999999999</v>
      </c>
      <c r="R42" s="251">
        <v>1728.1579999999999</v>
      </c>
      <c r="S42" s="189">
        <v>39737.516530036453</v>
      </c>
      <c r="T42" s="189"/>
      <c r="U42" s="253">
        <f t="shared" si="4"/>
        <v>4363.8230000000003</v>
      </c>
      <c r="V42" s="189">
        <v>477.96681763895879</v>
      </c>
      <c r="W42" s="189">
        <v>4363.8230000000003</v>
      </c>
      <c r="X42" s="177">
        <f t="shared" si="5"/>
        <v>0.27657587884843793</v>
      </c>
      <c r="Y42" s="177">
        <f t="shared" si="6"/>
        <v>2.525129646710544</v>
      </c>
    </row>
    <row r="43" spans="1:25" x14ac:dyDescent="0.2">
      <c r="A43" s="153">
        <v>2004</v>
      </c>
      <c r="B43" s="153">
        <v>6</v>
      </c>
      <c r="C43" s="153" t="str">
        <f t="shared" si="1"/>
        <v>20046</v>
      </c>
      <c r="D43" s="153" t="str">
        <f t="shared" si="9"/>
        <v>Q2</v>
      </c>
      <c r="E43" s="153">
        <f t="shared" si="10"/>
        <v>116694.558</v>
      </c>
      <c r="F43" s="153" t="e">
        <f t="shared" si="3"/>
        <v>#N/A</v>
      </c>
      <c r="G43" s="153">
        <f t="shared" si="3"/>
        <v>4146.1009999999997</v>
      </c>
      <c r="H43" s="153">
        <f t="shared" si="3"/>
        <v>1645.002</v>
      </c>
      <c r="L43" s="153">
        <f t="shared" si="7"/>
        <v>2011</v>
      </c>
      <c r="M43" s="177" t="str">
        <f t="shared" si="8"/>
        <v>Q2</v>
      </c>
      <c r="N43" s="177" t="str">
        <f t="shared" si="0"/>
        <v>2011Q2</v>
      </c>
      <c r="O43" s="184">
        <v>129036.827</v>
      </c>
      <c r="P43" s="184">
        <v>128939.173</v>
      </c>
      <c r="Q43" s="251">
        <v>1730.3009999999999</v>
      </c>
      <c r="R43" s="251">
        <v>1730.3009999999999</v>
      </c>
      <c r="S43" s="189">
        <v>39626.695414935333</v>
      </c>
      <c r="T43" s="189"/>
      <c r="U43" s="253">
        <f t="shared" si="4"/>
        <v>4369.3559999999998</v>
      </c>
      <c r="V43" s="189">
        <v>479.38995939285263</v>
      </c>
      <c r="W43" s="189">
        <v>4369.3559999999998</v>
      </c>
      <c r="X43" s="177">
        <f t="shared" si="5"/>
        <v>0.27705581826101505</v>
      </c>
      <c r="Y43" s="177">
        <f t="shared" si="6"/>
        <v>2.5251999507600122</v>
      </c>
    </row>
    <row r="44" spans="1:25" x14ac:dyDescent="0.2">
      <c r="A44" s="153">
        <v>2004</v>
      </c>
      <c r="B44" s="153">
        <v>7</v>
      </c>
      <c r="C44" s="153" t="str">
        <f t="shared" si="1"/>
        <v>20047</v>
      </c>
      <c r="D44" s="153" t="str">
        <f t="shared" si="9"/>
        <v>Q3</v>
      </c>
      <c r="E44" s="153">
        <f t="shared" si="10"/>
        <v>117551.33500000001</v>
      </c>
      <c r="F44" s="153" t="e">
        <f t="shared" si="3"/>
        <v>#N/A</v>
      </c>
      <c r="G44" s="153">
        <f t="shared" si="3"/>
        <v>4155.2309999999998</v>
      </c>
      <c r="H44" s="153">
        <f t="shared" si="3"/>
        <v>1648.232</v>
      </c>
      <c r="L44" s="153">
        <f t="shared" si="7"/>
        <v>2011</v>
      </c>
      <c r="M44" s="177" t="str">
        <f t="shared" si="8"/>
        <v>Q3</v>
      </c>
      <c r="N44" s="177" t="str">
        <f t="shared" si="0"/>
        <v>2011Q3</v>
      </c>
      <c r="O44" s="184">
        <v>128885.583</v>
      </c>
      <c r="P44" s="184">
        <v>129156.60799999999</v>
      </c>
      <c r="Q44" s="251">
        <v>1732.7529999999999</v>
      </c>
      <c r="R44" s="251">
        <v>1732.7529999999999</v>
      </c>
      <c r="S44" s="189">
        <v>39675.467395051506</v>
      </c>
      <c r="T44" s="189"/>
      <c r="U44" s="253">
        <f t="shared" si="4"/>
        <v>4375.2330000000002</v>
      </c>
      <c r="V44" s="189">
        <v>480.85874919674939</v>
      </c>
      <c r="W44" s="189">
        <v>4375.2330000000002</v>
      </c>
      <c r="X44" s="177">
        <f t="shared" si="5"/>
        <v>0.27751142211079677</v>
      </c>
      <c r="Y44" s="177">
        <f t="shared" si="6"/>
        <v>2.5250182801587995</v>
      </c>
    </row>
    <row r="45" spans="1:25" x14ac:dyDescent="0.2">
      <c r="A45" s="153">
        <v>2004</v>
      </c>
      <c r="B45" s="153">
        <v>8</v>
      </c>
      <c r="C45" s="153" t="str">
        <f t="shared" si="1"/>
        <v>20048</v>
      </c>
      <c r="D45" s="153" t="str">
        <f t="shared" si="9"/>
        <v>Q3</v>
      </c>
      <c r="E45" s="153">
        <f t="shared" si="10"/>
        <v>117551.33500000001</v>
      </c>
      <c r="F45" s="153" t="e">
        <f t="shared" si="3"/>
        <v>#N/A</v>
      </c>
      <c r="G45" s="153">
        <f t="shared" si="3"/>
        <v>4155.2309999999998</v>
      </c>
      <c r="H45" s="153">
        <f t="shared" si="3"/>
        <v>1648.232</v>
      </c>
      <c r="L45" s="153">
        <f t="shared" si="7"/>
        <v>2011</v>
      </c>
      <c r="M45" s="177" t="str">
        <f t="shared" si="8"/>
        <v>Q4</v>
      </c>
      <c r="N45" s="177" t="str">
        <f t="shared" si="0"/>
        <v>2011Q4</v>
      </c>
      <c r="O45" s="184">
        <v>129177.128</v>
      </c>
      <c r="P45" s="184">
        <v>129778.39</v>
      </c>
      <c r="Q45" s="251">
        <v>1735.6120000000001</v>
      </c>
      <c r="R45" s="251">
        <v>1735.6120000000001</v>
      </c>
      <c r="S45" s="189">
        <v>39786.860383818384</v>
      </c>
      <c r="T45" s="189"/>
      <c r="U45" s="253">
        <f t="shared" si="4"/>
        <v>4381.482</v>
      </c>
      <c r="V45" s="189">
        <v>481.7924771225633</v>
      </c>
      <c r="W45" s="189">
        <v>4381.482</v>
      </c>
      <c r="X45" s="177">
        <f t="shared" si="5"/>
        <v>0.27759227126947916</v>
      </c>
      <c r="Y45" s="177">
        <f t="shared" si="6"/>
        <v>2.5244593837793237</v>
      </c>
    </row>
    <row r="46" spans="1:25" x14ac:dyDescent="0.2">
      <c r="A46" s="153">
        <v>2004</v>
      </c>
      <c r="B46" s="153">
        <v>9</v>
      </c>
      <c r="C46" s="153" t="str">
        <f t="shared" si="1"/>
        <v>20049</v>
      </c>
      <c r="D46" s="153" t="str">
        <f t="shared" si="9"/>
        <v>Q3</v>
      </c>
      <c r="E46" s="153">
        <f t="shared" si="10"/>
        <v>117551.33500000001</v>
      </c>
      <c r="F46" s="153" t="e">
        <f t="shared" si="3"/>
        <v>#N/A</v>
      </c>
      <c r="G46" s="153">
        <f t="shared" si="3"/>
        <v>4155.2309999999998</v>
      </c>
      <c r="H46" s="153">
        <f t="shared" si="3"/>
        <v>1648.232</v>
      </c>
      <c r="L46" s="153">
        <f t="shared" si="7"/>
        <v>2012</v>
      </c>
      <c r="M46" s="177" t="str">
        <f t="shared" si="8"/>
        <v>Q1</v>
      </c>
      <c r="N46" s="177" t="str">
        <f t="shared" si="0"/>
        <v>2012Q1</v>
      </c>
      <c r="O46" s="184">
        <v>129516.13400000001</v>
      </c>
      <c r="P46" s="184">
        <v>130176.079</v>
      </c>
      <c r="Q46" s="251">
        <v>1738.9960000000001</v>
      </c>
      <c r="R46" s="251">
        <v>1738.9960000000001</v>
      </c>
      <c r="S46" s="189">
        <v>39800.138297807738</v>
      </c>
      <c r="T46" s="189"/>
      <c r="U46" s="253">
        <f t="shared" si="4"/>
        <v>4387.8289999999997</v>
      </c>
      <c r="V46" s="189">
        <v>483.3171549792832</v>
      </c>
      <c r="W46" s="189">
        <v>4387.8289999999997</v>
      </c>
      <c r="X46" s="177">
        <f t="shared" si="5"/>
        <v>0.27792884801303924</v>
      </c>
      <c r="Y46" s="177">
        <f t="shared" si="6"/>
        <v>2.5231967181063095</v>
      </c>
    </row>
    <row r="47" spans="1:25" x14ac:dyDescent="0.2">
      <c r="A47" s="153">
        <v>2004</v>
      </c>
      <c r="B47" s="153">
        <v>10</v>
      </c>
      <c r="C47" s="153" t="str">
        <f t="shared" si="1"/>
        <v>200410</v>
      </c>
      <c r="D47" s="153" t="str">
        <f t="shared" si="9"/>
        <v>Q4</v>
      </c>
      <c r="E47" s="153">
        <f t="shared" si="10"/>
        <v>118914.68</v>
      </c>
      <c r="F47" s="153" t="e">
        <f t="shared" si="3"/>
        <v>#N/A</v>
      </c>
      <c r="G47" s="153">
        <f t="shared" si="3"/>
        <v>4164.3810000000003</v>
      </c>
      <c r="H47" s="153">
        <f t="shared" si="3"/>
        <v>1651.4670000000001</v>
      </c>
      <c r="L47" s="153">
        <f t="shared" si="7"/>
        <v>2012</v>
      </c>
      <c r="M47" s="177" t="str">
        <f t="shared" si="8"/>
        <v>Q2</v>
      </c>
      <c r="N47" s="177" t="str">
        <f t="shared" si="0"/>
        <v>2012Q2</v>
      </c>
      <c r="O47" s="184">
        <v>130403.818</v>
      </c>
      <c r="P47" s="184">
        <v>130855.291</v>
      </c>
      <c r="Q47" s="251">
        <v>1742.2639999999999</v>
      </c>
      <c r="R47" s="251">
        <v>1742.2639999999999</v>
      </c>
      <c r="S47" s="189">
        <v>39988.352967991457</v>
      </c>
      <c r="T47" s="189"/>
      <c r="U47" s="253">
        <f t="shared" si="4"/>
        <v>4394.317</v>
      </c>
      <c r="V47" s="189">
        <v>484.85487049310797</v>
      </c>
      <c r="W47" s="189">
        <v>4394.317</v>
      </c>
      <c r="X47" s="177">
        <f t="shared" si="5"/>
        <v>0.27829012738202019</v>
      </c>
      <c r="Y47" s="177">
        <f t="shared" si="6"/>
        <v>2.5221877970273163</v>
      </c>
    </row>
    <row r="48" spans="1:25" x14ac:dyDescent="0.2">
      <c r="A48" s="153">
        <v>2004</v>
      </c>
      <c r="B48" s="153">
        <v>11</v>
      </c>
      <c r="C48" s="153" t="str">
        <f t="shared" si="1"/>
        <v>200411</v>
      </c>
      <c r="D48" s="153" t="str">
        <f t="shared" si="9"/>
        <v>Q4</v>
      </c>
      <c r="E48" s="153">
        <f t="shared" si="10"/>
        <v>118914.68</v>
      </c>
      <c r="F48" s="153" t="e">
        <f t="shared" si="3"/>
        <v>#N/A</v>
      </c>
      <c r="G48" s="153">
        <f t="shared" si="3"/>
        <v>4164.3810000000003</v>
      </c>
      <c r="H48" s="153">
        <f t="shared" si="3"/>
        <v>1651.4670000000001</v>
      </c>
      <c r="L48" s="153">
        <f t="shared" si="7"/>
        <v>2012</v>
      </c>
      <c r="M48" s="177" t="str">
        <f t="shared" si="8"/>
        <v>Q3</v>
      </c>
      <c r="N48" s="177" t="str">
        <f t="shared" si="0"/>
        <v>2012Q3</v>
      </c>
      <c r="O48" s="184">
        <v>131166.87299999999</v>
      </c>
      <c r="P48" s="184">
        <v>131563.29699999999</v>
      </c>
      <c r="Q48" s="251">
        <v>1745.2270000000001</v>
      </c>
      <c r="R48" s="251">
        <v>1745.2270000000001</v>
      </c>
      <c r="S48" s="189">
        <v>40189.459532165798</v>
      </c>
      <c r="T48" s="189"/>
      <c r="U48" s="253">
        <f t="shared" si="4"/>
        <v>4400.95</v>
      </c>
      <c r="V48" s="189">
        <v>486.39485134618292</v>
      </c>
      <c r="W48" s="189">
        <v>4400.95</v>
      </c>
      <c r="X48" s="177">
        <f t="shared" si="5"/>
        <v>0.27870004953291627</v>
      </c>
      <c r="Y48" s="177">
        <f t="shared" si="6"/>
        <v>2.5217063453636688</v>
      </c>
    </row>
    <row r="49" spans="1:25" x14ac:dyDescent="0.2">
      <c r="A49" s="153">
        <v>2004</v>
      </c>
      <c r="B49" s="153">
        <v>12</v>
      </c>
      <c r="C49" s="153" t="str">
        <f t="shared" si="1"/>
        <v>200412</v>
      </c>
      <c r="D49" s="153" t="str">
        <f t="shared" si="9"/>
        <v>Q4</v>
      </c>
      <c r="E49" s="153">
        <f t="shared" si="10"/>
        <v>118914.68</v>
      </c>
      <c r="F49" s="153" t="e">
        <f t="shared" si="3"/>
        <v>#N/A</v>
      </c>
      <c r="G49" s="153">
        <f t="shared" si="3"/>
        <v>4164.3810000000003</v>
      </c>
      <c r="H49" s="153">
        <f t="shared" si="3"/>
        <v>1651.4670000000001</v>
      </c>
      <c r="L49" s="153">
        <f t="shared" si="7"/>
        <v>2012</v>
      </c>
      <c r="M49" s="177" t="str">
        <f t="shared" si="8"/>
        <v>Q4</v>
      </c>
      <c r="N49" s="177" t="str">
        <f t="shared" si="0"/>
        <v>2012Q4</v>
      </c>
      <c r="O49" s="184">
        <v>132095.09099999999</v>
      </c>
      <c r="P49" s="184">
        <v>132500.50200000001</v>
      </c>
      <c r="Q49" s="251">
        <v>1748.2629999999999</v>
      </c>
      <c r="R49" s="251">
        <v>1748.2629999999999</v>
      </c>
      <c r="S49" s="189">
        <v>40421.283791564252</v>
      </c>
      <c r="T49" s="189"/>
      <c r="U49" s="253">
        <f t="shared" si="4"/>
        <v>4407.7280000000001</v>
      </c>
      <c r="V49" s="189">
        <v>487.93731470917857</v>
      </c>
      <c r="W49" s="189">
        <v>4407.7280000000001</v>
      </c>
      <c r="X49" s="177">
        <f t="shared" si="5"/>
        <v>0.27909834773668413</v>
      </c>
      <c r="Y49" s="177">
        <f t="shared" si="6"/>
        <v>2.5212041895298363</v>
      </c>
    </row>
    <row r="50" spans="1:25" x14ac:dyDescent="0.2">
      <c r="A50" s="153">
        <v>2005</v>
      </c>
      <c r="B50" s="153">
        <v>1</v>
      </c>
      <c r="C50" s="153" t="str">
        <f t="shared" si="1"/>
        <v>20051</v>
      </c>
      <c r="D50" s="153" t="str">
        <f t="shared" si="9"/>
        <v>Q1</v>
      </c>
      <c r="E50" s="153">
        <f t="shared" si="10"/>
        <v>118334.43</v>
      </c>
      <c r="F50" s="153" t="e">
        <f t="shared" si="3"/>
        <v>#N/A</v>
      </c>
      <c r="G50" s="153">
        <f t="shared" si="3"/>
        <v>4173.5519999999997</v>
      </c>
      <c r="H50" s="153">
        <f t="shared" si="3"/>
        <v>1654.7090000000001</v>
      </c>
      <c r="L50" s="153">
        <f t="shared" si="7"/>
        <v>2013</v>
      </c>
      <c r="M50" s="177" t="str">
        <f t="shared" si="8"/>
        <v>Q1</v>
      </c>
      <c r="N50" s="177" t="str">
        <f>L50&amp;M50</f>
        <v>2013Q1</v>
      </c>
      <c r="O50" s="184">
        <v>132729.997</v>
      </c>
      <c r="P50" s="282">
        <v>133138.72399999999</v>
      </c>
      <c r="Q50" s="251">
        <v>1751.194</v>
      </c>
      <c r="R50" s="251">
        <v>1751.194</v>
      </c>
      <c r="S50" s="189">
        <v>40466.045989246653</v>
      </c>
      <c r="T50" s="189"/>
      <c r="U50" s="253">
        <f t="shared" si="4"/>
        <v>4414.6940000000004</v>
      </c>
      <c r="V50" s="189">
        <v>489.48665509939298</v>
      </c>
      <c r="W50" s="189">
        <v>4414.6940000000004</v>
      </c>
      <c r="X50" s="177">
        <f t="shared" si="5"/>
        <v>0.27951595031697973</v>
      </c>
      <c r="Y50" s="177">
        <f t="shared" si="6"/>
        <v>2.5209622691717768</v>
      </c>
    </row>
    <row r="51" spans="1:25" x14ac:dyDescent="0.2">
      <c r="A51" s="153">
        <v>2005</v>
      </c>
      <c r="B51" s="153">
        <v>2</v>
      </c>
      <c r="C51" s="153" t="str">
        <f t="shared" si="1"/>
        <v>20052</v>
      </c>
      <c r="D51" s="153" t="str">
        <f t="shared" si="9"/>
        <v>Q1</v>
      </c>
      <c r="E51" s="153">
        <f t="shared" si="10"/>
        <v>118334.43</v>
      </c>
      <c r="F51" s="153" t="e">
        <f t="shared" si="3"/>
        <v>#N/A</v>
      </c>
      <c r="G51" s="153">
        <f t="shared" si="3"/>
        <v>4173.5519999999997</v>
      </c>
      <c r="H51" s="153">
        <f t="shared" si="3"/>
        <v>1654.7090000000001</v>
      </c>
      <c r="L51" s="153">
        <f t="shared" si="7"/>
        <v>2013</v>
      </c>
      <c r="M51" s="177" t="str">
        <f t="shared" si="8"/>
        <v>Q2</v>
      </c>
      <c r="N51" s="177" t="str">
        <f t="shared" ref="N51:N114" si="11">L51&amp;M51</f>
        <v>2013Q2</v>
      </c>
      <c r="O51" s="184">
        <v>133712.25599999999</v>
      </c>
      <c r="P51" s="282">
        <v>134053.386</v>
      </c>
      <c r="Q51" s="251">
        <v>1754.297</v>
      </c>
      <c r="R51" s="251">
        <v>1754.297</v>
      </c>
      <c r="S51" s="189">
        <v>40674.221991986815</v>
      </c>
      <c r="T51" s="189"/>
      <c r="U51" s="253">
        <f t="shared" si="4"/>
        <v>4421.8450000000003</v>
      </c>
      <c r="V51" s="189">
        <v>491.06492370621629</v>
      </c>
      <c r="W51" s="189">
        <v>4421.8450000000003</v>
      </c>
      <c r="X51" s="177">
        <f t="shared" si="5"/>
        <v>0.27992120131666204</v>
      </c>
      <c r="Y51" s="177">
        <f t="shared" si="6"/>
        <v>2.5205794685848519</v>
      </c>
    </row>
    <row r="52" spans="1:25" x14ac:dyDescent="0.2">
      <c r="A52" s="153">
        <v>2005</v>
      </c>
      <c r="B52" s="153">
        <v>3</v>
      </c>
      <c r="C52" s="153" t="str">
        <f t="shared" si="1"/>
        <v>20053</v>
      </c>
      <c r="D52" s="153" t="str">
        <f t="shared" si="9"/>
        <v>Q1</v>
      </c>
      <c r="E52" s="153">
        <f t="shared" si="10"/>
        <v>118334.43</v>
      </c>
      <c r="F52" s="153" t="e">
        <f t="shared" si="3"/>
        <v>#N/A</v>
      </c>
      <c r="G52" s="153">
        <f t="shared" si="3"/>
        <v>4173.5519999999997</v>
      </c>
      <c r="H52" s="153">
        <f t="shared" si="3"/>
        <v>1654.7090000000001</v>
      </c>
      <c r="L52" s="153">
        <f t="shared" si="7"/>
        <v>2013</v>
      </c>
      <c r="M52" s="177" t="str">
        <f t="shared" si="8"/>
        <v>Q3</v>
      </c>
      <c r="N52" s="177" t="str">
        <f t="shared" si="11"/>
        <v>2013Q3</v>
      </c>
      <c r="O52" s="184">
        <v>134397.17499999999</v>
      </c>
      <c r="P52" s="282">
        <v>134741.424</v>
      </c>
      <c r="Q52" s="251">
        <v>1757.2080000000001</v>
      </c>
      <c r="R52" s="251">
        <v>1757.2080000000001</v>
      </c>
      <c r="S52" s="189">
        <v>40887.017192114734</v>
      </c>
      <c r="T52" s="189"/>
      <c r="U52" s="253">
        <f t="shared" si="4"/>
        <v>4429.1769999999997</v>
      </c>
      <c r="V52" s="189">
        <v>492.64952505414612</v>
      </c>
      <c r="W52" s="189">
        <v>4429.1769999999997</v>
      </c>
      <c r="X52" s="177">
        <f t="shared" si="5"/>
        <v>0.28035925459828664</v>
      </c>
      <c r="Y52" s="177">
        <f t="shared" si="6"/>
        <v>2.5205763916394641</v>
      </c>
    </row>
    <row r="53" spans="1:25" x14ac:dyDescent="0.2">
      <c r="A53" s="153">
        <v>2005</v>
      </c>
      <c r="B53" s="153">
        <v>4</v>
      </c>
      <c r="C53" s="153" t="str">
        <f t="shared" si="1"/>
        <v>20054</v>
      </c>
      <c r="D53" s="153" t="str">
        <f t="shared" si="9"/>
        <v>Q2</v>
      </c>
      <c r="E53" s="153">
        <f t="shared" si="10"/>
        <v>119333.414</v>
      </c>
      <c r="F53" s="153" t="e">
        <f t="shared" si="3"/>
        <v>#N/A</v>
      </c>
      <c r="G53" s="153">
        <f t="shared" si="3"/>
        <v>4182.7420000000002</v>
      </c>
      <c r="H53" s="153">
        <f t="shared" si="3"/>
        <v>1657.9570000000001</v>
      </c>
      <c r="L53" s="153">
        <f t="shared" si="7"/>
        <v>2013</v>
      </c>
      <c r="M53" s="177" t="str">
        <f t="shared" si="8"/>
        <v>Q4</v>
      </c>
      <c r="N53" s="177" t="str">
        <f t="shared" si="11"/>
        <v>2013Q4</v>
      </c>
      <c r="O53" s="184">
        <v>135147.93599999999</v>
      </c>
      <c r="P53" s="282">
        <v>135458.86900000001</v>
      </c>
      <c r="Q53" s="251">
        <v>1760.5619999999999</v>
      </c>
      <c r="R53" s="251">
        <v>1760.5619999999999</v>
      </c>
      <c r="S53" s="189">
        <v>41128.895775846191</v>
      </c>
      <c r="T53" s="189"/>
      <c r="U53" s="253">
        <f t="shared" si="4"/>
        <v>4436.7079999999996</v>
      </c>
      <c r="V53" s="189">
        <v>494.20204926318712</v>
      </c>
      <c r="W53" s="189">
        <v>4436.7079999999996</v>
      </c>
      <c r="X53" s="177">
        <f t="shared" si="5"/>
        <v>0.28070698405576577</v>
      </c>
      <c r="Y53" s="177">
        <f t="shared" si="6"/>
        <v>2.5200521197208618</v>
      </c>
    </row>
    <row r="54" spans="1:25" x14ac:dyDescent="0.2">
      <c r="A54" s="153">
        <v>2005</v>
      </c>
      <c r="B54" s="153">
        <v>5</v>
      </c>
      <c r="C54" s="153" t="str">
        <f t="shared" si="1"/>
        <v>20055</v>
      </c>
      <c r="D54" s="153" t="str">
        <f t="shared" si="9"/>
        <v>Q2</v>
      </c>
      <c r="E54" s="153">
        <f t="shared" si="10"/>
        <v>119333.414</v>
      </c>
      <c r="F54" s="153" t="e">
        <f t="shared" si="3"/>
        <v>#N/A</v>
      </c>
      <c r="G54" s="153">
        <f t="shared" si="3"/>
        <v>4182.7420000000002</v>
      </c>
      <c r="H54" s="153">
        <f t="shared" si="3"/>
        <v>1657.9570000000001</v>
      </c>
      <c r="L54" s="153">
        <f t="shared" si="7"/>
        <v>2014</v>
      </c>
      <c r="M54" s="177" t="str">
        <f t="shared" si="8"/>
        <v>Q1</v>
      </c>
      <c r="N54" s="177" t="str">
        <f t="shared" si="11"/>
        <v>2014Q1</v>
      </c>
      <c r="O54" s="184">
        <v>136646.935</v>
      </c>
      <c r="P54" s="282">
        <v>137010.42199999999</v>
      </c>
      <c r="Q54" s="251">
        <v>1763.893</v>
      </c>
      <c r="R54" s="251">
        <v>1763.893</v>
      </c>
      <c r="S54" s="189">
        <v>41502.915812465311</v>
      </c>
      <c r="T54" s="189"/>
      <c r="U54" s="253">
        <f t="shared" si="4"/>
        <v>4444.3590000000004</v>
      </c>
      <c r="V54" s="189">
        <v>495.647401189238</v>
      </c>
      <c r="W54" s="189">
        <v>4444.3590000000004</v>
      </c>
      <c r="X54" s="177">
        <f t="shared" si="5"/>
        <v>0.28099629693481293</v>
      </c>
      <c r="Y54" s="177">
        <f t="shared" si="6"/>
        <v>2.5196307259000408</v>
      </c>
    </row>
    <row r="55" spans="1:25" x14ac:dyDescent="0.2">
      <c r="A55" s="153">
        <v>2005</v>
      </c>
      <c r="B55" s="153">
        <v>6</v>
      </c>
      <c r="C55" s="153" t="str">
        <f t="shared" si="1"/>
        <v>20056</v>
      </c>
      <c r="D55" s="153" t="str">
        <f t="shared" si="9"/>
        <v>Q2</v>
      </c>
      <c r="E55" s="153">
        <f t="shared" si="10"/>
        <v>119333.414</v>
      </c>
      <c r="F55" s="153" t="e">
        <f t="shared" si="3"/>
        <v>#N/A</v>
      </c>
      <c r="G55" s="153">
        <f t="shared" si="3"/>
        <v>4182.7420000000002</v>
      </c>
      <c r="H55" s="153">
        <f t="shared" si="3"/>
        <v>1657.9570000000001</v>
      </c>
      <c r="L55" s="153">
        <f t="shared" si="7"/>
        <v>2014</v>
      </c>
      <c r="M55" s="177" t="str">
        <f t="shared" si="8"/>
        <v>Q2</v>
      </c>
      <c r="N55" s="177" t="str">
        <f t="shared" si="11"/>
        <v>2014Q2</v>
      </c>
      <c r="O55" s="184">
        <v>137566.70699999999</v>
      </c>
      <c r="P55" s="282">
        <v>137996.25200000001</v>
      </c>
      <c r="Q55" s="251">
        <v>1767.1759999999999</v>
      </c>
      <c r="R55" s="251">
        <v>1767.1759999999999</v>
      </c>
      <c r="S55" s="189">
        <v>41808.34126836736</v>
      </c>
      <c r="T55" s="189"/>
      <c r="U55" s="253">
        <f t="shared" si="4"/>
        <v>4452.1120000000001</v>
      </c>
      <c r="V55" s="189">
        <v>497.19351131894661</v>
      </c>
      <c r="W55" s="189">
        <v>4452.1120000000001</v>
      </c>
      <c r="X55" s="177">
        <f t="shared" si="5"/>
        <v>0.28134917592755143</v>
      </c>
      <c r="Y55" s="177">
        <f t="shared" si="6"/>
        <v>2.5193370665966492</v>
      </c>
    </row>
    <row r="56" spans="1:25" x14ac:dyDescent="0.2">
      <c r="A56" s="153">
        <v>2005</v>
      </c>
      <c r="B56" s="153">
        <v>7</v>
      </c>
      <c r="C56" s="153" t="str">
        <f t="shared" si="1"/>
        <v>20057</v>
      </c>
      <c r="D56" s="153" t="str">
        <f t="shared" si="9"/>
        <v>Q3</v>
      </c>
      <c r="E56" s="153">
        <f t="shared" si="10"/>
        <v>119379.652</v>
      </c>
      <c r="F56" s="153" t="e">
        <f t="shared" si="3"/>
        <v>#N/A</v>
      </c>
      <c r="G56" s="153">
        <f t="shared" si="3"/>
        <v>4191.8370000000004</v>
      </c>
      <c r="H56" s="153">
        <f t="shared" si="3"/>
        <v>1657.652</v>
      </c>
      <c r="L56" s="153">
        <f t="shared" si="7"/>
        <v>2014</v>
      </c>
      <c r="M56" s="177" t="str">
        <f t="shared" si="8"/>
        <v>Q3</v>
      </c>
      <c r="N56" s="177" t="str">
        <f t="shared" si="11"/>
        <v>2014Q3</v>
      </c>
      <c r="O56" s="184">
        <v>138505.228</v>
      </c>
      <c r="P56" s="282">
        <v>139023.22899999999</v>
      </c>
      <c r="Q56" s="251">
        <v>1770.816</v>
      </c>
      <c r="R56" s="251">
        <v>1770.816</v>
      </c>
      <c r="S56" s="189">
        <v>42112.64484379522</v>
      </c>
      <c r="T56" s="189"/>
      <c r="U56" s="253">
        <f t="shared" si="4"/>
        <v>4459.9639999999999</v>
      </c>
      <c r="V56" s="189">
        <v>498.84270062606771</v>
      </c>
      <c r="W56" s="189">
        <v>4459.9639999999999</v>
      </c>
      <c r="X56" s="177">
        <f t="shared" si="5"/>
        <v>0.28170216477943938</v>
      </c>
      <c r="Y56" s="177">
        <f t="shared" si="6"/>
        <v>2.5185925584589253</v>
      </c>
    </row>
    <row r="57" spans="1:25" x14ac:dyDescent="0.2">
      <c r="A57" s="153">
        <v>2005</v>
      </c>
      <c r="B57" s="153">
        <v>8</v>
      </c>
      <c r="C57" s="153" t="str">
        <f t="shared" si="1"/>
        <v>20058</v>
      </c>
      <c r="D57" s="153" t="str">
        <f t="shared" si="9"/>
        <v>Q3</v>
      </c>
      <c r="E57" s="153">
        <f t="shared" si="10"/>
        <v>119379.652</v>
      </c>
      <c r="F57" s="153" t="e">
        <f t="shared" si="3"/>
        <v>#N/A</v>
      </c>
      <c r="G57" s="153">
        <f t="shared" si="3"/>
        <v>4191.8370000000004</v>
      </c>
      <c r="H57" s="153">
        <f t="shared" si="3"/>
        <v>1657.652</v>
      </c>
      <c r="L57" s="153">
        <f t="shared" si="7"/>
        <v>2014</v>
      </c>
      <c r="M57" s="177" t="str">
        <f t="shared" si="8"/>
        <v>Q4</v>
      </c>
      <c r="N57" s="177" t="str">
        <f t="shared" si="11"/>
        <v>2014Q4</v>
      </c>
      <c r="O57" s="184">
        <v>139445.223</v>
      </c>
      <c r="P57" s="282">
        <v>140139.005</v>
      </c>
      <c r="Q57" s="251">
        <v>1774.326</v>
      </c>
      <c r="R57" s="251">
        <v>1774.326</v>
      </c>
      <c r="S57" s="189">
        <v>42435.52573788313</v>
      </c>
      <c r="T57" s="189"/>
      <c r="U57" s="253">
        <f t="shared" si="4"/>
        <v>4467.9120000000003</v>
      </c>
      <c r="V57" s="189">
        <v>500.43928707342133</v>
      </c>
      <c r="W57" s="189">
        <v>4467.9120000000003</v>
      </c>
      <c r="X57" s="177">
        <f t="shared" si="5"/>
        <v>0.28204472406616443</v>
      </c>
      <c r="Y57" s="177">
        <f t="shared" si="6"/>
        <v>2.5180896858863591</v>
      </c>
    </row>
    <row r="58" spans="1:25" x14ac:dyDescent="0.2">
      <c r="A58" s="153">
        <v>2005</v>
      </c>
      <c r="B58" s="153">
        <v>9</v>
      </c>
      <c r="C58" s="153" t="str">
        <f t="shared" si="1"/>
        <v>20059</v>
      </c>
      <c r="D58" s="153" t="str">
        <f t="shared" si="9"/>
        <v>Q3</v>
      </c>
      <c r="E58" s="153">
        <f t="shared" si="10"/>
        <v>119379.652</v>
      </c>
      <c r="F58" s="153" t="e">
        <f t="shared" si="3"/>
        <v>#N/A</v>
      </c>
      <c r="G58" s="153">
        <f t="shared" si="3"/>
        <v>4191.8370000000004</v>
      </c>
      <c r="H58" s="153">
        <f t="shared" si="3"/>
        <v>1657.652</v>
      </c>
      <c r="L58" s="153">
        <f t="shared" si="7"/>
        <v>2015</v>
      </c>
      <c r="M58" s="177" t="str">
        <f t="shared" si="8"/>
        <v>Q1</v>
      </c>
      <c r="N58" s="177" t="str">
        <f t="shared" si="11"/>
        <v>2015Q1</v>
      </c>
      <c r="O58" s="184">
        <v>140510.76300000001</v>
      </c>
      <c r="P58" s="282">
        <v>141322.23800000001</v>
      </c>
      <c r="Q58" s="251">
        <v>1778.097</v>
      </c>
      <c r="R58" s="251">
        <v>1778.097</v>
      </c>
      <c r="S58" s="189">
        <v>42650.097953529214</v>
      </c>
      <c r="T58" s="189"/>
      <c r="U58" s="253">
        <f t="shared" si="4"/>
        <v>4475.9679999999998</v>
      </c>
      <c r="V58" s="189">
        <v>501.8291618821915</v>
      </c>
      <c r="W58" s="189">
        <v>4475.9679999999998</v>
      </c>
      <c r="X58" s="177">
        <f t="shared" si="5"/>
        <v>0.28222822595291003</v>
      </c>
      <c r="Y58" s="177">
        <f t="shared" si="6"/>
        <v>2.5172799909116317</v>
      </c>
    </row>
    <row r="59" spans="1:25" x14ac:dyDescent="0.2">
      <c r="A59" s="153">
        <v>2005</v>
      </c>
      <c r="B59" s="153">
        <v>10</v>
      </c>
      <c r="C59" s="153" t="str">
        <f t="shared" si="1"/>
        <v>200510</v>
      </c>
      <c r="D59" s="153" t="str">
        <f t="shared" si="9"/>
        <v>Q4</v>
      </c>
      <c r="E59" s="153">
        <f t="shared" si="10"/>
        <v>119542.07799999999</v>
      </c>
      <c r="F59" s="153" t="e">
        <f t="shared" si="3"/>
        <v>#N/A</v>
      </c>
      <c r="G59" s="153">
        <f t="shared" si="3"/>
        <v>4200.951</v>
      </c>
      <c r="H59" s="153">
        <f t="shared" si="3"/>
        <v>1657.348</v>
      </c>
      <c r="L59" s="153">
        <f t="shared" si="7"/>
        <v>2015</v>
      </c>
      <c r="M59" s="177" t="str">
        <f t="shared" si="8"/>
        <v>Q2</v>
      </c>
      <c r="N59" s="177" t="str">
        <f t="shared" si="11"/>
        <v>2015Q2</v>
      </c>
      <c r="O59" s="184">
        <v>141224.63399999999</v>
      </c>
      <c r="P59" s="282">
        <v>142129.484</v>
      </c>
      <c r="Q59" s="251">
        <v>1782.097</v>
      </c>
      <c r="R59" s="251">
        <v>1782.097</v>
      </c>
      <c r="S59" s="189">
        <v>42880.981284829548</v>
      </c>
      <c r="T59" s="189"/>
      <c r="U59" s="253">
        <f t="shared" si="4"/>
        <v>4484.1310000000003</v>
      </c>
      <c r="V59" s="189">
        <v>503.37931941722849</v>
      </c>
      <c r="W59" s="189">
        <v>4484.1310000000003</v>
      </c>
      <c r="X59" s="177">
        <f t="shared" si="5"/>
        <v>0.28246460176815769</v>
      </c>
      <c r="Y59" s="177">
        <f t="shared" si="6"/>
        <v>2.5162103970771517</v>
      </c>
    </row>
    <row r="60" spans="1:25" x14ac:dyDescent="0.2">
      <c r="A60" s="153">
        <v>2005</v>
      </c>
      <c r="B60" s="153">
        <v>11</v>
      </c>
      <c r="C60" s="153" t="str">
        <f t="shared" si="1"/>
        <v>200511</v>
      </c>
      <c r="D60" s="153" t="str">
        <f t="shared" si="9"/>
        <v>Q4</v>
      </c>
      <c r="E60" s="153">
        <f t="shared" si="10"/>
        <v>119542.07799999999</v>
      </c>
      <c r="F60" s="153" t="e">
        <f t="shared" si="3"/>
        <v>#N/A</v>
      </c>
      <c r="G60" s="153">
        <f t="shared" si="3"/>
        <v>4200.951</v>
      </c>
      <c r="H60" s="153">
        <f t="shared" si="3"/>
        <v>1657.348</v>
      </c>
      <c r="L60" s="153">
        <f t="shared" si="7"/>
        <v>2015</v>
      </c>
      <c r="M60" s="177" t="str">
        <f t="shared" si="8"/>
        <v>Q3</v>
      </c>
      <c r="N60" s="177" t="str">
        <f t="shared" si="11"/>
        <v>2015Q3</v>
      </c>
      <c r="O60" s="184">
        <v>141992.24600000001</v>
      </c>
      <c r="P60" s="282">
        <v>143013.609</v>
      </c>
      <c r="Q60" s="251">
        <v>1785.9590000000001</v>
      </c>
      <c r="R60" s="251">
        <v>1785.9590000000001</v>
      </c>
      <c r="S60" s="189">
        <v>43176.797187660617</v>
      </c>
      <c r="T60" s="189"/>
      <c r="U60" s="253">
        <f t="shared" si="4"/>
        <v>4492.3999999999996</v>
      </c>
      <c r="V60" s="189">
        <v>504.94774529623874</v>
      </c>
      <c r="W60" s="189">
        <v>4492.3999999999996</v>
      </c>
      <c r="X60" s="177">
        <f t="shared" si="5"/>
        <v>0.28273199177374103</v>
      </c>
      <c r="Y60" s="177">
        <f t="shared" si="6"/>
        <v>2.515399289681342</v>
      </c>
    </row>
    <row r="61" spans="1:25" x14ac:dyDescent="0.2">
      <c r="A61" s="153">
        <v>2005</v>
      </c>
      <c r="B61" s="153">
        <v>12</v>
      </c>
      <c r="C61" s="153" t="str">
        <f t="shared" si="1"/>
        <v>200512</v>
      </c>
      <c r="D61" s="153" t="str">
        <f t="shared" si="9"/>
        <v>Q4</v>
      </c>
      <c r="E61" s="153">
        <f t="shared" si="10"/>
        <v>119542.07799999999</v>
      </c>
      <c r="F61" s="153" t="e">
        <f t="shared" si="3"/>
        <v>#N/A</v>
      </c>
      <c r="G61" s="153">
        <f t="shared" si="3"/>
        <v>4200.951</v>
      </c>
      <c r="H61" s="153">
        <f t="shared" si="3"/>
        <v>1657.348</v>
      </c>
      <c r="L61" s="153">
        <f t="shared" si="7"/>
        <v>2015</v>
      </c>
      <c r="M61" s="177" t="str">
        <f t="shared" si="8"/>
        <v>Q4</v>
      </c>
      <c r="N61" s="177" t="str">
        <f t="shared" si="11"/>
        <v>2015Q4</v>
      </c>
      <c r="O61" s="184">
        <v>142772.34400000001</v>
      </c>
      <c r="P61" s="282">
        <v>143945.35999999999</v>
      </c>
      <c r="Q61" s="251">
        <v>1789.7339999999999</v>
      </c>
      <c r="R61" s="251">
        <v>1789.7339999999999</v>
      </c>
      <c r="S61" s="189">
        <v>43428.863134860279</v>
      </c>
      <c r="T61" s="189"/>
      <c r="U61" s="253">
        <f t="shared" si="4"/>
        <v>4500.777</v>
      </c>
      <c r="V61" s="189">
        <v>506.36904628060279</v>
      </c>
      <c r="W61" s="189">
        <v>4500.777</v>
      </c>
      <c r="X61" s="177">
        <f t="shared" si="5"/>
        <v>0.28292977966591842</v>
      </c>
      <c r="Y61" s="177">
        <f t="shared" si="6"/>
        <v>2.514774262544043</v>
      </c>
    </row>
    <row r="62" spans="1:25" x14ac:dyDescent="0.2">
      <c r="A62" s="153">
        <v>2006</v>
      </c>
      <c r="B62" s="153">
        <v>1</v>
      </c>
      <c r="C62" s="153" t="str">
        <f t="shared" si="1"/>
        <v>20061</v>
      </c>
      <c r="D62" s="153" t="str">
        <f t="shared" si="9"/>
        <v>Q1</v>
      </c>
      <c r="E62" s="153">
        <f t="shared" si="10"/>
        <v>121891.27099999999</v>
      </c>
      <c r="F62" s="153" t="e">
        <f t="shared" si="3"/>
        <v>#N/A</v>
      </c>
      <c r="G62" s="153">
        <f t="shared" si="3"/>
        <v>4210.085</v>
      </c>
      <c r="H62" s="153">
        <f t="shared" si="3"/>
        <v>1657.0429999999999</v>
      </c>
      <c r="L62" s="153">
        <f t="shared" si="7"/>
        <v>2016</v>
      </c>
      <c r="M62" s="177" t="str">
        <f t="shared" si="8"/>
        <v>Q1</v>
      </c>
      <c r="N62" s="177" t="str">
        <f t="shared" si="11"/>
        <v>2016Q1</v>
      </c>
      <c r="O62" s="184">
        <v>144227.636</v>
      </c>
      <c r="P62" s="282">
        <v>145504.04699999999</v>
      </c>
      <c r="Q62" s="251">
        <v>1793.4010000000001</v>
      </c>
      <c r="R62" s="251">
        <v>1793.4010000000001</v>
      </c>
      <c r="S62" s="189">
        <v>43755.370741727726</v>
      </c>
      <c r="T62" s="189"/>
      <c r="U62" s="253">
        <f t="shared" si="4"/>
        <v>4509.174</v>
      </c>
      <c r="V62" s="189">
        <v>507.86793941892671</v>
      </c>
      <c r="W62" s="189">
        <v>4509.174</v>
      </c>
      <c r="X62" s="177">
        <f t="shared" si="5"/>
        <v>0.28318705042482228</v>
      </c>
      <c r="Y62" s="177">
        <f t="shared" si="6"/>
        <v>2.5143144227085856</v>
      </c>
    </row>
    <row r="63" spans="1:25" x14ac:dyDescent="0.2">
      <c r="A63" s="153">
        <v>2006</v>
      </c>
      <c r="B63" s="153">
        <v>2</v>
      </c>
      <c r="C63" s="153" t="str">
        <f t="shared" si="1"/>
        <v>20062</v>
      </c>
      <c r="D63" s="153" t="str">
        <f t="shared" si="9"/>
        <v>Q1</v>
      </c>
      <c r="E63" s="153">
        <f t="shared" si="10"/>
        <v>121891.27099999999</v>
      </c>
      <c r="F63" s="153" t="e">
        <f t="shared" si="3"/>
        <v>#N/A</v>
      </c>
      <c r="G63" s="153">
        <f t="shared" si="3"/>
        <v>4210.085</v>
      </c>
      <c r="H63" s="153">
        <f t="shared" si="3"/>
        <v>1657.0429999999999</v>
      </c>
      <c r="L63" s="153">
        <f t="shared" si="7"/>
        <v>2016</v>
      </c>
      <c r="M63" s="177" t="str">
        <f t="shared" si="8"/>
        <v>Q2</v>
      </c>
      <c r="N63" s="177" t="str">
        <f t="shared" si="11"/>
        <v>2016Q2</v>
      </c>
      <c r="O63" s="184">
        <v>145000.861</v>
      </c>
      <c r="P63" s="282">
        <v>146350.34899999999</v>
      </c>
      <c r="Q63" s="251">
        <v>1797.0340000000001</v>
      </c>
      <c r="R63" s="251">
        <v>1797.0340000000001</v>
      </c>
      <c r="S63" s="189">
        <v>43979.682119470162</v>
      </c>
      <c r="T63" s="189"/>
      <c r="U63" s="253">
        <f t="shared" si="4"/>
        <v>4517.5919999999996</v>
      </c>
      <c r="V63" s="189">
        <v>509.12265081383066</v>
      </c>
      <c r="W63" s="189">
        <v>4517.5919999999996</v>
      </c>
      <c r="X63" s="177">
        <f t="shared" si="5"/>
        <v>0.28331275357830216</v>
      </c>
      <c r="Y63" s="177">
        <f t="shared" si="6"/>
        <v>2.513915707771806</v>
      </c>
    </row>
    <row r="64" spans="1:25" x14ac:dyDescent="0.2">
      <c r="A64" s="153">
        <v>2006</v>
      </c>
      <c r="B64" s="153">
        <v>3</v>
      </c>
      <c r="C64" s="153" t="str">
        <f t="shared" si="1"/>
        <v>20063</v>
      </c>
      <c r="D64" s="153" t="str">
        <f t="shared" si="9"/>
        <v>Q1</v>
      </c>
      <c r="E64" s="153">
        <f t="shared" si="10"/>
        <v>121891.27099999999</v>
      </c>
      <c r="F64" s="153" t="e">
        <f t="shared" si="3"/>
        <v>#N/A</v>
      </c>
      <c r="G64" s="153">
        <f t="shared" si="3"/>
        <v>4210.085</v>
      </c>
      <c r="H64" s="153">
        <f t="shared" si="3"/>
        <v>1657.0429999999999</v>
      </c>
      <c r="L64" s="153">
        <f t="shared" si="7"/>
        <v>2016</v>
      </c>
      <c r="M64" s="177" t="str">
        <f t="shared" si="8"/>
        <v>Q3</v>
      </c>
      <c r="N64" s="177" t="str">
        <f t="shared" si="11"/>
        <v>2016Q3</v>
      </c>
      <c r="O64" s="184">
        <v>145740.07199999999</v>
      </c>
      <c r="P64" s="282">
        <v>147153.11900000001</v>
      </c>
      <c r="Q64" s="251">
        <v>1800.662</v>
      </c>
      <c r="R64" s="251">
        <v>1800.662</v>
      </c>
      <c r="S64" s="189">
        <v>44190.115651236883</v>
      </c>
      <c r="T64" s="189"/>
      <c r="U64" s="253">
        <f t="shared" si="4"/>
        <v>4526.0309999999999</v>
      </c>
      <c r="V64" s="189">
        <v>510.37312120930113</v>
      </c>
      <c r="W64" s="189">
        <v>4526.0309999999999</v>
      </c>
      <c r="X64" s="177">
        <f t="shared" si="5"/>
        <v>0.28343638129160337</v>
      </c>
      <c r="Y64" s="177">
        <f t="shared" si="6"/>
        <v>2.5135372435248815</v>
      </c>
    </row>
    <row r="65" spans="1:25" x14ac:dyDescent="0.2">
      <c r="A65" s="153">
        <v>2006</v>
      </c>
      <c r="B65" s="153">
        <v>4</v>
      </c>
      <c r="C65" s="153" t="str">
        <f t="shared" si="1"/>
        <v>20064</v>
      </c>
      <c r="D65" s="153" t="str">
        <f t="shared" si="9"/>
        <v>Q2</v>
      </c>
      <c r="E65" s="153">
        <f t="shared" si="10"/>
        <v>123006.787</v>
      </c>
      <c r="F65" s="153" t="e">
        <f t="shared" si="3"/>
        <v>#N/A</v>
      </c>
      <c r="G65" s="153">
        <f t="shared" si="3"/>
        <v>4219.2389999999996</v>
      </c>
      <c r="H65" s="153">
        <f t="shared" si="3"/>
        <v>1656.7380000000001</v>
      </c>
      <c r="L65" s="153">
        <f t="shared" si="7"/>
        <v>2016</v>
      </c>
      <c r="M65" s="177" t="str">
        <f t="shared" si="8"/>
        <v>Q4</v>
      </c>
      <c r="N65" s="177" t="str">
        <f t="shared" si="11"/>
        <v>2016Q4</v>
      </c>
      <c r="O65" s="184">
        <v>146638.23699999999</v>
      </c>
      <c r="P65" s="282">
        <v>148068.81599999999</v>
      </c>
      <c r="Q65" s="251">
        <v>1804.307</v>
      </c>
      <c r="R65" s="251">
        <v>1804.307</v>
      </c>
      <c r="S65" s="189">
        <v>44479.131361056192</v>
      </c>
      <c r="T65" s="189"/>
      <c r="U65" s="253">
        <f t="shared" si="4"/>
        <v>4534.4889999999996</v>
      </c>
      <c r="V65" s="189">
        <v>511.92023406263525</v>
      </c>
      <c r="W65" s="189">
        <v>4534.4889999999996</v>
      </c>
      <c r="X65" s="177">
        <f t="shared" si="5"/>
        <v>0.28372124813717137</v>
      </c>
      <c r="Y65" s="177">
        <f t="shared" si="6"/>
        <v>2.5131471528958205</v>
      </c>
    </row>
    <row r="66" spans="1:25" x14ac:dyDescent="0.2">
      <c r="A66" s="153">
        <v>2006</v>
      </c>
      <c r="B66" s="153">
        <v>5</v>
      </c>
      <c r="C66" s="153" t="str">
        <f t="shared" si="1"/>
        <v>20065</v>
      </c>
      <c r="D66" s="153" t="str">
        <f t="shared" si="9"/>
        <v>Q2</v>
      </c>
      <c r="E66" s="153">
        <f t="shared" si="10"/>
        <v>123006.787</v>
      </c>
      <c r="F66" s="153" t="e">
        <f t="shared" si="3"/>
        <v>#N/A</v>
      </c>
      <c r="G66" s="153">
        <f t="shared" si="3"/>
        <v>4219.2389999999996</v>
      </c>
      <c r="H66" s="153">
        <f t="shared" si="3"/>
        <v>1656.7380000000001</v>
      </c>
      <c r="L66" s="153">
        <f t="shared" si="7"/>
        <v>2017</v>
      </c>
      <c r="M66" s="177" t="str">
        <f t="shared" si="8"/>
        <v>Q1</v>
      </c>
      <c r="N66" s="177" t="str">
        <f t="shared" si="11"/>
        <v>2017Q1</v>
      </c>
      <c r="O66" s="184">
        <v>147397.973</v>
      </c>
      <c r="P66" s="282">
        <v>148933.60500000001</v>
      </c>
      <c r="Q66" s="251">
        <v>1806.8440000000001</v>
      </c>
      <c r="R66" s="251">
        <v>1806.8440000000001</v>
      </c>
      <c r="S66" s="189">
        <v>44591.826055215206</v>
      </c>
      <c r="T66" s="189"/>
      <c r="U66" s="253">
        <f t="shared" si="4"/>
        <v>4542.9390000000003</v>
      </c>
      <c r="V66" s="189">
        <v>513.08300928065671</v>
      </c>
      <c r="W66" s="189">
        <v>4542.9390000000003</v>
      </c>
      <c r="X66" s="177">
        <f t="shared" si="5"/>
        <v>0.28396641286168406</v>
      </c>
      <c r="Y66" s="177">
        <f t="shared" si="6"/>
        <v>2.5142950913305189</v>
      </c>
    </row>
    <row r="67" spans="1:25" x14ac:dyDescent="0.2">
      <c r="A67" s="153">
        <v>2006</v>
      </c>
      <c r="B67" s="153">
        <v>6</v>
      </c>
      <c r="C67" s="153" t="str">
        <f t="shared" ref="C67:C130" si="12">A67&amp;B67</f>
        <v>20066</v>
      </c>
      <c r="D67" s="153" t="str">
        <f t="shared" si="9"/>
        <v>Q2</v>
      </c>
      <c r="E67" s="153">
        <f t="shared" ref="E67:E98" si="13">VLOOKUP($A67&amp;$D67,$N$1:$U$169,MATCH(E$1,$N$1:$U$1,0),0)</f>
        <v>123006.787</v>
      </c>
      <c r="F67" s="153" t="e">
        <f t="shared" ref="F67:H130" si="14">VLOOKUP($A67&amp;$D67,$N$1:$U$169,MATCH(F$1,$N$1:$U$1,0),0)</f>
        <v>#N/A</v>
      </c>
      <c r="G67" s="153">
        <f t="shared" si="14"/>
        <v>4219.2389999999996</v>
      </c>
      <c r="H67" s="153">
        <f t="shared" si="14"/>
        <v>1656.7380000000001</v>
      </c>
      <c r="L67" s="153">
        <f t="shared" si="7"/>
        <v>2017</v>
      </c>
      <c r="M67" s="177" t="str">
        <f t="shared" si="8"/>
        <v>Q2</v>
      </c>
      <c r="N67" s="177" t="str">
        <f t="shared" si="11"/>
        <v>2017Q2</v>
      </c>
      <c r="O67" s="184">
        <v>148169.18</v>
      </c>
      <c r="P67" s="282">
        <v>149895.962</v>
      </c>
      <c r="Q67" s="251">
        <v>1809.4</v>
      </c>
      <c r="R67" s="251">
        <v>1809.4</v>
      </c>
      <c r="S67" s="189">
        <v>44904.574224823955</v>
      </c>
      <c r="T67" s="189"/>
      <c r="U67" s="253">
        <f t="shared" ref="U67:U130" si="15">W67</f>
        <v>4551.38</v>
      </c>
      <c r="V67" s="189">
        <v>514.67933105390614</v>
      </c>
      <c r="W67" s="189">
        <v>4551.38</v>
      </c>
      <c r="X67" s="177">
        <f t="shared" ref="X67:X130" si="16">V67/Q67</f>
        <v>0.28444751357019238</v>
      </c>
      <c r="Y67" s="177">
        <f t="shared" ref="Y67:Y130" si="17">W67/R67</f>
        <v>2.5154084226815518</v>
      </c>
    </row>
    <row r="68" spans="1:25" x14ac:dyDescent="0.2">
      <c r="A68" s="153">
        <v>2006</v>
      </c>
      <c r="B68" s="153">
        <v>7</v>
      </c>
      <c r="C68" s="153" t="str">
        <f t="shared" si="12"/>
        <v>20067</v>
      </c>
      <c r="D68" s="153" t="str">
        <f t="shared" si="9"/>
        <v>Q3</v>
      </c>
      <c r="E68" s="153">
        <f t="shared" si="13"/>
        <v>123530.77899999999</v>
      </c>
      <c r="F68" s="153" t="e">
        <f t="shared" si="14"/>
        <v>#N/A</v>
      </c>
      <c r="G68" s="153">
        <f t="shared" si="14"/>
        <v>4228.5659999999998</v>
      </c>
      <c r="H68" s="153">
        <f t="shared" si="14"/>
        <v>1657.8969999999999</v>
      </c>
      <c r="L68" s="153">
        <f t="shared" si="7"/>
        <v>2017</v>
      </c>
      <c r="M68" s="177" t="str">
        <f t="shared" si="8"/>
        <v>Q3</v>
      </c>
      <c r="N68" s="177" t="str">
        <f t="shared" si="11"/>
        <v>2017Q3</v>
      </c>
      <c r="O68" s="184">
        <v>149003.10200000001</v>
      </c>
      <c r="P68" s="282">
        <v>150928.014</v>
      </c>
      <c r="Q68" s="251">
        <v>1811.9380000000001</v>
      </c>
      <c r="R68" s="251">
        <v>1811.9380000000001</v>
      </c>
      <c r="S68" s="189">
        <v>45194.496478629822</v>
      </c>
      <c r="T68" s="189"/>
      <c r="U68" s="253">
        <f t="shared" si="15"/>
        <v>4559.8130000000001</v>
      </c>
      <c r="V68" s="189">
        <v>515.82043868573078</v>
      </c>
      <c r="W68" s="189">
        <v>4559.8130000000001</v>
      </c>
      <c r="X68" s="177">
        <f t="shared" si="16"/>
        <v>0.2846788569397688</v>
      </c>
      <c r="Y68" s="177">
        <f t="shared" si="17"/>
        <v>2.516539197257301</v>
      </c>
    </row>
    <row r="69" spans="1:25" x14ac:dyDescent="0.2">
      <c r="A69" s="153">
        <v>2006</v>
      </c>
      <c r="B69" s="153">
        <v>8</v>
      </c>
      <c r="C69" s="153" t="str">
        <f t="shared" si="12"/>
        <v>20068</v>
      </c>
      <c r="D69" s="153" t="str">
        <f t="shared" si="9"/>
        <v>Q3</v>
      </c>
      <c r="E69" s="153">
        <f t="shared" si="13"/>
        <v>123530.77899999999</v>
      </c>
      <c r="F69" s="153" t="e">
        <f t="shared" si="14"/>
        <v>#N/A</v>
      </c>
      <c r="G69" s="153">
        <f t="shared" si="14"/>
        <v>4228.5659999999998</v>
      </c>
      <c r="H69" s="153">
        <f t="shared" si="14"/>
        <v>1657.8969999999999</v>
      </c>
      <c r="L69" s="153">
        <f t="shared" si="7"/>
        <v>2017</v>
      </c>
      <c r="M69" s="177" t="str">
        <f t="shared" si="8"/>
        <v>Q4</v>
      </c>
      <c r="N69" s="177" t="str">
        <f t="shared" si="11"/>
        <v>2017Q4</v>
      </c>
      <c r="O69" s="184">
        <v>149821.88399999999</v>
      </c>
      <c r="P69" s="282">
        <v>151910.79399999999</v>
      </c>
      <c r="Q69" s="251">
        <v>1814.3879999999999</v>
      </c>
      <c r="R69" s="251">
        <v>1814.3879999999999</v>
      </c>
      <c r="S69" s="189">
        <v>45448.674552537363</v>
      </c>
      <c r="T69" s="189"/>
      <c r="U69" s="253">
        <f t="shared" si="15"/>
        <v>4568.2250000000004</v>
      </c>
      <c r="V69" s="189">
        <v>517.2860463041992</v>
      </c>
      <c r="W69" s="189">
        <v>4568.2250000000004</v>
      </c>
      <c r="X69" s="177">
        <f t="shared" si="16"/>
        <v>0.28510221975905881</v>
      </c>
      <c r="Y69" s="177">
        <f t="shared" si="17"/>
        <v>2.5177773442064213</v>
      </c>
    </row>
    <row r="70" spans="1:25" x14ac:dyDescent="0.2">
      <c r="A70" s="153">
        <v>2006</v>
      </c>
      <c r="B70" s="153">
        <v>9</v>
      </c>
      <c r="C70" s="153" t="str">
        <f t="shared" si="12"/>
        <v>20069</v>
      </c>
      <c r="D70" s="153" t="str">
        <f t="shared" si="9"/>
        <v>Q3</v>
      </c>
      <c r="E70" s="153">
        <f t="shared" si="13"/>
        <v>123530.77899999999</v>
      </c>
      <c r="F70" s="153" t="e">
        <f t="shared" si="14"/>
        <v>#N/A</v>
      </c>
      <c r="G70" s="153">
        <f t="shared" si="14"/>
        <v>4228.5659999999998</v>
      </c>
      <c r="H70" s="153">
        <f t="shared" si="14"/>
        <v>1657.8969999999999</v>
      </c>
      <c r="L70" s="153">
        <f t="shared" si="7"/>
        <v>2018</v>
      </c>
      <c r="M70" s="177" t="str">
        <f t="shared" si="8"/>
        <v>Q1</v>
      </c>
      <c r="N70" s="177" t="str">
        <f t="shared" si="11"/>
        <v>2018Q1</v>
      </c>
      <c r="O70" s="184">
        <v>151159.774</v>
      </c>
      <c r="P70" s="282">
        <v>153253.709</v>
      </c>
      <c r="Q70" s="251">
        <v>1817.81</v>
      </c>
      <c r="R70" s="251">
        <v>1817.81</v>
      </c>
      <c r="S70" s="189">
        <v>45721.18203228699</v>
      </c>
      <c r="T70" s="189"/>
      <c r="U70" s="253">
        <f t="shared" si="15"/>
        <v>4576.63</v>
      </c>
      <c r="V70" s="189">
        <v>518.66652313964676</v>
      </c>
      <c r="W70" s="189">
        <v>4576.63</v>
      </c>
      <c r="X70" s="177">
        <f t="shared" si="16"/>
        <v>0.28532493667635606</v>
      </c>
      <c r="Y70" s="177">
        <f t="shared" si="17"/>
        <v>2.5176613617484778</v>
      </c>
    </row>
    <row r="71" spans="1:25" x14ac:dyDescent="0.2">
      <c r="A71" s="153">
        <v>2006</v>
      </c>
      <c r="B71" s="153">
        <v>10</v>
      </c>
      <c r="C71" s="153" t="str">
        <f t="shared" si="12"/>
        <v>200610</v>
      </c>
      <c r="D71" s="153" t="str">
        <f t="shared" si="9"/>
        <v>Q4</v>
      </c>
      <c r="E71" s="153">
        <f t="shared" si="13"/>
        <v>124988.379</v>
      </c>
      <c r="F71" s="153" t="e">
        <f t="shared" si="14"/>
        <v>#N/A</v>
      </c>
      <c r="G71" s="153">
        <f t="shared" si="14"/>
        <v>4237.9139999999998</v>
      </c>
      <c r="H71" s="153">
        <f t="shared" si="14"/>
        <v>1659.057</v>
      </c>
      <c r="L71" s="153">
        <f t="shared" ref="L71:L134" si="18">L67+1</f>
        <v>2018</v>
      </c>
      <c r="M71" s="177" t="str">
        <f t="shared" ref="M71:M91" si="19">M67</f>
        <v>Q2</v>
      </c>
      <c r="N71" s="177" t="str">
        <f t="shared" si="11"/>
        <v>2018Q2</v>
      </c>
      <c r="O71" s="184">
        <v>152014.81099999999</v>
      </c>
      <c r="P71" s="282">
        <v>154135.36600000001</v>
      </c>
      <c r="Q71" s="251">
        <v>1821.1880000000001</v>
      </c>
      <c r="R71" s="251">
        <v>1821.1880000000001</v>
      </c>
      <c r="S71" s="189">
        <v>45952.240193290287</v>
      </c>
      <c r="T71" s="189"/>
      <c r="U71" s="253">
        <f t="shared" si="15"/>
        <v>4585.03</v>
      </c>
      <c r="V71" s="189">
        <v>519.97560455539224</v>
      </c>
      <c r="W71" s="189">
        <v>4585.03</v>
      </c>
      <c r="X71" s="177">
        <f t="shared" si="16"/>
        <v>0.28551451280998569</v>
      </c>
      <c r="Y71" s="177">
        <f t="shared" si="17"/>
        <v>2.5176038937221197</v>
      </c>
    </row>
    <row r="72" spans="1:25" x14ac:dyDescent="0.2">
      <c r="A72" s="153">
        <v>2006</v>
      </c>
      <c r="B72" s="153">
        <v>11</v>
      </c>
      <c r="C72" s="153" t="str">
        <f t="shared" si="12"/>
        <v>200611</v>
      </c>
      <c r="D72" s="153" t="str">
        <f t="shared" si="9"/>
        <v>Q4</v>
      </c>
      <c r="E72" s="153">
        <f t="shared" si="13"/>
        <v>124988.379</v>
      </c>
      <c r="F72" s="153" t="e">
        <f t="shared" si="14"/>
        <v>#N/A</v>
      </c>
      <c r="G72" s="153">
        <f t="shared" si="14"/>
        <v>4237.9139999999998</v>
      </c>
      <c r="H72" s="153">
        <f t="shared" si="14"/>
        <v>1659.057</v>
      </c>
      <c r="L72" s="153">
        <f t="shared" si="18"/>
        <v>2018</v>
      </c>
      <c r="M72" s="177" t="str">
        <f t="shared" si="19"/>
        <v>Q3</v>
      </c>
      <c r="N72" s="177" t="str">
        <f t="shared" si="11"/>
        <v>2018Q3</v>
      </c>
      <c r="O72" s="184">
        <v>152840.09</v>
      </c>
      <c r="P72" s="282">
        <v>154988.766</v>
      </c>
      <c r="Q72" s="251">
        <v>1824.57</v>
      </c>
      <c r="R72" s="251">
        <v>1824.57</v>
      </c>
      <c r="S72" s="189">
        <v>46269.534926018147</v>
      </c>
      <c r="T72" s="189"/>
      <c r="U72" s="253">
        <f t="shared" si="15"/>
        <v>4593.4229999999998</v>
      </c>
      <c r="V72" s="189">
        <v>521.40413123458416</v>
      </c>
      <c r="W72" s="189">
        <v>4593.4229999999998</v>
      </c>
      <c r="X72" s="177">
        <f t="shared" si="16"/>
        <v>0.28576822551866149</v>
      </c>
      <c r="Y72" s="177">
        <f t="shared" si="17"/>
        <v>2.5175372827570333</v>
      </c>
    </row>
    <row r="73" spans="1:25" x14ac:dyDescent="0.2">
      <c r="A73" s="153">
        <v>2006</v>
      </c>
      <c r="B73" s="153">
        <v>12</v>
      </c>
      <c r="C73" s="153" t="str">
        <f t="shared" si="12"/>
        <v>200612</v>
      </c>
      <c r="D73" s="153" t="str">
        <f t="shared" si="9"/>
        <v>Q4</v>
      </c>
      <c r="E73" s="153">
        <f t="shared" si="13"/>
        <v>124988.379</v>
      </c>
      <c r="F73" s="153" t="e">
        <f t="shared" si="14"/>
        <v>#N/A</v>
      </c>
      <c r="G73" s="153">
        <f t="shared" si="14"/>
        <v>4237.9139999999998</v>
      </c>
      <c r="H73" s="153">
        <f t="shared" si="14"/>
        <v>1659.057</v>
      </c>
      <c r="L73" s="153">
        <f t="shared" si="18"/>
        <v>2018</v>
      </c>
      <c r="M73" s="177" t="str">
        <f t="shared" si="19"/>
        <v>Q4</v>
      </c>
      <c r="N73" s="177" t="str">
        <f t="shared" si="11"/>
        <v>2018Q4</v>
      </c>
      <c r="O73" s="184">
        <v>153691.45300000001</v>
      </c>
      <c r="P73" s="282">
        <v>155842.07999999999</v>
      </c>
      <c r="Q73" s="251">
        <v>1827.9390000000001</v>
      </c>
      <c r="R73" s="251">
        <v>1827.9390000000001</v>
      </c>
      <c r="S73" s="189">
        <v>46499.695892915195</v>
      </c>
      <c r="T73" s="189"/>
      <c r="U73" s="253">
        <f t="shared" si="15"/>
        <v>4601.8090000000002</v>
      </c>
      <c r="V73" s="189">
        <v>522.62622358863541</v>
      </c>
      <c r="W73" s="189">
        <v>4601.8090000000002</v>
      </c>
      <c r="X73" s="177">
        <f t="shared" si="16"/>
        <v>0.28591010071377404</v>
      </c>
      <c r="Y73" s="177">
        <f t="shared" si="17"/>
        <v>2.5174849926611338</v>
      </c>
    </row>
    <row r="74" spans="1:25" x14ac:dyDescent="0.2">
      <c r="A74" s="153">
        <v>2007</v>
      </c>
      <c r="B74" s="153">
        <v>1</v>
      </c>
      <c r="C74" s="153" t="str">
        <f t="shared" si="12"/>
        <v>20071</v>
      </c>
      <c r="D74" s="153" t="str">
        <f t="shared" si="9"/>
        <v>Q1</v>
      </c>
      <c r="E74" s="153">
        <f t="shared" si="13"/>
        <v>125421.274</v>
      </c>
      <c r="F74" s="153" t="e">
        <f t="shared" si="14"/>
        <v>#N/A</v>
      </c>
      <c r="G74" s="153">
        <f t="shared" si="14"/>
        <v>4247.2830000000004</v>
      </c>
      <c r="H74" s="153">
        <f t="shared" si="14"/>
        <v>1660.2180000000001</v>
      </c>
      <c r="L74" s="153">
        <f t="shared" si="18"/>
        <v>2019</v>
      </c>
      <c r="M74" s="177" t="str">
        <f t="shared" si="19"/>
        <v>Q1</v>
      </c>
      <c r="N74" s="177" t="str">
        <f t="shared" si="11"/>
        <v>2019Q1</v>
      </c>
      <c r="O74" s="184">
        <v>155062.20000000001</v>
      </c>
      <c r="P74" s="282">
        <v>157233.41500000001</v>
      </c>
      <c r="Q74" s="251">
        <v>1831.317</v>
      </c>
      <c r="R74" s="251">
        <v>1831.317</v>
      </c>
      <c r="S74" s="189">
        <v>46951.95820849367</v>
      </c>
      <c r="T74" s="189"/>
      <c r="U74" s="253">
        <f t="shared" si="15"/>
        <v>4610.1880000000001</v>
      </c>
      <c r="V74" s="189">
        <v>524.02248071463271</v>
      </c>
      <c r="W74" s="189">
        <v>4610.1880000000001</v>
      </c>
      <c r="X74" s="177">
        <f t="shared" si="16"/>
        <v>0.28614515166660537</v>
      </c>
      <c r="Y74" s="177">
        <f t="shared" si="17"/>
        <v>2.5174167006585972</v>
      </c>
    </row>
    <row r="75" spans="1:25" x14ac:dyDescent="0.2">
      <c r="A75" s="153">
        <v>2007</v>
      </c>
      <c r="B75" s="153">
        <v>2</v>
      </c>
      <c r="C75" s="153" t="str">
        <f t="shared" si="12"/>
        <v>20072</v>
      </c>
      <c r="D75" s="153" t="str">
        <f t="shared" si="9"/>
        <v>Q1</v>
      </c>
      <c r="E75" s="153">
        <f t="shared" si="13"/>
        <v>125421.274</v>
      </c>
      <c r="F75" s="153" t="e">
        <f t="shared" si="14"/>
        <v>#N/A</v>
      </c>
      <c r="G75" s="153">
        <f t="shared" si="14"/>
        <v>4247.2830000000004</v>
      </c>
      <c r="H75" s="153">
        <f t="shared" si="14"/>
        <v>1660.2180000000001</v>
      </c>
      <c r="L75" s="153">
        <f t="shared" si="18"/>
        <v>2019</v>
      </c>
      <c r="M75" s="177" t="str">
        <f t="shared" si="19"/>
        <v>Q2</v>
      </c>
      <c r="N75" s="177" t="str">
        <f t="shared" si="11"/>
        <v>2019Q2</v>
      </c>
      <c r="O75" s="184">
        <v>155893.33300000001</v>
      </c>
      <c r="P75" s="282">
        <v>158103.747</v>
      </c>
      <c r="Q75" s="251">
        <v>1834.68</v>
      </c>
      <c r="R75" s="251">
        <v>1834.68</v>
      </c>
      <c r="S75" s="189">
        <v>47295.046546996404</v>
      </c>
      <c r="T75" s="189"/>
      <c r="U75" s="253">
        <f t="shared" si="15"/>
        <v>4618.558</v>
      </c>
      <c r="V75" s="189">
        <v>525.23105771001019</v>
      </c>
      <c r="W75" s="189">
        <v>4618.558</v>
      </c>
      <c r="X75" s="177">
        <f t="shared" si="16"/>
        <v>0.28627938262258823</v>
      </c>
      <c r="Y75" s="177">
        <f t="shared" si="17"/>
        <v>2.517364336015</v>
      </c>
    </row>
    <row r="76" spans="1:25" x14ac:dyDescent="0.2">
      <c r="A76" s="153">
        <v>2007</v>
      </c>
      <c r="B76" s="153">
        <v>3</v>
      </c>
      <c r="C76" s="153" t="str">
        <f t="shared" si="12"/>
        <v>20073</v>
      </c>
      <c r="D76" s="153" t="str">
        <f t="shared" si="9"/>
        <v>Q1</v>
      </c>
      <c r="E76" s="153">
        <f t="shared" si="13"/>
        <v>125421.274</v>
      </c>
      <c r="F76" s="153" t="e">
        <f t="shared" si="14"/>
        <v>#N/A</v>
      </c>
      <c r="G76" s="153">
        <f t="shared" si="14"/>
        <v>4247.2830000000004</v>
      </c>
      <c r="H76" s="153">
        <f t="shared" si="14"/>
        <v>1660.2180000000001</v>
      </c>
      <c r="L76" s="153">
        <f t="shared" si="18"/>
        <v>2019</v>
      </c>
      <c r="M76" s="177" t="str">
        <f t="shared" si="19"/>
        <v>Q3</v>
      </c>
      <c r="N76" s="177" t="str">
        <f t="shared" si="11"/>
        <v>2019Q3</v>
      </c>
      <c r="O76" s="184">
        <v>156697.22099999999</v>
      </c>
      <c r="P76" s="282">
        <v>158968.057</v>
      </c>
      <c r="Q76" s="251">
        <v>1838.0340000000001</v>
      </c>
      <c r="R76" s="251">
        <v>1838.0340000000001</v>
      </c>
      <c r="S76" s="189">
        <v>47474.511791947109</v>
      </c>
      <c r="T76" s="189"/>
      <c r="U76" s="253">
        <f t="shared" si="15"/>
        <v>4626.9070000000002</v>
      </c>
      <c r="V76" s="189">
        <v>526.52557973637499</v>
      </c>
      <c r="W76" s="189">
        <v>4626.9070000000002</v>
      </c>
      <c r="X76" s="177">
        <f t="shared" si="16"/>
        <v>0.28646128403303472</v>
      </c>
      <c r="Y76" s="177">
        <f t="shared" si="17"/>
        <v>2.5173130638497438</v>
      </c>
    </row>
    <row r="77" spans="1:25" x14ac:dyDescent="0.2">
      <c r="A77" s="153">
        <v>2007</v>
      </c>
      <c r="B77" s="153">
        <v>4</v>
      </c>
      <c r="C77" s="153" t="str">
        <f t="shared" si="12"/>
        <v>20074</v>
      </c>
      <c r="D77" s="153" t="str">
        <f t="shared" si="9"/>
        <v>Q2</v>
      </c>
      <c r="E77" s="153">
        <f t="shared" si="13"/>
        <v>125696.571</v>
      </c>
      <c r="F77" s="153" t="e">
        <f t="shared" si="14"/>
        <v>#N/A</v>
      </c>
      <c r="G77" s="153">
        <f t="shared" si="14"/>
        <v>4256.6719999999996</v>
      </c>
      <c r="H77" s="153">
        <f t="shared" si="14"/>
        <v>1661.3789999999999</v>
      </c>
      <c r="L77" s="153">
        <f t="shared" si="18"/>
        <v>2019</v>
      </c>
      <c r="M77" s="177" t="str">
        <f t="shared" si="19"/>
        <v>Q4</v>
      </c>
      <c r="N77" s="177" t="str">
        <f t="shared" si="11"/>
        <v>2019Q4</v>
      </c>
      <c r="O77" s="184">
        <v>157503.777</v>
      </c>
      <c r="P77" s="282">
        <v>159836.17300000001</v>
      </c>
      <c r="Q77" s="251">
        <v>1841.366</v>
      </c>
      <c r="R77" s="251">
        <v>1841.366</v>
      </c>
      <c r="S77" s="189">
        <v>47726.545621421916</v>
      </c>
      <c r="T77" s="189"/>
      <c r="U77" s="253">
        <f t="shared" si="15"/>
        <v>4635.2470000000003</v>
      </c>
      <c r="V77" s="189">
        <v>527.97489990513088</v>
      </c>
      <c r="W77" s="189">
        <v>4635.2470000000003</v>
      </c>
      <c r="X77" s="177">
        <f t="shared" si="16"/>
        <v>0.2867300145137528</v>
      </c>
      <c r="Y77" s="177">
        <f t="shared" si="17"/>
        <v>2.5172871661581677</v>
      </c>
    </row>
    <row r="78" spans="1:25" x14ac:dyDescent="0.2">
      <c r="A78" s="153">
        <v>2007</v>
      </c>
      <c r="B78" s="153">
        <v>5</v>
      </c>
      <c r="C78" s="153" t="str">
        <f t="shared" si="12"/>
        <v>20075</v>
      </c>
      <c r="D78" s="153" t="str">
        <f t="shared" si="9"/>
        <v>Q2</v>
      </c>
      <c r="E78" s="153">
        <f t="shared" si="13"/>
        <v>125696.571</v>
      </c>
      <c r="F78" s="153" t="e">
        <f t="shared" si="14"/>
        <v>#N/A</v>
      </c>
      <c r="G78" s="153">
        <f t="shared" si="14"/>
        <v>4256.6719999999996</v>
      </c>
      <c r="H78" s="153">
        <f t="shared" si="14"/>
        <v>1661.3789999999999</v>
      </c>
      <c r="L78" s="153">
        <f t="shared" si="18"/>
        <v>2020</v>
      </c>
      <c r="M78" s="177" t="str">
        <f t="shared" si="19"/>
        <v>Q1</v>
      </c>
      <c r="N78" s="177" t="str">
        <f t="shared" si="11"/>
        <v>2020Q1</v>
      </c>
      <c r="O78" s="184">
        <v>158898.726</v>
      </c>
      <c r="P78" s="282">
        <v>161297.21299999999</v>
      </c>
      <c r="Q78" s="251">
        <v>1844.713</v>
      </c>
      <c r="R78" s="251">
        <v>1844.713</v>
      </c>
      <c r="S78" s="189">
        <v>48243.78300199988</v>
      </c>
      <c r="T78" s="189"/>
      <c r="U78" s="253">
        <f t="shared" si="15"/>
        <v>4643.5770000000002</v>
      </c>
      <c r="V78" s="189">
        <v>529.18438960096785</v>
      </c>
      <c r="W78" s="189">
        <v>4643.5770000000002</v>
      </c>
      <c r="X78" s="177">
        <f t="shared" si="16"/>
        <v>0.28686543088326905</v>
      </c>
      <c r="Y78" s="177">
        <f t="shared" si="17"/>
        <v>2.5172354724013979</v>
      </c>
    </row>
    <row r="79" spans="1:25" x14ac:dyDescent="0.2">
      <c r="A79" s="153">
        <v>2007</v>
      </c>
      <c r="B79" s="153">
        <v>6</v>
      </c>
      <c r="C79" s="153" t="str">
        <f t="shared" si="12"/>
        <v>20076</v>
      </c>
      <c r="D79" s="153" t="str">
        <f t="shared" ref="D79:D142" si="20">D67</f>
        <v>Q2</v>
      </c>
      <c r="E79" s="153">
        <f t="shared" si="13"/>
        <v>125696.571</v>
      </c>
      <c r="F79" s="153" t="e">
        <f t="shared" si="14"/>
        <v>#N/A</v>
      </c>
      <c r="G79" s="153">
        <f t="shared" si="14"/>
        <v>4256.6719999999996</v>
      </c>
      <c r="H79" s="153">
        <f t="shared" si="14"/>
        <v>1661.3789999999999</v>
      </c>
      <c r="L79" s="153">
        <f t="shared" si="18"/>
        <v>2020</v>
      </c>
      <c r="M79" s="177" t="str">
        <f t="shared" si="19"/>
        <v>Q2</v>
      </c>
      <c r="N79" s="177" t="str">
        <f t="shared" si="11"/>
        <v>2020Q2</v>
      </c>
      <c r="O79" s="184">
        <v>159849.41</v>
      </c>
      <c r="P79" s="282">
        <v>162420.696</v>
      </c>
      <c r="Q79" s="251">
        <v>1847.818</v>
      </c>
      <c r="R79" s="251">
        <v>1847.818</v>
      </c>
      <c r="S79" s="189">
        <v>48481.970690693073</v>
      </c>
      <c r="T79" s="189"/>
      <c r="U79" s="253">
        <f t="shared" si="15"/>
        <v>4651.8969999999999</v>
      </c>
      <c r="V79" s="189">
        <v>530.5241401390773</v>
      </c>
      <c r="W79" s="189">
        <v>4651.8969999999999</v>
      </c>
      <c r="X79" s="177">
        <f t="shared" si="16"/>
        <v>0.28710843824395982</v>
      </c>
      <c r="Y79" s="177">
        <f t="shared" si="17"/>
        <v>2.5175082178006707</v>
      </c>
    </row>
    <row r="80" spans="1:25" x14ac:dyDescent="0.2">
      <c r="A80" s="153">
        <v>2007</v>
      </c>
      <c r="B80" s="153">
        <v>7</v>
      </c>
      <c r="C80" s="153" t="str">
        <f t="shared" si="12"/>
        <v>20077</v>
      </c>
      <c r="D80" s="153" t="str">
        <f t="shared" si="20"/>
        <v>Q3</v>
      </c>
      <c r="E80" s="153">
        <f t="shared" si="13"/>
        <v>125601.717</v>
      </c>
      <c r="F80" s="153" t="e">
        <f t="shared" si="14"/>
        <v>#N/A</v>
      </c>
      <c r="G80" s="153">
        <f t="shared" si="14"/>
        <v>4264.9489999999996</v>
      </c>
      <c r="H80" s="153">
        <f t="shared" si="14"/>
        <v>1669.175</v>
      </c>
      <c r="L80" s="153">
        <f t="shared" si="18"/>
        <v>2020</v>
      </c>
      <c r="M80" s="177" t="str">
        <f t="shared" si="19"/>
        <v>Q3</v>
      </c>
      <c r="N80" s="177" t="str">
        <f t="shared" si="11"/>
        <v>2020Q3</v>
      </c>
      <c r="O80" s="184">
        <v>160644.163</v>
      </c>
      <c r="P80" s="282">
        <v>163315.83900000001</v>
      </c>
      <c r="Q80" s="251">
        <v>1850.903</v>
      </c>
      <c r="R80" s="251">
        <v>1850.903</v>
      </c>
      <c r="S80" s="189">
        <v>48705.682421467725</v>
      </c>
      <c r="T80" s="189"/>
      <c r="U80" s="253">
        <f t="shared" si="15"/>
        <v>4660.2060000000001</v>
      </c>
      <c r="V80" s="189">
        <v>531.85916409426079</v>
      </c>
      <c r="W80" s="189">
        <v>4660.2060000000001</v>
      </c>
      <c r="X80" s="177">
        <f t="shared" si="16"/>
        <v>0.28735118160933382</v>
      </c>
      <c r="Y80" s="177">
        <f t="shared" si="17"/>
        <v>2.5178013110357487</v>
      </c>
    </row>
    <row r="81" spans="1:25" x14ac:dyDescent="0.2">
      <c r="A81" s="153">
        <v>2007</v>
      </c>
      <c r="B81" s="153">
        <v>8</v>
      </c>
      <c r="C81" s="153" t="str">
        <f t="shared" si="12"/>
        <v>20078</v>
      </c>
      <c r="D81" s="153" t="str">
        <f t="shared" si="20"/>
        <v>Q3</v>
      </c>
      <c r="E81" s="153">
        <f t="shared" si="13"/>
        <v>125601.717</v>
      </c>
      <c r="F81" s="153" t="e">
        <f t="shared" si="14"/>
        <v>#N/A</v>
      </c>
      <c r="G81" s="153">
        <f t="shared" si="14"/>
        <v>4264.9489999999996</v>
      </c>
      <c r="H81" s="153">
        <f t="shared" si="14"/>
        <v>1669.175</v>
      </c>
      <c r="L81" s="153">
        <f t="shared" si="18"/>
        <v>2020</v>
      </c>
      <c r="M81" s="177" t="str">
        <f t="shared" si="19"/>
        <v>Q4</v>
      </c>
      <c r="N81" s="177" t="str">
        <f t="shared" si="11"/>
        <v>2020Q4</v>
      </c>
      <c r="O81" s="184">
        <v>161348.13399999999</v>
      </c>
      <c r="P81" s="282">
        <v>164061.095</v>
      </c>
      <c r="Q81" s="251">
        <v>1853.9760000000001</v>
      </c>
      <c r="R81" s="251">
        <v>1853.9760000000001</v>
      </c>
      <c r="S81" s="189">
        <v>48829.591308895542</v>
      </c>
      <c r="T81" s="189"/>
      <c r="U81" s="253">
        <f t="shared" si="15"/>
        <v>4668.5039999999999</v>
      </c>
      <c r="V81" s="189">
        <v>533.19423469180015</v>
      </c>
      <c r="W81" s="189">
        <v>4668.5039999999999</v>
      </c>
      <c r="X81" s="177">
        <f t="shared" si="16"/>
        <v>0.28759500376045866</v>
      </c>
      <c r="Y81" s="177">
        <f t="shared" si="17"/>
        <v>2.5181037942238733</v>
      </c>
    </row>
    <row r="82" spans="1:25" x14ac:dyDescent="0.2">
      <c r="A82" s="153">
        <v>2007</v>
      </c>
      <c r="B82" s="153">
        <v>9</v>
      </c>
      <c r="C82" s="153" t="str">
        <f t="shared" si="12"/>
        <v>20079</v>
      </c>
      <c r="D82" s="153" t="str">
        <f t="shared" si="20"/>
        <v>Q3</v>
      </c>
      <c r="E82" s="153">
        <f t="shared" si="13"/>
        <v>125601.717</v>
      </c>
      <c r="F82" s="153" t="e">
        <f t="shared" si="14"/>
        <v>#N/A</v>
      </c>
      <c r="G82" s="153">
        <f t="shared" si="14"/>
        <v>4264.9489999999996</v>
      </c>
      <c r="H82" s="153">
        <f t="shared" si="14"/>
        <v>1669.175</v>
      </c>
      <c r="L82" s="153">
        <f t="shared" si="18"/>
        <v>2021</v>
      </c>
      <c r="M82" s="177" t="str">
        <f t="shared" si="19"/>
        <v>Q1</v>
      </c>
      <c r="N82" s="177" t="str">
        <f t="shared" si="11"/>
        <v>2021Q1</v>
      </c>
      <c r="O82" s="184">
        <v>162475.66899999999</v>
      </c>
      <c r="P82" s="282">
        <v>165248.73499999999</v>
      </c>
      <c r="Q82" s="251">
        <v>1856.8409999999999</v>
      </c>
      <c r="R82" s="251">
        <v>1856.8409999999999</v>
      </c>
      <c r="S82" s="189">
        <v>49203.757964168057</v>
      </c>
      <c r="T82" s="189"/>
      <c r="U82" s="253">
        <f t="shared" si="15"/>
        <v>4676.79</v>
      </c>
      <c r="V82" s="189">
        <v>534.67221974965719</v>
      </c>
      <c r="W82" s="189">
        <v>4676.79</v>
      </c>
      <c r="X82" s="177">
        <f t="shared" si="16"/>
        <v>0.28794722851857385</v>
      </c>
      <c r="Y82" s="177">
        <f t="shared" si="17"/>
        <v>2.5186809209835417</v>
      </c>
    </row>
    <row r="83" spans="1:25" x14ac:dyDescent="0.2">
      <c r="A83" s="153">
        <v>2007</v>
      </c>
      <c r="B83" s="153">
        <v>10</v>
      </c>
      <c r="C83" s="153" t="str">
        <f t="shared" si="12"/>
        <v>200710</v>
      </c>
      <c r="D83" s="153" t="str">
        <f t="shared" si="20"/>
        <v>Q4</v>
      </c>
      <c r="E83" s="153">
        <f t="shared" si="13"/>
        <v>126411.315</v>
      </c>
      <c r="F83" s="153" t="e">
        <f t="shared" si="14"/>
        <v>#N/A</v>
      </c>
      <c r="G83" s="153">
        <f t="shared" si="14"/>
        <v>4273.2430000000004</v>
      </c>
      <c r="H83" s="153">
        <f t="shared" si="14"/>
        <v>1677.0070000000001</v>
      </c>
      <c r="L83" s="153">
        <f t="shared" si="18"/>
        <v>2021</v>
      </c>
      <c r="M83" s="177" t="str">
        <f t="shared" si="19"/>
        <v>Q2</v>
      </c>
      <c r="N83" s="177" t="str">
        <f t="shared" si="11"/>
        <v>2021Q2</v>
      </c>
      <c r="O83" s="184">
        <v>163161.704</v>
      </c>
      <c r="P83" s="282">
        <v>166006.79199999999</v>
      </c>
      <c r="Q83" s="251">
        <v>1859.7909999999999</v>
      </c>
      <c r="R83" s="251">
        <v>1859.7909999999999</v>
      </c>
      <c r="S83" s="189">
        <v>49409.045195684346</v>
      </c>
      <c r="T83" s="189"/>
      <c r="U83" s="253">
        <f t="shared" si="15"/>
        <v>4685.0510000000004</v>
      </c>
      <c r="V83" s="189">
        <v>536.05011678668382</v>
      </c>
      <c r="W83" s="189">
        <v>4685.0510000000004</v>
      </c>
      <c r="X83" s="177">
        <f t="shared" si="16"/>
        <v>0.28823137480861227</v>
      </c>
      <c r="Y83" s="177">
        <f t="shared" si="17"/>
        <v>2.5191276869282628</v>
      </c>
    </row>
    <row r="84" spans="1:25" x14ac:dyDescent="0.2">
      <c r="A84" s="153">
        <v>2007</v>
      </c>
      <c r="B84" s="153">
        <v>11</v>
      </c>
      <c r="C84" s="153" t="str">
        <f t="shared" si="12"/>
        <v>200711</v>
      </c>
      <c r="D84" s="153" t="str">
        <f t="shared" si="20"/>
        <v>Q4</v>
      </c>
      <c r="E84" s="153">
        <f t="shared" si="13"/>
        <v>126411.315</v>
      </c>
      <c r="F84" s="153" t="e">
        <f t="shared" si="14"/>
        <v>#N/A</v>
      </c>
      <c r="G84" s="153">
        <f t="shared" si="14"/>
        <v>4273.2430000000004</v>
      </c>
      <c r="H84" s="153">
        <f t="shared" si="14"/>
        <v>1677.0070000000001</v>
      </c>
      <c r="L84" s="153">
        <f t="shared" si="18"/>
        <v>2021</v>
      </c>
      <c r="M84" s="177" t="str">
        <f t="shared" si="19"/>
        <v>Q3</v>
      </c>
      <c r="N84" s="177" t="str">
        <f t="shared" si="11"/>
        <v>2021Q3</v>
      </c>
      <c r="O84" s="184">
        <v>163854.01199999999</v>
      </c>
      <c r="P84" s="282">
        <v>166797.98800000001</v>
      </c>
      <c r="Q84" s="251">
        <v>1862.693</v>
      </c>
      <c r="R84" s="251">
        <v>1862.693</v>
      </c>
      <c r="S84" s="189">
        <v>49571.67892035051</v>
      </c>
      <c r="T84" s="189"/>
      <c r="U84" s="253">
        <f t="shared" si="15"/>
        <v>4693.299</v>
      </c>
      <c r="V84" s="189">
        <v>537.54613568352875</v>
      </c>
      <c r="W84" s="189">
        <v>4693.299</v>
      </c>
      <c r="X84" s="177">
        <f t="shared" si="16"/>
        <v>0.28858547043636751</v>
      </c>
      <c r="Y84" s="177">
        <f t="shared" si="17"/>
        <v>2.5196309858897843</v>
      </c>
    </row>
    <row r="85" spans="1:25" x14ac:dyDescent="0.2">
      <c r="A85" s="153">
        <v>2007</v>
      </c>
      <c r="B85" s="153">
        <v>12</v>
      </c>
      <c r="C85" s="153" t="str">
        <f t="shared" si="12"/>
        <v>200712</v>
      </c>
      <c r="D85" s="153" t="str">
        <f t="shared" si="20"/>
        <v>Q4</v>
      </c>
      <c r="E85" s="153">
        <f t="shared" si="13"/>
        <v>126411.315</v>
      </c>
      <c r="F85" s="153" t="e">
        <f t="shared" si="14"/>
        <v>#N/A</v>
      </c>
      <c r="G85" s="153">
        <f t="shared" si="14"/>
        <v>4273.2430000000004</v>
      </c>
      <c r="H85" s="153">
        <f t="shared" si="14"/>
        <v>1677.0070000000001</v>
      </c>
      <c r="L85" s="153">
        <f t="shared" si="18"/>
        <v>2021</v>
      </c>
      <c r="M85" s="177" t="str">
        <f t="shared" si="19"/>
        <v>Q4</v>
      </c>
      <c r="N85" s="177" t="str">
        <f t="shared" si="11"/>
        <v>2021Q4</v>
      </c>
      <c r="O85" s="184">
        <v>164597.87899999999</v>
      </c>
      <c r="P85" s="282">
        <v>167624.85500000001</v>
      </c>
      <c r="Q85" s="251">
        <v>1866.915</v>
      </c>
      <c r="R85" s="251">
        <v>1866.915</v>
      </c>
      <c r="S85" s="189">
        <v>49908.568796165404</v>
      </c>
      <c r="T85" s="189"/>
      <c r="U85" s="253">
        <f t="shared" si="15"/>
        <v>4701.5330000000004</v>
      </c>
      <c r="V85" s="189">
        <v>538.9246517565972</v>
      </c>
      <c r="W85" s="189">
        <v>4701.5330000000004</v>
      </c>
      <c r="X85" s="177">
        <f t="shared" si="16"/>
        <v>0.28867123128615774</v>
      </c>
      <c r="Y85" s="177">
        <f t="shared" si="17"/>
        <v>2.5183433632489964</v>
      </c>
    </row>
    <row r="86" spans="1:25" x14ac:dyDescent="0.2">
      <c r="A86" s="153">
        <v>2008</v>
      </c>
      <c r="B86" s="153">
        <v>1</v>
      </c>
      <c r="C86" s="153" t="str">
        <f t="shared" si="12"/>
        <v>20081</v>
      </c>
      <c r="D86" s="153" t="str">
        <f t="shared" si="20"/>
        <v>Q1</v>
      </c>
      <c r="E86" s="153">
        <f t="shared" si="13"/>
        <v>128364.796</v>
      </c>
      <c r="F86" s="153" t="e">
        <f t="shared" si="14"/>
        <v>#N/A</v>
      </c>
      <c r="G86" s="153">
        <f t="shared" si="14"/>
        <v>4281.5519999999997</v>
      </c>
      <c r="H86" s="153">
        <f t="shared" si="14"/>
        <v>1684.875</v>
      </c>
      <c r="L86" s="153">
        <f t="shared" si="18"/>
        <v>2022</v>
      </c>
      <c r="M86" s="177" t="str">
        <f t="shared" si="19"/>
        <v>Q1</v>
      </c>
      <c r="N86" s="177" t="str">
        <f t="shared" si="11"/>
        <v>2022Q1</v>
      </c>
      <c r="O86" s="184">
        <v>165857.508</v>
      </c>
      <c r="P86" s="282">
        <v>169014.40100000001</v>
      </c>
      <c r="Q86" s="251">
        <v>1869.009</v>
      </c>
      <c r="R86" s="251">
        <v>1869.009</v>
      </c>
      <c r="S86" s="189">
        <v>50229.384400300703</v>
      </c>
      <c r="T86" s="189"/>
      <c r="U86" s="253">
        <f t="shared" si="15"/>
        <v>4709.7529999999997</v>
      </c>
      <c r="V86" s="189">
        <v>540.22864364519683</v>
      </c>
      <c r="W86" s="189">
        <v>4709.7529999999997</v>
      </c>
      <c r="X86" s="177">
        <f t="shared" si="16"/>
        <v>0.28904550146371516</v>
      </c>
      <c r="Y86" s="177">
        <f t="shared" si="17"/>
        <v>2.5199199147783662</v>
      </c>
    </row>
    <row r="87" spans="1:25" x14ac:dyDescent="0.2">
      <c r="A87" s="153">
        <v>2008</v>
      </c>
      <c r="B87" s="153">
        <v>2</v>
      </c>
      <c r="C87" s="153" t="str">
        <f t="shared" si="12"/>
        <v>20082</v>
      </c>
      <c r="D87" s="153" t="str">
        <f t="shared" si="20"/>
        <v>Q1</v>
      </c>
      <c r="E87" s="153">
        <f t="shared" si="13"/>
        <v>128364.796</v>
      </c>
      <c r="F87" s="153" t="e">
        <f t="shared" si="14"/>
        <v>#N/A</v>
      </c>
      <c r="G87" s="153">
        <f t="shared" si="14"/>
        <v>4281.5519999999997</v>
      </c>
      <c r="H87" s="153">
        <f t="shared" si="14"/>
        <v>1684.875</v>
      </c>
      <c r="L87" s="153">
        <f t="shared" si="18"/>
        <v>2022</v>
      </c>
      <c r="M87" s="177" t="str">
        <f t="shared" si="19"/>
        <v>Q2</v>
      </c>
      <c r="N87" s="177" t="str">
        <f t="shared" si="11"/>
        <v>2022Q2</v>
      </c>
      <c r="O87" s="184">
        <v>166796.47399999999</v>
      </c>
      <c r="P87" s="282">
        <v>170011.47700000001</v>
      </c>
      <c r="Q87" s="251">
        <v>1872.117</v>
      </c>
      <c r="R87" s="251">
        <v>1872.117</v>
      </c>
      <c r="S87" s="189">
        <v>50462.244962799821</v>
      </c>
      <c r="T87" s="189"/>
      <c r="U87" s="253">
        <f t="shared" si="15"/>
        <v>4717.9579999999996</v>
      </c>
      <c r="V87" s="189">
        <v>541.6057162006723</v>
      </c>
      <c r="W87" s="189">
        <v>4717.9579999999996</v>
      </c>
      <c r="X87" s="177">
        <f t="shared" si="16"/>
        <v>0.28930121151651972</v>
      </c>
      <c r="Y87" s="177">
        <f t="shared" si="17"/>
        <v>2.5201192019515872</v>
      </c>
    </row>
    <row r="88" spans="1:25" x14ac:dyDescent="0.2">
      <c r="A88" s="153">
        <v>2008</v>
      </c>
      <c r="B88" s="153">
        <v>3</v>
      </c>
      <c r="C88" s="153" t="str">
        <f t="shared" si="12"/>
        <v>20083</v>
      </c>
      <c r="D88" s="153" t="str">
        <f t="shared" si="20"/>
        <v>Q1</v>
      </c>
      <c r="E88" s="153">
        <f t="shared" si="13"/>
        <v>128364.796</v>
      </c>
      <c r="F88" s="153" t="e">
        <f t="shared" si="14"/>
        <v>#N/A</v>
      </c>
      <c r="G88" s="153">
        <f t="shared" si="14"/>
        <v>4281.5519999999997</v>
      </c>
      <c r="H88" s="153">
        <f t="shared" si="14"/>
        <v>1684.875</v>
      </c>
      <c r="L88" s="153">
        <f t="shared" si="18"/>
        <v>2022</v>
      </c>
      <c r="M88" s="177" t="str">
        <f t="shared" si="19"/>
        <v>Q3</v>
      </c>
      <c r="N88" s="177" t="str">
        <f t="shared" si="11"/>
        <v>2022Q3</v>
      </c>
      <c r="O88" s="184">
        <v>167787.24299999999</v>
      </c>
      <c r="P88" s="282">
        <v>171075.94200000001</v>
      </c>
      <c r="Q88" s="251">
        <v>1875.1959999999999</v>
      </c>
      <c r="R88" s="251">
        <v>1875.1959999999999</v>
      </c>
      <c r="S88" s="189">
        <v>50848.241817321788</v>
      </c>
      <c r="T88" s="189"/>
      <c r="U88" s="253">
        <f t="shared" si="15"/>
        <v>4726.1329999999998</v>
      </c>
      <c r="V88" s="189">
        <v>542.8681305385121</v>
      </c>
      <c r="W88" s="189">
        <v>4726.1329999999998</v>
      </c>
      <c r="X88" s="177">
        <f t="shared" si="16"/>
        <v>0.28949940728249857</v>
      </c>
      <c r="Y88" s="177">
        <f t="shared" si="17"/>
        <v>2.5203408070409705</v>
      </c>
    </row>
    <row r="89" spans="1:25" x14ac:dyDescent="0.2">
      <c r="A89" s="158">
        <v>2008</v>
      </c>
      <c r="B89" s="158">
        <v>4</v>
      </c>
      <c r="C89" s="153" t="str">
        <f t="shared" si="12"/>
        <v>20084</v>
      </c>
      <c r="D89" s="153" t="str">
        <f t="shared" si="20"/>
        <v>Q2</v>
      </c>
      <c r="E89" s="153">
        <f t="shared" si="13"/>
        <v>129399.736</v>
      </c>
      <c r="F89" s="153" t="e">
        <f t="shared" si="14"/>
        <v>#N/A</v>
      </c>
      <c r="G89" s="153">
        <f t="shared" si="14"/>
        <v>4289.8779999999997</v>
      </c>
      <c r="H89" s="153">
        <f t="shared" si="14"/>
        <v>1692.7809999999999</v>
      </c>
      <c r="J89" s="158"/>
      <c r="K89" s="158"/>
      <c r="L89" s="153">
        <f t="shared" si="18"/>
        <v>2022</v>
      </c>
      <c r="M89" s="177" t="str">
        <f t="shared" si="19"/>
        <v>Q4</v>
      </c>
      <c r="N89" s="177" t="str">
        <f t="shared" si="11"/>
        <v>2022Q4</v>
      </c>
      <c r="O89" s="184">
        <v>168781.15</v>
      </c>
      <c r="P89" s="282">
        <v>172135</v>
      </c>
      <c r="Q89" s="251">
        <v>1878.357</v>
      </c>
      <c r="R89" s="251">
        <v>1878.357</v>
      </c>
      <c r="S89" s="189">
        <v>51088.93854491684</v>
      </c>
      <c r="T89" s="189"/>
      <c r="U89" s="253">
        <f t="shared" si="15"/>
        <v>4734.2920000000004</v>
      </c>
      <c r="V89" s="189">
        <v>544.45445662214399</v>
      </c>
      <c r="W89" s="189">
        <v>4734.2920000000004</v>
      </c>
      <c r="X89" s="177">
        <f t="shared" si="16"/>
        <v>0.2898567506720735</v>
      </c>
      <c r="Y89" s="177">
        <f t="shared" si="17"/>
        <v>2.5204431319498903</v>
      </c>
    </row>
    <row r="90" spans="1:25" x14ac:dyDescent="0.2">
      <c r="A90" s="153">
        <v>2008</v>
      </c>
      <c r="B90" s="153">
        <v>5</v>
      </c>
      <c r="C90" s="153" t="str">
        <f t="shared" si="12"/>
        <v>20085</v>
      </c>
      <c r="D90" s="153" t="str">
        <f t="shared" si="20"/>
        <v>Q2</v>
      </c>
      <c r="E90" s="153">
        <f t="shared" si="13"/>
        <v>129399.736</v>
      </c>
      <c r="F90" s="153" t="e">
        <f t="shared" si="14"/>
        <v>#N/A</v>
      </c>
      <c r="G90" s="153">
        <f t="shared" si="14"/>
        <v>4289.8779999999997</v>
      </c>
      <c r="H90" s="153">
        <f t="shared" si="14"/>
        <v>1692.7809999999999</v>
      </c>
      <c r="L90" s="153">
        <f t="shared" si="18"/>
        <v>2023</v>
      </c>
      <c r="M90" s="177" t="str">
        <f t="shared" si="19"/>
        <v>Q1</v>
      </c>
      <c r="N90" s="177" t="str">
        <f t="shared" si="11"/>
        <v>2023Q1</v>
      </c>
      <c r="O90" s="184">
        <v>170138.21400000001</v>
      </c>
      <c r="P90" s="282">
        <v>173553.21299999999</v>
      </c>
      <c r="Q90" s="251">
        <v>1881.624</v>
      </c>
      <c r="R90" s="251">
        <v>1881.624</v>
      </c>
      <c r="S90" s="189">
        <v>51474.30535634797</v>
      </c>
      <c r="T90" s="189"/>
      <c r="U90" s="253">
        <f t="shared" si="15"/>
        <v>4742.4340000000002</v>
      </c>
      <c r="V90" s="189">
        <v>545.9473307236226</v>
      </c>
      <c r="W90" s="189">
        <v>4742.4340000000002</v>
      </c>
      <c r="X90" s="177">
        <f t="shared" si="16"/>
        <v>0.2901468788257498</v>
      </c>
      <c r="Y90" s="177">
        <f t="shared" si="17"/>
        <v>2.5203940851094586</v>
      </c>
    </row>
    <row r="91" spans="1:25" x14ac:dyDescent="0.2">
      <c r="A91" s="153">
        <v>2008</v>
      </c>
      <c r="B91" s="153">
        <v>6</v>
      </c>
      <c r="C91" s="153" t="str">
        <f t="shared" si="12"/>
        <v>20086</v>
      </c>
      <c r="D91" s="153" t="str">
        <f t="shared" si="20"/>
        <v>Q2</v>
      </c>
      <c r="E91" s="153">
        <f t="shared" si="13"/>
        <v>129399.736</v>
      </c>
      <c r="F91" s="153" t="e">
        <f t="shared" si="14"/>
        <v>#N/A</v>
      </c>
      <c r="G91" s="153">
        <f t="shared" si="14"/>
        <v>4289.8779999999997</v>
      </c>
      <c r="H91" s="153">
        <f t="shared" si="14"/>
        <v>1692.7809999999999</v>
      </c>
      <c r="L91" s="153">
        <f t="shared" si="18"/>
        <v>2023</v>
      </c>
      <c r="M91" s="177" t="str">
        <f t="shared" si="19"/>
        <v>Q2</v>
      </c>
      <c r="N91" s="177" t="str">
        <f t="shared" si="11"/>
        <v>2023Q2</v>
      </c>
      <c r="O91" s="184">
        <v>171101.02100000001</v>
      </c>
      <c r="P91" s="282">
        <v>174545.821</v>
      </c>
      <c r="Q91" s="251">
        <v>1884.9670000000001</v>
      </c>
      <c r="R91" s="251">
        <v>1884.9670000000001</v>
      </c>
      <c r="S91" s="189">
        <v>51828.21608039493</v>
      </c>
      <c r="T91" s="189"/>
      <c r="U91" s="253">
        <f t="shared" si="15"/>
        <v>4750.558</v>
      </c>
      <c r="V91" s="189">
        <v>547.24893214982171</v>
      </c>
      <c r="W91" s="189">
        <v>4750.558</v>
      </c>
      <c r="X91" s="177">
        <f t="shared" si="16"/>
        <v>0.29032281846304031</v>
      </c>
      <c r="Y91" s="177">
        <f t="shared" si="17"/>
        <v>2.5202340412325519</v>
      </c>
    </row>
    <row r="92" spans="1:25" x14ac:dyDescent="0.2">
      <c r="A92" s="153">
        <v>2008</v>
      </c>
      <c r="B92" s="153">
        <v>7</v>
      </c>
      <c r="C92" s="153" t="str">
        <f t="shared" si="12"/>
        <v>20087</v>
      </c>
      <c r="D92" s="153" t="str">
        <f t="shared" si="20"/>
        <v>Q3</v>
      </c>
      <c r="E92" s="153">
        <f t="shared" si="13"/>
        <v>126756.973</v>
      </c>
      <c r="F92" s="153" t="e">
        <f t="shared" si="14"/>
        <v>#N/A</v>
      </c>
      <c r="G92" s="153">
        <f t="shared" si="14"/>
        <v>4296.6610000000001</v>
      </c>
      <c r="H92" s="153">
        <f t="shared" si="14"/>
        <v>1694.962</v>
      </c>
      <c r="L92" s="153">
        <f t="shared" si="18"/>
        <v>2023</v>
      </c>
      <c r="M92" s="177" t="str">
        <f t="shared" ref="M92:M118" si="21">M88</f>
        <v>Q3</v>
      </c>
      <c r="N92" s="177" t="str">
        <f t="shared" si="11"/>
        <v>2023Q3</v>
      </c>
      <c r="O92" s="184">
        <v>172007.791</v>
      </c>
      <c r="P92" s="282">
        <v>175510.85</v>
      </c>
      <c r="Q92" s="251">
        <v>1888.2650000000001</v>
      </c>
      <c r="R92" s="251">
        <v>1888.2650000000001</v>
      </c>
      <c r="S92" s="189">
        <v>52161.614922601206</v>
      </c>
      <c r="T92" s="189"/>
      <c r="U92" s="253">
        <f t="shared" si="15"/>
        <v>4758.6490000000003</v>
      </c>
      <c r="V92" s="189">
        <v>548.62078192226488</v>
      </c>
      <c r="W92" s="189">
        <v>4758.6490000000003</v>
      </c>
      <c r="X92" s="177">
        <f t="shared" si="16"/>
        <v>0.29054226071142814</v>
      </c>
      <c r="Y92" s="177">
        <f t="shared" si="17"/>
        <v>2.5201171445745167</v>
      </c>
    </row>
    <row r="93" spans="1:25" x14ac:dyDescent="0.2">
      <c r="A93" s="153">
        <v>2008</v>
      </c>
      <c r="B93" s="153">
        <v>8</v>
      </c>
      <c r="C93" s="153" t="str">
        <f t="shared" si="12"/>
        <v>20088</v>
      </c>
      <c r="D93" s="153" t="str">
        <f t="shared" si="20"/>
        <v>Q3</v>
      </c>
      <c r="E93" s="153">
        <f t="shared" si="13"/>
        <v>126756.973</v>
      </c>
      <c r="F93" s="153" t="e">
        <f t="shared" si="14"/>
        <v>#N/A</v>
      </c>
      <c r="G93" s="153">
        <f t="shared" si="14"/>
        <v>4296.6610000000001</v>
      </c>
      <c r="H93" s="153">
        <f t="shared" si="14"/>
        <v>1694.962</v>
      </c>
      <c r="L93" s="153">
        <f t="shared" si="18"/>
        <v>2023</v>
      </c>
      <c r="M93" s="177" t="str">
        <f t="shared" si="21"/>
        <v>Q4</v>
      </c>
      <c r="N93" s="177" t="str">
        <f t="shared" si="11"/>
        <v>2023Q4</v>
      </c>
      <c r="O93" s="184">
        <v>172918.79399999999</v>
      </c>
      <c r="P93" s="282">
        <v>176445.55300000001</v>
      </c>
      <c r="Q93" s="251">
        <v>1893.3720000000001</v>
      </c>
      <c r="R93" s="251">
        <v>1893.3720000000001</v>
      </c>
      <c r="S93" s="189">
        <v>52372.236748881944</v>
      </c>
      <c r="T93" s="189"/>
      <c r="U93" s="253">
        <f t="shared" si="15"/>
        <v>4766.7089999999998</v>
      </c>
      <c r="V93" s="189">
        <v>550.02989993152096</v>
      </c>
      <c r="W93" s="189">
        <v>4766.7089999999998</v>
      </c>
      <c r="X93" s="177">
        <f t="shared" si="16"/>
        <v>0.29050281715981907</v>
      </c>
      <c r="Y93" s="177">
        <f t="shared" si="17"/>
        <v>2.5175765776614418</v>
      </c>
    </row>
    <row r="94" spans="1:25" x14ac:dyDescent="0.2">
      <c r="A94" s="153">
        <v>2008</v>
      </c>
      <c r="B94" s="153">
        <v>9</v>
      </c>
      <c r="C94" s="153" t="str">
        <f t="shared" si="12"/>
        <v>20089</v>
      </c>
      <c r="D94" s="153" t="str">
        <f t="shared" si="20"/>
        <v>Q3</v>
      </c>
      <c r="E94" s="153">
        <f t="shared" si="13"/>
        <v>126756.973</v>
      </c>
      <c r="F94" s="153" t="e">
        <f t="shared" si="14"/>
        <v>#N/A</v>
      </c>
      <c r="G94" s="153">
        <f t="shared" si="14"/>
        <v>4296.6610000000001</v>
      </c>
      <c r="H94" s="153">
        <f t="shared" si="14"/>
        <v>1694.962</v>
      </c>
      <c r="L94" s="153">
        <f t="shared" si="18"/>
        <v>2024</v>
      </c>
      <c r="M94" s="177" t="str">
        <f t="shared" si="21"/>
        <v>Q1</v>
      </c>
      <c r="N94" s="177" t="str">
        <f t="shared" si="11"/>
        <v>2024Q1</v>
      </c>
      <c r="O94" s="184">
        <v>174458.15100000001</v>
      </c>
      <c r="P94" s="282">
        <v>178008.788</v>
      </c>
      <c r="Q94" s="251">
        <v>1895.836</v>
      </c>
      <c r="R94" s="251">
        <v>1895.836</v>
      </c>
      <c r="S94" s="189">
        <v>52955.358119127079</v>
      </c>
      <c r="T94" s="189"/>
      <c r="U94" s="253">
        <f t="shared" si="15"/>
        <v>4774.7489999999998</v>
      </c>
      <c r="V94" s="189">
        <v>551.36102397652587</v>
      </c>
      <c r="W94" s="189">
        <v>4774.7489999999998</v>
      </c>
      <c r="X94" s="177">
        <f t="shared" si="16"/>
        <v>0.29082738379085843</v>
      </c>
      <c r="Y94" s="177">
        <f t="shared" si="17"/>
        <v>2.5185453805075966</v>
      </c>
    </row>
    <row r="95" spans="1:25" x14ac:dyDescent="0.2">
      <c r="A95" s="153">
        <v>2008</v>
      </c>
      <c r="B95" s="153">
        <v>10</v>
      </c>
      <c r="C95" s="153" t="str">
        <f t="shared" si="12"/>
        <v>200810</v>
      </c>
      <c r="D95" s="153" t="str">
        <f t="shared" si="20"/>
        <v>Q4</v>
      </c>
      <c r="E95" s="153">
        <f t="shared" si="13"/>
        <v>127793.833</v>
      </c>
      <c r="F95" s="153" t="e">
        <f t="shared" si="14"/>
        <v>#N/A</v>
      </c>
      <c r="G95" s="153">
        <f t="shared" si="14"/>
        <v>4303.4549999999999</v>
      </c>
      <c r="H95" s="153">
        <f t="shared" si="14"/>
        <v>1697.1469999999999</v>
      </c>
      <c r="L95" s="153">
        <f t="shared" si="18"/>
        <v>2024</v>
      </c>
      <c r="M95" s="177" t="str">
        <f t="shared" si="21"/>
        <v>Q2</v>
      </c>
      <c r="N95" s="177" t="str">
        <f t="shared" si="11"/>
        <v>2024Q2</v>
      </c>
      <c r="O95" s="184">
        <v>175426.49799999999</v>
      </c>
      <c r="P95" s="282">
        <v>178968.878</v>
      </c>
      <c r="Q95" s="251">
        <v>1898.4659999999999</v>
      </c>
      <c r="R95" s="251">
        <v>1898.4659999999999</v>
      </c>
      <c r="S95" s="189">
        <v>53167.209134536846</v>
      </c>
      <c r="T95" s="189"/>
      <c r="U95" s="253">
        <f t="shared" si="15"/>
        <v>4782.7700000000004</v>
      </c>
      <c r="V95" s="189">
        <v>552.72758362695288</v>
      </c>
      <c r="W95" s="189">
        <v>4782.7700000000004</v>
      </c>
      <c r="X95" s="177">
        <f t="shared" si="16"/>
        <v>0.29114431526661677</v>
      </c>
      <c r="Y95" s="177">
        <f t="shared" si="17"/>
        <v>2.5192813566321446</v>
      </c>
    </row>
    <row r="96" spans="1:25" x14ac:dyDescent="0.2">
      <c r="A96" s="153">
        <v>2008</v>
      </c>
      <c r="B96" s="153">
        <v>11</v>
      </c>
      <c r="C96" s="153" t="str">
        <f t="shared" si="12"/>
        <v>200811</v>
      </c>
      <c r="D96" s="153" t="str">
        <f t="shared" si="20"/>
        <v>Q4</v>
      </c>
      <c r="E96" s="153">
        <f t="shared" si="13"/>
        <v>127793.833</v>
      </c>
      <c r="F96" s="153" t="e">
        <f t="shared" si="14"/>
        <v>#N/A</v>
      </c>
      <c r="G96" s="153">
        <f t="shared" si="14"/>
        <v>4303.4549999999999</v>
      </c>
      <c r="H96" s="153">
        <f t="shared" si="14"/>
        <v>1697.1469999999999</v>
      </c>
      <c r="L96" s="153">
        <f t="shared" si="18"/>
        <v>2024</v>
      </c>
      <c r="M96" s="177" t="str">
        <f t="shared" si="21"/>
        <v>Q3</v>
      </c>
      <c r="N96" s="177" t="str">
        <f t="shared" si="11"/>
        <v>2024Q3</v>
      </c>
      <c r="O96" s="184">
        <v>176369.43100000001</v>
      </c>
      <c r="P96" s="282">
        <v>179935.75099999999</v>
      </c>
      <c r="Q96" s="251">
        <v>1901.0250000000001</v>
      </c>
      <c r="R96" s="251">
        <v>1901.0250000000001</v>
      </c>
      <c r="S96" s="189">
        <v>53462.846369802268</v>
      </c>
      <c r="T96" s="189"/>
      <c r="U96" s="253">
        <f t="shared" si="15"/>
        <v>4790.7579999999998</v>
      </c>
      <c r="V96" s="189">
        <v>554.09834181426595</v>
      </c>
      <c r="W96" s="189">
        <v>4790.7579999999998</v>
      </c>
      <c r="X96" s="177">
        <f t="shared" si="16"/>
        <v>0.29147346395458551</v>
      </c>
      <c r="Y96" s="177">
        <f t="shared" si="17"/>
        <v>2.5200920556015833</v>
      </c>
    </row>
    <row r="97" spans="1:25" x14ac:dyDescent="0.2">
      <c r="A97" s="153">
        <v>2008</v>
      </c>
      <c r="B97" s="153">
        <v>12</v>
      </c>
      <c r="C97" s="153" t="str">
        <f t="shared" si="12"/>
        <v>200812</v>
      </c>
      <c r="D97" s="153" t="str">
        <f t="shared" si="20"/>
        <v>Q4</v>
      </c>
      <c r="E97" s="153">
        <f t="shared" si="13"/>
        <v>127793.833</v>
      </c>
      <c r="F97" s="153" t="e">
        <f t="shared" si="14"/>
        <v>#N/A</v>
      </c>
      <c r="G97" s="153">
        <f t="shared" si="14"/>
        <v>4303.4549999999999</v>
      </c>
      <c r="H97" s="153">
        <f t="shared" si="14"/>
        <v>1697.1469999999999</v>
      </c>
      <c r="L97" s="153">
        <f t="shared" si="18"/>
        <v>2024</v>
      </c>
      <c r="M97" s="177" t="str">
        <f t="shared" si="21"/>
        <v>Q4</v>
      </c>
      <c r="N97" s="177" t="str">
        <f t="shared" si="11"/>
        <v>2024Q4</v>
      </c>
      <c r="O97" s="184">
        <v>177331.9</v>
      </c>
      <c r="P97" s="282">
        <v>180917.14600000001</v>
      </c>
      <c r="Q97" s="251">
        <v>1903.5609999999999</v>
      </c>
      <c r="R97" s="251">
        <v>1903.5609999999999</v>
      </c>
      <c r="S97" s="189">
        <v>53789.882915045469</v>
      </c>
      <c r="T97" s="189"/>
      <c r="U97" s="253">
        <f t="shared" si="15"/>
        <v>4798.7250000000004</v>
      </c>
      <c r="V97" s="189">
        <v>555.46391912793047</v>
      </c>
      <c r="W97" s="189">
        <v>4798.7250000000004</v>
      </c>
      <c r="X97" s="177">
        <f t="shared" si="16"/>
        <v>0.2918025317433644</v>
      </c>
      <c r="Y97" s="177">
        <f t="shared" si="17"/>
        <v>2.5209200020382854</v>
      </c>
    </row>
    <row r="98" spans="1:25" x14ac:dyDescent="0.2">
      <c r="A98" s="153">
        <v>2009</v>
      </c>
      <c r="B98" s="153">
        <v>1</v>
      </c>
      <c r="C98" s="153" t="str">
        <f t="shared" si="12"/>
        <v>20091</v>
      </c>
      <c r="D98" s="153" t="str">
        <f t="shared" si="20"/>
        <v>Q1</v>
      </c>
      <c r="E98" s="153">
        <f t="shared" si="13"/>
        <v>126804.629</v>
      </c>
      <c r="F98" s="153" t="e">
        <f t="shared" si="14"/>
        <v>#N/A</v>
      </c>
      <c r="G98" s="153">
        <f t="shared" si="14"/>
        <v>4310.259</v>
      </c>
      <c r="H98" s="153">
        <f t="shared" si="14"/>
        <v>1699.3340000000001</v>
      </c>
      <c r="L98" s="153">
        <f t="shared" si="18"/>
        <v>2025</v>
      </c>
      <c r="M98" s="177" t="str">
        <f t="shared" si="21"/>
        <v>Q1</v>
      </c>
      <c r="N98" s="177" t="str">
        <f t="shared" si="11"/>
        <v>2025Q1</v>
      </c>
      <c r="O98" s="184">
        <v>178892.09099999999</v>
      </c>
      <c r="P98" s="282">
        <v>182520.342</v>
      </c>
      <c r="Q98" s="251">
        <v>1907.3309999999999</v>
      </c>
      <c r="R98" s="251">
        <v>1907.3309999999999</v>
      </c>
      <c r="S98" s="189">
        <v>54223.677742674183</v>
      </c>
      <c r="T98" s="189"/>
      <c r="U98" s="253">
        <f t="shared" si="15"/>
        <v>4806.6729999999998</v>
      </c>
      <c r="V98" s="189">
        <v>556.94168069036982</v>
      </c>
      <c r="W98" s="189">
        <v>4806.6729999999998</v>
      </c>
      <c r="X98" s="177">
        <f t="shared" si="16"/>
        <v>0.29200053933500258</v>
      </c>
      <c r="Y98" s="177">
        <f t="shared" si="17"/>
        <v>2.5201042713613946</v>
      </c>
    </row>
    <row r="99" spans="1:25" x14ac:dyDescent="0.2">
      <c r="A99" s="153">
        <v>2009</v>
      </c>
      <c r="B99" s="153">
        <v>2</v>
      </c>
      <c r="C99" s="153" t="str">
        <f t="shared" si="12"/>
        <v>20092</v>
      </c>
      <c r="D99" s="153" t="str">
        <f t="shared" si="20"/>
        <v>Q1</v>
      </c>
      <c r="E99" s="153">
        <f t="shared" ref="E99:E162" si="22">VLOOKUP($A99&amp;$D99,$N$1:$U$169,MATCH(E$1,$N$1:$U$1,0),0)</f>
        <v>126804.629</v>
      </c>
      <c r="F99" s="153" t="e">
        <f t="shared" si="14"/>
        <v>#N/A</v>
      </c>
      <c r="G99" s="153">
        <f t="shared" si="14"/>
        <v>4310.259</v>
      </c>
      <c r="H99" s="153">
        <f t="shared" si="14"/>
        <v>1699.3340000000001</v>
      </c>
      <c r="L99" s="153">
        <f t="shared" si="18"/>
        <v>2025</v>
      </c>
      <c r="M99" s="177" t="str">
        <f t="shared" si="21"/>
        <v>Q2</v>
      </c>
      <c r="N99" s="177" t="str">
        <f t="shared" si="11"/>
        <v>2025Q2</v>
      </c>
      <c r="O99" s="184">
        <v>179884.057</v>
      </c>
      <c r="P99" s="282">
        <v>183541.777</v>
      </c>
      <c r="Q99" s="251">
        <v>1911.173</v>
      </c>
      <c r="R99" s="251">
        <v>1911.173</v>
      </c>
      <c r="S99" s="189">
        <v>54510.190519624688</v>
      </c>
      <c r="T99" s="189"/>
      <c r="U99" s="253">
        <f t="shared" si="15"/>
        <v>4814.6009999999997</v>
      </c>
      <c r="V99" s="189">
        <v>558.30530320823425</v>
      </c>
      <c r="W99" s="189">
        <v>4814.6009999999997</v>
      </c>
      <c r="X99" s="177">
        <f t="shared" si="16"/>
        <v>0.29212703570437332</v>
      </c>
      <c r="Y99" s="177">
        <f t="shared" si="17"/>
        <v>2.5191863844874325</v>
      </c>
    </row>
    <row r="100" spans="1:25" x14ac:dyDescent="0.2">
      <c r="A100" s="158">
        <v>2009</v>
      </c>
      <c r="B100" s="158">
        <v>3</v>
      </c>
      <c r="C100" s="153" t="str">
        <f t="shared" si="12"/>
        <v>20093</v>
      </c>
      <c r="D100" s="153" t="str">
        <f t="shared" si="20"/>
        <v>Q1</v>
      </c>
      <c r="E100" s="153">
        <f t="shared" si="22"/>
        <v>126804.629</v>
      </c>
      <c r="F100" s="153" t="e">
        <f t="shared" si="14"/>
        <v>#N/A</v>
      </c>
      <c r="G100" s="153">
        <f t="shared" si="14"/>
        <v>4310.259</v>
      </c>
      <c r="H100" s="153">
        <f t="shared" si="14"/>
        <v>1699.3340000000001</v>
      </c>
      <c r="J100" s="158"/>
      <c r="K100" s="158"/>
      <c r="L100" s="153">
        <f t="shared" si="18"/>
        <v>2025</v>
      </c>
      <c r="M100" s="177" t="str">
        <f t="shared" si="21"/>
        <v>Q3</v>
      </c>
      <c r="N100" s="177" t="str">
        <f t="shared" si="11"/>
        <v>2025Q3</v>
      </c>
      <c r="O100" s="184">
        <v>180786.26300000001</v>
      </c>
      <c r="P100" s="282">
        <v>184485.359</v>
      </c>
      <c r="Q100" s="251">
        <v>1914.9459999999999</v>
      </c>
      <c r="R100" s="251">
        <v>1914.9459999999999</v>
      </c>
      <c r="S100" s="189">
        <v>54815.658019537463</v>
      </c>
      <c r="T100" s="189"/>
      <c r="U100" s="253">
        <f t="shared" si="15"/>
        <v>4822.4949999999999</v>
      </c>
      <c r="V100" s="189">
        <v>559.67020193041674</v>
      </c>
      <c r="W100" s="189">
        <v>4822.4949999999999</v>
      </c>
      <c r="X100" s="177">
        <f t="shared" si="16"/>
        <v>0.29226422151351356</v>
      </c>
      <c r="Y100" s="177">
        <f t="shared" si="17"/>
        <v>2.518345164824491</v>
      </c>
    </row>
    <row r="101" spans="1:25" x14ac:dyDescent="0.2">
      <c r="A101" s="153">
        <v>2009</v>
      </c>
      <c r="B101" s="153">
        <v>4</v>
      </c>
      <c r="C101" s="153" t="str">
        <f t="shared" si="12"/>
        <v>20094</v>
      </c>
      <c r="D101" s="153" t="str">
        <f t="shared" si="20"/>
        <v>Q2</v>
      </c>
      <c r="E101" s="153">
        <f t="shared" si="22"/>
        <v>127078.37</v>
      </c>
      <c r="F101" s="153" t="e">
        <f t="shared" si="14"/>
        <v>#N/A</v>
      </c>
      <c r="G101" s="153">
        <f t="shared" si="14"/>
        <v>4317.0739999999996</v>
      </c>
      <c r="H101" s="153">
        <f t="shared" si="14"/>
        <v>1701.5239999999999</v>
      </c>
      <c r="L101" s="153">
        <f t="shared" si="18"/>
        <v>2025</v>
      </c>
      <c r="M101" s="177" t="str">
        <f t="shared" si="21"/>
        <v>Q4</v>
      </c>
      <c r="N101" s="177" t="str">
        <f t="shared" si="11"/>
        <v>2025Q4</v>
      </c>
      <c r="O101" s="184">
        <v>181695.31</v>
      </c>
      <c r="P101" s="282">
        <v>185432.37299999999</v>
      </c>
      <c r="Q101" s="251">
        <v>1918.75</v>
      </c>
      <c r="R101" s="251">
        <v>1918.75</v>
      </c>
      <c r="S101" s="189">
        <v>55097.083363484009</v>
      </c>
      <c r="T101" s="189"/>
      <c r="U101" s="253">
        <f t="shared" si="15"/>
        <v>4830.3680000000004</v>
      </c>
      <c r="V101" s="189">
        <v>561.21625254453284</v>
      </c>
      <c r="W101" s="189">
        <v>4830.3680000000004</v>
      </c>
      <c r="X101" s="177">
        <f t="shared" si="16"/>
        <v>0.29249055507206922</v>
      </c>
      <c r="Y101" s="177">
        <f t="shared" si="17"/>
        <v>2.5174556351791533</v>
      </c>
    </row>
    <row r="102" spans="1:25" x14ac:dyDescent="0.2">
      <c r="A102" s="153">
        <v>2009</v>
      </c>
      <c r="B102" s="153">
        <v>5</v>
      </c>
      <c r="C102" s="153" t="str">
        <f t="shared" si="12"/>
        <v>20095</v>
      </c>
      <c r="D102" s="153" t="str">
        <f t="shared" si="20"/>
        <v>Q2</v>
      </c>
      <c r="E102" s="153">
        <f t="shared" si="22"/>
        <v>127078.37</v>
      </c>
      <c r="F102" s="153" t="e">
        <f t="shared" si="14"/>
        <v>#N/A</v>
      </c>
      <c r="G102" s="153">
        <f t="shared" si="14"/>
        <v>4317.0739999999996</v>
      </c>
      <c r="H102" s="153">
        <f t="shared" si="14"/>
        <v>1701.5239999999999</v>
      </c>
      <c r="L102" s="153">
        <f t="shared" si="18"/>
        <v>2026</v>
      </c>
      <c r="M102" s="177" t="str">
        <f t="shared" si="21"/>
        <v>Q1</v>
      </c>
      <c r="N102" s="177" t="str">
        <f t="shared" si="11"/>
        <v>2026Q1</v>
      </c>
      <c r="O102" s="184">
        <v>183193.88699999999</v>
      </c>
      <c r="P102" s="282">
        <v>186956.144</v>
      </c>
      <c r="Q102" s="251">
        <v>1922.499</v>
      </c>
      <c r="R102" s="251">
        <v>1922.499</v>
      </c>
      <c r="S102" s="189">
        <v>55569.291010852481</v>
      </c>
      <c r="T102" s="189"/>
      <c r="U102" s="253">
        <f t="shared" si="15"/>
        <v>4838.2219999999998</v>
      </c>
      <c r="V102" s="189">
        <v>562.17454112653661</v>
      </c>
      <c r="W102" s="189">
        <v>4838.2219999999998</v>
      </c>
      <c r="X102" s="177">
        <f t="shared" si="16"/>
        <v>0.29241863903520188</v>
      </c>
      <c r="Y102" s="177">
        <f t="shared" si="17"/>
        <v>2.5166317381699548</v>
      </c>
    </row>
    <row r="103" spans="1:25" x14ac:dyDescent="0.2">
      <c r="A103" s="153">
        <v>2009</v>
      </c>
      <c r="B103" s="153">
        <v>6</v>
      </c>
      <c r="C103" s="153" t="str">
        <f t="shared" si="12"/>
        <v>20096</v>
      </c>
      <c r="D103" s="153" t="str">
        <f t="shared" si="20"/>
        <v>Q2</v>
      </c>
      <c r="E103" s="153">
        <f t="shared" si="22"/>
        <v>127078.37</v>
      </c>
      <c r="F103" s="153" t="e">
        <f t="shared" si="14"/>
        <v>#N/A</v>
      </c>
      <c r="G103" s="153">
        <f t="shared" si="14"/>
        <v>4317.0739999999996</v>
      </c>
      <c r="H103" s="153">
        <f t="shared" si="14"/>
        <v>1701.5239999999999</v>
      </c>
      <c r="L103" s="153">
        <f t="shared" si="18"/>
        <v>2026</v>
      </c>
      <c r="M103" s="177" t="str">
        <f t="shared" si="21"/>
        <v>Q2</v>
      </c>
      <c r="N103" s="177" t="str">
        <f t="shared" si="11"/>
        <v>2026Q2</v>
      </c>
      <c r="O103" s="184">
        <v>184162.48300000001</v>
      </c>
      <c r="P103" s="282">
        <v>187942.44899999999</v>
      </c>
      <c r="Q103" s="251">
        <v>1926.31</v>
      </c>
      <c r="R103" s="251">
        <v>1926.31</v>
      </c>
      <c r="S103" s="189">
        <v>55793.331632268848</v>
      </c>
      <c r="T103" s="189"/>
      <c r="U103" s="253">
        <f t="shared" si="15"/>
        <v>4846.0540000000001</v>
      </c>
      <c r="V103" s="189">
        <v>563.53532508921921</v>
      </c>
      <c r="W103" s="189">
        <v>4846.0540000000001</v>
      </c>
      <c r="X103" s="177">
        <f t="shared" si="16"/>
        <v>0.29254653980367606</v>
      </c>
      <c r="Y103" s="177">
        <f t="shared" si="17"/>
        <v>2.5157186537992327</v>
      </c>
    </row>
    <row r="104" spans="1:25" x14ac:dyDescent="0.2">
      <c r="A104" s="153">
        <v>2009</v>
      </c>
      <c r="B104" s="153">
        <v>7</v>
      </c>
      <c r="C104" s="153" t="str">
        <f t="shared" si="12"/>
        <v>20097</v>
      </c>
      <c r="D104" s="153" t="str">
        <f t="shared" si="20"/>
        <v>Q3</v>
      </c>
      <c r="E104" s="153">
        <f t="shared" si="22"/>
        <v>125951.257</v>
      </c>
      <c r="F104" s="153" t="e">
        <f t="shared" si="14"/>
        <v>#N/A</v>
      </c>
      <c r="G104" s="153">
        <f t="shared" si="14"/>
        <v>4324.5050000000001</v>
      </c>
      <c r="H104" s="153">
        <f t="shared" si="14"/>
        <v>1707.499</v>
      </c>
      <c r="L104" s="153">
        <f t="shared" si="18"/>
        <v>2026</v>
      </c>
      <c r="M104" s="177" t="str">
        <f t="shared" si="21"/>
        <v>Q3</v>
      </c>
      <c r="N104" s="177" t="str">
        <f t="shared" si="11"/>
        <v>2026Q3</v>
      </c>
      <c r="O104" s="184">
        <v>185034.74600000001</v>
      </c>
      <c r="P104" s="282">
        <v>188835.47899999999</v>
      </c>
      <c r="Q104" s="251">
        <v>1930.05</v>
      </c>
      <c r="R104" s="251">
        <v>1930.05</v>
      </c>
      <c r="S104" s="189">
        <v>56112.35191472694</v>
      </c>
      <c r="T104" s="189"/>
      <c r="U104" s="253">
        <f t="shared" si="15"/>
        <v>4853.84</v>
      </c>
      <c r="V104" s="189">
        <v>565.0105374107394</v>
      </c>
      <c r="W104" s="189">
        <v>4853.84</v>
      </c>
      <c r="X104" s="177">
        <f t="shared" si="16"/>
        <v>0.29274398974676274</v>
      </c>
      <c r="Y104" s="177">
        <f t="shared" si="17"/>
        <v>2.5148778529053653</v>
      </c>
    </row>
    <row r="105" spans="1:25" x14ac:dyDescent="0.2">
      <c r="A105" s="153">
        <v>2009</v>
      </c>
      <c r="B105" s="153">
        <v>8</v>
      </c>
      <c r="C105" s="153" t="str">
        <f t="shared" si="12"/>
        <v>20098</v>
      </c>
      <c r="D105" s="153" t="str">
        <f t="shared" si="20"/>
        <v>Q3</v>
      </c>
      <c r="E105" s="153">
        <f t="shared" si="22"/>
        <v>125951.257</v>
      </c>
      <c r="F105" s="153" t="e">
        <f t="shared" si="14"/>
        <v>#N/A</v>
      </c>
      <c r="G105" s="153">
        <f t="shared" si="14"/>
        <v>4324.5050000000001</v>
      </c>
      <c r="H105" s="153">
        <f t="shared" si="14"/>
        <v>1707.499</v>
      </c>
      <c r="L105" s="153">
        <f t="shared" si="18"/>
        <v>2026</v>
      </c>
      <c r="M105" s="177" t="str">
        <f t="shared" si="21"/>
        <v>Q4</v>
      </c>
      <c r="N105" s="177" t="str">
        <f t="shared" si="11"/>
        <v>2026Q4</v>
      </c>
      <c r="O105" s="184">
        <v>185915.33600000001</v>
      </c>
      <c r="P105" s="282">
        <v>189741.93299999999</v>
      </c>
      <c r="Q105" s="251">
        <v>1933.8019999999999</v>
      </c>
      <c r="R105" s="251">
        <v>1933.8019999999999</v>
      </c>
      <c r="S105" s="189">
        <v>56458.331396926224</v>
      </c>
      <c r="T105" s="189"/>
      <c r="U105" s="253">
        <f t="shared" si="15"/>
        <v>4861.6040000000003</v>
      </c>
      <c r="V105" s="189">
        <v>566.36817001628992</v>
      </c>
      <c r="W105" s="189">
        <v>4861.6040000000003</v>
      </c>
      <c r="X105" s="177">
        <f t="shared" si="16"/>
        <v>0.29287805577628423</v>
      </c>
      <c r="Y105" s="177">
        <f t="shared" si="17"/>
        <v>2.5140133271141516</v>
      </c>
    </row>
    <row r="106" spans="1:25" x14ac:dyDescent="0.2">
      <c r="A106" s="153">
        <v>2009</v>
      </c>
      <c r="B106" s="153">
        <v>9</v>
      </c>
      <c r="C106" s="153" t="str">
        <f t="shared" si="12"/>
        <v>20099</v>
      </c>
      <c r="D106" s="153" t="str">
        <f t="shared" si="20"/>
        <v>Q3</v>
      </c>
      <c r="E106" s="153">
        <f t="shared" si="22"/>
        <v>125951.257</v>
      </c>
      <c r="F106" s="153" t="e">
        <f t="shared" si="14"/>
        <v>#N/A</v>
      </c>
      <c r="G106" s="153">
        <f t="shared" si="14"/>
        <v>4324.5050000000001</v>
      </c>
      <c r="H106" s="153">
        <f t="shared" si="14"/>
        <v>1707.499</v>
      </c>
      <c r="L106" s="153">
        <f t="shared" si="18"/>
        <v>2027</v>
      </c>
      <c r="M106" s="177" t="str">
        <f t="shared" si="21"/>
        <v>Q1</v>
      </c>
      <c r="N106" s="177" t="str">
        <f t="shared" si="11"/>
        <v>2027Q1</v>
      </c>
      <c r="O106" s="184">
        <v>187484.08600000001</v>
      </c>
      <c r="P106" s="282">
        <v>191342.981</v>
      </c>
      <c r="Q106" s="251">
        <v>1937.5239999999999</v>
      </c>
      <c r="R106" s="251">
        <v>1937.5239999999999</v>
      </c>
      <c r="S106" s="189">
        <v>56964.713161103646</v>
      </c>
      <c r="T106" s="189"/>
      <c r="U106" s="253">
        <f t="shared" si="15"/>
        <v>4869.3490000000002</v>
      </c>
      <c r="V106" s="189">
        <v>567.66960221909108</v>
      </c>
      <c r="W106" s="189">
        <v>4869.3490000000002</v>
      </c>
      <c r="X106" s="177">
        <f t="shared" si="16"/>
        <v>0.2929871331756877</v>
      </c>
      <c r="Y106" s="177">
        <f t="shared" si="17"/>
        <v>2.5131812560773441</v>
      </c>
    </row>
    <row r="107" spans="1:25" x14ac:dyDescent="0.2">
      <c r="A107" s="153">
        <v>2009</v>
      </c>
      <c r="B107" s="153">
        <v>10</v>
      </c>
      <c r="C107" s="153" t="str">
        <f t="shared" si="12"/>
        <v>200910</v>
      </c>
      <c r="D107" s="153" t="str">
        <f t="shared" si="20"/>
        <v>Q4</v>
      </c>
      <c r="E107" s="153">
        <f t="shared" si="22"/>
        <v>125669.07</v>
      </c>
      <c r="F107" s="153" t="e">
        <f t="shared" si="14"/>
        <v>#N/A</v>
      </c>
      <c r="G107" s="153">
        <f t="shared" si="14"/>
        <v>4331.9359999999997</v>
      </c>
      <c r="H107" s="153">
        <f t="shared" si="14"/>
        <v>1713.644</v>
      </c>
      <c r="L107" s="153">
        <f t="shared" si="18"/>
        <v>2027</v>
      </c>
      <c r="M107" s="177" t="str">
        <f t="shared" si="21"/>
        <v>Q2</v>
      </c>
      <c r="N107" s="177" t="str">
        <f t="shared" si="11"/>
        <v>2027Q2</v>
      </c>
      <c r="O107" s="184">
        <v>188450.351</v>
      </c>
      <c r="P107" s="282">
        <v>192352.079</v>
      </c>
      <c r="Q107" s="251">
        <v>1941.306</v>
      </c>
      <c r="R107" s="251">
        <v>1941.306</v>
      </c>
      <c r="S107" s="189">
        <v>57254.533685953822</v>
      </c>
      <c r="T107" s="189"/>
      <c r="U107" s="253">
        <f t="shared" si="15"/>
        <v>4877.0720000000001</v>
      </c>
      <c r="V107" s="189">
        <v>568.92392273691587</v>
      </c>
      <c r="W107" s="189">
        <v>4877.0720000000001</v>
      </c>
      <c r="X107" s="177">
        <f t="shared" si="16"/>
        <v>0.2930624655448012</v>
      </c>
      <c r="Y107" s="177">
        <f t="shared" si="17"/>
        <v>2.512263393818388</v>
      </c>
    </row>
    <row r="108" spans="1:25" x14ac:dyDescent="0.2">
      <c r="A108" s="153">
        <v>2009</v>
      </c>
      <c r="B108" s="153">
        <v>11</v>
      </c>
      <c r="C108" s="153" t="str">
        <f t="shared" si="12"/>
        <v>200911</v>
      </c>
      <c r="D108" s="153" t="str">
        <f t="shared" si="20"/>
        <v>Q4</v>
      </c>
      <c r="E108" s="153">
        <f t="shared" si="22"/>
        <v>125669.07</v>
      </c>
      <c r="F108" s="153" t="e">
        <f t="shared" si="14"/>
        <v>#N/A</v>
      </c>
      <c r="G108" s="153">
        <f t="shared" si="14"/>
        <v>4331.9359999999997</v>
      </c>
      <c r="H108" s="153">
        <f t="shared" si="14"/>
        <v>1713.644</v>
      </c>
      <c r="L108" s="153">
        <f t="shared" si="18"/>
        <v>2027</v>
      </c>
      <c r="M108" s="177" t="str">
        <f t="shared" si="21"/>
        <v>Q3</v>
      </c>
      <c r="N108" s="177" t="str">
        <f t="shared" si="11"/>
        <v>2027Q3</v>
      </c>
      <c r="O108" s="184">
        <v>189344.48499999999</v>
      </c>
      <c r="P108" s="282">
        <v>193297.58300000001</v>
      </c>
      <c r="Q108" s="251">
        <v>1947.4949999999999</v>
      </c>
      <c r="R108" s="251">
        <v>1947.4949999999999</v>
      </c>
      <c r="S108" s="189">
        <v>57588.191423894845</v>
      </c>
      <c r="T108" s="189"/>
      <c r="U108" s="253">
        <f t="shared" si="15"/>
        <v>4884.7619999999997</v>
      </c>
      <c r="V108" s="189">
        <v>570.26405454610756</v>
      </c>
      <c r="W108" s="189">
        <v>4884.7619999999997</v>
      </c>
      <c r="X108" s="177">
        <f t="shared" si="16"/>
        <v>0.29281926502820682</v>
      </c>
      <c r="Y108" s="177">
        <f t="shared" si="17"/>
        <v>2.5082282624602374</v>
      </c>
    </row>
    <row r="109" spans="1:25" x14ac:dyDescent="0.2">
      <c r="A109" s="153">
        <v>2009</v>
      </c>
      <c r="B109" s="153">
        <v>12</v>
      </c>
      <c r="C109" s="153" t="str">
        <f t="shared" si="12"/>
        <v>200912</v>
      </c>
      <c r="D109" s="153" t="str">
        <f t="shared" si="20"/>
        <v>Q4</v>
      </c>
      <c r="E109" s="153">
        <f t="shared" si="22"/>
        <v>125669.07</v>
      </c>
      <c r="F109" s="153" t="e">
        <f t="shared" si="14"/>
        <v>#N/A</v>
      </c>
      <c r="G109" s="153">
        <f t="shared" si="14"/>
        <v>4331.9359999999997</v>
      </c>
      <c r="H109" s="153">
        <f t="shared" si="14"/>
        <v>1713.644</v>
      </c>
      <c r="L109" s="153">
        <f t="shared" si="18"/>
        <v>2027</v>
      </c>
      <c r="M109" s="177" t="str">
        <f t="shared" si="21"/>
        <v>Q4</v>
      </c>
      <c r="N109" s="177" t="str">
        <f t="shared" si="11"/>
        <v>2027Q4</v>
      </c>
      <c r="O109" s="184">
        <v>190254.26500000001</v>
      </c>
      <c r="P109" s="282">
        <v>194248.70600000001</v>
      </c>
      <c r="Q109" s="251">
        <v>1950.02</v>
      </c>
      <c r="R109" s="251">
        <v>1950.02</v>
      </c>
      <c r="S109" s="189">
        <v>57876.059941927051</v>
      </c>
      <c r="T109" s="189"/>
      <c r="U109" s="253">
        <f t="shared" si="15"/>
        <v>4892.43</v>
      </c>
      <c r="V109" s="189">
        <v>571.67727103748598</v>
      </c>
      <c r="W109" s="189">
        <v>4892.43</v>
      </c>
      <c r="X109" s="177">
        <f t="shared" si="16"/>
        <v>0.2931648244825622</v>
      </c>
      <c r="Y109" s="177">
        <f t="shared" si="17"/>
        <v>2.5089127291002145</v>
      </c>
    </row>
    <row r="110" spans="1:25" x14ac:dyDescent="0.2">
      <c r="A110" s="153">
        <v>2010</v>
      </c>
      <c r="B110" s="153">
        <v>1</v>
      </c>
      <c r="C110" s="153" t="str">
        <f t="shared" si="12"/>
        <v>20101</v>
      </c>
      <c r="D110" s="153" t="str">
        <f t="shared" si="20"/>
        <v>Q1</v>
      </c>
      <c r="E110" s="153">
        <f t="shared" si="22"/>
        <v>124919.205</v>
      </c>
      <c r="F110" s="153" t="e">
        <f t="shared" si="14"/>
        <v>#N/A</v>
      </c>
      <c r="G110" s="153">
        <f t="shared" si="14"/>
        <v>4339.3670000000002</v>
      </c>
      <c r="H110" s="153">
        <f t="shared" si="14"/>
        <v>1719.9649999999999</v>
      </c>
      <c r="L110" s="153">
        <f t="shared" si="18"/>
        <v>2028</v>
      </c>
      <c r="M110" s="177" t="str">
        <f t="shared" si="21"/>
        <v>Q1</v>
      </c>
      <c r="N110" s="177" t="str">
        <f t="shared" si="11"/>
        <v>2028Q1</v>
      </c>
      <c r="O110" s="184">
        <v>191884.976</v>
      </c>
      <c r="P110" s="282">
        <v>195902.92</v>
      </c>
      <c r="Q110" s="251">
        <v>1952.6130000000001</v>
      </c>
      <c r="R110" s="251">
        <v>1952.6130000000001</v>
      </c>
      <c r="S110" s="189">
        <v>58418.654423987813</v>
      </c>
      <c r="T110" s="189"/>
      <c r="U110" s="253">
        <f t="shared" si="15"/>
        <v>4900.0990000000002</v>
      </c>
      <c r="V110" s="189">
        <v>572.9886755770907</v>
      </c>
      <c r="W110" s="189">
        <v>4900.0990000000002</v>
      </c>
      <c r="X110" s="177">
        <f t="shared" si="16"/>
        <v>0.29344712729920913</v>
      </c>
      <c r="Y110" s="177">
        <f t="shared" si="17"/>
        <v>2.5095085406068689</v>
      </c>
    </row>
    <row r="111" spans="1:25" x14ac:dyDescent="0.2">
      <c r="A111" s="153">
        <v>2010</v>
      </c>
      <c r="B111" s="153">
        <v>2</v>
      </c>
      <c r="C111" s="153" t="str">
        <f t="shared" si="12"/>
        <v>20102</v>
      </c>
      <c r="D111" s="153" t="str">
        <f t="shared" si="20"/>
        <v>Q1</v>
      </c>
      <c r="E111" s="153">
        <f t="shared" si="22"/>
        <v>124919.205</v>
      </c>
      <c r="F111" s="153" t="e">
        <f t="shared" si="14"/>
        <v>#N/A</v>
      </c>
      <c r="G111" s="153">
        <f t="shared" si="14"/>
        <v>4339.3670000000002</v>
      </c>
      <c r="H111" s="153">
        <f t="shared" si="14"/>
        <v>1719.9649999999999</v>
      </c>
      <c r="L111" s="153">
        <f t="shared" si="18"/>
        <v>2028</v>
      </c>
      <c r="M111" s="177" t="str">
        <f t="shared" si="21"/>
        <v>Q2</v>
      </c>
      <c r="N111" s="177" t="str">
        <f t="shared" si="11"/>
        <v>2028Q2</v>
      </c>
      <c r="O111" s="184">
        <v>192867.91899999999</v>
      </c>
      <c r="P111" s="282">
        <v>196924.565</v>
      </c>
      <c r="Q111" s="251">
        <v>1955.2370000000001</v>
      </c>
      <c r="R111" s="251">
        <v>1955.2370000000001</v>
      </c>
      <c r="S111" s="189">
        <v>58713.8376022312</v>
      </c>
      <c r="T111" s="189"/>
      <c r="U111" s="253">
        <f t="shared" si="15"/>
        <v>4907.7340000000004</v>
      </c>
      <c r="V111" s="189">
        <v>574.28786535250674</v>
      </c>
      <c r="W111" s="189">
        <v>4907.7340000000004</v>
      </c>
      <c r="X111" s="177">
        <f t="shared" si="16"/>
        <v>0.29371777710451813</v>
      </c>
      <c r="Y111" s="177">
        <f t="shared" si="17"/>
        <v>2.5100455852666457</v>
      </c>
    </row>
    <row r="112" spans="1:25" x14ac:dyDescent="0.2">
      <c r="A112" s="153">
        <v>2010</v>
      </c>
      <c r="B112" s="153">
        <v>3</v>
      </c>
      <c r="C112" s="153" t="str">
        <f t="shared" si="12"/>
        <v>20103</v>
      </c>
      <c r="D112" s="153" t="str">
        <f t="shared" si="20"/>
        <v>Q1</v>
      </c>
      <c r="E112" s="153">
        <f t="shared" si="22"/>
        <v>124919.205</v>
      </c>
      <c r="F112" s="153" t="e">
        <f t="shared" si="14"/>
        <v>#N/A</v>
      </c>
      <c r="G112" s="153">
        <f t="shared" si="14"/>
        <v>4339.3670000000002</v>
      </c>
      <c r="H112" s="153">
        <f t="shared" si="14"/>
        <v>1719.9649999999999</v>
      </c>
      <c r="L112" s="153">
        <f t="shared" si="18"/>
        <v>2028</v>
      </c>
      <c r="M112" s="177" t="str">
        <f t="shared" si="21"/>
        <v>Q3</v>
      </c>
      <c r="N112" s="177" t="str">
        <f t="shared" si="11"/>
        <v>2028Q3</v>
      </c>
      <c r="O112" s="184">
        <v>193808.63</v>
      </c>
      <c r="P112" s="282">
        <v>197904.826</v>
      </c>
      <c r="Q112" s="251">
        <v>1957.7329999999999</v>
      </c>
      <c r="R112" s="251">
        <v>1957.7329999999999</v>
      </c>
      <c r="S112" s="189">
        <v>59006.505698010005</v>
      </c>
      <c r="T112" s="189"/>
      <c r="U112" s="253">
        <f t="shared" si="15"/>
        <v>4915.3220000000001</v>
      </c>
      <c r="V112" s="189">
        <v>575.58621584333025</v>
      </c>
      <c r="W112" s="189">
        <v>4915.3220000000001</v>
      </c>
      <c r="X112" s="177">
        <f t="shared" si="16"/>
        <v>0.29400649416612495</v>
      </c>
      <c r="Y112" s="177">
        <f t="shared" si="17"/>
        <v>2.5107213292108783</v>
      </c>
    </row>
    <row r="113" spans="1:25" x14ac:dyDescent="0.2">
      <c r="A113" s="153">
        <v>2010</v>
      </c>
      <c r="B113" s="153">
        <v>4</v>
      </c>
      <c r="C113" s="153" t="str">
        <f t="shared" si="12"/>
        <v>20104</v>
      </c>
      <c r="D113" s="153" t="str">
        <f t="shared" si="20"/>
        <v>Q2</v>
      </c>
      <c r="E113" s="153">
        <f t="shared" si="22"/>
        <v>126480.192</v>
      </c>
      <c r="F113" s="153" t="e">
        <f t="shared" si="14"/>
        <v>#N/A</v>
      </c>
      <c r="G113" s="153">
        <f t="shared" si="14"/>
        <v>4347.223</v>
      </c>
      <c r="H113" s="153">
        <f t="shared" si="14"/>
        <v>1722.9169999999999</v>
      </c>
      <c r="L113" s="153">
        <f t="shared" si="18"/>
        <v>2028</v>
      </c>
      <c r="M113" s="177" t="str">
        <f t="shared" si="21"/>
        <v>Q4</v>
      </c>
      <c r="N113" s="177" t="str">
        <f t="shared" si="11"/>
        <v>2028Q4</v>
      </c>
      <c r="O113" s="184">
        <v>194786.40400000001</v>
      </c>
      <c r="P113" s="282">
        <v>198919.571</v>
      </c>
      <c r="Q113" s="251">
        <v>1961.22</v>
      </c>
      <c r="R113" s="251">
        <v>1961.22</v>
      </c>
      <c r="S113" s="189">
        <v>59266.994694104913</v>
      </c>
      <c r="T113" s="189"/>
      <c r="U113" s="253">
        <f t="shared" si="15"/>
        <v>4922.8760000000002</v>
      </c>
      <c r="V113" s="189">
        <v>576.89448991787128</v>
      </c>
      <c r="W113" s="189">
        <v>4922.8760000000002</v>
      </c>
      <c r="X113" s="177">
        <f t="shared" si="16"/>
        <v>0.29415082954378974</v>
      </c>
      <c r="Y113" s="177">
        <f t="shared" si="17"/>
        <v>2.5101090137771389</v>
      </c>
    </row>
    <row r="114" spans="1:25" x14ac:dyDescent="0.2">
      <c r="A114" s="153">
        <v>2010</v>
      </c>
      <c r="B114" s="153">
        <v>5</v>
      </c>
      <c r="C114" s="153" t="str">
        <f t="shared" si="12"/>
        <v>20105</v>
      </c>
      <c r="D114" s="153" t="str">
        <f t="shared" si="20"/>
        <v>Q2</v>
      </c>
      <c r="E114" s="153">
        <f t="shared" si="22"/>
        <v>126480.192</v>
      </c>
      <c r="F114" s="153" t="e">
        <f t="shared" si="14"/>
        <v>#N/A</v>
      </c>
      <c r="G114" s="153">
        <f t="shared" si="14"/>
        <v>4347.223</v>
      </c>
      <c r="H114" s="153">
        <f t="shared" si="14"/>
        <v>1722.9169999999999</v>
      </c>
      <c r="L114" s="153">
        <f t="shared" si="18"/>
        <v>2029</v>
      </c>
      <c r="M114" s="177" t="str">
        <f t="shared" si="21"/>
        <v>Q1</v>
      </c>
      <c r="N114" s="177" t="str">
        <f t="shared" si="11"/>
        <v>2029Q1</v>
      </c>
      <c r="O114" s="184">
        <v>196497.82699999999</v>
      </c>
      <c r="P114" s="282">
        <v>200670.55799999999</v>
      </c>
      <c r="Q114" s="251">
        <v>1964.691</v>
      </c>
      <c r="R114" s="251">
        <v>1964.691</v>
      </c>
      <c r="S114" s="189">
        <v>59877.087698330462</v>
      </c>
      <c r="T114" s="189"/>
      <c r="U114" s="253">
        <f t="shared" si="15"/>
        <v>4930.3969999999999</v>
      </c>
      <c r="V114" s="189">
        <v>578.28422555075372</v>
      </c>
      <c r="W114" s="189">
        <v>4930.3969999999999</v>
      </c>
      <c r="X114" s="177">
        <f t="shared" si="16"/>
        <v>0.29433851203611849</v>
      </c>
      <c r="Y114" s="177">
        <f t="shared" si="17"/>
        <v>2.5095025120998669</v>
      </c>
    </row>
    <row r="115" spans="1:25" x14ac:dyDescent="0.2">
      <c r="A115" s="153">
        <v>2010</v>
      </c>
      <c r="B115" s="153">
        <v>6</v>
      </c>
      <c r="C115" s="153" t="str">
        <f t="shared" si="12"/>
        <v>20106</v>
      </c>
      <c r="D115" s="153" t="str">
        <f t="shared" si="20"/>
        <v>Q2</v>
      </c>
      <c r="E115" s="153">
        <f t="shared" si="22"/>
        <v>126480.192</v>
      </c>
      <c r="F115" s="153" t="e">
        <f t="shared" si="14"/>
        <v>#N/A</v>
      </c>
      <c r="G115" s="153">
        <f t="shared" si="14"/>
        <v>4347.223</v>
      </c>
      <c r="H115" s="153">
        <f t="shared" si="14"/>
        <v>1722.9169999999999</v>
      </c>
      <c r="L115" s="153">
        <f t="shared" si="18"/>
        <v>2029</v>
      </c>
      <c r="M115" s="177" t="str">
        <f t="shared" si="21"/>
        <v>Q2</v>
      </c>
      <c r="N115" s="177" t="str">
        <f t="shared" ref="N115:N145" si="23">L115&amp;M115</f>
        <v>2029Q2</v>
      </c>
      <c r="O115" s="184">
        <v>197549.33600000001</v>
      </c>
      <c r="P115" s="282">
        <v>201758.33199999999</v>
      </c>
      <c r="Q115" s="251">
        <v>1968.1590000000001</v>
      </c>
      <c r="R115" s="251">
        <v>1968.1590000000001</v>
      </c>
      <c r="S115" s="189">
        <v>60277.737576157888</v>
      </c>
      <c r="T115" s="189"/>
      <c r="U115" s="253">
        <f t="shared" si="15"/>
        <v>4937.8850000000002</v>
      </c>
      <c r="V115" s="189">
        <v>579.57909725160312</v>
      </c>
      <c r="W115" s="189">
        <v>4937.8850000000002</v>
      </c>
      <c r="X115" s="177">
        <f t="shared" si="16"/>
        <v>0.29447778215662612</v>
      </c>
      <c r="Y115" s="177">
        <f t="shared" si="17"/>
        <v>2.5088852069370411</v>
      </c>
    </row>
    <row r="116" spans="1:25" x14ac:dyDescent="0.2">
      <c r="A116" s="153">
        <v>2010</v>
      </c>
      <c r="B116" s="153">
        <v>7</v>
      </c>
      <c r="C116" s="153" t="str">
        <f t="shared" si="12"/>
        <v>20107</v>
      </c>
      <c r="D116" s="153" t="str">
        <f t="shared" si="20"/>
        <v>Q3</v>
      </c>
      <c r="E116" s="153">
        <f t="shared" si="22"/>
        <v>127650.806</v>
      </c>
      <c r="F116" s="153" t="e">
        <f t="shared" si="14"/>
        <v>#N/A</v>
      </c>
      <c r="G116" s="153">
        <f t="shared" si="14"/>
        <v>4352.7560000000003</v>
      </c>
      <c r="H116" s="153">
        <f t="shared" si="14"/>
        <v>1724.191</v>
      </c>
      <c r="L116" s="153">
        <f t="shared" si="18"/>
        <v>2029</v>
      </c>
      <c r="M116" s="177" t="str">
        <f t="shared" si="21"/>
        <v>Q3</v>
      </c>
      <c r="N116" s="177" t="str">
        <f t="shared" si="23"/>
        <v>2029Q3</v>
      </c>
      <c r="O116" s="184">
        <v>198516.981</v>
      </c>
      <c r="P116" s="282">
        <v>202758.68</v>
      </c>
      <c r="Q116" s="251">
        <v>1971.586</v>
      </c>
      <c r="R116" s="251">
        <v>1971.586</v>
      </c>
      <c r="S116" s="189">
        <v>60511.781745148182</v>
      </c>
      <c r="T116" s="189"/>
      <c r="U116" s="253">
        <f t="shared" si="15"/>
        <v>4945.34</v>
      </c>
      <c r="V116" s="189">
        <v>580.87075309303168</v>
      </c>
      <c r="W116" s="189">
        <v>4945.34</v>
      </c>
      <c r="X116" s="177">
        <f t="shared" si="16"/>
        <v>0.2946210579163332</v>
      </c>
      <c r="Y116" s="177">
        <f t="shared" si="17"/>
        <v>2.5083054961842901</v>
      </c>
    </row>
    <row r="117" spans="1:25" x14ac:dyDescent="0.2">
      <c r="A117" s="153">
        <v>2010</v>
      </c>
      <c r="B117" s="153">
        <v>8</v>
      </c>
      <c r="C117" s="153" t="str">
        <f t="shared" si="12"/>
        <v>20108</v>
      </c>
      <c r="D117" s="153" t="str">
        <f t="shared" si="20"/>
        <v>Q3</v>
      </c>
      <c r="E117" s="153">
        <f t="shared" si="22"/>
        <v>127650.806</v>
      </c>
      <c r="F117" s="153" t="e">
        <f t="shared" si="14"/>
        <v>#N/A</v>
      </c>
      <c r="G117" s="153">
        <f t="shared" si="14"/>
        <v>4352.7560000000003</v>
      </c>
      <c r="H117" s="153">
        <f t="shared" si="14"/>
        <v>1724.191</v>
      </c>
      <c r="L117" s="153">
        <f t="shared" si="18"/>
        <v>2029</v>
      </c>
      <c r="M117" s="177" t="str">
        <f t="shared" si="21"/>
        <v>Q4</v>
      </c>
      <c r="N117" s="177" t="str">
        <f t="shared" si="23"/>
        <v>2029Q4</v>
      </c>
      <c r="O117" s="184">
        <v>199480.13399999999</v>
      </c>
      <c r="P117" s="282">
        <v>203752.595</v>
      </c>
      <c r="Q117" s="251">
        <v>1975.02</v>
      </c>
      <c r="R117" s="251">
        <v>1975.02</v>
      </c>
      <c r="S117" s="189">
        <v>60805.872480766535</v>
      </c>
      <c r="T117" s="189"/>
      <c r="U117" s="253">
        <f t="shared" si="15"/>
        <v>4952.7489999999998</v>
      </c>
      <c r="V117" s="189">
        <v>582.16021898732583</v>
      </c>
      <c r="W117" s="189">
        <v>4952.7489999999998</v>
      </c>
      <c r="X117" s="177">
        <f t="shared" si="16"/>
        <v>0.29476168291324939</v>
      </c>
      <c r="Y117" s="177">
        <f t="shared" si="17"/>
        <v>2.5076956182722201</v>
      </c>
    </row>
    <row r="118" spans="1:25" x14ac:dyDescent="0.2">
      <c r="A118" s="153">
        <v>2010</v>
      </c>
      <c r="B118" s="153">
        <v>9</v>
      </c>
      <c r="C118" s="153" t="str">
        <f t="shared" si="12"/>
        <v>20109</v>
      </c>
      <c r="D118" s="153" t="str">
        <f t="shared" si="20"/>
        <v>Q3</v>
      </c>
      <c r="E118" s="153">
        <f t="shared" si="22"/>
        <v>127650.806</v>
      </c>
      <c r="F118" s="153" t="e">
        <f t="shared" si="14"/>
        <v>#N/A</v>
      </c>
      <c r="G118" s="153">
        <f t="shared" si="14"/>
        <v>4352.7560000000003</v>
      </c>
      <c r="H118" s="153">
        <f t="shared" si="14"/>
        <v>1724.191</v>
      </c>
      <c r="L118" s="153">
        <f t="shared" si="18"/>
        <v>2030</v>
      </c>
      <c r="M118" s="177" t="str">
        <f t="shared" si="21"/>
        <v>Q1</v>
      </c>
      <c r="N118" s="177" t="str">
        <f t="shared" si="23"/>
        <v>2030Q1</v>
      </c>
      <c r="O118" s="184">
        <v>201210.11900000001</v>
      </c>
      <c r="P118" s="282">
        <v>205525</v>
      </c>
      <c r="Q118" s="251">
        <v>1978.5</v>
      </c>
      <c r="R118" s="251">
        <v>1978.5</v>
      </c>
      <c r="S118" s="189">
        <v>61466.666126746961</v>
      </c>
      <c r="T118" s="189"/>
      <c r="U118" s="253">
        <f t="shared" si="15"/>
        <v>4960.1260000000002</v>
      </c>
      <c r="V118" s="189">
        <v>583.44801513823779</v>
      </c>
      <c r="W118" s="189">
        <v>4960.1260000000002</v>
      </c>
      <c r="X118" s="177">
        <f t="shared" si="16"/>
        <v>0.29489411935215454</v>
      </c>
      <c r="Y118" s="177">
        <f t="shared" si="17"/>
        <v>2.5070133939853427</v>
      </c>
    </row>
    <row r="119" spans="1:25" x14ac:dyDescent="0.2">
      <c r="A119" s="153">
        <v>2010</v>
      </c>
      <c r="B119" s="153">
        <v>10</v>
      </c>
      <c r="C119" s="153" t="str">
        <f t="shared" si="12"/>
        <v>201010</v>
      </c>
      <c r="D119" s="153" t="str">
        <f t="shared" si="20"/>
        <v>Q4</v>
      </c>
      <c r="E119" s="153">
        <f t="shared" si="22"/>
        <v>127503.515</v>
      </c>
      <c r="F119" s="153" t="e">
        <f t="shared" si="14"/>
        <v>#N/A</v>
      </c>
      <c r="G119" s="153">
        <f t="shared" si="14"/>
        <v>4358.29</v>
      </c>
      <c r="H119" s="153">
        <f t="shared" si="14"/>
        <v>1725.0830000000001</v>
      </c>
      <c r="L119" s="153">
        <f t="shared" si="18"/>
        <v>2030</v>
      </c>
      <c r="M119" s="177" t="str">
        <f t="shared" ref="M119:M163" si="24">M115</f>
        <v>Q2</v>
      </c>
      <c r="N119" s="177" t="str">
        <f t="shared" si="23"/>
        <v>2030Q2</v>
      </c>
      <c r="O119" s="184">
        <v>202357.96400000001</v>
      </c>
      <c r="P119" s="282">
        <v>206839.33300000001</v>
      </c>
      <c r="Q119" s="251">
        <v>1982.0429999999999</v>
      </c>
      <c r="R119" s="251">
        <v>1982.0429999999999</v>
      </c>
      <c r="S119" s="189">
        <v>61814.830377760452</v>
      </c>
      <c r="T119" s="189"/>
      <c r="U119" s="253">
        <f t="shared" si="15"/>
        <v>4967.4709999999995</v>
      </c>
      <c r="V119" s="189">
        <v>584.8193205792528</v>
      </c>
      <c r="W119" s="189">
        <v>4967.4709999999995</v>
      </c>
      <c r="X119" s="177">
        <f t="shared" si="16"/>
        <v>0.29505884613969163</v>
      </c>
      <c r="Y119" s="177">
        <f t="shared" si="17"/>
        <v>2.5062377556894577</v>
      </c>
    </row>
    <row r="120" spans="1:25" x14ac:dyDescent="0.2">
      <c r="A120" s="153">
        <v>2010</v>
      </c>
      <c r="B120" s="153">
        <v>11</v>
      </c>
      <c r="C120" s="153" t="str">
        <f t="shared" si="12"/>
        <v>201011</v>
      </c>
      <c r="D120" s="153" t="str">
        <f t="shared" si="20"/>
        <v>Q4</v>
      </c>
      <c r="E120" s="153">
        <f t="shared" si="22"/>
        <v>127503.515</v>
      </c>
      <c r="F120" s="153" t="e">
        <f t="shared" si="14"/>
        <v>#N/A</v>
      </c>
      <c r="G120" s="153">
        <f t="shared" si="14"/>
        <v>4358.29</v>
      </c>
      <c r="H120" s="153">
        <f t="shared" si="14"/>
        <v>1725.0830000000001</v>
      </c>
      <c r="L120" s="153">
        <f t="shared" si="18"/>
        <v>2030</v>
      </c>
      <c r="M120" s="177" t="str">
        <f t="shared" si="24"/>
        <v>Q3</v>
      </c>
      <c r="N120" s="177" t="str">
        <f t="shared" si="23"/>
        <v>2030Q3</v>
      </c>
      <c r="O120" s="184">
        <v>203321.337</v>
      </c>
      <c r="P120" s="282">
        <v>207847.92199999999</v>
      </c>
      <c r="Q120" s="251">
        <v>1985.5609999999999</v>
      </c>
      <c r="R120" s="251">
        <v>1985.5609999999999</v>
      </c>
      <c r="S120" s="189">
        <v>62118.659604022723</v>
      </c>
      <c r="T120" s="189"/>
      <c r="U120" s="253">
        <f t="shared" si="15"/>
        <v>4974.7839999999997</v>
      </c>
      <c r="V120" s="189">
        <v>586.10120198955076</v>
      </c>
      <c r="W120" s="189">
        <v>4974.7839999999997</v>
      </c>
      <c r="X120" s="177">
        <f t="shared" si="16"/>
        <v>0.29518166502542648</v>
      </c>
      <c r="Y120" s="177">
        <f t="shared" si="17"/>
        <v>2.5054803151351179</v>
      </c>
    </row>
    <row r="121" spans="1:25" x14ac:dyDescent="0.2">
      <c r="A121" s="153">
        <v>2010</v>
      </c>
      <c r="B121" s="153">
        <v>12</v>
      </c>
      <c r="C121" s="153" t="str">
        <f t="shared" si="12"/>
        <v>201012</v>
      </c>
      <c r="D121" s="153" t="str">
        <f t="shared" si="20"/>
        <v>Q4</v>
      </c>
      <c r="E121" s="153">
        <f t="shared" si="22"/>
        <v>127503.515</v>
      </c>
      <c r="F121" s="153" t="e">
        <f t="shared" si="14"/>
        <v>#N/A</v>
      </c>
      <c r="G121" s="153">
        <f t="shared" si="14"/>
        <v>4358.29</v>
      </c>
      <c r="H121" s="153">
        <f t="shared" si="14"/>
        <v>1725.0830000000001</v>
      </c>
      <c r="L121" s="153">
        <f t="shared" si="18"/>
        <v>2030</v>
      </c>
      <c r="M121" s="177" t="str">
        <f t="shared" si="24"/>
        <v>Q4</v>
      </c>
      <c r="N121" s="177" t="str">
        <f t="shared" si="23"/>
        <v>2030Q4</v>
      </c>
      <c r="O121" s="184">
        <v>204205.139</v>
      </c>
      <c r="P121" s="282">
        <v>208706.47399999999</v>
      </c>
      <c r="Q121" s="251">
        <v>1989.038</v>
      </c>
      <c r="R121" s="251">
        <v>1989.038</v>
      </c>
      <c r="S121" s="189">
        <v>62422.456993532964</v>
      </c>
      <c r="T121" s="189"/>
      <c r="U121" s="253">
        <f t="shared" si="15"/>
        <v>4982.0529999999999</v>
      </c>
      <c r="V121" s="189">
        <v>587.37919894773302</v>
      </c>
      <c r="W121" s="189">
        <v>4982.0529999999999</v>
      </c>
      <c r="X121" s="177">
        <f t="shared" si="16"/>
        <v>0.29530818362833339</v>
      </c>
      <c r="Y121" s="177">
        <f t="shared" si="17"/>
        <v>2.5047550624975492</v>
      </c>
    </row>
    <row r="122" spans="1:25" x14ac:dyDescent="0.2">
      <c r="A122" s="153">
        <v>2011</v>
      </c>
      <c r="B122" s="153">
        <v>1</v>
      </c>
      <c r="C122" s="153" t="str">
        <f t="shared" si="12"/>
        <v>20111</v>
      </c>
      <c r="D122" s="153" t="str">
        <f t="shared" si="20"/>
        <v>Q1</v>
      </c>
      <c r="E122" s="153">
        <f t="shared" si="22"/>
        <v>128893.008</v>
      </c>
      <c r="F122" s="153" t="e">
        <f t="shared" si="14"/>
        <v>#N/A</v>
      </c>
      <c r="G122" s="153">
        <f t="shared" si="14"/>
        <v>4363.8230000000003</v>
      </c>
      <c r="H122" s="153">
        <f t="shared" si="14"/>
        <v>1728.1579999999999</v>
      </c>
      <c r="J122" s="177"/>
      <c r="K122" s="177"/>
      <c r="L122" s="153">
        <f t="shared" si="18"/>
        <v>2031</v>
      </c>
      <c r="M122" s="177" t="str">
        <f t="shared" si="24"/>
        <v>Q1</v>
      </c>
      <c r="N122" s="177" t="str">
        <f t="shared" si="23"/>
        <v>2031Q1</v>
      </c>
      <c r="O122" s="184">
        <v>205835.74900000001</v>
      </c>
      <c r="P122" s="282">
        <v>210324.258</v>
      </c>
      <c r="Q122" s="251">
        <v>1992.472</v>
      </c>
      <c r="R122" s="251">
        <v>1992.472</v>
      </c>
      <c r="S122" s="189">
        <v>63011.686044511735</v>
      </c>
      <c r="T122" s="189"/>
      <c r="U122" s="253">
        <f t="shared" si="15"/>
        <v>4989.29</v>
      </c>
      <c r="V122" s="189">
        <v>588.65516986065256</v>
      </c>
      <c r="W122" s="189">
        <v>4989.29</v>
      </c>
      <c r="X122" s="177">
        <f t="shared" si="16"/>
        <v>0.29543961965872173</v>
      </c>
      <c r="Y122" s="177">
        <f t="shared" si="17"/>
        <v>2.5040703206870663</v>
      </c>
    </row>
    <row r="123" spans="1:25" x14ac:dyDescent="0.2">
      <c r="A123" s="153">
        <v>2011</v>
      </c>
      <c r="B123" s="153">
        <v>2</v>
      </c>
      <c r="C123" s="153" t="str">
        <f t="shared" si="12"/>
        <v>20112</v>
      </c>
      <c r="D123" s="153" t="str">
        <f t="shared" si="20"/>
        <v>Q1</v>
      </c>
      <c r="E123" s="153">
        <f t="shared" si="22"/>
        <v>128893.008</v>
      </c>
      <c r="F123" s="153" t="e">
        <f t="shared" si="14"/>
        <v>#N/A</v>
      </c>
      <c r="G123" s="153">
        <f t="shared" si="14"/>
        <v>4363.8230000000003</v>
      </c>
      <c r="H123" s="153">
        <f t="shared" si="14"/>
        <v>1728.1579999999999</v>
      </c>
      <c r="J123" s="177"/>
      <c r="K123" s="177"/>
      <c r="L123" s="153">
        <f t="shared" si="18"/>
        <v>2031</v>
      </c>
      <c r="M123" s="177" t="str">
        <f t="shared" si="24"/>
        <v>Q2</v>
      </c>
      <c r="N123" s="177" t="str">
        <f t="shared" si="23"/>
        <v>2031Q2</v>
      </c>
      <c r="O123" s="184">
        <v>206821.26699999999</v>
      </c>
      <c r="P123" s="282">
        <v>211320.83300000001</v>
      </c>
      <c r="Q123" s="251">
        <v>1995.8920000000001</v>
      </c>
      <c r="R123" s="251">
        <v>1995.8920000000001</v>
      </c>
      <c r="S123" s="189">
        <v>63354.072173494787</v>
      </c>
      <c r="T123" s="189"/>
      <c r="U123" s="253">
        <f t="shared" si="15"/>
        <v>4996.4970000000003</v>
      </c>
      <c r="V123" s="189">
        <v>589.92872577657442</v>
      </c>
      <c r="W123" s="189">
        <v>4996.4970000000003</v>
      </c>
      <c r="X123" s="177">
        <f t="shared" si="16"/>
        <v>0.29557146668084966</v>
      </c>
      <c r="Y123" s="177">
        <f t="shared" si="17"/>
        <v>2.5033904640130831</v>
      </c>
    </row>
    <row r="124" spans="1:25" x14ac:dyDescent="0.2">
      <c r="A124" s="153">
        <v>2011</v>
      </c>
      <c r="B124" s="153">
        <v>3</v>
      </c>
      <c r="C124" s="153" t="str">
        <f t="shared" si="12"/>
        <v>20113</v>
      </c>
      <c r="D124" s="153" t="str">
        <f t="shared" si="20"/>
        <v>Q1</v>
      </c>
      <c r="E124" s="153">
        <f t="shared" si="22"/>
        <v>128893.008</v>
      </c>
      <c r="F124" s="153" t="e">
        <f t="shared" si="14"/>
        <v>#N/A</v>
      </c>
      <c r="G124" s="153">
        <f t="shared" si="14"/>
        <v>4363.8230000000003</v>
      </c>
      <c r="H124" s="153">
        <f t="shared" si="14"/>
        <v>1728.1579999999999</v>
      </c>
      <c r="J124" s="177"/>
      <c r="K124" s="177"/>
      <c r="L124" s="153">
        <f t="shared" si="18"/>
        <v>2031</v>
      </c>
      <c r="M124" s="177" t="str">
        <f t="shared" si="24"/>
        <v>Q3</v>
      </c>
      <c r="N124" s="177" t="str">
        <f t="shared" si="23"/>
        <v>2031Q3</v>
      </c>
      <c r="O124" s="184">
        <v>207691.48499999999</v>
      </c>
      <c r="P124" s="282">
        <v>212210.93799999999</v>
      </c>
      <c r="Q124" s="251">
        <v>1999.29</v>
      </c>
      <c r="R124" s="251">
        <v>1999.29</v>
      </c>
      <c r="S124" s="189">
        <v>63686.068810866331</v>
      </c>
      <c r="T124" s="189"/>
      <c r="U124" s="253">
        <f t="shared" si="15"/>
        <v>5003.6859999999997</v>
      </c>
      <c r="V124" s="189">
        <v>591.28432577788192</v>
      </c>
      <c r="W124" s="189">
        <v>5003.6859999999997</v>
      </c>
      <c r="X124" s="177">
        <f t="shared" si="16"/>
        <v>0.29574715312830152</v>
      </c>
      <c r="Y124" s="177">
        <f t="shared" si="17"/>
        <v>2.5027314696717333</v>
      </c>
    </row>
    <row r="125" spans="1:25" x14ac:dyDescent="0.2">
      <c r="A125" s="153">
        <v>2011</v>
      </c>
      <c r="B125" s="153">
        <v>4</v>
      </c>
      <c r="C125" s="153" t="str">
        <f t="shared" si="12"/>
        <v>20114</v>
      </c>
      <c r="D125" s="153" t="str">
        <f t="shared" si="20"/>
        <v>Q2</v>
      </c>
      <c r="E125" s="153">
        <f t="shared" si="22"/>
        <v>129036.827</v>
      </c>
      <c r="F125" s="153" t="e">
        <f t="shared" si="14"/>
        <v>#N/A</v>
      </c>
      <c r="G125" s="153">
        <f t="shared" si="14"/>
        <v>4369.3559999999998</v>
      </c>
      <c r="H125" s="153">
        <f t="shared" si="14"/>
        <v>1730.3009999999999</v>
      </c>
      <c r="J125" s="177"/>
      <c r="K125" s="177"/>
      <c r="L125" s="153">
        <f t="shared" si="18"/>
        <v>2031</v>
      </c>
      <c r="M125" s="177" t="str">
        <f t="shared" si="24"/>
        <v>Q4</v>
      </c>
      <c r="N125" s="177" t="str">
        <f t="shared" si="23"/>
        <v>2031Q4</v>
      </c>
      <c r="O125" s="184">
        <v>208506.54</v>
      </c>
      <c r="P125" s="282">
        <v>213053.948</v>
      </c>
      <c r="Q125" s="251">
        <v>2002.6890000000001</v>
      </c>
      <c r="R125" s="251">
        <v>2002.6890000000001</v>
      </c>
      <c r="S125" s="189">
        <v>63983.702106726494</v>
      </c>
      <c r="T125" s="189"/>
      <c r="U125" s="253">
        <f t="shared" si="15"/>
        <v>5010.8329999999996</v>
      </c>
      <c r="V125" s="189">
        <v>592.55352794567204</v>
      </c>
      <c r="W125" s="189">
        <v>5010.8329999999996</v>
      </c>
      <c r="X125" s="177">
        <f t="shared" si="16"/>
        <v>0.29587895471821735</v>
      </c>
      <c r="Y125" s="177">
        <f t="shared" si="17"/>
        <v>2.502052490426621</v>
      </c>
    </row>
    <row r="126" spans="1:25" x14ac:dyDescent="0.2">
      <c r="A126" s="153">
        <v>2011</v>
      </c>
      <c r="B126" s="153">
        <v>5</v>
      </c>
      <c r="C126" s="153" t="str">
        <f t="shared" si="12"/>
        <v>20115</v>
      </c>
      <c r="D126" s="153" t="str">
        <f t="shared" si="20"/>
        <v>Q2</v>
      </c>
      <c r="E126" s="153">
        <f t="shared" si="22"/>
        <v>129036.827</v>
      </c>
      <c r="F126" s="153" t="e">
        <f t="shared" si="14"/>
        <v>#N/A</v>
      </c>
      <c r="G126" s="153">
        <f t="shared" si="14"/>
        <v>4369.3559999999998</v>
      </c>
      <c r="H126" s="153">
        <f t="shared" si="14"/>
        <v>1730.3009999999999</v>
      </c>
      <c r="J126" s="177"/>
      <c r="K126" s="177"/>
      <c r="L126" s="153">
        <f t="shared" si="18"/>
        <v>2032</v>
      </c>
      <c r="M126" s="177" t="str">
        <f t="shared" si="24"/>
        <v>Q1</v>
      </c>
      <c r="N126" s="177" t="str">
        <f t="shared" si="23"/>
        <v>2032Q1</v>
      </c>
      <c r="O126" s="184">
        <v>210181.51699999999</v>
      </c>
      <c r="P126" s="282">
        <v>214760.58600000001</v>
      </c>
      <c r="Q126" s="251">
        <v>2006.07</v>
      </c>
      <c r="R126" s="251">
        <v>2006.07</v>
      </c>
      <c r="S126" s="189">
        <v>64517.895684862429</v>
      </c>
      <c r="T126" s="189"/>
      <c r="U126" s="253">
        <f t="shared" si="15"/>
        <v>5017.95</v>
      </c>
      <c r="V126" s="189">
        <v>593.8205289329336</v>
      </c>
      <c r="W126" s="189">
        <v>5017.95</v>
      </c>
      <c r="X126" s="177">
        <f t="shared" si="16"/>
        <v>0.29601186844573402</v>
      </c>
      <c r="Y126" s="177">
        <f t="shared" si="17"/>
        <v>2.5013833016794029</v>
      </c>
    </row>
    <row r="127" spans="1:25" x14ac:dyDescent="0.2">
      <c r="A127" s="153">
        <v>2011</v>
      </c>
      <c r="B127" s="153">
        <v>6</v>
      </c>
      <c r="C127" s="153" t="str">
        <f t="shared" si="12"/>
        <v>20116</v>
      </c>
      <c r="D127" s="153" t="str">
        <f t="shared" si="20"/>
        <v>Q2</v>
      </c>
      <c r="E127" s="153">
        <f t="shared" si="22"/>
        <v>129036.827</v>
      </c>
      <c r="F127" s="153" t="e">
        <f t="shared" si="14"/>
        <v>#N/A</v>
      </c>
      <c r="G127" s="153">
        <f t="shared" si="14"/>
        <v>4369.3559999999998</v>
      </c>
      <c r="H127" s="153">
        <f t="shared" si="14"/>
        <v>1730.3009999999999</v>
      </c>
      <c r="J127" s="177"/>
      <c r="K127" s="177"/>
      <c r="L127" s="153">
        <f t="shared" si="18"/>
        <v>2032</v>
      </c>
      <c r="M127" s="177" t="str">
        <f t="shared" si="24"/>
        <v>Q2</v>
      </c>
      <c r="N127" s="177" t="str">
        <f t="shared" si="23"/>
        <v>2032Q2</v>
      </c>
      <c r="O127" s="184">
        <v>211132.98300000001</v>
      </c>
      <c r="P127" s="282">
        <v>215741.7</v>
      </c>
      <c r="Q127" s="251">
        <v>2009.4970000000001</v>
      </c>
      <c r="R127" s="251">
        <v>2009.4970000000001</v>
      </c>
      <c r="S127" s="189">
        <v>64852.902436758101</v>
      </c>
      <c r="T127" s="189"/>
      <c r="U127" s="253">
        <f t="shared" si="15"/>
        <v>5025.0370000000003</v>
      </c>
      <c r="V127" s="189">
        <v>595.08542470246152</v>
      </c>
      <c r="W127" s="189">
        <v>5025.0370000000003</v>
      </c>
      <c r="X127" s="177">
        <f t="shared" si="16"/>
        <v>0.29613650814231696</v>
      </c>
      <c r="Y127" s="177">
        <f t="shared" si="17"/>
        <v>2.5006441910587576</v>
      </c>
    </row>
    <row r="128" spans="1:25" x14ac:dyDescent="0.2">
      <c r="A128" s="153">
        <v>2011</v>
      </c>
      <c r="B128" s="153">
        <v>7</v>
      </c>
      <c r="C128" s="153" t="str">
        <f t="shared" si="12"/>
        <v>20117</v>
      </c>
      <c r="D128" s="153" t="str">
        <f t="shared" si="20"/>
        <v>Q3</v>
      </c>
      <c r="E128" s="153">
        <f t="shared" si="22"/>
        <v>128885.583</v>
      </c>
      <c r="F128" s="153" t="e">
        <f t="shared" si="14"/>
        <v>#N/A</v>
      </c>
      <c r="G128" s="153">
        <f t="shared" si="14"/>
        <v>4375.2330000000002</v>
      </c>
      <c r="H128" s="153">
        <f t="shared" si="14"/>
        <v>1732.7529999999999</v>
      </c>
      <c r="J128" s="177"/>
      <c r="K128" s="177"/>
      <c r="L128" s="153">
        <f t="shared" si="18"/>
        <v>2032</v>
      </c>
      <c r="M128" s="177" t="str">
        <f t="shared" si="24"/>
        <v>Q3</v>
      </c>
      <c r="N128" s="177" t="str">
        <f t="shared" si="23"/>
        <v>2032Q3</v>
      </c>
      <c r="O128" s="184">
        <v>211990.587</v>
      </c>
      <c r="P128" s="282">
        <v>216622.74600000001</v>
      </c>
      <c r="Q128" s="251">
        <v>2014.751</v>
      </c>
      <c r="R128" s="251">
        <v>2014.751</v>
      </c>
      <c r="S128" s="189">
        <v>65092.663837385568</v>
      </c>
      <c r="T128" s="189"/>
      <c r="U128" s="253">
        <f t="shared" si="15"/>
        <v>5032.0959999999995</v>
      </c>
      <c r="V128" s="189">
        <v>596.34815171082005</v>
      </c>
      <c r="W128" s="189">
        <v>5032.0959999999995</v>
      </c>
      <c r="X128" s="177">
        <f t="shared" si="16"/>
        <v>0.29599099427711911</v>
      </c>
      <c r="Y128" s="177">
        <f t="shared" si="17"/>
        <v>2.4976267538767818</v>
      </c>
    </row>
    <row r="129" spans="1:25" x14ac:dyDescent="0.2">
      <c r="A129" s="153">
        <v>2011</v>
      </c>
      <c r="B129" s="153">
        <v>8</v>
      </c>
      <c r="C129" s="153" t="str">
        <f t="shared" si="12"/>
        <v>20118</v>
      </c>
      <c r="D129" s="153" t="str">
        <f t="shared" si="20"/>
        <v>Q3</v>
      </c>
      <c r="E129" s="153">
        <f t="shared" si="22"/>
        <v>128885.583</v>
      </c>
      <c r="F129" s="153" t="e">
        <f t="shared" si="14"/>
        <v>#N/A</v>
      </c>
      <c r="G129" s="153">
        <f t="shared" si="14"/>
        <v>4375.2330000000002</v>
      </c>
      <c r="H129" s="153">
        <f t="shared" si="14"/>
        <v>1732.7529999999999</v>
      </c>
      <c r="J129" s="177"/>
      <c r="K129" s="177"/>
      <c r="L129" s="153">
        <f t="shared" si="18"/>
        <v>2032</v>
      </c>
      <c r="M129" s="177" t="str">
        <f t="shared" si="24"/>
        <v>Q4</v>
      </c>
      <c r="N129" s="177" t="str">
        <f t="shared" si="23"/>
        <v>2032Q4</v>
      </c>
      <c r="O129" s="184">
        <v>212819.59099999999</v>
      </c>
      <c r="P129" s="282">
        <v>217475.72700000001</v>
      </c>
      <c r="Q129" s="251">
        <v>2017.2260000000001</v>
      </c>
      <c r="R129" s="251">
        <v>2017.2260000000001</v>
      </c>
      <c r="S129" s="189">
        <v>65379.712563198897</v>
      </c>
      <c r="T129" s="189"/>
      <c r="U129" s="253">
        <f t="shared" si="15"/>
        <v>5039.1130000000003</v>
      </c>
      <c r="V129" s="189">
        <v>597.60723946148869</v>
      </c>
      <c r="W129" s="189">
        <v>5039.1130000000003</v>
      </c>
      <c r="X129" s="177">
        <f t="shared" si="16"/>
        <v>0.29625200124402951</v>
      </c>
      <c r="Y129" s="177">
        <f t="shared" si="17"/>
        <v>2.4980408739526458</v>
      </c>
    </row>
    <row r="130" spans="1:25" x14ac:dyDescent="0.2">
      <c r="A130" s="153">
        <v>2011</v>
      </c>
      <c r="B130" s="153">
        <v>9</v>
      </c>
      <c r="C130" s="153" t="str">
        <f t="shared" si="12"/>
        <v>20119</v>
      </c>
      <c r="D130" s="153" t="str">
        <f t="shared" si="20"/>
        <v>Q3</v>
      </c>
      <c r="E130" s="153">
        <f t="shared" si="22"/>
        <v>128885.583</v>
      </c>
      <c r="F130" s="153" t="e">
        <f t="shared" si="14"/>
        <v>#N/A</v>
      </c>
      <c r="G130" s="153">
        <f t="shared" si="14"/>
        <v>4375.2330000000002</v>
      </c>
      <c r="H130" s="153">
        <f t="shared" si="14"/>
        <v>1732.7529999999999</v>
      </c>
      <c r="J130" s="177"/>
      <c r="K130" s="177"/>
      <c r="L130" s="153">
        <f t="shared" si="18"/>
        <v>2033</v>
      </c>
      <c r="M130" s="177" t="str">
        <f t="shared" si="24"/>
        <v>Q1</v>
      </c>
      <c r="N130" s="177" t="str">
        <f t="shared" si="23"/>
        <v>2033Q1</v>
      </c>
      <c r="O130" s="184">
        <v>214486.36799999999</v>
      </c>
      <c r="P130" s="282">
        <v>219151.75599999999</v>
      </c>
      <c r="Q130" s="251">
        <v>2020.7070000000001</v>
      </c>
      <c r="R130" s="251">
        <v>2020.7070000000001</v>
      </c>
      <c r="S130" s="189">
        <v>65915.343848067831</v>
      </c>
      <c r="T130" s="189"/>
      <c r="U130" s="253">
        <f t="shared" si="15"/>
        <v>5046.1030000000001</v>
      </c>
      <c r="V130" s="189">
        <v>598.94114556781176</v>
      </c>
      <c r="W130" s="189">
        <v>5046.1030000000001</v>
      </c>
      <c r="X130" s="177">
        <f t="shared" si="16"/>
        <v>0.29640177698588255</v>
      </c>
      <c r="Y130" s="177">
        <f t="shared" si="17"/>
        <v>2.4971967732085849</v>
      </c>
    </row>
    <row r="131" spans="1:25" x14ac:dyDescent="0.2">
      <c r="A131" s="153">
        <v>2011</v>
      </c>
      <c r="B131" s="153">
        <v>10</v>
      </c>
      <c r="C131" s="153" t="str">
        <f t="shared" ref="C131:C194" si="25">A131&amp;B131</f>
        <v>201110</v>
      </c>
      <c r="D131" s="153" t="str">
        <f t="shared" si="20"/>
        <v>Q4</v>
      </c>
      <c r="E131" s="153">
        <f t="shared" si="22"/>
        <v>129177.128</v>
      </c>
      <c r="F131" s="153" t="e">
        <f t="shared" ref="F131:H194" si="26">VLOOKUP($A131&amp;$D131,$N$1:$U$169,MATCH(F$1,$N$1:$U$1,0),0)</f>
        <v>#N/A</v>
      </c>
      <c r="G131" s="153">
        <f t="shared" si="26"/>
        <v>4381.482</v>
      </c>
      <c r="H131" s="153">
        <f t="shared" si="26"/>
        <v>1735.6120000000001</v>
      </c>
      <c r="J131" s="177"/>
      <c r="K131" s="177"/>
      <c r="L131" s="153">
        <f t="shared" si="18"/>
        <v>2033</v>
      </c>
      <c r="M131" s="177" t="str">
        <f t="shared" si="24"/>
        <v>Q2</v>
      </c>
      <c r="N131" s="177" t="str">
        <f t="shared" si="23"/>
        <v>2033Q2</v>
      </c>
      <c r="O131" s="184">
        <v>215382.42600000001</v>
      </c>
      <c r="P131" s="282">
        <v>220062.53200000001</v>
      </c>
      <c r="Q131" s="251">
        <v>2024.18</v>
      </c>
      <c r="R131" s="251">
        <v>2024.18</v>
      </c>
      <c r="S131" s="189">
        <v>66272.860998632343</v>
      </c>
      <c r="T131" s="189"/>
      <c r="U131" s="253">
        <f t="shared" ref="U131:U165" si="27">W131</f>
        <v>5053.0649999999996</v>
      </c>
      <c r="V131" s="189">
        <v>600.1964782787893</v>
      </c>
      <c r="W131" s="189">
        <v>5053.0649999999996</v>
      </c>
      <c r="X131" s="177">
        <f t="shared" ref="X131:X165" si="28">V131/Q131</f>
        <v>0.29651339222736578</v>
      </c>
      <c r="Y131" s="177">
        <f t="shared" ref="Y131:Y165" si="29">W131/R131</f>
        <v>2.4963516090466262</v>
      </c>
    </row>
    <row r="132" spans="1:25" x14ac:dyDescent="0.2">
      <c r="A132" s="153">
        <v>2011</v>
      </c>
      <c r="B132" s="153">
        <v>11</v>
      </c>
      <c r="C132" s="153" t="str">
        <f t="shared" si="25"/>
        <v>201111</v>
      </c>
      <c r="D132" s="153" t="str">
        <f t="shared" si="20"/>
        <v>Q4</v>
      </c>
      <c r="E132" s="153">
        <f t="shared" si="22"/>
        <v>129177.128</v>
      </c>
      <c r="F132" s="153" t="e">
        <f t="shared" si="26"/>
        <v>#N/A</v>
      </c>
      <c r="G132" s="153">
        <f t="shared" si="26"/>
        <v>4381.482</v>
      </c>
      <c r="H132" s="153">
        <f t="shared" si="26"/>
        <v>1735.6120000000001</v>
      </c>
      <c r="J132" s="177"/>
      <c r="K132" s="177"/>
      <c r="L132" s="153">
        <f t="shared" si="18"/>
        <v>2033</v>
      </c>
      <c r="M132" s="177" t="str">
        <f t="shared" si="24"/>
        <v>Q3</v>
      </c>
      <c r="N132" s="177" t="str">
        <f t="shared" si="23"/>
        <v>2033Q3</v>
      </c>
      <c r="O132" s="184">
        <v>216207.60200000001</v>
      </c>
      <c r="P132" s="282">
        <v>220896.07</v>
      </c>
      <c r="Q132" s="251">
        <v>2027.626</v>
      </c>
      <c r="R132" s="251">
        <v>2027.626</v>
      </c>
      <c r="S132" s="189">
        <v>66575.69117880259</v>
      </c>
      <c r="T132" s="189"/>
      <c r="U132" s="253">
        <f t="shared" si="27"/>
        <v>5060</v>
      </c>
      <c r="V132" s="189">
        <v>601.44988615916668</v>
      </c>
      <c r="W132" s="189">
        <v>5060</v>
      </c>
      <c r="X132" s="177">
        <f t="shared" si="28"/>
        <v>0.29662762568598289</v>
      </c>
      <c r="Y132" s="177">
        <f t="shared" si="29"/>
        <v>2.4955292544088508</v>
      </c>
    </row>
    <row r="133" spans="1:25" x14ac:dyDescent="0.2">
      <c r="A133" s="153">
        <v>2011</v>
      </c>
      <c r="B133" s="153">
        <v>12</v>
      </c>
      <c r="C133" s="153" t="str">
        <f t="shared" si="25"/>
        <v>201112</v>
      </c>
      <c r="D133" s="153" t="str">
        <f t="shared" si="20"/>
        <v>Q4</v>
      </c>
      <c r="E133" s="153">
        <f t="shared" si="22"/>
        <v>129177.128</v>
      </c>
      <c r="F133" s="153" t="e">
        <f t="shared" si="26"/>
        <v>#N/A</v>
      </c>
      <c r="G133" s="153">
        <f t="shared" si="26"/>
        <v>4381.482</v>
      </c>
      <c r="H133" s="153">
        <f t="shared" si="26"/>
        <v>1735.6120000000001</v>
      </c>
      <c r="J133" s="177"/>
      <c r="K133" s="177"/>
      <c r="L133" s="153">
        <f t="shared" si="18"/>
        <v>2033</v>
      </c>
      <c r="M133" s="177" t="str">
        <f t="shared" si="24"/>
        <v>Q4</v>
      </c>
      <c r="N133" s="177" t="str">
        <f t="shared" si="23"/>
        <v>2033Q4</v>
      </c>
      <c r="O133" s="184">
        <v>217023.29399999999</v>
      </c>
      <c r="P133" s="282">
        <v>221725.89499999999</v>
      </c>
      <c r="Q133" s="251">
        <v>2031.1179999999999</v>
      </c>
      <c r="R133" s="251">
        <v>2031.1179999999999</v>
      </c>
      <c r="S133" s="189">
        <v>66846.031778371878</v>
      </c>
      <c r="T133" s="189"/>
      <c r="U133" s="253">
        <f t="shared" si="27"/>
        <v>5066.8959999999997</v>
      </c>
      <c r="V133" s="189">
        <v>602.69985845966437</v>
      </c>
      <c r="W133" s="189">
        <v>5066.8959999999997</v>
      </c>
      <c r="X133" s="177">
        <f t="shared" si="28"/>
        <v>0.29673305955619733</v>
      </c>
      <c r="Y133" s="177">
        <f t="shared" si="29"/>
        <v>2.4946339897534262</v>
      </c>
    </row>
    <row r="134" spans="1:25" x14ac:dyDescent="0.2">
      <c r="A134" s="153">
        <v>2012</v>
      </c>
      <c r="B134" s="153">
        <v>1</v>
      </c>
      <c r="C134" s="153" t="str">
        <f t="shared" si="25"/>
        <v>20121</v>
      </c>
      <c r="D134" s="153" t="str">
        <f t="shared" si="20"/>
        <v>Q1</v>
      </c>
      <c r="E134" s="153">
        <f t="shared" si="22"/>
        <v>129516.13400000001</v>
      </c>
      <c r="F134" s="153" t="e">
        <f t="shared" si="26"/>
        <v>#N/A</v>
      </c>
      <c r="G134" s="153">
        <f t="shared" si="26"/>
        <v>4387.8289999999997</v>
      </c>
      <c r="H134" s="153">
        <f t="shared" si="26"/>
        <v>1738.9960000000001</v>
      </c>
      <c r="L134" s="153">
        <f t="shared" si="18"/>
        <v>2034</v>
      </c>
      <c r="M134" s="177" t="str">
        <f t="shared" si="24"/>
        <v>Q1</v>
      </c>
      <c r="N134" s="177" t="str">
        <f t="shared" si="23"/>
        <v>2034Q1</v>
      </c>
      <c r="O134" s="184">
        <v>218712.25599999999</v>
      </c>
      <c r="P134" s="282">
        <v>223435.041</v>
      </c>
      <c r="Q134" s="251">
        <v>2034.5630000000001</v>
      </c>
      <c r="R134" s="251">
        <v>2034.5630000000001</v>
      </c>
      <c r="S134" s="189">
        <v>67408.698459790423</v>
      </c>
      <c r="T134" s="189"/>
      <c r="U134" s="253">
        <f t="shared" si="27"/>
        <v>5073.7650000000003</v>
      </c>
      <c r="V134" s="189">
        <v>604.02085840225141</v>
      </c>
      <c r="W134" s="189">
        <v>5073.7650000000003</v>
      </c>
      <c r="X134" s="177">
        <f t="shared" si="28"/>
        <v>0.29687989922270847</v>
      </c>
      <c r="Y134" s="177">
        <f t="shared" si="29"/>
        <v>2.4937861349095605</v>
      </c>
    </row>
    <row r="135" spans="1:25" x14ac:dyDescent="0.2">
      <c r="A135" s="153">
        <v>2012</v>
      </c>
      <c r="B135" s="153">
        <v>2</v>
      </c>
      <c r="C135" s="153" t="str">
        <f t="shared" si="25"/>
        <v>20122</v>
      </c>
      <c r="D135" s="153" t="str">
        <f t="shared" si="20"/>
        <v>Q1</v>
      </c>
      <c r="E135" s="153">
        <f t="shared" si="22"/>
        <v>129516.13400000001</v>
      </c>
      <c r="F135" s="153" t="e">
        <f t="shared" si="26"/>
        <v>#N/A</v>
      </c>
      <c r="G135" s="153">
        <f t="shared" si="26"/>
        <v>4387.8289999999997</v>
      </c>
      <c r="H135" s="153">
        <f t="shared" si="26"/>
        <v>1738.9960000000001</v>
      </c>
      <c r="L135" s="153">
        <f t="shared" ref="L135:L169" si="30">L131+1</f>
        <v>2034</v>
      </c>
      <c r="M135" s="177" t="str">
        <f t="shared" si="24"/>
        <v>Q2</v>
      </c>
      <c r="N135" s="177" t="str">
        <f t="shared" si="23"/>
        <v>2034Q2</v>
      </c>
      <c r="O135" s="184">
        <v>219678.68900000001</v>
      </c>
      <c r="P135" s="282">
        <v>224420.91</v>
      </c>
      <c r="Q135" s="251">
        <v>2038.0329999999999</v>
      </c>
      <c r="R135" s="251">
        <v>2038.0329999999999</v>
      </c>
      <c r="S135" s="189">
        <v>67784.731090709829</v>
      </c>
      <c r="T135" s="189"/>
      <c r="U135" s="253">
        <f t="shared" si="27"/>
        <v>5080.6090000000004</v>
      </c>
      <c r="V135" s="189">
        <v>605.26743767300002</v>
      </c>
      <c r="W135" s="189">
        <v>5080.6090000000004</v>
      </c>
      <c r="X135" s="177">
        <f t="shared" si="28"/>
        <v>0.29698608298933338</v>
      </c>
      <c r="Y135" s="177">
        <f t="shared" si="29"/>
        <v>2.4928982994877908</v>
      </c>
    </row>
    <row r="136" spans="1:25" x14ac:dyDescent="0.2">
      <c r="A136" s="153">
        <v>2012</v>
      </c>
      <c r="B136" s="153">
        <v>3</v>
      </c>
      <c r="C136" s="153" t="str">
        <f t="shared" si="25"/>
        <v>20123</v>
      </c>
      <c r="D136" s="153" t="str">
        <f t="shared" si="20"/>
        <v>Q1</v>
      </c>
      <c r="E136" s="153">
        <f t="shared" si="22"/>
        <v>129516.13400000001</v>
      </c>
      <c r="F136" s="153" t="e">
        <f t="shared" si="26"/>
        <v>#N/A</v>
      </c>
      <c r="G136" s="153">
        <f t="shared" si="26"/>
        <v>4387.8289999999997</v>
      </c>
      <c r="H136" s="153">
        <f t="shared" si="26"/>
        <v>1738.9960000000001</v>
      </c>
      <c r="L136" s="153">
        <f t="shared" si="30"/>
        <v>2034</v>
      </c>
      <c r="M136" s="177" t="str">
        <f t="shared" si="24"/>
        <v>Q3</v>
      </c>
      <c r="N136" s="177" t="str">
        <f t="shared" si="23"/>
        <v>2034Q3</v>
      </c>
      <c r="O136" s="184">
        <v>220588.57</v>
      </c>
      <c r="P136" s="282">
        <v>225342.28200000001</v>
      </c>
      <c r="Q136" s="251">
        <v>2043.357</v>
      </c>
      <c r="R136" s="251">
        <v>2043.357</v>
      </c>
      <c r="S136" s="189">
        <v>68112.672404732177</v>
      </c>
      <c r="T136" s="189"/>
      <c r="U136" s="253">
        <f t="shared" si="27"/>
        <v>5087.4409999999998</v>
      </c>
      <c r="V136" s="189">
        <v>606.51387488154319</v>
      </c>
      <c r="W136" s="189">
        <v>5087.4409999999998</v>
      </c>
      <c r="X136" s="177">
        <f t="shared" si="28"/>
        <v>0.29682227573622388</v>
      </c>
      <c r="Y136" s="177">
        <f t="shared" si="29"/>
        <v>2.4897465298525905</v>
      </c>
    </row>
    <row r="137" spans="1:25" x14ac:dyDescent="0.2">
      <c r="A137" s="153">
        <v>2012</v>
      </c>
      <c r="B137" s="153">
        <v>4</v>
      </c>
      <c r="C137" s="153" t="str">
        <f t="shared" si="25"/>
        <v>20124</v>
      </c>
      <c r="D137" s="153" t="str">
        <f t="shared" si="20"/>
        <v>Q2</v>
      </c>
      <c r="E137" s="153">
        <f t="shared" si="22"/>
        <v>130403.818</v>
      </c>
      <c r="F137" s="153" t="e">
        <f t="shared" si="26"/>
        <v>#N/A</v>
      </c>
      <c r="G137" s="153">
        <f t="shared" si="26"/>
        <v>4394.317</v>
      </c>
      <c r="H137" s="153">
        <f t="shared" si="26"/>
        <v>1742.2639999999999</v>
      </c>
      <c r="L137" s="153">
        <f t="shared" si="30"/>
        <v>2034</v>
      </c>
      <c r="M137" s="177" t="str">
        <f t="shared" si="24"/>
        <v>Q4</v>
      </c>
      <c r="N137" s="177" t="str">
        <f t="shared" si="23"/>
        <v>2034Q4</v>
      </c>
      <c r="O137" s="184">
        <v>221480.42499999999</v>
      </c>
      <c r="P137" s="282">
        <v>226253.25</v>
      </c>
      <c r="Q137" s="251">
        <v>2045.7919999999999</v>
      </c>
      <c r="R137" s="251">
        <v>2045.7919999999999</v>
      </c>
      <c r="S137" s="189">
        <v>68426.110254572006</v>
      </c>
      <c r="T137" s="189"/>
      <c r="U137" s="253">
        <f t="shared" si="27"/>
        <v>5094.2359999999999</v>
      </c>
      <c r="V137" s="189">
        <v>607.75708718438602</v>
      </c>
      <c r="W137" s="189">
        <v>5094.2359999999999</v>
      </c>
      <c r="X137" s="177">
        <f t="shared" si="28"/>
        <v>0.29707667601808302</v>
      </c>
      <c r="Y137" s="177">
        <f t="shared" si="29"/>
        <v>2.4901045658600678</v>
      </c>
    </row>
    <row r="138" spans="1:25" x14ac:dyDescent="0.2">
      <c r="A138" s="153">
        <v>2012</v>
      </c>
      <c r="B138" s="153">
        <v>5</v>
      </c>
      <c r="C138" s="153" t="str">
        <f t="shared" si="25"/>
        <v>20125</v>
      </c>
      <c r="D138" s="153" t="str">
        <f t="shared" si="20"/>
        <v>Q2</v>
      </c>
      <c r="E138" s="153">
        <f t="shared" si="22"/>
        <v>130403.818</v>
      </c>
      <c r="F138" s="153" t="e">
        <f t="shared" si="26"/>
        <v>#N/A</v>
      </c>
      <c r="G138" s="153">
        <f t="shared" si="26"/>
        <v>4394.317</v>
      </c>
      <c r="H138" s="153">
        <f t="shared" si="26"/>
        <v>1742.2639999999999</v>
      </c>
      <c r="L138" s="153">
        <f t="shared" si="30"/>
        <v>2035</v>
      </c>
      <c r="M138" s="177" t="str">
        <f t="shared" si="24"/>
        <v>Q1</v>
      </c>
      <c r="N138" s="177" t="str">
        <f t="shared" si="23"/>
        <v>2035Q1</v>
      </c>
      <c r="O138" s="184">
        <v>223274.90299999999</v>
      </c>
      <c r="P138" s="282">
        <v>228057.38</v>
      </c>
      <c r="Q138" s="251">
        <v>2049.09</v>
      </c>
      <c r="R138" s="251">
        <v>2049.09</v>
      </c>
      <c r="S138" s="189">
        <v>69089.969321900251</v>
      </c>
      <c r="T138" s="189"/>
      <c r="U138" s="253">
        <f t="shared" si="27"/>
        <v>5101.0060000000003</v>
      </c>
      <c r="V138" s="189">
        <v>608.99857391944693</v>
      </c>
      <c r="W138" s="189">
        <v>5101.0060000000003</v>
      </c>
      <c r="X138" s="177">
        <f t="shared" si="28"/>
        <v>0.29720440484285554</v>
      </c>
      <c r="Y138" s="177">
        <f t="shared" si="29"/>
        <v>2.4894006607811274</v>
      </c>
    </row>
    <row r="139" spans="1:25" x14ac:dyDescent="0.2">
      <c r="A139" s="153">
        <v>2012</v>
      </c>
      <c r="B139" s="153">
        <v>6</v>
      </c>
      <c r="C139" s="153" t="str">
        <f t="shared" si="25"/>
        <v>20126</v>
      </c>
      <c r="D139" s="153" t="str">
        <f t="shared" si="20"/>
        <v>Q2</v>
      </c>
      <c r="E139" s="153">
        <f t="shared" si="22"/>
        <v>130403.818</v>
      </c>
      <c r="F139" s="153" t="e">
        <f t="shared" si="26"/>
        <v>#N/A</v>
      </c>
      <c r="G139" s="153">
        <f t="shared" si="26"/>
        <v>4394.317</v>
      </c>
      <c r="H139" s="153">
        <f t="shared" si="26"/>
        <v>1742.2639999999999</v>
      </c>
      <c r="L139" s="153">
        <f t="shared" si="30"/>
        <v>2035</v>
      </c>
      <c r="M139" s="177" t="str">
        <f t="shared" si="24"/>
        <v>Q2</v>
      </c>
      <c r="N139" s="177" t="str">
        <f t="shared" si="23"/>
        <v>2035Q2</v>
      </c>
      <c r="O139" s="184">
        <v>224274.87700000001</v>
      </c>
      <c r="P139" s="282">
        <v>229078.10800000001</v>
      </c>
      <c r="Q139" s="251">
        <v>2052.3820000000001</v>
      </c>
      <c r="R139" s="251">
        <v>2052.3820000000001</v>
      </c>
      <c r="S139" s="189">
        <v>69470.238709459431</v>
      </c>
      <c r="T139" s="189"/>
      <c r="U139" s="253">
        <f t="shared" si="27"/>
        <v>5107.7510000000002</v>
      </c>
      <c r="V139" s="189">
        <v>610.30681877623215</v>
      </c>
      <c r="W139" s="189">
        <v>5107.7510000000002</v>
      </c>
      <c r="X139" s="177">
        <f t="shared" si="28"/>
        <v>0.29736511954218664</v>
      </c>
      <c r="Y139" s="177">
        <f t="shared" si="29"/>
        <v>2.488694112499525</v>
      </c>
    </row>
    <row r="140" spans="1:25" x14ac:dyDescent="0.2">
      <c r="A140" s="153">
        <v>2012</v>
      </c>
      <c r="B140" s="153">
        <v>7</v>
      </c>
      <c r="C140" s="153" t="str">
        <f t="shared" si="25"/>
        <v>20127</v>
      </c>
      <c r="D140" s="153" t="str">
        <f t="shared" si="20"/>
        <v>Q3</v>
      </c>
      <c r="E140" s="153">
        <f t="shared" si="22"/>
        <v>131166.87299999999</v>
      </c>
      <c r="F140" s="153" t="e">
        <f t="shared" si="26"/>
        <v>#N/A</v>
      </c>
      <c r="G140" s="153">
        <f t="shared" si="26"/>
        <v>4400.95</v>
      </c>
      <c r="H140" s="153">
        <f t="shared" si="26"/>
        <v>1745.2270000000001</v>
      </c>
      <c r="L140" s="153">
        <f t="shared" si="30"/>
        <v>2035</v>
      </c>
      <c r="M140" s="177" t="str">
        <f t="shared" si="24"/>
        <v>Q3</v>
      </c>
      <c r="N140" s="177" t="str">
        <f t="shared" si="23"/>
        <v>2035Q3</v>
      </c>
      <c r="O140" s="184">
        <v>225199.902</v>
      </c>
      <c r="P140" s="282">
        <v>230026.59599999999</v>
      </c>
      <c r="Q140" s="251">
        <v>2055.6619999999998</v>
      </c>
      <c r="R140" s="251">
        <v>2055.6619999999998</v>
      </c>
      <c r="S140" s="189">
        <v>69817.684773173722</v>
      </c>
      <c r="T140" s="189"/>
      <c r="U140" s="253">
        <f t="shared" si="27"/>
        <v>5114.4719999999998</v>
      </c>
      <c r="V140" s="189">
        <v>611.54517106665378</v>
      </c>
      <c r="W140" s="189">
        <v>5114.4719999999998</v>
      </c>
      <c r="X140" s="177">
        <f t="shared" si="28"/>
        <v>0.29749305628389</v>
      </c>
      <c r="Y140" s="177">
        <f t="shared" si="29"/>
        <v>2.4879926758387323</v>
      </c>
    </row>
    <row r="141" spans="1:25" x14ac:dyDescent="0.2">
      <c r="A141" s="153">
        <v>2012</v>
      </c>
      <c r="B141" s="153">
        <v>8</v>
      </c>
      <c r="C141" s="153" t="str">
        <f t="shared" si="25"/>
        <v>20128</v>
      </c>
      <c r="D141" s="153" t="str">
        <f t="shared" si="20"/>
        <v>Q3</v>
      </c>
      <c r="E141" s="153">
        <f t="shared" si="22"/>
        <v>131166.87299999999</v>
      </c>
      <c r="F141" s="153" t="e">
        <f t="shared" si="26"/>
        <v>#N/A</v>
      </c>
      <c r="G141" s="153">
        <f t="shared" si="26"/>
        <v>4400.95</v>
      </c>
      <c r="H141" s="153">
        <f t="shared" si="26"/>
        <v>1745.2270000000001</v>
      </c>
      <c r="L141" s="153">
        <f t="shared" si="30"/>
        <v>2035</v>
      </c>
      <c r="M141" s="177" t="str">
        <f t="shared" si="24"/>
        <v>Q4</v>
      </c>
      <c r="N141" s="177" t="str">
        <f t="shared" si="23"/>
        <v>2035Q4</v>
      </c>
      <c r="O141" s="184">
        <v>226081.57399999999</v>
      </c>
      <c r="P141" s="282">
        <v>230932.56899999999</v>
      </c>
      <c r="Q141" s="251">
        <v>2058.951</v>
      </c>
      <c r="R141" s="251">
        <v>2058.951</v>
      </c>
      <c r="S141" s="189">
        <v>70167.400418664678</v>
      </c>
      <c r="T141" s="189"/>
      <c r="U141" s="253">
        <f t="shared" si="27"/>
        <v>5121.1570000000002</v>
      </c>
      <c r="V141" s="189">
        <v>612.78041304382668</v>
      </c>
      <c r="W141" s="189">
        <v>5121.1570000000002</v>
      </c>
      <c r="X141" s="177">
        <f t="shared" si="28"/>
        <v>0.29761777382940474</v>
      </c>
      <c r="Y141" s="177">
        <f t="shared" si="29"/>
        <v>2.4872651170426106</v>
      </c>
    </row>
    <row r="142" spans="1:25" x14ac:dyDescent="0.2">
      <c r="A142" s="153">
        <v>2012</v>
      </c>
      <c r="B142" s="153">
        <v>9</v>
      </c>
      <c r="C142" s="153" t="str">
        <f t="shared" si="25"/>
        <v>20129</v>
      </c>
      <c r="D142" s="153" t="str">
        <f t="shared" si="20"/>
        <v>Q3</v>
      </c>
      <c r="E142" s="153">
        <f t="shared" si="22"/>
        <v>131166.87299999999</v>
      </c>
      <c r="F142" s="153" t="e">
        <f t="shared" si="26"/>
        <v>#N/A</v>
      </c>
      <c r="G142" s="153">
        <f t="shared" si="26"/>
        <v>4400.95</v>
      </c>
      <c r="H142" s="153">
        <f t="shared" si="26"/>
        <v>1745.2270000000001</v>
      </c>
      <c r="L142" s="153">
        <f t="shared" si="30"/>
        <v>2036</v>
      </c>
      <c r="M142" s="177" t="str">
        <f t="shared" si="24"/>
        <v>Q1</v>
      </c>
      <c r="N142" s="177" t="str">
        <f t="shared" si="23"/>
        <v>2036Q1</v>
      </c>
      <c r="O142" s="184">
        <v>227897.829</v>
      </c>
      <c r="P142" s="282">
        <v>232760.11799999999</v>
      </c>
      <c r="Q142" s="251">
        <v>2062.277</v>
      </c>
      <c r="R142" s="251">
        <v>2062.277</v>
      </c>
      <c r="S142" s="189">
        <v>70857.293052576584</v>
      </c>
      <c r="T142" s="189"/>
      <c r="U142" s="253">
        <f t="shared" si="27"/>
        <v>5127.8339999999998</v>
      </c>
      <c r="V142" s="189">
        <v>614.08197123421837</v>
      </c>
      <c r="W142" s="189">
        <v>5127.8339999999998</v>
      </c>
      <c r="X142" s="177">
        <f t="shared" si="28"/>
        <v>0.29776890846099646</v>
      </c>
      <c r="Y142" s="177">
        <f t="shared" si="29"/>
        <v>2.486491387917336</v>
      </c>
    </row>
    <row r="143" spans="1:25" x14ac:dyDescent="0.2">
      <c r="A143" s="153">
        <v>2012</v>
      </c>
      <c r="B143" s="153">
        <v>10</v>
      </c>
      <c r="C143" s="153" t="str">
        <f t="shared" si="25"/>
        <v>201210</v>
      </c>
      <c r="D143" s="153" t="str">
        <f t="shared" ref="D143:D206" si="31">D131</f>
        <v>Q4</v>
      </c>
      <c r="E143" s="153">
        <f t="shared" si="22"/>
        <v>132095.09099999999</v>
      </c>
      <c r="F143" s="153" t="e">
        <f t="shared" si="26"/>
        <v>#N/A</v>
      </c>
      <c r="G143" s="153">
        <f t="shared" si="26"/>
        <v>4407.7280000000001</v>
      </c>
      <c r="H143" s="153">
        <f t="shared" si="26"/>
        <v>1748.2629999999999</v>
      </c>
      <c r="L143" s="153">
        <f t="shared" si="30"/>
        <v>2036</v>
      </c>
      <c r="M143" s="177" t="str">
        <f t="shared" si="24"/>
        <v>Q2</v>
      </c>
      <c r="N143" s="177" t="str">
        <f t="shared" si="23"/>
        <v>2036Q2</v>
      </c>
      <c r="O143" s="184">
        <v>228888.74400000001</v>
      </c>
      <c r="P143" s="282">
        <v>233766.63399999999</v>
      </c>
      <c r="Q143" s="251">
        <v>2065.558</v>
      </c>
      <c r="R143" s="251">
        <v>2065.558</v>
      </c>
      <c r="S143" s="189">
        <v>71135.634899548866</v>
      </c>
      <c r="T143" s="189"/>
      <c r="U143" s="253">
        <f t="shared" si="27"/>
        <v>5134.5159999999996</v>
      </c>
      <c r="V143" s="189">
        <v>615.31963809007061</v>
      </c>
      <c r="W143" s="189">
        <v>5134.5159999999996</v>
      </c>
      <c r="X143" s="177">
        <f t="shared" si="28"/>
        <v>0.29789511506821431</v>
      </c>
      <c r="Y143" s="177">
        <f t="shared" si="29"/>
        <v>2.4857767247397553</v>
      </c>
    </row>
    <row r="144" spans="1:25" x14ac:dyDescent="0.2">
      <c r="A144" s="153">
        <v>2012</v>
      </c>
      <c r="B144" s="153">
        <v>11</v>
      </c>
      <c r="C144" s="153" t="str">
        <f t="shared" si="25"/>
        <v>201211</v>
      </c>
      <c r="D144" s="153" t="str">
        <f t="shared" si="31"/>
        <v>Q4</v>
      </c>
      <c r="E144" s="153">
        <f t="shared" si="22"/>
        <v>132095.09099999999</v>
      </c>
      <c r="F144" s="153" t="e">
        <f t="shared" si="26"/>
        <v>#N/A</v>
      </c>
      <c r="G144" s="153">
        <f t="shared" si="26"/>
        <v>4407.7280000000001</v>
      </c>
      <c r="H144" s="153">
        <f t="shared" si="26"/>
        <v>1748.2629999999999</v>
      </c>
      <c r="L144" s="153">
        <f t="shared" si="30"/>
        <v>2036</v>
      </c>
      <c r="M144" s="177" t="str">
        <f t="shared" si="24"/>
        <v>Q3</v>
      </c>
      <c r="N144" s="177" t="str">
        <f t="shared" si="23"/>
        <v>2036Q3</v>
      </c>
      <c r="O144" s="184">
        <v>229812.7</v>
      </c>
      <c r="P144" s="282">
        <v>234701.06</v>
      </c>
      <c r="Q144" s="251">
        <v>2068.8319999999999</v>
      </c>
      <c r="R144" s="251">
        <v>2068.8319999999999</v>
      </c>
      <c r="S144" s="189">
        <v>71458.151592626236</v>
      </c>
      <c r="T144" s="189"/>
      <c r="U144" s="253">
        <f t="shared" si="27"/>
        <v>5141.1930000000002</v>
      </c>
      <c r="V144" s="189">
        <v>616.55778084099461</v>
      </c>
      <c r="W144" s="189">
        <v>5141.1930000000002</v>
      </c>
      <c r="X144" s="177">
        <f t="shared" si="28"/>
        <v>0.29802215976985791</v>
      </c>
      <c r="Y144" s="177">
        <f t="shared" si="29"/>
        <v>2.4850703198713093</v>
      </c>
    </row>
    <row r="145" spans="1:25" x14ac:dyDescent="0.2">
      <c r="A145" s="153">
        <v>2012</v>
      </c>
      <c r="B145" s="153">
        <v>12</v>
      </c>
      <c r="C145" s="153" t="str">
        <f t="shared" si="25"/>
        <v>201212</v>
      </c>
      <c r="D145" s="153" t="str">
        <f t="shared" si="31"/>
        <v>Q4</v>
      </c>
      <c r="E145" s="153">
        <f t="shared" si="22"/>
        <v>132095.09099999999</v>
      </c>
      <c r="F145" s="153" t="e">
        <f t="shared" si="26"/>
        <v>#N/A</v>
      </c>
      <c r="G145" s="153">
        <f t="shared" si="26"/>
        <v>4407.7280000000001</v>
      </c>
      <c r="H145" s="153">
        <f t="shared" si="26"/>
        <v>1748.2629999999999</v>
      </c>
      <c r="L145" s="153">
        <f t="shared" si="30"/>
        <v>2036</v>
      </c>
      <c r="M145" s="177" t="str">
        <f t="shared" si="24"/>
        <v>Q4</v>
      </c>
      <c r="N145" s="177" t="str">
        <f t="shared" si="23"/>
        <v>2036Q4</v>
      </c>
      <c r="O145" s="184">
        <v>230688.69399999999</v>
      </c>
      <c r="P145" s="282">
        <v>235596.95499999999</v>
      </c>
      <c r="Q145" s="251">
        <v>2072.0839999999998</v>
      </c>
      <c r="R145" s="251">
        <v>2072.0839999999998</v>
      </c>
      <c r="S145" s="189">
        <v>71824.680357699355</v>
      </c>
      <c r="T145" s="189"/>
      <c r="U145" s="253">
        <f t="shared" si="27"/>
        <v>5147.8509999999997</v>
      </c>
      <c r="V145" s="189">
        <v>617.79489039157602</v>
      </c>
      <c r="W145" s="189">
        <v>5147.8509999999997</v>
      </c>
      <c r="X145" s="177">
        <f t="shared" si="28"/>
        <v>0.29815146991703817</v>
      </c>
      <c r="Y145" s="177">
        <f t="shared" si="29"/>
        <v>2.484383355114947</v>
      </c>
    </row>
    <row r="146" spans="1:25" x14ac:dyDescent="0.2">
      <c r="A146" s="153">
        <v>2013</v>
      </c>
      <c r="B146" s="153">
        <v>1</v>
      </c>
      <c r="C146" s="153" t="str">
        <f t="shared" si="25"/>
        <v>20131</v>
      </c>
      <c r="D146" s="153" t="str">
        <f t="shared" si="31"/>
        <v>Q1</v>
      </c>
      <c r="E146" s="153">
        <f t="shared" si="22"/>
        <v>132729.997</v>
      </c>
      <c r="F146" s="153" t="e">
        <f t="shared" si="26"/>
        <v>#N/A</v>
      </c>
      <c r="G146" s="153">
        <f t="shared" si="26"/>
        <v>4414.6940000000004</v>
      </c>
      <c r="H146" s="153">
        <f t="shared" si="26"/>
        <v>1751.194</v>
      </c>
      <c r="L146" s="153">
        <f t="shared" si="30"/>
        <v>2037</v>
      </c>
      <c r="M146" s="177" t="str">
        <f t="shared" si="24"/>
        <v>Q1</v>
      </c>
      <c r="N146" s="177" t="str">
        <f t="shared" ref="N146:N169" si="32">L146&amp;M146</f>
        <v>2037Q1</v>
      </c>
      <c r="O146" s="184">
        <v>232435.19899999999</v>
      </c>
      <c r="P146" s="282">
        <v>237377.82699999999</v>
      </c>
      <c r="Q146" s="251">
        <v>2076.9920000000002</v>
      </c>
      <c r="R146" s="251">
        <v>2076.9920000000002</v>
      </c>
      <c r="S146" s="189">
        <v>72447.763150773302</v>
      </c>
      <c r="T146" s="189"/>
      <c r="U146" s="253">
        <f t="shared" si="27"/>
        <v>5154.5029999999997</v>
      </c>
      <c r="V146" s="189">
        <v>619.09722489805438</v>
      </c>
      <c r="W146" s="189">
        <v>5154.5029999999997</v>
      </c>
      <c r="X146" s="177">
        <f t="shared" si="28"/>
        <v>0.2980739573855144</v>
      </c>
      <c r="Y146" s="177">
        <f t="shared" si="29"/>
        <v>2.4817153845561268</v>
      </c>
    </row>
    <row r="147" spans="1:25" x14ac:dyDescent="0.2">
      <c r="A147" s="153">
        <v>2013</v>
      </c>
      <c r="B147" s="153">
        <v>2</v>
      </c>
      <c r="C147" s="153" t="str">
        <f t="shared" si="25"/>
        <v>20132</v>
      </c>
      <c r="D147" s="153" t="str">
        <f t="shared" si="31"/>
        <v>Q1</v>
      </c>
      <c r="E147" s="153">
        <f t="shared" si="22"/>
        <v>132729.997</v>
      </c>
      <c r="F147" s="153" t="e">
        <f t="shared" si="26"/>
        <v>#N/A</v>
      </c>
      <c r="G147" s="153">
        <f t="shared" si="26"/>
        <v>4414.6940000000004</v>
      </c>
      <c r="H147" s="153">
        <f t="shared" si="26"/>
        <v>1751.194</v>
      </c>
      <c r="L147" s="153">
        <f t="shared" si="30"/>
        <v>2037</v>
      </c>
      <c r="M147" s="177" t="str">
        <f t="shared" si="24"/>
        <v>Q2</v>
      </c>
      <c r="N147" s="177" t="str">
        <f t="shared" si="32"/>
        <v>2037Q2</v>
      </c>
      <c r="O147" s="184">
        <v>233443.413</v>
      </c>
      <c r="P147" s="282">
        <v>238443.47399999999</v>
      </c>
      <c r="Q147" s="251">
        <v>2079.442</v>
      </c>
      <c r="R147" s="251">
        <v>2079.442</v>
      </c>
      <c r="S147" s="189">
        <v>72741.245498345263</v>
      </c>
      <c r="T147" s="189"/>
      <c r="U147" s="253">
        <f t="shared" si="27"/>
        <v>5161.152</v>
      </c>
      <c r="V147" s="189">
        <v>620.33591978819868</v>
      </c>
      <c r="W147" s="189">
        <v>5161.152</v>
      </c>
      <c r="X147" s="177">
        <f t="shared" si="28"/>
        <v>0.2983184526369087</v>
      </c>
      <c r="Y147" s="177">
        <f t="shared" si="29"/>
        <v>2.4819889181809351</v>
      </c>
    </row>
    <row r="148" spans="1:25" x14ac:dyDescent="0.2">
      <c r="A148" s="153">
        <v>2013</v>
      </c>
      <c r="B148" s="153">
        <v>3</v>
      </c>
      <c r="C148" s="153" t="str">
        <f t="shared" si="25"/>
        <v>20133</v>
      </c>
      <c r="D148" s="153" t="str">
        <f t="shared" si="31"/>
        <v>Q1</v>
      </c>
      <c r="E148" s="153">
        <f t="shared" si="22"/>
        <v>132729.997</v>
      </c>
      <c r="F148" s="153" t="e">
        <f t="shared" si="26"/>
        <v>#N/A</v>
      </c>
      <c r="G148" s="153">
        <f t="shared" si="26"/>
        <v>4414.6940000000004</v>
      </c>
      <c r="H148" s="153">
        <f t="shared" si="26"/>
        <v>1751.194</v>
      </c>
      <c r="L148" s="153">
        <f t="shared" si="30"/>
        <v>2037</v>
      </c>
      <c r="M148" s="177" t="str">
        <f t="shared" si="24"/>
        <v>Q3</v>
      </c>
      <c r="N148" s="177" t="str">
        <f t="shared" si="32"/>
        <v>2037Q3</v>
      </c>
      <c r="O148" s="184">
        <v>234353.842</v>
      </c>
      <c r="P148" s="282">
        <v>239437.739</v>
      </c>
      <c r="Q148" s="251">
        <v>2082.4160000000002</v>
      </c>
      <c r="R148" s="251">
        <v>2082.4160000000002</v>
      </c>
      <c r="S148" s="189">
        <v>73102.722593319864</v>
      </c>
      <c r="T148" s="189"/>
      <c r="U148" s="253">
        <f t="shared" si="27"/>
        <v>5167.8109999999997</v>
      </c>
      <c r="V148" s="189">
        <v>621.57704803638842</v>
      </c>
      <c r="W148" s="189">
        <v>5167.8109999999997</v>
      </c>
      <c r="X148" s="177">
        <f t="shared" si="28"/>
        <v>0.29848841347568805</v>
      </c>
      <c r="Y148" s="177">
        <f t="shared" si="29"/>
        <v>2.4816419966039445</v>
      </c>
    </row>
    <row r="149" spans="1:25" x14ac:dyDescent="0.2">
      <c r="A149" s="153">
        <v>2013</v>
      </c>
      <c r="B149" s="153">
        <v>4</v>
      </c>
      <c r="C149" s="153" t="str">
        <f t="shared" si="25"/>
        <v>20134</v>
      </c>
      <c r="D149" s="153" t="str">
        <f t="shared" si="31"/>
        <v>Q2</v>
      </c>
      <c r="E149" s="153">
        <f t="shared" si="22"/>
        <v>133712.25599999999</v>
      </c>
      <c r="F149" s="153" t="e">
        <f t="shared" si="26"/>
        <v>#N/A</v>
      </c>
      <c r="G149" s="153">
        <f t="shared" si="26"/>
        <v>4421.8450000000003</v>
      </c>
      <c r="H149" s="153">
        <f t="shared" si="26"/>
        <v>1754.297</v>
      </c>
      <c r="L149" s="153">
        <f t="shared" si="30"/>
        <v>2037</v>
      </c>
      <c r="M149" s="177" t="str">
        <f t="shared" si="24"/>
        <v>Q4</v>
      </c>
      <c r="N149" s="177" t="str">
        <f t="shared" si="32"/>
        <v>2037Q4</v>
      </c>
      <c r="O149" s="184">
        <v>235229.45199999999</v>
      </c>
      <c r="P149" s="282">
        <v>240423.72200000001</v>
      </c>
      <c r="Q149" s="251">
        <v>2085.3620000000001</v>
      </c>
      <c r="R149" s="251">
        <v>2085.3620000000001</v>
      </c>
      <c r="S149" s="189">
        <v>73402.360419798119</v>
      </c>
      <c r="T149" s="189"/>
      <c r="U149" s="253">
        <f t="shared" si="27"/>
        <v>5174.4539999999997</v>
      </c>
      <c r="V149" s="189">
        <v>622.81751671910899</v>
      </c>
      <c r="W149" s="189">
        <v>5174.4539999999997</v>
      </c>
      <c r="X149" s="177">
        <f t="shared" si="28"/>
        <v>0.29866158332179688</v>
      </c>
      <c r="Y149" s="177">
        <f t="shared" si="29"/>
        <v>2.4813217081734487</v>
      </c>
    </row>
    <row r="150" spans="1:25" x14ac:dyDescent="0.2">
      <c r="A150" s="153">
        <v>2013</v>
      </c>
      <c r="B150" s="153">
        <v>5</v>
      </c>
      <c r="C150" s="153" t="str">
        <f t="shared" si="25"/>
        <v>20135</v>
      </c>
      <c r="D150" s="153" t="str">
        <f t="shared" si="31"/>
        <v>Q2</v>
      </c>
      <c r="E150" s="153">
        <f t="shared" si="22"/>
        <v>133712.25599999999</v>
      </c>
      <c r="F150" s="153" t="e">
        <f t="shared" si="26"/>
        <v>#N/A</v>
      </c>
      <c r="G150" s="153">
        <f t="shared" si="26"/>
        <v>4421.8450000000003</v>
      </c>
      <c r="H150" s="153">
        <f t="shared" si="26"/>
        <v>1754.297</v>
      </c>
      <c r="L150" s="153">
        <f t="shared" si="30"/>
        <v>2038</v>
      </c>
      <c r="M150" s="177" t="str">
        <f t="shared" si="24"/>
        <v>Q1</v>
      </c>
      <c r="N150" s="177" t="str">
        <f t="shared" si="32"/>
        <v>2038Q1</v>
      </c>
      <c r="O150" s="184">
        <v>237001.329</v>
      </c>
      <c r="P150" s="282">
        <v>242362.666</v>
      </c>
      <c r="Q150" s="251">
        <v>2088.3440000000001</v>
      </c>
      <c r="R150" s="251">
        <v>2088.3440000000001</v>
      </c>
      <c r="S150" s="189">
        <v>74168.296997856392</v>
      </c>
      <c r="T150" s="189"/>
      <c r="U150" s="253">
        <f t="shared" si="27"/>
        <v>5181.1000000000004</v>
      </c>
      <c r="V150" s="189">
        <v>624.12307531534395</v>
      </c>
      <c r="W150" s="189">
        <v>5181.1000000000004</v>
      </c>
      <c r="X150" s="177">
        <f t="shared" si="28"/>
        <v>0.29886028131157699</v>
      </c>
      <c r="Y150" s="177">
        <f t="shared" si="29"/>
        <v>2.480960991101083</v>
      </c>
    </row>
    <row r="151" spans="1:25" x14ac:dyDescent="0.2">
      <c r="A151" s="153">
        <v>2013</v>
      </c>
      <c r="B151" s="153">
        <v>6</v>
      </c>
      <c r="C151" s="153" t="str">
        <f t="shared" si="25"/>
        <v>20136</v>
      </c>
      <c r="D151" s="153" t="str">
        <f t="shared" si="31"/>
        <v>Q2</v>
      </c>
      <c r="E151" s="153">
        <f t="shared" si="22"/>
        <v>133712.25599999999</v>
      </c>
      <c r="F151" s="153" t="e">
        <f t="shared" si="26"/>
        <v>#N/A</v>
      </c>
      <c r="G151" s="153">
        <f t="shared" si="26"/>
        <v>4421.8450000000003</v>
      </c>
      <c r="H151" s="153">
        <f t="shared" si="26"/>
        <v>1754.297</v>
      </c>
      <c r="L151" s="153">
        <f t="shared" si="30"/>
        <v>2038</v>
      </c>
      <c r="M151" s="177" t="str">
        <f t="shared" si="24"/>
        <v>Q2</v>
      </c>
      <c r="N151" s="177" t="str">
        <f t="shared" si="32"/>
        <v>2038Q2</v>
      </c>
      <c r="O151" s="184">
        <v>237918.01</v>
      </c>
      <c r="P151" s="282">
        <v>243384.36900000001</v>
      </c>
      <c r="Q151" s="251">
        <v>2091.375</v>
      </c>
      <c r="R151" s="251">
        <v>2091.375</v>
      </c>
      <c r="S151" s="189">
        <v>74450.486243109015</v>
      </c>
      <c r="T151" s="189"/>
      <c r="U151" s="253">
        <f t="shared" si="27"/>
        <v>5187.7489999999998</v>
      </c>
      <c r="V151" s="189">
        <v>625.36688214467949</v>
      </c>
      <c r="W151" s="189">
        <v>5187.7489999999998</v>
      </c>
      <c r="X151" s="177">
        <f t="shared" si="28"/>
        <v>0.29902187897659649</v>
      </c>
      <c r="Y151" s="177">
        <f t="shared" si="29"/>
        <v>2.4805446177753869</v>
      </c>
    </row>
    <row r="152" spans="1:25" x14ac:dyDescent="0.2">
      <c r="A152" s="153">
        <v>2013</v>
      </c>
      <c r="B152" s="153">
        <v>7</v>
      </c>
      <c r="C152" s="153" t="str">
        <f t="shared" si="25"/>
        <v>20137</v>
      </c>
      <c r="D152" s="153" t="str">
        <f t="shared" si="31"/>
        <v>Q3</v>
      </c>
      <c r="E152" s="153">
        <f t="shared" si="22"/>
        <v>134397.17499999999</v>
      </c>
      <c r="F152" s="153" t="e">
        <f t="shared" si="26"/>
        <v>#N/A</v>
      </c>
      <c r="G152" s="153">
        <f t="shared" si="26"/>
        <v>4429.1769999999997</v>
      </c>
      <c r="H152" s="153">
        <f t="shared" si="26"/>
        <v>1757.2080000000001</v>
      </c>
      <c r="L152" s="153">
        <f t="shared" si="30"/>
        <v>2038</v>
      </c>
      <c r="M152" s="177" t="str">
        <f t="shared" si="24"/>
        <v>Q3</v>
      </c>
      <c r="N152" s="177" t="str">
        <f t="shared" si="32"/>
        <v>2038Q3</v>
      </c>
      <c r="O152" s="184">
        <v>238774.076</v>
      </c>
      <c r="P152" s="282">
        <v>244346.58900000001</v>
      </c>
      <c r="Q152" s="251">
        <v>2094.3809999999999</v>
      </c>
      <c r="R152" s="251">
        <v>2094.3809999999999</v>
      </c>
      <c r="S152" s="189">
        <v>74816.632055130074</v>
      </c>
      <c r="T152" s="189"/>
      <c r="U152" s="253">
        <f t="shared" si="27"/>
        <v>5194.402</v>
      </c>
      <c r="V152" s="189">
        <v>626.6757622102748</v>
      </c>
      <c r="W152" s="189">
        <v>5194.402</v>
      </c>
      <c r="X152" s="177">
        <f t="shared" si="28"/>
        <v>0.29921765056609795</v>
      </c>
      <c r="Y152" s="177">
        <f t="shared" si="29"/>
        <v>2.4801609640270801</v>
      </c>
    </row>
    <row r="153" spans="1:25" x14ac:dyDescent="0.2">
      <c r="A153" s="153">
        <v>2013</v>
      </c>
      <c r="B153" s="153">
        <v>8</v>
      </c>
      <c r="C153" s="153" t="str">
        <f t="shared" si="25"/>
        <v>20138</v>
      </c>
      <c r="D153" s="153" t="str">
        <f t="shared" si="31"/>
        <v>Q3</v>
      </c>
      <c r="E153" s="153">
        <f t="shared" si="22"/>
        <v>134397.17499999999</v>
      </c>
      <c r="F153" s="153" t="e">
        <f t="shared" si="26"/>
        <v>#N/A</v>
      </c>
      <c r="G153" s="153">
        <f t="shared" si="26"/>
        <v>4429.1769999999997</v>
      </c>
      <c r="H153" s="153">
        <f t="shared" si="26"/>
        <v>1757.2080000000001</v>
      </c>
      <c r="L153" s="153">
        <f t="shared" si="30"/>
        <v>2038</v>
      </c>
      <c r="M153" s="177" t="str">
        <f t="shared" si="24"/>
        <v>Q4</v>
      </c>
      <c r="N153" s="177" t="str">
        <f t="shared" si="32"/>
        <v>2038Q4</v>
      </c>
      <c r="O153" s="184">
        <v>239533.158</v>
      </c>
      <c r="P153" s="282">
        <v>245240.24900000001</v>
      </c>
      <c r="Q153" s="251">
        <v>2097.3989999999999</v>
      </c>
      <c r="R153" s="251">
        <v>2097.3989999999999</v>
      </c>
      <c r="S153" s="189">
        <v>75064.067244100908</v>
      </c>
      <c r="T153" s="189"/>
      <c r="U153" s="253">
        <f t="shared" si="27"/>
        <v>5201.0860000000002</v>
      </c>
      <c r="V153" s="189">
        <v>627.92641844128025</v>
      </c>
      <c r="W153" s="189">
        <v>5201.0860000000002</v>
      </c>
      <c r="X153" s="177">
        <f t="shared" si="28"/>
        <v>0.29938338792060082</v>
      </c>
      <c r="Y153" s="177">
        <f t="shared" si="29"/>
        <v>2.479779002469249</v>
      </c>
    </row>
    <row r="154" spans="1:25" x14ac:dyDescent="0.2">
      <c r="A154" s="153">
        <v>2013</v>
      </c>
      <c r="B154" s="153">
        <v>9</v>
      </c>
      <c r="C154" s="153" t="str">
        <f t="shared" si="25"/>
        <v>20139</v>
      </c>
      <c r="D154" s="153" t="str">
        <f t="shared" si="31"/>
        <v>Q3</v>
      </c>
      <c r="E154" s="153">
        <f t="shared" si="22"/>
        <v>134397.17499999999</v>
      </c>
      <c r="F154" s="153" t="e">
        <f t="shared" si="26"/>
        <v>#N/A</v>
      </c>
      <c r="G154" s="153">
        <f t="shared" si="26"/>
        <v>4429.1769999999997</v>
      </c>
      <c r="H154" s="153">
        <f t="shared" si="26"/>
        <v>1757.2080000000001</v>
      </c>
      <c r="L154" s="153">
        <f t="shared" si="30"/>
        <v>2039</v>
      </c>
      <c r="M154" s="177" t="str">
        <f t="shared" si="24"/>
        <v>Q1</v>
      </c>
      <c r="N154" s="177" t="str">
        <f t="shared" si="32"/>
        <v>2039Q1</v>
      </c>
      <c r="O154" s="184">
        <v>241255.864</v>
      </c>
      <c r="P154" s="282">
        <v>247113.47500000001</v>
      </c>
      <c r="Q154" s="251">
        <v>2100.3829999999998</v>
      </c>
      <c r="R154" s="251">
        <v>2100.3829999999998</v>
      </c>
      <c r="S154" s="189">
        <v>75840.568404815305</v>
      </c>
      <c r="T154" s="189"/>
      <c r="U154" s="253">
        <f t="shared" si="27"/>
        <v>5207.7619999999997</v>
      </c>
      <c r="V154" s="189">
        <v>629.17800150538812</v>
      </c>
      <c r="W154" s="189">
        <v>5207.7619999999997</v>
      </c>
      <c r="X154" s="177">
        <f t="shared" si="28"/>
        <v>0.29955393921269985</v>
      </c>
      <c r="Y154" s="177">
        <f t="shared" si="29"/>
        <v>2.4794344650475653</v>
      </c>
    </row>
    <row r="155" spans="1:25" x14ac:dyDescent="0.2">
      <c r="A155" s="153">
        <v>2013</v>
      </c>
      <c r="B155" s="153">
        <v>10</v>
      </c>
      <c r="C155" s="153" t="str">
        <f t="shared" si="25"/>
        <v>201310</v>
      </c>
      <c r="D155" s="153" t="str">
        <f t="shared" si="31"/>
        <v>Q4</v>
      </c>
      <c r="E155" s="153">
        <f t="shared" si="22"/>
        <v>135147.93599999999</v>
      </c>
      <c r="F155" s="153" t="e">
        <f t="shared" si="26"/>
        <v>#N/A</v>
      </c>
      <c r="G155" s="153">
        <f t="shared" si="26"/>
        <v>4436.7079999999996</v>
      </c>
      <c r="H155" s="153">
        <f t="shared" si="26"/>
        <v>1760.5619999999999</v>
      </c>
      <c r="L155" s="153">
        <f t="shared" si="30"/>
        <v>2039</v>
      </c>
      <c r="M155" s="177" t="str">
        <f t="shared" si="24"/>
        <v>Q2</v>
      </c>
      <c r="N155" s="177" t="str">
        <f t="shared" si="32"/>
        <v>2039Q2</v>
      </c>
      <c r="O155" s="184">
        <v>242089.55</v>
      </c>
      <c r="P155" s="282">
        <v>248057.94699999999</v>
      </c>
      <c r="Q155" s="251">
        <v>2103.498</v>
      </c>
      <c r="R155" s="251">
        <v>2103.498</v>
      </c>
      <c r="S155" s="189">
        <v>76141.322355622717</v>
      </c>
      <c r="T155" s="189"/>
      <c r="U155" s="253">
        <f t="shared" si="27"/>
        <v>5214.4319999999998</v>
      </c>
      <c r="V155" s="189">
        <v>630.42944147805736</v>
      </c>
      <c r="W155" s="189">
        <v>5214.4319999999998</v>
      </c>
      <c r="X155" s="177">
        <f t="shared" si="28"/>
        <v>0.29970527258787855</v>
      </c>
      <c r="Y155" s="177">
        <f t="shared" si="29"/>
        <v>2.4789336619288442</v>
      </c>
    </row>
    <row r="156" spans="1:25" x14ac:dyDescent="0.2">
      <c r="A156" s="153">
        <v>2013</v>
      </c>
      <c r="B156" s="153">
        <v>11</v>
      </c>
      <c r="C156" s="153" t="str">
        <f t="shared" si="25"/>
        <v>201311</v>
      </c>
      <c r="D156" s="153" t="str">
        <f t="shared" si="31"/>
        <v>Q4</v>
      </c>
      <c r="E156" s="153">
        <f t="shared" si="22"/>
        <v>135147.93599999999</v>
      </c>
      <c r="F156" s="153" t="e">
        <f t="shared" si="26"/>
        <v>#N/A</v>
      </c>
      <c r="G156" s="153">
        <f t="shared" si="26"/>
        <v>4436.7079999999996</v>
      </c>
      <c r="H156" s="153">
        <f t="shared" si="26"/>
        <v>1760.5619999999999</v>
      </c>
      <c r="L156" s="153">
        <f t="shared" si="30"/>
        <v>2039</v>
      </c>
      <c r="M156" s="177" t="str">
        <f t="shared" si="24"/>
        <v>Q3</v>
      </c>
      <c r="N156" s="177" t="str">
        <f t="shared" si="32"/>
        <v>2039Q3</v>
      </c>
      <c r="O156" s="184">
        <v>242952.587</v>
      </c>
      <c r="P156" s="282">
        <v>249055.18700000001</v>
      </c>
      <c r="Q156" s="251">
        <v>2106.587</v>
      </c>
      <c r="R156" s="251">
        <v>2106.587</v>
      </c>
      <c r="S156" s="189">
        <v>76492.965770602008</v>
      </c>
      <c r="T156" s="189"/>
      <c r="U156" s="253">
        <f t="shared" si="27"/>
        <v>5221.0969999999998</v>
      </c>
      <c r="V156" s="189">
        <v>631.80927700202119</v>
      </c>
      <c r="W156" s="189">
        <v>5221.0969999999998</v>
      </c>
      <c r="X156" s="177">
        <f t="shared" si="28"/>
        <v>0.29992080887332029</v>
      </c>
      <c r="Y156" s="177">
        <f t="shared" si="29"/>
        <v>2.4784625557833593</v>
      </c>
    </row>
    <row r="157" spans="1:25" x14ac:dyDescent="0.2">
      <c r="A157" s="153">
        <v>2013</v>
      </c>
      <c r="B157" s="153">
        <v>12</v>
      </c>
      <c r="C157" s="153" t="str">
        <f t="shared" si="25"/>
        <v>201312</v>
      </c>
      <c r="D157" s="153" t="str">
        <f t="shared" si="31"/>
        <v>Q4</v>
      </c>
      <c r="E157" s="153">
        <f t="shared" si="22"/>
        <v>135147.93599999999</v>
      </c>
      <c r="F157" s="153" t="e">
        <f t="shared" si="26"/>
        <v>#N/A</v>
      </c>
      <c r="G157" s="153">
        <f t="shared" si="26"/>
        <v>4436.7079999999996</v>
      </c>
      <c r="H157" s="153">
        <f t="shared" si="26"/>
        <v>1760.5619999999999</v>
      </c>
      <c r="L157" s="153">
        <f t="shared" si="30"/>
        <v>2039</v>
      </c>
      <c r="M157" s="177" t="str">
        <f t="shared" si="24"/>
        <v>Q4</v>
      </c>
      <c r="N157" s="177" t="str">
        <f t="shared" si="32"/>
        <v>2039Q4</v>
      </c>
      <c r="O157" s="184">
        <v>243706.79399999999</v>
      </c>
      <c r="P157" s="282">
        <v>249930.71799999999</v>
      </c>
      <c r="Q157" s="251">
        <v>2109.66</v>
      </c>
      <c r="R157" s="251">
        <v>2109.66</v>
      </c>
      <c r="S157" s="189">
        <v>76695.004703515413</v>
      </c>
      <c r="T157" s="189"/>
      <c r="U157" s="253">
        <f t="shared" si="27"/>
        <v>5227.7560000000003</v>
      </c>
      <c r="V157" s="189">
        <v>633.06216126926881</v>
      </c>
      <c r="W157" s="189">
        <v>5227.7560000000003</v>
      </c>
      <c r="X157" s="177">
        <f t="shared" si="28"/>
        <v>0.30007781408817952</v>
      </c>
      <c r="Y157" s="177">
        <f t="shared" si="29"/>
        <v>2.4780087786657568</v>
      </c>
    </row>
    <row r="158" spans="1:25" x14ac:dyDescent="0.2">
      <c r="A158" s="153">
        <v>2014</v>
      </c>
      <c r="B158" s="153">
        <v>1</v>
      </c>
      <c r="C158" s="153" t="str">
        <f t="shared" si="25"/>
        <v>20141</v>
      </c>
      <c r="D158" s="153" t="str">
        <f t="shared" si="31"/>
        <v>Q1</v>
      </c>
      <c r="E158" s="153">
        <f t="shared" si="22"/>
        <v>136646.935</v>
      </c>
      <c r="F158" s="153" t="e">
        <f t="shared" si="26"/>
        <v>#N/A</v>
      </c>
      <c r="G158" s="153">
        <f t="shared" si="26"/>
        <v>4444.3590000000004</v>
      </c>
      <c r="H158" s="153">
        <f t="shared" si="26"/>
        <v>1763.893</v>
      </c>
      <c r="L158" s="153">
        <f t="shared" si="30"/>
        <v>2040</v>
      </c>
      <c r="M158" s="177" t="str">
        <f t="shared" si="24"/>
        <v>Q1</v>
      </c>
      <c r="N158" s="177" t="str">
        <f t="shared" si="32"/>
        <v>2040Q1</v>
      </c>
      <c r="O158" s="184">
        <v>245424.038</v>
      </c>
      <c r="P158" s="282">
        <v>251757.19200000001</v>
      </c>
      <c r="Q158" s="251">
        <v>2112.6480000000001</v>
      </c>
      <c r="R158" s="251">
        <v>2112.6480000000001</v>
      </c>
      <c r="S158" s="189">
        <v>77513.638711835636</v>
      </c>
      <c r="T158" s="189"/>
      <c r="U158" s="253">
        <f t="shared" si="27"/>
        <v>5234.41</v>
      </c>
      <c r="V158" s="189">
        <v>634.25135022203006</v>
      </c>
      <c r="W158" s="189">
        <v>5234.41</v>
      </c>
      <c r="X158" s="177">
        <f t="shared" si="28"/>
        <v>0.30021629264412719</v>
      </c>
      <c r="Y158" s="177">
        <f t="shared" si="29"/>
        <v>2.4776536365736268</v>
      </c>
    </row>
    <row r="159" spans="1:25" x14ac:dyDescent="0.2">
      <c r="A159" s="153">
        <v>2014</v>
      </c>
      <c r="B159" s="153">
        <v>2</v>
      </c>
      <c r="C159" s="153" t="str">
        <f t="shared" si="25"/>
        <v>20142</v>
      </c>
      <c r="D159" s="153" t="str">
        <f t="shared" si="31"/>
        <v>Q1</v>
      </c>
      <c r="E159" s="153">
        <f t="shared" si="22"/>
        <v>136646.935</v>
      </c>
      <c r="F159" s="153" t="e">
        <f t="shared" si="26"/>
        <v>#N/A</v>
      </c>
      <c r="G159" s="153">
        <f t="shared" si="26"/>
        <v>4444.3590000000004</v>
      </c>
      <c r="H159" s="153">
        <f t="shared" si="26"/>
        <v>1763.893</v>
      </c>
      <c r="L159" s="153">
        <f t="shared" si="30"/>
        <v>2040</v>
      </c>
      <c r="M159" s="177" t="str">
        <f t="shared" si="24"/>
        <v>Q2</v>
      </c>
      <c r="N159" s="177" t="str">
        <f t="shared" si="32"/>
        <v>2040Q2</v>
      </c>
      <c r="O159" s="184">
        <v>246375.226</v>
      </c>
      <c r="P159" s="282">
        <v>252883.185</v>
      </c>
      <c r="Q159" s="251">
        <v>2115.703</v>
      </c>
      <c r="R159" s="251">
        <v>2115.703</v>
      </c>
      <c r="S159" s="189">
        <v>77841.976074505961</v>
      </c>
      <c r="T159" s="189"/>
      <c r="U159" s="253">
        <f t="shared" si="27"/>
        <v>5241.0609999999997</v>
      </c>
      <c r="V159" s="189">
        <v>635.50431009664203</v>
      </c>
      <c r="W159" s="189">
        <v>5241.0609999999997</v>
      </c>
      <c r="X159" s="177">
        <f t="shared" si="28"/>
        <v>0.30037501014870333</v>
      </c>
      <c r="Y159" s="177">
        <f t="shared" si="29"/>
        <v>2.477219628652982</v>
      </c>
    </row>
    <row r="160" spans="1:25" x14ac:dyDescent="0.2">
      <c r="A160" s="153">
        <v>2014</v>
      </c>
      <c r="B160" s="153">
        <v>3</v>
      </c>
      <c r="C160" s="153" t="str">
        <f t="shared" si="25"/>
        <v>20143</v>
      </c>
      <c r="D160" s="153" t="str">
        <f t="shared" si="31"/>
        <v>Q1</v>
      </c>
      <c r="E160" s="153">
        <f t="shared" si="22"/>
        <v>136646.935</v>
      </c>
      <c r="F160" s="153" t="e">
        <f t="shared" si="26"/>
        <v>#N/A</v>
      </c>
      <c r="G160" s="153">
        <f t="shared" si="26"/>
        <v>4444.3590000000004</v>
      </c>
      <c r="H160" s="153">
        <f t="shared" si="26"/>
        <v>1763.893</v>
      </c>
      <c r="L160" s="153">
        <f t="shared" si="30"/>
        <v>2040</v>
      </c>
      <c r="M160" s="177" t="str">
        <f t="shared" si="24"/>
        <v>Q3</v>
      </c>
      <c r="N160" s="177" t="str">
        <f t="shared" si="32"/>
        <v>2040Q3</v>
      </c>
      <c r="O160" s="184">
        <v>247249.16699999999</v>
      </c>
      <c r="P160" s="282">
        <v>253917.54399999999</v>
      </c>
      <c r="Q160" s="251">
        <v>2118.7440000000001</v>
      </c>
      <c r="R160" s="251">
        <v>2118.7440000000001</v>
      </c>
      <c r="S160" s="189">
        <v>78204.146715535113</v>
      </c>
      <c r="T160" s="189"/>
      <c r="U160" s="253">
        <f t="shared" si="27"/>
        <v>5247.7089999999998</v>
      </c>
      <c r="V160" s="189">
        <v>636.950438588221</v>
      </c>
      <c r="W160" s="189">
        <v>5247.7089999999998</v>
      </c>
      <c r="X160" s="177">
        <f t="shared" si="28"/>
        <v>0.30062642706632842</v>
      </c>
      <c r="Y160" s="177">
        <f t="shared" si="29"/>
        <v>2.4768018222116495</v>
      </c>
    </row>
    <row r="161" spans="1:25" x14ac:dyDescent="0.2">
      <c r="A161" s="153">
        <v>2014</v>
      </c>
      <c r="B161" s="153">
        <v>4</v>
      </c>
      <c r="C161" s="153" t="str">
        <f t="shared" si="25"/>
        <v>20144</v>
      </c>
      <c r="D161" s="153" t="str">
        <f t="shared" si="31"/>
        <v>Q2</v>
      </c>
      <c r="E161" s="153">
        <f t="shared" si="22"/>
        <v>137566.70699999999</v>
      </c>
      <c r="F161" s="153" t="e">
        <f t="shared" si="26"/>
        <v>#N/A</v>
      </c>
      <c r="G161" s="153">
        <f t="shared" si="26"/>
        <v>4452.1120000000001</v>
      </c>
      <c r="H161" s="153">
        <f t="shared" si="26"/>
        <v>1767.1759999999999</v>
      </c>
      <c r="L161" s="153">
        <f t="shared" si="30"/>
        <v>2040</v>
      </c>
      <c r="M161" s="177" t="str">
        <f t="shared" si="24"/>
        <v>Q4</v>
      </c>
      <c r="N161" s="177" t="str">
        <f t="shared" si="32"/>
        <v>2040Q4</v>
      </c>
      <c r="O161" s="184">
        <v>247944.00599999999</v>
      </c>
      <c r="P161" s="282">
        <v>254763.37400000001</v>
      </c>
      <c r="Q161" s="251">
        <v>2121.819</v>
      </c>
      <c r="R161" s="251">
        <v>2121.819</v>
      </c>
      <c r="S161" s="189">
        <v>78353.210632927832</v>
      </c>
      <c r="T161" s="189"/>
      <c r="U161" s="253">
        <f t="shared" si="27"/>
        <v>5254.3540000000003</v>
      </c>
      <c r="V161" s="189">
        <v>638.20565882033202</v>
      </c>
      <c r="W161" s="189">
        <v>5254.3540000000003</v>
      </c>
      <c r="X161" s="177">
        <f t="shared" si="28"/>
        <v>0.30078232819120387</v>
      </c>
      <c r="Y161" s="177">
        <f t="shared" si="29"/>
        <v>2.4763441179478551</v>
      </c>
    </row>
    <row r="162" spans="1:25" x14ac:dyDescent="0.2">
      <c r="A162" s="153">
        <v>2014</v>
      </c>
      <c r="B162" s="153">
        <v>5</v>
      </c>
      <c r="C162" s="153" t="str">
        <f t="shared" si="25"/>
        <v>20145</v>
      </c>
      <c r="D162" s="153" t="str">
        <f t="shared" si="31"/>
        <v>Q2</v>
      </c>
      <c r="E162" s="153">
        <f t="shared" si="22"/>
        <v>137566.70699999999</v>
      </c>
      <c r="F162" s="153" t="e">
        <f t="shared" si="26"/>
        <v>#N/A</v>
      </c>
      <c r="G162" s="153">
        <f t="shared" si="26"/>
        <v>4452.1120000000001</v>
      </c>
      <c r="H162" s="153">
        <f t="shared" si="26"/>
        <v>1767.1759999999999</v>
      </c>
      <c r="L162" s="153">
        <f t="shared" si="30"/>
        <v>2041</v>
      </c>
      <c r="M162" s="177" t="str">
        <f t="shared" si="24"/>
        <v>Q1</v>
      </c>
      <c r="N162" s="177" t="str">
        <f t="shared" si="32"/>
        <v>2041Q1</v>
      </c>
      <c r="O162" s="188">
        <v>249612.27900000001</v>
      </c>
      <c r="P162" s="282">
        <v>256203.18400000001</v>
      </c>
      <c r="Q162" s="252">
        <v>2125.2959999999998</v>
      </c>
      <c r="R162" s="252">
        <v>2125.2959999999998</v>
      </c>
      <c r="S162" s="189">
        <v>79359.287038077135</v>
      </c>
      <c r="T162" s="189"/>
      <c r="U162" s="253">
        <f t="shared" si="27"/>
        <v>5261</v>
      </c>
      <c r="V162" s="189">
        <v>639.33871660719103</v>
      </c>
      <c r="W162" s="189">
        <v>5261</v>
      </c>
      <c r="X162" s="177">
        <f t="shared" si="28"/>
        <v>0.30082337547672938</v>
      </c>
      <c r="Y162" s="177">
        <f t="shared" si="29"/>
        <v>2.4754198944523496</v>
      </c>
    </row>
    <row r="163" spans="1:25" x14ac:dyDescent="0.2">
      <c r="A163" s="153">
        <v>2014</v>
      </c>
      <c r="B163" s="153">
        <v>6</v>
      </c>
      <c r="C163" s="153" t="str">
        <f t="shared" si="25"/>
        <v>20146</v>
      </c>
      <c r="D163" s="153" t="str">
        <f t="shared" si="31"/>
        <v>Q2</v>
      </c>
      <c r="E163" s="153">
        <f t="shared" ref="E163:E226" si="33">VLOOKUP($A163&amp;$D163,$N$1:$U$169,MATCH(E$1,$N$1:$U$1,0),0)</f>
        <v>137566.70699999999</v>
      </c>
      <c r="F163" s="153" t="e">
        <f t="shared" si="26"/>
        <v>#N/A</v>
      </c>
      <c r="G163" s="153">
        <f t="shared" si="26"/>
        <v>4452.1120000000001</v>
      </c>
      <c r="H163" s="153">
        <f t="shared" si="26"/>
        <v>1767.1759999999999</v>
      </c>
      <c r="L163" s="153">
        <f t="shared" si="30"/>
        <v>2041</v>
      </c>
      <c r="M163" s="177" t="str">
        <f t="shared" si="24"/>
        <v>Q2</v>
      </c>
      <c r="N163" s="177" t="str">
        <f t="shared" si="32"/>
        <v>2041Q2</v>
      </c>
      <c r="O163" s="188">
        <v>250429.492</v>
      </c>
      <c r="P163" s="282">
        <v>257235.641</v>
      </c>
      <c r="Q163" s="252">
        <v>2128.549</v>
      </c>
      <c r="R163" s="252">
        <v>2128.549</v>
      </c>
      <c r="S163" s="189">
        <v>79663.055240366433</v>
      </c>
      <c r="T163" s="189"/>
      <c r="U163" s="253">
        <f t="shared" si="27"/>
        <v>5267.6459999999997</v>
      </c>
      <c r="V163" s="189">
        <v>640.59501436949245</v>
      </c>
      <c r="W163" s="189">
        <v>5267.6459999999997</v>
      </c>
      <c r="X163" s="177">
        <f t="shared" si="28"/>
        <v>0.30095384901615724</v>
      </c>
      <c r="Y163" s="177">
        <f t="shared" si="29"/>
        <v>2.4747590964549087</v>
      </c>
    </row>
    <row r="164" spans="1:25" x14ac:dyDescent="0.2">
      <c r="A164" s="153">
        <v>2014</v>
      </c>
      <c r="B164" s="153">
        <v>7</v>
      </c>
      <c r="C164" s="153" t="str">
        <f t="shared" si="25"/>
        <v>20147</v>
      </c>
      <c r="D164" s="153" t="str">
        <f t="shared" si="31"/>
        <v>Q3</v>
      </c>
      <c r="E164" s="153">
        <f t="shared" si="33"/>
        <v>138505.228</v>
      </c>
      <c r="F164" s="153" t="e">
        <f t="shared" si="26"/>
        <v>#N/A</v>
      </c>
      <c r="G164" s="153">
        <f t="shared" si="26"/>
        <v>4459.9639999999999</v>
      </c>
      <c r="H164" s="153">
        <f t="shared" si="26"/>
        <v>1770.816</v>
      </c>
      <c r="L164" s="153">
        <f t="shared" si="30"/>
        <v>2041</v>
      </c>
      <c r="M164" s="177" t="str">
        <f t="shared" ref="M164:M169" si="34">M160</f>
        <v>Q3</v>
      </c>
      <c r="N164" s="177" t="str">
        <f t="shared" si="32"/>
        <v>2041Q3</v>
      </c>
      <c r="O164" s="188">
        <v>251394.72700000001</v>
      </c>
      <c r="P164" s="282">
        <v>258263.05900000001</v>
      </c>
      <c r="Q164" s="252">
        <v>2131.8040000000001</v>
      </c>
      <c r="R164" s="252">
        <v>2131.8040000000001</v>
      </c>
      <c r="S164" s="189">
        <v>80091.173605845252</v>
      </c>
      <c r="T164" s="189"/>
      <c r="U164" s="253">
        <f t="shared" si="27"/>
        <v>5274.2950000000001</v>
      </c>
      <c r="V164" s="189">
        <v>642.11068526836198</v>
      </c>
      <c r="W164" s="189">
        <v>5274.2950000000001</v>
      </c>
      <c r="X164" s="177">
        <f t="shared" si="28"/>
        <v>0.301205310276349</v>
      </c>
      <c r="Y164" s="177">
        <f t="shared" si="29"/>
        <v>2.4740994012582771</v>
      </c>
    </row>
    <row r="165" spans="1:25" x14ac:dyDescent="0.2">
      <c r="A165" s="153">
        <v>2014</v>
      </c>
      <c r="B165" s="153">
        <v>8</v>
      </c>
      <c r="C165" s="153" t="str">
        <f t="shared" si="25"/>
        <v>20148</v>
      </c>
      <c r="D165" s="153" t="str">
        <f t="shared" si="31"/>
        <v>Q3</v>
      </c>
      <c r="E165" s="153">
        <f t="shared" si="33"/>
        <v>138505.228</v>
      </c>
      <c r="F165" s="153" t="e">
        <f t="shared" si="26"/>
        <v>#N/A</v>
      </c>
      <c r="G165" s="153">
        <f t="shared" si="26"/>
        <v>4459.9639999999999</v>
      </c>
      <c r="H165" s="153">
        <f t="shared" si="26"/>
        <v>1770.816</v>
      </c>
      <c r="L165" s="153">
        <f t="shared" si="30"/>
        <v>2041</v>
      </c>
      <c r="M165" s="177" t="str">
        <f t="shared" si="34"/>
        <v>Q4</v>
      </c>
      <c r="N165" s="177" t="str">
        <f t="shared" si="32"/>
        <v>2041Q4</v>
      </c>
      <c r="O165" s="188">
        <v>252359.43400000001</v>
      </c>
      <c r="P165" s="282">
        <v>259222.601</v>
      </c>
      <c r="Q165" s="252">
        <v>2135.0920000000001</v>
      </c>
      <c r="R165" s="252">
        <v>2135.0920000000001</v>
      </c>
      <c r="S165" s="189">
        <v>80240.833138693764</v>
      </c>
      <c r="T165" s="189"/>
      <c r="U165" s="253">
        <f t="shared" si="27"/>
        <v>5280.9449999999997</v>
      </c>
      <c r="V165" s="189">
        <v>643.37052213524282</v>
      </c>
      <c r="W165" s="189">
        <v>5280.9449999999997</v>
      </c>
      <c r="X165" s="177">
        <f t="shared" si="28"/>
        <v>0.30133152207738251</v>
      </c>
      <c r="Y165" s="177">
        <f t="shared" si="29"/>
        <v>2.4734039563634727</v>
      </c>
    </row>
    <row r="166" spans="1:25" x14ac:dyDescent="0.2">
      <c r="A166" s="153">
        <v>2014</v>
      </c>
      <c r="B166" s="153">
        <v>9</v>
      </c>
      <c r="C166" s="153" t="str">
        <f t="shared" si="25"/>
        <v>20149</v>
      </c>
      <c r="D166" s="153" t="str">
        <f t="shared" si="31"/>
        <v>Q3</v>
      </c>
      <c r="E166" s="153">
        <f t="shared" si="33"/>
        <v>138505.228</v>
      </c>
      <c r="F166" s="153" t="e">
        <f t="shared" si="26"/>
        <v>#N/A</v>
      </c>
      <c r="G166" s="153">
        <f t="shared" si="26"/>
        <v>4459.9639999999999</v>
      </c>
      <c r="H166" s="153">
        <f t="shared" si="26"/>
        <v>1770.816</v>
      </c>
      <c r="L166" s="153">
        <f t="shared" si="30"/>
        <v>2042</v>
      </c>
      <c r="M166" s="177" t="str">
        <f t="shared" si="34"/>
        <v>Q1</v>
      </c>
      <c r="N166" s="177" t="str">
        <f t="shared" si="32"/>
        <v>2042Q1</v>
      </c>
      <c r="O166" s="187">
        <f>O162*(1.015)</f>
        <v>253356.46318499997</v>
      </c>
      <c r="P166" s="282">
        <v>260797.06299999999</v>
      </c>
      <c r="Q166" s="187">
        <f>Q161*(1.0075)</f>
        <v>2137.7326425000001</v>
      </c>
      <c r="R166" s="187"/>
      <c r="S166" s="187">
        <f>S162*(1.015)</f>
        <v>80549.676343648287</v>
      </c>
      <c r="T166" s="189"/>
      <c r="U166" s="187">
        <f>U165+8</f>
        <v>5288.9449999999997</v>
      </c>
    </row>
    <row r="167" spans="1:25" x14ac:dyDescent="0.2">
      <c r="A167" s="153">
        <v>2014</v>
      </c>
      <c r="B167" s="153">
        <v>10</v>
      </c>
      <c r="C167" s="153" t="str">
        <f t="shared" si="25"/>
        <v>201410</v>
      </c>
      <c r="D167" s="153" t="str">
        <f t="shared" si="31"/>
        <v>Q4</v>
      </c>
      <c r="E167" s="153">
        <f t="shared" si="33"/>
        <v>139445.223</v>
      </c>
      <c r="F167" s="153" t="e">
        <f t="shared" si="26"/>
        <v>#N/A</v>
      </c>
      <c r="G167" s="153">
        <f t="shared" si="26"/>
        <v>4467.9120000000003</v>
      </c>
      <c r="H167" s="153">
        <f t="shared" si="26"/>
        <v>1774.326</v>
      </c>
      <c r="L167" s="153">
        <f t="shared" si="30"/>
        <v>2042</v>
      </c>
      <c r="M167" s="177" t="str">
        <f t="shared" si="34"/>
        <v>Q2</v>
      </c>
      <c r="N167" s="177" t="str">
        <f t="shared" si="32"/>
        <v>2042Q2</v>
      </c>
      <c r="O167" s="187">
        <f>O163*(1.015)</f>
        <v>254185.93437999996</v>
      </c>
      <c r="P167" s="282">
        <v>261750.59599999999</v>
      </c>
      <c r="Q167" s="187">
        <f>Q162*(1.0075)</f>
        <v>2141.2357200000001</v>
      </c>
      <c r="R167" s="187"/>
      <c r="S167" s="187">
        <f>S163*(1.015)</f>
        <v>80858.00106897192</v>
      </c>
      <c r="T167" s="189"/>
      <c r="U167" s="187">
        <f>U166+8</f>
        <v>5296.9449999999997</v>
      </c>
    </row>
    <row r="168" spans="1:25" x14ac:dyDescent="0.2">
      <c r="A168" s="153">
        <v>2014</v>
      </c>
      <c r="B168" s="153">
        <v>11</v>
      </c>
      <c r="C168" s="153" t="str">
        <f t="shared" si="25"/>
        <v>201411</v>
      </c>
      <c r="D168" s="153" t="str">
        <f t="shared" si="31"/>
        <v>Q4</v>
      </c>
      <c r="E168" s="153">
        <f t="shared" si="33"/>
        <v>139445.223</v>
      </c>
      <c r="F168" s="153" t="e">
        <f t="shared" si="26"/>
        <v>#N/A</v>
      </c>
      <c r="G168" s="153">
        <f t="shared" si="26"/>
        <v>4467.9120000000003</v>
      </c>
      <c r="H168" s="153">
        <f t="shared" si="26"/>
        <v>1774.326</v>
      </c>
      <c r="L168" s="153">
        <f t="shared" si="30"/>
        <v>2042</v>
      </c>
      <c r="M168" s="177" t="str">
        <f t="shared" si="34"/>
        <v>Q3</v>
      </c>
      <c r="N168" s="177" t="str">
        <f t="shared" si="32"/>
        <v>2042Q3</v>
      </c>
      <c r="O168" s="187">
        <f>O164*(1.015)</f>
        <v>255165.64790499999</v>
      </c>
      <c r="P168" s="282">
        <v>262738.96799999999</v>
      </c>
      <c r="Q168" s="187">
        <f>Q163*(1.0075)</f>
        <v>2144.5131175000001</v>
      </c>
      <c r="R168" s="187"/>
      <c r="S168" s="187">
        <f>S164*(1.015)</f>
        <v>81292.541209932926</v>
      </c>
      <c r="T168" s="189"/>
      <c r="U168" s="187">
        <f>U167+8</f>
        <v>5304.9449999999997</v>
      </c>
    </row>
    <row r="169" spans="1:25" x14ac:dyDescent="0.2">
      <c r="A169" s="153">
        <v>2014</v>
      </c>
      <c r="B169" s="153">
        <v>12</v>
      </c>
      <c r="C169" s="153" t="str">
        <f t="shared" si="25"/>
        <v>201412</v>
      </c>
      <c r="D169" s="153" t="str">
        <f t="shared" si="31"/>
        <v>Q4</v>
      </c>
      <c r="E169" s="153">
        <f t="shared" si="33"/>
        <v>139445.223</v>
      </c>
      <c r="F169" s="153" t="e">
        <f t="shared" si="26"/>
        <v>#N/A</v>
      </c>
      <c r="G169" s="153">
        <f t="shared" si="26"/>
        <v>4467.9120000000003</v>
      </c>
      <c r="H169" s="153">
        <f t="shared" si="26"/>
        <v>1774.326</v>
      </c>
      <c r="L169" s="153">
        <f t="shared" si="30"/>
        <v>2042</v>
      </c>
      <c r="M169" s="177" t="str">
        <f t="shared" si="34"/>
        <v>Q4</v>
      </c>
      <c r="N169" s="177" t="str">
        <f t="shared" si="32"/>
        <v>2042Q4</v>
      </c>
      <c r="O169" s="187">
        <f>O165*(1.015)</f>
        <v>256144.82551</v>
      </c>
      <c r="P169" s="282">
        <v>263622.36900000001</v>
      </c>
      <c r="Q169" s="187">
        <f>Q164*(1.0075)</f>
        <v>2147.7925300000002</v>
      </c>
      <c r="R169" s="187"/>
      <c r="S169" s="187">
        <f>S165*(1.015)</f>
        <v>81444.445635774158</v>
      </c>
      <c r="T169" s="189"/>
      <c r="U169" s="187">
        <f>U168+8</f>
        <v>5312.9449999999997</v>
      </c>
    </row>
    <row r="170" spans="1:25" x14ac:dyDescent="0.2">
      <c r="A170" s="153">
        <v>2015</v>
      </c>
      <c r="B170" s="153">
        <v>1</v>
      </c>
      <c r="C170" s="153" t="str">
        <f t="shared" si="25"/>
        <v>20151</v>
      </c>
      <c r="D170" s="153" t="str">
        <f t="shared" si="31"/>
        <v>Q1</v>
      </c>
      <c r="E170" s="153">
        <f t="shared" si="33"/>
        <v>140510.76300000001</v>
      </c>
      <c r="F170" s="153" t="e">
        <f t="shared" si="26"/>
        <v>#N/A</v>
      </c>
      <c r="G170" s="153">
        <f t="shared" si="26"/>
        <v>4475.9679999999998</v>
      </c>
      <c r="H170" s="153">
        <f t="shared" si="26"/>
        <v>1778.097</v>
      </c>
      <c r="O170" s="155"/>
      <c r="P170" s="155"/>
      <c r="Q170" s="186"/>
      <c r="R170" s="186"/>
      <c r="S170" s="181"/>
      <c r="T170" s="189"/>
    </row>
    <row r="171" spans="1:25" x14ac:dyDescent="0.2">
      <c r="A171" s="153">
        <v>2015</v>
      </c>
      <c r="B171" s="153">
        <v>2</v>
      </c>
      <c r="C171" s="153" t="str">
        <f t="shared" si="25"/>
        <v>20152</v>
      </c>
      <c r="D171" s="153" t="str">
        <f t="shared" si="31"/>
        <v>Q1</v>
      </c>
      <c r="E171" s="153">
        <f t="shared" si="33"/>
        <v>140510.76300000001</v>
      </c>
      <c r="F171" s="153" t="e">
        <f t="shared" si="26"/>
        <v>#N/A</v>
      </c>
      <c r="G171" s="153">
        <f t="shared" si="26"/>
        <v>4475.9679999999998</v>
      </c>
      <c r="H171" s="153">
        <f t="shared" si="26"/>
        <v>1778.097</v>
      </c>
      <c r="O171" s="155"/>
      <c r="P171" s="155"/>
      <c r="Q171" s="185"/>
      <c r="R171" s="185"/>
      <c r="S171" s="191"/>
      <c r="T171" s="191"/>
      <c r="U171" s="191"/>
    </row>
    <row r="172" spans="1:25" x14ac:dyDescent="0.2">
      <c r="A172" s="153">
        <v>2015</v>
      </c>
      <c r="B172" s="153">
        <v>3</v>
      </c>
      <c r="C172" s="153" t="str">
        <f t="shared" si="25"/>
        <v>20153</v>
      </c>
      <c r="D172" s="153" t="str">
        <f t="shared" si="31"/>
        <v>Q1</v>
      </c>
      <c r="E172" s="153">
        <f t="shared" si="33"/>
        <v>140510.76300000001</v>
      </c>
      <c r="F172" s="153" t="e">
        <f t="shared" si="26"/>
        <v>#N/A</v>
      </c>
      <c r="G172" s="153">
        <f t="shared" si="26"/>
        <v>4475.9679999999998</v>
      </c>
      <c r="H172" s="153">
        <f t="shared" si="26"/>
        <v>1778.097</v>
      </c>
      <c r="O172" s="186"/>
      <c r="P172" s="186"/>
      <c r="Q172" s="185"/>
      <c r="R172" s="185"/>
      <c r="S172" s="181"/>
      <c r="T172" s="189"/>
    </row>
    <row r="173" spans="1:25" x14ac:dyDescent="0.2">
      <c r="A173" s="153">
        <v>2015</v>
      </c>
      <c r="B173" s="153">
        <v>4</v>
      </c>
      <c r="C173" s="153" t="str">
        <f t="shared" si="25"/>
        <v>20154</v>
      </c>
      <c r="D173" s="153" t="str">
        <f t="shared" si="31"/>
        <v>Q2</v>
      </c>
      <c r="E173" s="153">
        <f t="shared" si="33"/>
        <v>141224.63399999999</v>
      </c>
      <c r="F173" s="153" t="e">
        <f t="shared" si="26"/>
        <v>#N/A</v>
      </c>
      <c r="G173" s="153">
        <f t="shared" si="26"/>
        <v>4484.1310000000003</v>
      </c>
      <c r="H173" s="153">
        <f t="shared" si="26"/>
        <v>1782.097</v>
      </c>
      <c r="O173" s="155">
        <f>O167-O165</f>
        <v>1826.500379999954</v>
      </c>
      <c r="P173" s="155"/>
      <c r="Q173" s="185"/>
      <c r="R173" s="185"/>
      <c r="S173" s="181"/>
      <c r="T173" s="189"/>
    </row>
    <row r="174" spans="1:25" x14ac:dyDescent="0.2">
      <c r="A174" s="153">
        <v>2015</v>
      </c>
      <c r="B174" s="153">
        <v>5</v>
      </c>
      <c r="C174" s="153" t="str">
        <f t="shared" si="25"/>
        <v>20155</v>
      </c>
      <c r="D174" s="153" t="str">
        <f t="shared" si="31"/>
        <v>Q2</v>
      </c>
      <c r="E174" s="153">
        <f t="shared" si="33"/>
        <v>141224.63399999999</v>
      </c>
      <c r="F174" s="153" t="e">
        <f t="shared" si="26"/>
        <v>#N/A</v>
      </c>
      <c r="G174" s="153">
        <f t="shared" si="26"/>
        <v>4484.1310000000003</v>
      </c>
      <c r="H174" s="153">
        <f t="shared" si="26"/>
        <v>1782.097</v>
      </c>
      <c r="O174" s="155">
        <f>O173/2</f>
        <v>913.25018999997701</v>
      </c>
      <c r="P174" s="155"/>
      <c r="Q174" s="185"/>
      <c r="R174" s="185"/>
      <c r="S174" s="181"/>
      <c r="T174" s="189"/>
    </row>
    <row r="175" spans="1:25" x14ac:dyDescent="0.2">
      <c r="A175" s="153">
        <v>2015</v>
      </c>
      <c r="B175" s="153">
        <v>6</v>
      </c>
      <c r="C175" s="153" t="str">
        <f t="shared" si="25"/>
        <v>20156</v>
      </c>
      <c r="D175" s="153" t="str">
        <f t="shared" si="31"/>
        <v>Q2</v>
      </c>
      <c r="E175" s="153">
        <f t="shared" si="33"/>
        <v>141224.63399999999</v>
      </c>
      <c r="F175" s="153" t="e">
        <f t="shared" si="26"/>
        <v>#N/A</v>
      </c>
      <c r="G175" s="153">
        <f t="shared" si="26"/>
        <v>4484.1310000000003</v>
      </c>
      <c r="H175" s="153">
        <f t="shared" si="26"/>
        <v>1782.097</v>
      </c>
      <c r="O175" s="186"/>
      <c r="P175" s="186"/>
      <c r="Q175" s="186"/>
      <c r="R175" s="186"/>
      <c r="S175" s="181"/>
      <c r="T175" s="189"/>
    </row>
    <row r="176" spans="1:25" x14ac:dyDescent="0.2">
      <c r="A176" s="153">
        <v>2015</v>
      </c>
      <c r="B176" s="153">
        <v>7</v>
      </c>
      <c r="C176" s="153" t="str">
        <f t="shared" si="25"/>
        <v>20157</v>
      </c>
      <c r="D176" s="153" t="str">
        <f t="shared" si="31"/>
        <v>Q3</v>
      </c>
      <c r="E176" s="153">
        <f t="shared" si="33"/>
        <v>141992.24600000001</v>
      </c>
      <c r="F176" s="153" t="e">
        <f t="shared" si="26"/>
        <v>#N/A</v>
      </c>
      <c r="G176" s="153">
        <f t="shared" si="26"/>
        <v>4492.3999999999996</v>
      </c>
      <c r="H176" s="153">
        <f t="shared" si="26"/>
        <v>1785.9590000000001</v>
      </c>
      <c r="O176" s="186"/>
      <c r="P176" s="186"/>
      <c r="Q176" s="186"/>
      <c r="R176" s="186"/>
      <c r="S176" s="181"/>
      <c r="T176" s="189"/>
    </row>
    <row r="177" spans="1:20" x14ac:dyDescent="0.2">
      <c r="A177" s="153">
        <v>2015</v>
      </c>
      <c r="B177" s="153">
        <v>8</v>
      </c>
      <c r="C177" s="153" t="str">
        <f t="shared" si="25"/>
        <v>20158</v>
      </c>
      <c r="D177" s="153" t="str">
        <f t="shared" si="31"/>
        <v>Q3</v>
      </c>
      <c r="E177" s="153">
        <f t="shared" si="33"/>
        <v>141992.24600000001</v>
      </c>
      <c r="F177" s="153" t="e">
        <f t="shared" si="26"/>
        <v>#N/A</v>
      </c>
      <c r="G177" s="153">
        <f t="shared" si="26"/>
        <v>4492.3999999999996</v>
      </c>
      <c r="H177" s="153">
        <f t="shared" si="26"/>
        <v>1785.9590000000001</v>
      </c>
      <c r="O177" s="186"/>
      <c r="P177" s="186"/>
      <c r="Q177" s="186"/>
      <c r="R177" s="186"/>
      <c r="S177" s="181"/>
      <c r="T177" s="189"/>
    </row>
    <row r="178" spans="1:20" x14ac:dyDescent="0.2">
      <c r="A178" s="153">
        <v>2015</v>
      </c>
      <c r="B178" s="153">
        <v>9</v>
      </c>
      <c r="C178" s="153" t="str">
        <f t="shared" si="25"/>
        <v>20159</v>
      </c>
      <c r="D178" s="153" t="str">
        <f t="shared" si="31"/>
        <v>Q3</v>
      </c>
      <c r="E178" s="153">
        <f t="shared" si="33"/>
        <v>141992.24600000001</v>
      </c>
      <c r="F178" s="153" t="e">
        <f t="shared" si="26"/>
        <v>#N/A</v>
      </c>
      <c r="G178" s="153">
        <f t="shared" si="26"/>
        <v>4492.3999999999996</v>
      </c>
      <c r="H178" s="153">
        <f t="shared" si="26"/>
        <v>1785.9590000000001</v>
      </c>
      <c r="O178" s="155"/>
      <c r="P178" s="155"/>
      <c r="Q178" s="155"/>
      <c r="R178" s="155"/>
      <c r="S178" s="181"/>
      <c r="T178" s="189"/>
    </row>
    <row r="179" spans="1:20" x14ac:dyDescent="0.2">
      <c r="A179" s="153">
        <v>2015</v>
      </c>
      <c r="B179" s="153">
        <v>10</v>
      </c>
      <c r="C179" s="153" t="str">
        <f t="shared" si="25"/>
        <v>201510</v>
      </c>
      <c r="D179" s="153" t="str">
        <f t="shared" si="31"/>
        <v>Q4</v>
      </c>
      <c r="E179" s="153">
        <f t="shared" si="33"/>
        <v>142772.34400000001</v>
      </c>
      <c r="F179" s="153" t="e">
        <f t="shared" si="26"/>
        <v>#N/A</v>
      </c>
      <c r="G179" s="153">
        <f t="shared" si="26"/>
        <v>4500.777</v>
      </c>
      <c r="H179" s="153">
        <f t="shared" si="26"/>
        <v>1789.7339999999999</v>
      </c>
      <c r="O179" s="155"/>
      <c r="P179" s="155"/>
      <c r="Q179" s="155"/>
      <c r="R179" s="155"/>
      <c r="S179" s="181"/>
      <c r="T179" s="189"/>
    </row>
    <row r="180" spans="1:20" x14ac:dyDescent="0.2">
      <c r="A180" s="153">
        <v>2015</v>
      </c>
      <c r="B180" s="153">
        <v>11</v>
      </c>
      <c r="C180" s="153" t="str">
        <f t="shared" si="25"/>
        <v>201511</v>
      </c>
      <c r="D180" s="153" t="str">
        <f t="shared" si="31"/>
        <v>Q4</v>
      </c>
      <c r="E180" s="153">
        <f t="shared" si="33"/>
        <v>142772.34400000001</v>
      </c>
      <c r="F180" s="153" t="e">
        <f t="shared" si="26"/>
        <v>#N/A</v>
      </c>
      <c r="G180" s="153">
        <f t="shared" si="26"/>
        <v>4500.777</v>
      </c>
      <c r="H180" s="153">
        <f t="shared" si="26"/>
        <v>1789.7339999999999</v>
      </c>
      <c r="O180" s="155"/>
      <c r="P180" s="155"/>
      <c r="Q180" s="155"/>
      <c r="R180" s="155"/>
      <c r="S180" s="181"/>
      <c r="T180" s="189"/>
    </row>
    <row r="181" spans="1:20" x14ac:dyDescent="0.2">
      <c r="A181" s="153">
        <v>2015</v>
      </c>
      <c r="B181" s="153">
        <v>12</v>
      </c>
      <c r="C181" s="153" t="str">
        <f t="shared" si="25"/>
        <v>201512</v>
      </c>
      <c r="D181" s="153" t="str">
        <f t="shared" si="31"/>
        <v>Q4</v>
      </c>
      <c r="E181" s="153">
        <f t="shared" si="33"/>
        <v>142772.34400000001</v>
      </c>
      <c r="F181" s="153" t="e">
        <f t="shared" si="26"/>
        <v>#N/A</v>
      </c>
      <c r="G181" s="153">
        <f t="shared" si="26"/>
        <v>4500.777</v>
      </c>
      <c r="H181" s="153">
        <f t="shared" si="26"/>
        <v>1789.7339999999999</v>
      </c>
      <c r="O181" s="155"/>
      <c r="P181" s="155"/>
      <c r="Q181" s="155"/>
      <c r="R181" s="155"/>
      <c r="S181" s="181"/>
      <c r="T181" s="189"/>
    </row>
    <row r="182" spans="1:20" x14ac:dyDescent="0.2">
      <c r="A182" s="153">
        <v>2016</v>
      </c>
      <c r="B182" s="153">
        <v>1</v>
      </c>
      <c r="C182" s="153" t="str">
        <f t="shared" si="25"/>
        <v>20161</v>
      </c>
      <c r="D182" s="153" t="str">
        <f t="shared" si="31"/>
        <v>Q1</v>
      </c>
      <c r="E182" s="153">
        <f t="shared" si="33"/>
        <v>144227.636</v>
      </c>
      <c r="F182" s="153" t="e">
        <f t="shared" si="26"/>
        <v>#N/A</v>
      </c>
      <c r="G182" s="153">
        <f t="shared" si="26"/>
        <v>4509.174</v>
      </c>
      <c r="H182" s="153">
        <f t="shared" si="26"/>
        <v>1793.4010000000001</v>
      </c>
      <c r="O182" s="155"/>
      <c r="P182" s="155"/>
      <c r="Q182" s="155"/>
      <c r="R182" s="155"/>
      <c r="S182" s="181"/>
      <c r="T182" s="189"/>
    </row>
    <row r="183" spans="1:20" x14ac:dyDescent="0.2">
      <c r="A183" s="153">
        <v>2016</v>
      </c>
      <c r="B183" s="153">
        <v>2</v>
      </c>
      <c r="C183" s="153" t="str">
        <f t="shared" si="25"/>
        <v>20162</v>
      </c>
      <c r="D183" s="153" t="str">
        <f t="shared" si="31"/>
        <v>Q1</v>
      </c>
      <c r="E183" s="153">
        <f t="shared" si="33"/>
        <v>144227.636</v>
      </c>
      <c r="F183" s="153" t="e">
        <f t="shared" si="26"/>
        <v>#N/A</v>
      </c>
      <c r="G183" s="153">
        <f t="shared" si="26"/>
        <v>4509.174</v>
      </c>
      <c r="H183" s="153">
        <f t="shared" si="26"/>
        <v>1793.4010000000001</v>
      </c>
      <c r="O183" s="155"/>
      <c r="P183" s="155"/>
      <c r="Q183" s="155"/>
      <c r="R183" s="155"/>
      <c r="S183" s="181"/>
      <c r="T183" s="189"/>
    </row>
    <row r="184" spans="1:20" x14ac:dyDescent="0.2">
      <c r="A184" s="153">
        <v>2016</v>
      </c>
      <c r="B184" s="153">
        <v>3</v>
      </c>
      <c r="C184" s="153" t="str">
        <f t="shared" si="25"/>
        <v>20163</v>
      </c>
      <c r="D184" s="153" t="str">
        <f t="shared" si="31"/>
        <v>Q1</v>
      </c>
      <c r="E184" s="153">
        <f t="shared" si="33"/>
        <v>144227.636</v>
      </c>
      <c r="F184" s="153" t="e">
        <f t="shared" si="26"/>
        <v>#N/A</v>
      </c>
      <c r="G184" s="153">
        <f t="shared" si="26"/>
        <v>4509.174</v>
      </c>
      <c r="H184" s="153">
        <f t="shared" si="26"/>
        <v>1793.4010000000001</v>
      </c>
      <c r="O184" s="155"/>
      <c r="P184" s="155"/>
      <c r="Q184" s="155"/>
      <c r="R184" s="155"/>
      <c r="S184" s="181"/>
      <c r="T184" s="189"/>
    </row>
    <row r="185" spans="1:20" x14ac:dyDescent="0.2">
      <c r="A185" s="153">
        <v>2016</v>
      </c>
      <c r="B185" s="153">
        <v>4</v>
      </c>
      <c r="C185" s="153" t="str">
        <f t="shared" si="25"/>
        <v>20164</v>
      </c>
      <c r="D185" s="153" t="str">
        <f t="shared" si="31"/>
        <v>Q2</v>
      </c>
      <c r="E185" s="153">
        <f t="shared" si="33"/>
        <v>145000.861</v>
      </c>
      <c r="F185" s="153" t="e">
        <f t="shared" si="26"/>
        <v>#N/A</v>
      </c>
      <c r="G185" s="153">
        <f t="shared" si="26"/>
        <v>4517.5919999999996</v>
      </c>
      <c r="H185" s="153">
        <f t="shared" si="26"/>
        <v>1797.0340000000001</v>
      </c>
      <c r="O185" s="155"/>
      <c r="P185" s="155"/>
      <c r="Q185" s="155"/>
      <c r="R185" s="155"/>
      <c r="S185" s="181"/>
      <c r="T185" s="189"/>
    </row>
    <row r="186" spans="1:20" x14ac:dyDescent="0.2">
      <c r="A186" s="153">
        <v>2016</v>
      </c>
      <c r="B186" s="153">
        <v>5</v>
      </c>
      <c r="C186" s="153" t="str">
        <f t="shared" si="25"/>
        <v>20165</v>
      </c>
      <c r="D186" s="153" t="str">
        <f t="shared" si="31"/>
        <v>Q2</v>
      </c>
      <c r="E186" s="153">
        <f t="shared" si="33"/>
        <v>145000.861</v>
      </c>
      <c r="F186" s="153" t="e">
        <f t="shared" si="26"/>
        <v>#N/A</v>
      </c>
      <c r="G186" s="153">
        <f t="shared" si="26"/>
        <v>4517.5919999999996</v>
      </c>
      <c r="H186" s="153">
        <f t="shared" si="26"/>
        <v>1797.0340000000001</v>
      </c>
      <c r="O186" s="155"/>
      <c r="P186" s="155"/>
      <c r="Q186" s="155"/>
      <c r="R186" s="155"/>
      <c r="S186" s="181"/>
      <c r="T186" s="189"/>
    </row>
    <row r="187" spans="1:20" x14ac:dyDescent="0.2">
      <c r="A187" s="153">
        <v>2016</v>
      </c>
      <c r="B187" s="153">
        <v>6</v>
      </c>
      <c r="C187" s="153" t="str">
        <f t="shared" si="25"/>
        <v>20166</v>
      </c>
      <c r="D187" s="153" t="str">
        <f t="shared" si="31"/>
        <v>Q2</v>
      </c>
      <c r="E187" s="153">
        <f t="shared" si="33"/>
        <v>145000.861</v>
      </c>
      <c r="F187" s="153" t="e">
        <f t="shared" si="26"/>
        <v>#N/A</v>
      </c>
      <c r="G187" s="153">
        <f t="shared" si="26"/>
        <v>4517.5919999999996</v>
      </c>
      <c r="H187" s="153">
        <f t="shared" si="26"/>
        <v>1797.0340000000001</v>
      </c>
      <c r="O187" s="155"/>
      <c r="P187" s="155"/>
      <c r="Q187" s="155"/>
      <c r="R187" s="155"/>
      <c r="S187" s="181"/>
      <c r="T187" s="189"/>
    </row>
    <row r="188" spans="1:20" x14ac:dyDescent="0.2">
      <c r="A188" s="153">
        <v>2016</v>
      </c>
      <c r="B188" s="153">
        <v>7</v>
      </c>
      <c r="C188" s="153" t="str">
        <f t="shared" si="25"/>
        <v>20167</v>
      </c>
      <c r="D188" s="153" t="str">
        <f t="shared" si="31"/>
        <v>Q3</v>
      </c>
      <c r="E188" s="153">
        <f t="shared" si="33"/>
        <v>145740.07199999999</v>
      </c>
      <c r="F188" s="153" t="e">
        <f t="shared" si="26"/>
        <v>#N/A</v>
      </c>
      <c r="G188" s="153">
        <f t="shared" si="26"/>
        <v>4526.0309999999999</v>
      </c>
      <c r="H188" s="153">
        <f t="shared" si="26"/>
        <v>1800.662</v>
      </c>
      <c r="O188" s="155"/>
      <c r="P188" s="155"/>
      <c r="Q188" s="155"/>
      <c r="R188" s="155"/>
      <c r="S188" s="181"/>
      <c r="T188" s="189"/>
    </row>
    <row r="189" spans="1:20" x14ac:dyDescent="0.2">
      <c r="A189" s="153">
        <v>2016</v>
      </c>
      <c r="B189" s="153">
        <v>8</v>
      </c>
      <c r="C189" s="153" t="str">
        <f t="shared" si="25"/>
        <v>20168</v>
      </c>
      <c r="D189" s="153" t="str">
        <f t="shared" si="31"/>
        <v>Q3</v>
      </c>
      <c r="E189" s="153">
        <f t="shared" si="33"/>
        <v>145740.07199999999</v>
      </c>
      <c r="F189" s="153" t="e">
        <f t="shared" si="26"/>
        <v>#N/A</v>
      </c>
      <c r="G189" s="153">
        <f t="shared" si="26"/>
        <v>4526.0309999999999</v>
      </c>
      <c r="H189" s="153">
        <f t="shared" si="26"/>
        <v>1800.662</v>
      </c>
      <c r="O189" s="155"/>
      <c r="P189" s="155"/>
      <c r="Q189" s="155"/>
      <c r="R189" s="155"/>
      <c r="S189" s="181"/>
      <c r="T189" s="189"/>
    </row>
    <row r="190" spans="1:20" x14ac:dyDescent="0.2">
      <c r="A190" s="153">
        <v>2016</v>
      </c>
      <c r="B190" s="153">
        <v>9</v>
      </c>
      <c r="C190" s="153" t="str">
        <f t="shared" si="25"/>
        <v>20169</v>
      </c>
      <c r="D190" s="153" t="str">
        <f t="shared" si="31"/>
        <v>Q3</v>
      </c>
      <c r="E190" s="153">
        <f t="shared" si="33"/>
        <v>145740.07199999999</v>
      </c>
      <c r="F190" s="153" t="e">
        <f t="shared" si="26"/>
        <v>#N/A</v>
      </c>
      <c r="G190" s="153">
        <f t="shared" si="26"/>
        <v>4526.0309999999999</v>
      </c>
      <c r="H190" s="153">
        <f t="shared" si="26"/>
        <v>1800.662</v>
      </c>
      <c r="O190" s="155"/>
      <c r="P190" s="155"/>
      <c r="Q190" s="155"/>
      <c r="R190" s="155"/>
      <c r="S190" s="181"/>
      <c r="T190" s="189"/>
    </row>
    <row r="191" spans="1:20" x14ac:dyDescent="0.2">
      <c r="A191" s="153">
        <v>2016</v>
      </c>
      <c r="B191" s="153">
        <v>10</v>
      </c>
      <c r="C191" s="153" t="str">
        <f t="shared" si="25"/>
        <v>201610</v>
      </c>
      <c r="D191" s="153" t="str">
        <f t="shared" si="31"/>
        <v>Q4</v>
      </c>
      <c r="E191" s="153">
        <f t="shared" si="33"/>
        <v>146638.23699999999</v>
      </c>
      <c r="F191" s="153" t="e">
        <f t="shared" si="26"/>
        <v>#N/A</v>
      </c>
      <c r="G191" s="153">
        <f t="shared" si="26"/>
        <v>4534.4889999999996</v>
      </c>
      <c r="H191" s="153">
        <f t="shared" si="26"/>
        <v>1804.307</v>
      </c>
      <c r="O191" s="155"/>
      <c r="P191" s="155"/>
      <c r="Q191" s="155"/>
      <c r="R191" s="155"/>
      <c r="S191" s="181"/>
      <c r="T191" s="189"/>
    </row>
    <row r="192" spans="1:20" x14ac:dyDescent="0.2">
      <c r="A192" s="153">
        <v>2016</v>
      </c>
      <c r="B192" s="153">
        <v>11</v>
      </c>
      <c r="C192" s="153" t="str">
        <f t="shared" si="25"/>
        <v>201611</v>
      </c>
      <c r="D192" s="153" t="str">
        <f t="shared" si="31"/>
        <v>Q4</v>
      </c>
      <c r="E192" s="153">
        <f t="shared" si="33"/>
        <v>146638.23699999999</v>
      </c>
      <c r="F192" s="153" t="e">
        <f t="shared" si="26"/>
        <v>#N/A</v>
      </c>
      <c r="G192" s="153">
        <f t="shared" si="26"/>
        <v>4534.4889999999996</v>
      </c>
      <c r="H192" s="153">
        <f t="shared" si="26"/>
        <v>1804.307</v>
      </c>
      <c r="O192" s="155"/>
      <c r="P192" s="155"/>
      <c r="Q192" s="155"/>
      <c r="R192" s="155"/>
      <c r="S192" s="181"/>
      <c r="T192" s="189"/>
    </row>
    <row r="193" spans="1:20" x14ac:dyDescent="0.2">
      <c r="A193" s="153">
        <v>2016</v>
      </c>
      <c r="B193" s="153">
        <v>12</v>
      </c>
      <c r="C193" s="153" t="str">
        <f t="shared" si="25"/>
        <v>201612</v>
      </c>
      <c r="D193" s="153" t="str">
        <f t="shared" si="31"/>
        <v>Q4</v>
      </c>
      <c r="E193" s="153">
        <f t="shared" si="33"/>
        <v>146638.23699999999</v>
      </c>
      <c r="F193" s="153" t="e">
        <f t="shared" si="26"/>
        <v>#N/A</v>
      </c>
      <c r="G193" s="153">
        <f t="shared" si="26"/>
        <v>4534.4889999999996</v>
      </c>
      <c r="H193" s="153">
        <f t="shared" si="26"/>
        <v>1804.307</v>
      </c>
      <c r="O193" s="155"/>
      <c r="P193" s="155"/>
      <c r="Q193" s="155"/>
      <c r="R193" s="155"/>
      <c r="S193" s="181"/>
      <c r="T193" s="189"/>
    </row>
    <row r="194" spans="1:20" x14ac:dyDescent="0.2">
      <c r="A194" s="153">
        <v>2017</v>
      </c>
      <c r="B194" s="153">
        <v>1</v>
      </c>
      <c r="C194" s="153" t="str">
        <f t="shared" si="25"/>
        <v>20171</v>
      </c>
      <c r="D194" s="153" t="str">
        <f t="shared" si="31"/>
        <v>Q1</v>
      </c>
      <c r="E194" s="153">
        <f t="shared" si="33"/>
        <v>147397.973</v>
      </c>
      <c r="F194" s="153" t="e">
        <f t="shared" si="26"/>
        <v>#N/A</v>
      </c>
      <c r="G194" s="153">
        <f t="shared" si="26"/>
        <v>4542.9390000000003</v>
      </c>
      <c r="H194" s="153">
        <f t="shared" si="26"/>
        <v>1806.8440000000001</v>
      </c>
      <c r="O194" s="155"/>
      <c r="P194" s="155"/>
      <c r="Q194" s="155"/>
      <c r="R194" s="155"/>
      <c r="S194" s="181"/>
      <c r="T194" s="189"/>
    </row>
    <row r="195" spans="1:20" x14ac:dyDescent="0.2">
      <c r="A195" s="153">
        <v>2017</v>
      </c>
      <c r="B195" s="153">
        <v>2</v>
      </c>
      <c r="C195" s="153" t="str">
        <f t="shared" ref="C195:C258" si="35">A195&amp;B195</f>
        <v>20172</v>
      </c>
      <c r="D195" s="153" t="str">
        <f t="shared" si="31"/>
        <v>Q1</v>
      </c>
      <c r="E195" s="153">
        <f t="shared" si="33"/>
        <v>147397.973</v>
      </c>
      <c r="F195" s="153" t="e">
        <f t="shared" ref="F195:H258" si="36">VLOOKUP($A195&amp;$D195,$N$1:$U$169,MATCH(F$1,$N$1:$U$1,0),0)</f>
        <v>#N/A</v>
      </c>
      <c r="G195" s="153">
        <f t="shared" si="36"/>
        <v>4542.9390000000003</v>
      </c>
      <c r="H195" s="153">
        <f t="shared" si="36"/>
        <v>1806.8440000000001</v>
      </c>
      <c r="O195" s="155"/>
      <c r="P195" s="155"/>
      <c r="Q195" s="155"/>
      <c r="R195" s="155"/>
      <c r="S195" s="181"/>
      <c r="T195" s="189"/>
    </row>
    <row r="196" spans="1:20" x14ac:dyDescent="0.2">
      <c r="A196" s="153">
        <v>2017</v>
      </c>
      <c r="B196" s="153">
        <v>3</v>
      </c>
      <c r="C196" s="153" t="str">
        <f t="shared" si="35"/>
        <v>20173</v>
      </c>
      <c r="D196" s="153" t="str">
        <f t="shared" si="31"/>
        <v>Q1</v>
      </c>
      <c r="E196" s="153">
        <f t="shared" si="33"/>
        <v>147397.973</v>
      </c>
      <c r="F196" s="153" t="e">
        <f t="shared" si="36"/>
        <v>#N/A</v>
      </c>
      <c r="G196" s="153">
        <f t="shared" si="36"/>
        <v>4542.9390000000003</v>
      </c>
      <c r="H196" s="153">
        <f t="shared" si="36"/>
        <v>1806.8440000000001</v>
      </c>
      <c r="O196" s="155"/>
      <c r="P196" s="155"/>
      <c r="Q196" s="155"/>
      <c r="R196" s="155"/>
      <c r="S196" s="181"/>
      <c r="T196" s="189"/>
    </row>
    <row r="197" spans="1:20" x14ac:dyDescent="0.2">
      <c r="A197" s="153">
        <v>2017</v>
      </c>
      <c r="B197" s="153">
        <v>4</v>
      </c>
      <c r="C197" s="153" t="str">
        <f t="shared" si="35"/>
        <v>20174</v>
      </c>
      <c r="D197" s="153" t="str">
        <f t="shared" si="31"/>
        <v>Q2</v>
      </c>
      <c r="E197" s="153">
        <f t="shared" si="33"/>
        <v>148169.18</v>
      </c>
      <c r="F197" s="153" t="e">
        <f t="shared" si="36"/>
        <v>#N/A</v>
      </c>
      <c r="G197" s="153">
        <f t="shared" si="36"/>
        <v>4551.38</v>
      </c>
      <c r="H197" s="153">
        <f t="shared" si="36"/>
        <v>1809.4</v>
      </c>
      <c r="O197" s="155"/>
      <c r="P197" s="155"/>
      <c r="Q197" s="155"/>
      <c r="R197" s="155"/>
      <c r="S197" s="181"/>
      <c r="T197" s="189"/>
    </row>
    <row r="198" spans="1:20" x14ac:dyDescent="0.2">
      <c r="A198" s="153">
        <v>2017</v>
      </c>
      <c r="B198" s="153">
        <v>5</v>
      </c>
      <c r="C198" s="153" t="str">
        <f t="shared" si="35"/>
        <v>20175</v>
      </c>
      <c r="D198" s="153" t="str">
        <f t="shared" si="31"/>
        <v>Q2</v>
      </c>
      <c r="E198" s="153">
        <f t="shared" si="33"/>
        <v>148169.18</v>
      </c>
      <c r="F198" s="153" t="e">
        <f t="shared" si="36"/>
        <v>#N/A</v>
      </c>
      <c r="G198" s="153">
        <f t="shared" si="36"/>
        <v>4551.38</v>
      </c>
      <c r="H198" s="153">
        <f t="shared" si="36"/>
        <v>1809.4</v>
      </c>
      <c r="O198" s="155"/>
      <c r="P198" s="155"/>
      <c r="Q198" s="155"/>
      <c r="R198" s="155"/>
      <c r="S198" s="181"/>
      <c r="T198" s="189"/>
    </row>
    <row r="199" spans="1:20" x14ac:dyDescent="0.2">
      <c r="A199" s="153">
        <v>2017</v>
      </c>
      <c r="B199" s="153">
        <v>6</v>
      </c>
      <c r="C199" s="153" t="str">
        <f t="shared" si="35"/>
        <v>20176</v>
      </c>
      <c r="D199" s="153" t="str">
        <f t="shared" si="31"/>
        <v>Q2</v>
      </c>
      <c r="E199" s="153">
        <f t="shared" si="33"/>
        <v>148169.18</v>
      </c>
      <c r="F199" s="153" t="e">
        <f t="shared" si="36"/>
        <v>#N/A</v>
      </c>
      <c r="G199" s="153">
        <f t="shared" si="36"/>
        <v>4551.38</v>
      </c>
      <c r="H199" s="153">
        <f t="shared" si="36"/>
        <v>1809.4</v>
      </c>
      <c r="O199" s="155"/>
      <c r="P199" s="155"/>
      <c r="Q199" s="155"/>
      <c r="R199" s="155"/>
      <c r="S199" s="181"/>
      <c r="T199" s="189"/>
    </row>
    <row r="200" spans="1:20" x14ac:dyDescent="0.2">
      <c r="A200" s="153">
        <v>2017</v>
      </c>
      <c r="B200" s="153">
        <v>7</v>
      </c>
      <c r="C200" s="153" t="str">
        <f t="shared" si="35"/>
        <v>20177</v>
      </c>
      <c r="D200" s="153" t="str">
        <f t="shared" si="31"/>
        <v>Q3</v>
      </c>
      <c r="E200" s="153">
        <f t="shared" si="33"/>
        <v>149003.10200000001</v>
      </c>
      <c r="F200" s="153" t="e">
        <f t="shared" si="36"/>
        <v>#N/A</v>
      </c>
      <c r="G200" s="153">
        <f t="shared" si="36"/>
        <v>4559.8130000000001</v>
      </c>
      <c r="H200" s="153">
        <f t="shared" si="36"/>
        <v>1811.9380000000001</v>
      </c>
      <c r="O200" s="155"/>
      <c r="P200" s="155"/>
      <c r="Q200" s="155"/>
      <c r="R200" s="155"/>
      <c r="S200" s="181"/>
      <c r="T200" s="189"/>
    </row>
    <row r="201" spans="1:20" x14ac:dyDescent="0.2">
      <c r="A201" s="153">
        <v>2017</v>
      </c>
      <c r="B201" s="153">
        <v>8</v>
      </c>
      <c r="C201" s="153" t="str">
        <f t="shared" si="35"/>
        <v>20178</v>
      </c>
      <c r="D201" s="153" t="str">
        <f t="shared" si="31"/>
        <v>Q3</v>
      </c>
      <c r="E201" s="153">
        <f t="shared" si="33"/>
        <v>149003.10200000001</v>
      </c>
      <c r="F201" s="153" t="e">
        <f t="shared" si="36"/>
        <v>#N/A</v>
      </c>
      <c r="G201" s="153">
        <f t="shared" si="36"/>
        <v>4559.8130000000001</v>
      </c>
      <c r="H201" s="153">
        <f t="shared" si="36"/>
        <v>1811.9380000000001</v>
      </c>
      <c r="O201" s="155"/>
      <c r="P201" s="155"/>
      <c r="Q201" s="155"/>
      <c r="R201" s="155"/>
      <c r="S201" s="181"/>
      <c r="T201" s="189"/>
    </row>
    <row r="202" spans="1:20" x14ac:dyDescent="0.2">
      <c r="A202" s="153">
        <v>2017</v>
      </c>
      <c r="B202" s="153">
        <v>9</v>
      </c>
      <c r="C202" s="153" t="str">
        <f t="shared" si="35"/>
        <v>20179</v>
      </c>
      <c r="D202" s="153" t="str">
        <f t="shared" si="31"/>
        <v>Q3</v>
      </c>
      <c r="E202" s="153">
        <f t="shared" si="33"/>
        <v>149003.10200000001</v>
      </c>
      <c r="F202" s="153" t="e">
        <f t="shared" si="36"/>
        <v>#N/A</v>
      </c>
      <c r="G202" s="153">
        <f t="shared" si="36"/>
        <v>4559.8130000000001</v>
      </c>
      <c r="H202" s="153">
        <f t="shared" si="36"/>
        <v>1811.9380000000001</v>
      </c>
      <c r="O202" s="155"/>
      <c r="P202" s="155"/>
      <c r="Q202" s="155"/>
      <c r="R202" s="155"/>
      <c r="S202" s="181"/>
      <c r="T202" s="189"/>
    </row>
    <row r="203" spans="1:20" x14ac:dyDescent="0.2">
      <c r="A203" s="153">
        <v>2017</v>
      </c>
      <c r="B203" s="153">
        <v>10</v>
      </c>
      <c r="C203" s="153" t="str">
        <f t="shared" si="35"/>
        <v>201710</v>
      </c>
      <c r="D203" s="153" t="str">
        <f t="shared" si="31"/>
        <v>Q4</v>
      </c>
      <c r="E203" s="153">
        <f t="shared" si="33"/>
        <v>149821.88399999999</v>
      </c>
      <c r="F203" s="153" t="e">
        <f t="shared" si="36"/>
        <v>#N/A</v>
      </c>
      <c r="G203" s="153">
        <f t="shared" si="36"/>
        <v>4568.2250000000004</v>
      </c>
      <c r="H203" s="153">
        <f t="shared" si="36"/>
        <v>1814.3879999999999</v>
      </c>
      <c r="O203" s="155"/>
      <c r="P203" s="155"/>
      <c r="Q203" s="155"/>
      <c r="R203" s="155"/>
      <c r="S203" s="181"/>
      <c r="T203" s="189"/>
    </row>
    <row r="204" spans="1:20" x14ac:dyDescent="0.2">
      <c r="A204" s="153">
        <v>2017</v>
      </c>
      <c r="B204" s="153">
        <v>11</v>
      </c>
      <c r="C204" s="153" t="str">
        <f t="shared" si="35"/>
        <v>201711</v>
      </c>
      <c r="D204" s="153" t="str">
        <f t="shared" si="31"/>
        <v>Q4</v>
      </c>
      <c r="E204" s="153">
        <f t="shared" si="33"/>
        <v>149821.88399999999</v>
      </c>
      <c r="F204" s="153" t="e">
        <f t="shared" si="36"/>
        <v>#N/A</v>
      </c>
      <c r="G204" s="153">
        <f t="shared" si="36"/>
        <v>4568.2250000000004</v>
      </c>
      <c r="H204" s="153">
        <f t="shared" si="36"/>
        <v>1814.3879999999999</v>
      </c>
      <c r="O204" s="155"/>
      <c r="P204" s="155"/>
      <c r="Q204" s="155"/>
      <c r="R204" s="155"/>
      <c r="S204" s="181"/>
      <c r="T204" s="189"/>
    </row>
    <row r="205" spans="1:20" x14ac:dyDescent="0.2">
      <c r="A205" s="153">
        <v>2017</v>
      </c>
      <c r="B205" s="153">
        <v>12</v>
      </c>
      <c r="C205" s="153" t="str">
        <f t="shared" si="35"/>
        <v>201712</v>
      </c>
      <c r="D205" s="153" t="str">
        <f t="shared" si="31"/>
        <v>Q4</v>
      </c>
      <c r="E205" s="153">
        <f t="shared" si="33"/>
        <v>149821.88399999999</v>
      </c>
      <c r="F205" s="153" t="e">
        <f t="shared" si="36"/>
        <v>#N/A</v>
      </c>
      <c r="G205" s="153">
        <f t="shared" si="36"/>
        <v>4568.2250000000004</v>
      </c>
      <c r="H205" s="153">
        <f t="shared" si="36"/>
        <v>1814.3879999999999</v>
      </c>
      <c r="O205" s="155"/>
      <c r="P205" s="155"/>
      <c r="Q205" s="155"/>
      <c r="R205" s="155"/>
      <c r="S205" s="181"/>
      <c r="T205" s="189"/>
    </row>
    <row r="206" spans="1:20" x14ac:dyDescent="0.2">
      <c r="A206" s="153">
        <v>2018</v>
      </c>
      <c r="B206" s="153">
        <v>1</v>
      </c>
      <c r="C206" s="153" t="str">
        <f t="shared" si="35"/>
        <v>20181</v>
      </c>
      <c r="D206" s="153" t="str">
        <f t="shared" si="31"/>
        <v>Q1</v>
      </c>
      <c r="E206" s="153">
        <f t="shared" si="33"/>
        <v>151159.774</v>
      </c>
      <c r="F206" s="153" t="e">
        <f t="shared" si="36"/>
        <v>#N/A</v>
      </c>
      <c r="G206" s="153">
        <f t="shared" si="36"/>
        <v>4576.63</v>
      </c>
      <c r="H206" s="153">
        <f t="shared" si="36"/>
        <v>1817.81</v>
      </c>
      <c r="O206" s="155"/>
      <c r="P206" s="155"/>
      <c r="Q206" s="155"/>
      <c r="R206" s="155"/>
      <c r="S206" s="181"/>
      <c r="T206" s="189"/>
    </row>
    <row r="207" spans="1:20" x14ac:dyDescent="0.2">
      <c r="A207" s="153">
        <v>2018</v>
      </c>
      <c r="B207" s="153">
        <v>2</v>
      </c>
      <c r="C207" s="153" t="str">
        <f t="shared" si="35"/>
        <v>20182</v>
      </c>
      <c r="D207" s="153" t="str">
        <f t="shared" ref="D207:D270" si="37">D195</f>
        <v>Q1</v>
      </c>
      <c r="E207" s="153">
        <f t="shared" si="33"/>
        <v>151159.774</v>
      </c>
      <c r="F207" s="153" t="e">
        <f t="shared" si="36"/>
        <v>#N/A</v>
      </c>
      <c r="G207" s="153">
        <f t="shared" si="36"/>
        <v>4576.63</v>
      </c>
      <c r="H207" s="153">
        <f t="shared" si="36"/>
        <v>1817.81</v>
      </c>
      <c r="O207" s="155"/>
      <c r="P207" s="155"/>
      <c r="Q207" s="155"/>
      <c r="R207" s="155"/>
      <c r="S207" s="181"/>
      <c r="T207" s="189"/>
    </row>
    <row r="208" spans="1:20" x14ac:dyDescent="0.2">
      <c r="A208" s="153">
        <v>2018</v>
      </c>
      <c r="B208" s="153">
        <v>3</v>
      </c>
      <c r="C208" s="153" t="str">
        <f t="shared" si="35"/>
        <v>20183</v>
      </c>
      <c r="D208" s="153" t="str">
        <f t="shared" si="37"/>
        <v>Q1</v>
      </c>
      <c r="E208" s="153">
        <f t="shared" si="33"/>
        <v>151159.774</v>
      </c>
      <c r="F208" s="153" t="e">
        <f t="shared" si="36"/>
        <v>#N/A</v>
      </c>
      <c r="G208" s="153">
        <f t="shared" si="36"/>
        <v>4576.63</v>
      </c>
      <c r="H208" s="153">
        <f t="shared" si="36"/>
        <v>1817.81</v>
      </c>
      <c r="O208" s="155"/>
      <c r="P208" s="155"/>
      <c r="Q208" s="155"/>
      <c r="R208" s="155"/>
      <c r="S208" s="181"/>
      <c r="T208" s="189"/>
    </row>
    <row r="209" spans="1:18" x14ac:dyDescent="0.2">
      <c r="A209" s="153">
        <v>2018</v>
      </c>
      <c r="B209" s="153">
        <v>4</v>
      </c>
      <c r="C209" s="153" t="str">
        <f t="shared" si="35"/>
        <v>20184</v>
      </c>
      <c r="D209" s="153" t="str">
        <f t="shared" si="37"/>
        <v>Q2</v>
      </c>
      <c r="E209" s="153">
        <f t="shared" si="33"/>
        <v>152014.81099999999</v>
      </c>
      <c r="F209" s="153" t="e">
        <f t="shared" si="36"/>
        <v>#N/A</v>
      </c>
      <c r="G209" s="153">
        <f t="shared" si="36"/>
        <v>4585.03</v>
      </c>
      <c r="H209" s="153">
        <f t="shared" si="36"/>
        <v>1821.1880000000001</v>
      </c>
      <c r="O209" s="159"/>
      <c r="P209" s="159"/>
      <c r="Q209" s="159"/>
      <c r="R209" s="159"/>
    </row>
    <row r="210" spans="1:18" x14ac:dyDescent="0.2">
      <c r="A210" s="153">
        <v>2018</v>
      </c>
      <c r="B210" s="153">
        <v>5</v>
      </c>
      <c r="C210" s="153" t="str">
        <f t="shared" si="35"/>
        <v>20185</v>
      </c>
      <c r="D210" s="153" t="str">
        <f t="shared" si="37"/>
        <v>Q2</v>
      </c>
      <c r="E210" s="153">
        <f t="shared" si="33"/>
        <v>152014.81099999999</v>
      </c>
      <c r="F210" s="153" t="e">
        <f t="shared" si="36"/>
        <v>#N/A</v>
      </c>
      <c r="G210" s="153">
        <f t="shared" si="36"/>
        <v>4585.03</v>
      </c>
      <c r="H210" s="153">
        <f t="shared" si="36"/>
        <v>1821.1880000000001</v>
      </c>
      <c r="O210" s="159"/>
      <c r="P210" s="159"/>
      <c r="Q210" s="159"/>
      <c r="R210" s="159"/>
    </row>
    <row r="211" spans="1:18" x14ac:dyDescent="0.2">
      <c r="A211" s="153">
        <v>2018</v>
      </c>
      <c r="B211" s="153">
        <v>6</v>
      </c>
      <c r="C211" s="153" t="str">
        <f t="shared" si="35"/>
        <v>20186</v>
      </c>
      <c r="D211" s="153" t="str">
        <f t="shared" si="37"/>
        <v>Q2</v>
      </c>
      <c r="E211" s="153">
        <f t="shared" si="33"/>
        <v>152014.81099999999</v>
      </c>
      <c r="F211" s="153" t="e">
        <f t="shared" si="36"/>
        <v>#N/A</v>
      </c>
      <c r="G211" s="153">
        <f t="shared" si="36"/>
        <v>4585.03</v>
      </c>
      <c r="H211" s="153">
        <f t="shared" si="36"/>
        <v>1821.1880000000001</v>
      </c>
      <c r="O211" s="159"/>
      <c r="P211" s="159"/>
      <c r="Q211" s="159"/>
      <c r="R211" s="159"/>
    </row>
    <row r="212" spans="1:18" x14ac:dyDescent="0.2">
      <c r="A212" s="153">
        <v>2018</v>
      </c>
      <c r="B212" s="153">
        <v>7</v>
      </c>
      <c r="C212" s="153" t="str">
        <f t="shared" si="35"/>
        <v>20187</v>
      </c>
      <c r="D212" s="153" t="str">
        <f t="shared" si="37"/>
        <v>Q3</v>
      </c>
      <c r="E212" s="153">
        <f t="shared" si="33"/>
        <v>152840.09</v>
      </c>
      <c r="F212" s="153" t="e">
        <f t="shared" si="36"/>
        <v>#N/A</v>
      </c>
      <c r="G212" s="153">
        <f t="shared" si="36"/>
        <v>4593.4229999999998</v>
      </c>
      <c r="H212" s="153">
        <f t="shared" si="36"/>
        <v>1824.57</v>
      </c>
      <c r="O212" s="159"/>
      <c r="P212" s="159"/>
      <c r="Q212" s="159"/>
      <c r="R212" s="159"/>
    </row>
    <row r="213" spans="1:18" x14ac:dyDescent="0.2">
      <c r="A213" s="153">
        <v>2018</v>
      </c>
      <c r="B213" s="153">
        <v>8</v>
      </c>
      <c r="C213" s="153" t="str">
        <f t="shared" si="35"/>
        <v>20188</v>
      </c>
      <c r="D213" s="153" t="str">
        <f t="shared" si="37"/>
        <v>Q3</v>
      </c>
      <c r="E213" s="153">
        <f t="shared" si="33"/>
        <v>152840.09</v>
      </c>
      <c r="F213" s="153" t="e">
        <f t="shared" si="36"/>
        <v>#N/A</v>
      </c>
      <c r="G213" s="153">
        <f t="shared" si="36"/>
        <v>4593.4229999999998</v>
      </c>
      <c r="H213" s="153">
        <f t="shared" si="36"/>
        <v>1824.57</v>
      </c>
      <c r="O213" s="159"/>
      <c r="P213" s="159"/>
      <c r="Q213" s="159"/>
      <c r="R213" s="159"/>
    </row>
    <row r="214" spans="1:18" x14ac:dyDescent="0.2">
      <c r="A214" s="153">
        <v>2018</v>
      </c>
      <c r="B214" s="153">
        <v>9</v>
      </c>
      <c r="C214" s="153" t="str">
        <f t="shared" si="35"/>
        <v>20189</v>
      </c>
      <c r="D214" s="153" t="str">
        <f t="shared" si="37"/>
        <v>Q3</v>
      </c>
      <c r="E214" s="153">
        <f t="shared" si="33"/>
        <v>152840.09</v>
      </c>
      <c r="F214" s="153" t="e">
        <f t="shared" si="36"/>
        <v>#N/A</v>
      </c>
      <c r="G214" s="153">
        <f t="shared" si="36"/>
        <v>4593.4229999999998</v>
      </c>
      <c r="H214" s="153">
        <f t="shared" si="36"/>
        <v>1824.57</v>
      </c>
      <c r="O214" s="159"/>
      <c r="P214" s="159"/>
      <c r="Q214" s="159"/>
      <c r="R214" s="159"/>
    </row>
    <row r="215" spans="1:18" x14ac:dyDescent="0.2">
      <c r="A215" s="153">
        <v>2018</v>
      </c>
      <c r="B215" s="153">
        <v>10</v>
      </c>
      <c r="C215" s="153" t="str">
        <f t="shared" si="35"/>
        <v>201810</v>
      </c>
      <c r="D215" s="153" t="str">
        <f t="shared" si="37"/>
        <v>Q4</v>
      </c>
      <c r="E215" s="153">
        <f t="shared" si="33"/>
        <v>153691.45300000001</v>
      </c>
      <c r="F215" s="153" t="e">
        <f t="shared" si="36"/>
        <v>#N/A</v>
      </c>
      <c r="G215" s="153">
        <f t="shared" si="36"/>
        <v>4601.8090000000002</v>
      </c>
      <c r="H215" s="153">
        <f t="shared" si="36"/>
        <v>1827.9390000000001</v>
      </c>
      <c r="O215" s="159"/>
      <c r="P215" s="159"/>
      <c r="Q215" s="159"/>
      <c r="R215" s="159"/>
    </row>
    <row r="216" spans="1:18" x14ac:dyDescent="0.2">
      <c r="A216" s="153">
        <v>2018</v>
      </c>
      <c r="B216" s="153">
        <v>11</v>
      </c>
      <c r="C216" s="153" t="str">
        <f t="shared" si="35"/>
        <v>201811</v>
      </c>
      <c r="D216" s="153" t="str">
        <f t="shared" si="37"/>
        <v>Q4</v>
      </c>
      <c r="E216" s="153">
        <f t="shared" si="33"/>
        <v>153691.45300000001</v>
      </c>
      <c r="F216" s="153" t="e">
        <f t="shared" si="36"/>
        <v>#N/A</v>
      </c>
      <c r="G216" s="153">
        <f t="shared" si="36"/>
        <v>4601.8090000000002</v>
      </c>
      <c r="H216" s="153">
        <f t="shared" si="36"/>
        <v>1827.9390000000001</v>
      </c>
      <c r="O216" s="159"/>
      <c r="P216" s="159"/>
      <c r="Q216" s="159"/>
      <c r="R216" s="159"/>
    </row>
    <row r="217" spans="1:18" x14ac:dyDescent="0.2">
      <c r="A217" s="153">
        <v>2018</v>
      </c>
      <c r="B217" s="153">
        <v>12</v>
      </c>
      <c r="C217" s="153" t="str">
        <f t="shared" si="35"/>
        <v>201812</v>
      </c>
      <c r="D217" s="153" t="str">
        <f t="shared" si="37"/>
        <v>Q4</v>
      </c>
      <c r="E217" s="153">
        <f t="shared" si="33"/>
        <v>153691.45300000001</v>
      </c>
      <c r="F217" s="153" t="e">
        <f t="shared" si="36"/>
        <v>#N/A</v>
      </c>
      <c r="G217" s="153">
        <f t="shared" si="36"/>
        <v>4601.8090000000002</v>
      </c>
      <c r="H217" s="153">
        <f t="shared" si="36"/>
        <v>1827.9390000000001</v>
      </c>
      <c r="O217" s="159"/>
      <c r="P217" s="159"/>
      <c r="Q217" s="159"/>
      <c r="R217" s="159"/>
    </row>
    <row r="218" spans="1:18" x14ac:dyDescent="0.2">
      <c r="A218" s="153">
        <v>2019</v>
      </c>
      <c r="B218" s="153">
        <v>1</v>
      </c>
      <c r="C218" s="153" t="str">
        <f t="shared" si="35"/>
        <v>20191</v>
      </c>
      <c r="D218" s="153" t="str">
        <f t="shared" si="37"/>
        <v>Q1</v>
      </c>
      <c r="E218" s="153">
        <f t="shared" si="33"/>
        <v>155062.20000000001</v>
      </c>
      <c r="F218" s="153" t="e">
        <f t="shared" si="36"/>
        <v>#N/A</v>
      </c>
      <c r="G218" s="153">
        <f t="shared" si="36"/>
        <v>4610.1880000000001</v>
      </c>
      <c r="H218" s="153">
        <f t="shared" si="36"/>
        <v>1831.317</v>
      </c>
    </row>
    <row r="219" spans="1:18" x14ac:dyDescent="0.2">
      <c r="A219" s="153">
        <v>2019</v>
      </c>
      <c r="B219" s="153">
        <v>2</v>
      </c>
      <c r="C219" s="153" t="str">
        <f t="shared" si="35"/>
        <v>20192</v>
      </c>
      <c r="D219" s="153" t="str">
        <f t="shared" si="37"/>
        <v>Q1</v>
      </c>
      <c r="E219" s="153">
        <f t="shared" si="33"/>
        <v>155062.20000000001</v>
      </c>
      <c r="F219" s="153" t="e">
        <f t="shared" si="36"/>
        <v>#N/A</v>
      </c>
      <c r="G219" s="153">
        <f t="shared" si="36"/>
        <v>4610.1880000000001</v>
      </c>
      <c r="H219" s="153">
        <f t="shared" si="36"/>
        <v>1831.317</v>
      </c>
      <c r="O219" s="155"/>
      <c r="P219" s="155"/>
      <c r="Q219" s="155"/>
      <c r="R219" s="155"/>
    </row>
    <row r="220" spans="1:18" x14ac:dyDescent="0.2">
      <c r="A220" s="153">
        <v>2019</v>
      </c>
      <c r="B220" s="153">
        <v>3</v>
      </c>
      <c r="C220" s="153" t="str">
        <f t="shared" si="35"/>
        <v>20193</v>
      </c>
      <c r="D220" s="153" t="str">
        <f t="shared" si="37"/>
        <v>Q1</v>
      </c>
      <c r="E220" s="153">
        <f t="shared" si="33"/>
        <v>155062.20000000001</v>
      </c>
      <c r="F220" s="153" t="e">
        <f t="shared" si="36"/>
        <v>#N/A</v>
      </c>
      <c r="G220" s="153">
        <f t="shared" si="36"/>
        <v>4610.1880000000001</v>
      </c>
      <c r="H220" s="153">
        <f t="shared" si="36"/>
        <v>1831.317</v>
      </c>
      <c r="O220" s="155"/>
      <c r="P220" s="155"/>
      <c r="Q220" s="155"/>
      <c r="R220" s="155"/>
    </row>
    <row r="221" spans="1:18" x14ac:dyDescent="0.2">
      <c r="A221" s="153">
        <v>2019</v>
      </c>
      <c r="B221" s="153">
        <v>4</v>
      </c>
      <c r="C221" s="153" t="str">
        <f t="shared" si="35"/>
        <v>20194</v>
      </c>
      <c r="D221" s="153" t="str">
        <f t="shared" si="37"/>
        <v>Q2</v>
      </c>
      <c r="E221" s="153">
        <f t="shared" si="33"/>
        <v>155893.33300000001</v>
      </c>
      <c r="F221" s="153" t="e">
        <f t="shared" si="36"/>
        <v>#N/A</v>
      </c>
      <c r="G221" s="153">
        <f t="shared" si="36"/>
        <v>4618.558</v>
      </c>
      <c r="H221" s="153">
        <f t="shared" si="36"/>
        <v>1834.68</v>
      </c>
      <c r="O221" s="155"/>
      <c r="P221" s="155"/>
      <c r="Q221" s="155"/>
      <c r="R221" s="155"/>
    </row>
    <row r="222" spans="1:18" x14ac:dyDescent="0.2">
      <c r="A222" s="153">
        <v>2019</v>
      </c>
      <c r="B222" s="153">
        <v>5</v>
      </c>
      <c r="C222" s="153" t="str">
        <f t="shared" si="35"/>
        <v>20195</v>
      </c>
      <c r="D222" s="153" t="str">
        <f t="shared" si="37"/>
        <v>Q2</v>
      </c>
      <c r="E222" s="153">
        <f t="shared" si="33"/>
        <v>155893.33300000001</v>
      </c>
      <c r="F222" s="153" t="e">
        <f t="shared" si="36"/>
        <v>#N/A</v>
      </c>
      <c r="G222" s="153">
        <f t="shared" si="36"/>
        <v>4618.558</v>
      </c>
      <c r="H222" s="153">
        <f t="shared" si="36"/>
        <v>1834.68</v>
      </c>
      <c r="O222" s="155"/>
      <c r="P222" s="155"/>
      <c r="Q222" s="155"/>
      <c r="R222" s="155"/>
    </row>
    <row r="223" spans="1:18" x14ac:dyDescent="0.2">
      <c r="A223" s="153">
        <v>2019</v>
      </c>
      <c r="B223" s="153">
        <v>6</v>
      </c>
      <c r="C223" s="153" t="str">
        <f t="shared" si="35"/>
        <v>20196</v>
      </c>
      <c r="D223" s="153" t="str">
        <f t="shared" si="37"/>
        <v>Q2</v>
      </c>
      <c r="E223" s="153">
        <f t="shared" si="33"/>
        <v>155893.33300000001</v>
      </c>
      <c r="F223" s="153" t="e">
        <f t="shared" si="36"/>
        <v>#N/A</v>
      </c>
      <c r="G223" s="153">
        <f t="shared" si="36"/>
        <v>4618.558</v>
      </c>
      <c r="H223" s="153">
        <f t="shared" si="36"/>
        <v>1834.68</v>
      </c>
      <c r="O223" s="155"/>
      <c r="P223" s="155"/>
      <c r="Q223" s="155"/>
      <c r="R223" s="155"/>
    </row>
    <row r="224" spans="1:18" x14ac:dyDescent="0.2">
      <c r="A224" s="153">
        <v>2019</v>
      </c>
      <c r="B224" s="153">
        <v>7</v>
      </c>
      <c r="C224" s="153" t="str">
        <f t="shared" si="35"/>
        <v>20197</v>
      </c>
      <c r="D224" s="153" t="str">
        <f t="shared" si="37"/>
        <v>Q3</v>
      </c>
      <c r="E224" s="153">
        <f t="shared" si="33"/>
        <v>156697.22099999999</v>
      </c>
      <c r="F224" s="153" t="e">
        <f t="shared" si="36"/>
        <v>#N/A</v>
      </c>
      <c r="G224" s="153">
        <f t="shared" si="36"/>
        <v>4626.9070000000002</v>
      </c>
      <c r="H224" s="153">
        <f t="shared" si="36"/>
        <v>1838.0340000000001</v>
      </c>
      <c r="O224" s="155"/>
      <c r="P224" s="155"/>
      <c r="Q224" s="155"/>
      <c r="R224" s="155"/>
    </row>
    <row r="225" spans="1:20" x14ac:dyDescent="0.2">
      <c r="A225" s="153">
        <v>2019</v>
      </c>
      <c r="B225" s="153">
        <v>8</v>
      </c>
      <c r="C225" s="153" t="str">
        <f t="shared" si="35"/>
        <v>20198</v>
      </c>
      <c r="D225" s="153" t="str">
        <f t="shared" si="37"/>
        <v>Q3</v>
      </c>
      <c r="E225" s="153">
        <f t="shared" si="33"/>
        <v>156697.22099999999</v>
      </c>
      <c r="F225" s="153" t="e">
        <f t="shared" si="36"/>
        <v>#N/A</v>
      </c>
      <c r="G225" s="153">
        <f t="shared" si="36"/>
        <v>4626.9070000000002</v>
      </c>
      <c r="H225" s="153">
        <f t="shared" si="36"/>
        <v>1838.0340000000001</v>
      </c>
      <c r="O225" s="155"/>
      <c r="P225" s="155"/>
      <c r="Q225" s="155"/>
      <c r="R225" s="155"/>
    </row>
    <row r="226" spans="1:20" x14ac:dyDescent="0.2">
      <c r="A226" s="153">
        <v>2019</v>
      </c>
      <c r="B226" s="153">
        <v>9</v>
      </c>
      <c r="C226" s="153" t="str">
        <f t="shared" si="35"/>
        <v>20199</v>
      </c>
      <c r="D226" s="153" t="str">
        <f t="shared" si="37"/>
        <v>Q3</v>
      </c>
      <c r="E226" s="153">
        <f t="shared" si="33"/>
        <v>156697.22099999999</v>
      </c>
      <c r="F226" s="153" t="e">
        <f t="shared" si="36"/>
        <v>#N/A</v>
      </c>
      <c r="G226" s="153">
        <f t="shared" si="36"/>
        <v>4626.9070000000002</v>
      </c>
      <c r="H226" s="153">
        <f t="shared" si="36"/>
        <v>1838.0340000000001</v>
      </c>
      <c r="O226" s="155"/>
      <c r="P226" s="155"/>
      <c r="Q226" s="155"/>
      <c r="R226" s="155"/>
    </row>
    <row r="227" spans="1:20" x14ac:dyDescent="0.2">
      <c r="A227" s="153">
        <v>2019</v>
      </c>
      <c r="B227" s="153">
        <v>10</v>
      </c>
      <c r="C227" s="153" t="str">
        <f t="shared" si="35"/>
        <v>201910</v>
      </c>
      <c r="D227" s="153" t="str">
        <f t="shared" si="37"/>
        <v>Q4</v>
      </c>
      <c r="E227" s="153">
        <f t="shared" ref="E227:E290" si="38">VLOOKUP($A227&amp;$D227,$N$1:$U$169,MATCH(E$1,$N$1:$U$1,0),0)</f>
        <v>157503.777</v>
      </c>
      <c r="F227" s="153" t="e">
        <f t="shared" si="36"/>
        <v>#N/A</v>
      </c>
      <c r="G227" s="153">
        <f t="shared" si="36"/>
        <v>4635.2470000000003</v>
      </c>
      <c r="H227" s="153">
        <f t="shared" si="36"/>
        <v>1841.366</v>
      </c>
      <c r="O227" s="155"/>
      <c r="P227" s="155"/>
      <c r="Q227" s="155"/>
      <c r="R227" s="155"/>
    </row>
    <row r="228" spans="1:20" x14ac:dyDescent="0.2">
      <c r="A228" s="153">
        <v>2019</v>
      </c>
      <c r="B228" s="153">
        <v>11</v>
      </c>
      <c r="C228" s="153" t="str">
        <f t="shared" si="35"/>
        <v>201911</v>
      </c>
      <c r="D228" s="153" t="str">
        <f t="shared" si="37"/>
        <v>Q4</v>
      </c>
      <c r="E228" s="153">
        <f t="shared" si="38"/>
        <v>157503.777</v>
      </c>
      <c r="F228" s="153" t="e">
        <f t="shared" si="36"/>
        <v>#N/A</v>
      </c>
      <c r="G228" s="153">
        <f t="shared" si="36"/>
        <v>4635.2470000000003</v>
      </c>
      <c r="H228" s="153">
        <f t="shared" si="36"/>
        <v>1841.366</v>
      </c>
      <c r="O228" s="155"/>
      <c r="P228" s="155"/>
      <c r="Q228" s="155"/>
      <c r="R228" s="155"/>
    </row>
    <row r="229" spans="1:20" x14ac:dyDescent="0.2">
      <c r="A229" s="153">
        <v>2019</v>
      </c>
      <c r="B229" s="153">
        <v>12</v>
      </c>
      <c r="C229" s="153" t="str">
        <f t="shared" si="35"/>
        <v>201912</v>
      </c>
      <c r="D229" s="153" t="str">
        <f t="shared" si="37"/>
        <v>Q4</v>
      </c>
      <c r="E229" s="153">
        <f t="shared" si="38"/>
        <v>157503.777</v>
      </c>
      <c r="F229" s="153" t="e">
        <f t="shared" si="36"/>
        <v>#N/A</v>
      </c>
      <c r="G229" s="153">
        <f t="shared" si="36"/>
        <v>4635.2470000000003</v>
      </c>
      <c r="H229" s="153">
        <f t="shared" si="36"/>
        <v>1841.366</v>
      </c>
      <c r="O229" s="155"/>
      <c r="P229" s="155"/>
      <c r="Q229" s="155"/>
      <c r="R229" s="155"/>
    </row>
    <row r="230" spans="1:20" x14ac:dyDescent="0.2">
      <c r="A230" s="153">
        <v>2020</v>
      </c>
      <c r="B230" s="153">
        <v>1</v>
      </c>
      <c r="C230" s="153" t="str">
        <f t="shared" si="35"/>
        <v>20201</v>
      </c>
      <c r="D230" s="153" t="str">
        <f t="shared" si="37"/>
        <v>Q1</v>
      </c>
      <c r="E230" s="153">
        <f t="shared" si="38"/>
        <v>158898.726</v>
      </c>
      <c r="F230" s="153" t="e">
        <f t="shared" si="36"/>
        <v>#N/A</v>
      </c>
      <c r="G230" s="153">
        <f t="shared" si="36"/>
        <v>4643.5770000000002</v>
      </c>
      <c r="H230" s="153">
        <f t="shared" si="36"/>
        <v>1844.713</v>
      </c>
      <c r="O230" s="155"/>
      <c r="P230" s="155"/>
      <c r="Q230" s="155"/>
      <c r="R230" s="155"/>
    </row>
    <row r="231" spans="1:20" x14ac:dyDescent="0.2">
      <c r="A231" s="153">
        <v>2020</v>
      </c>
      <c r="B231" s="153">
        <v>2</v>
      </c>
      <c r="C231" s="153" t="str">
        <f t="shared" si="35"/>
        <v>20202</v>
      </c>
      <c r="D231" s="153" t="str">
        <f t="shared" si="37"/>
        <v>Q1</v>
      </c>
      <c r="E231" s="153">
        <f t="shared" si="38"/>
        <v>158898.726</v>
      </c>
      <c r="F231" s="153" t="e">
        <f t="shared" si="36"/>
        <v>#N/A</v>
      </c>
      <c r="G231" s="153">
        <f t="shared" si="36"/>
        <v>4643.5770000000002</v>
      </c>
      <c r="H231" s="153">
        <f t="shared" si="36"/>
        <v>1844.713</v>
      </c>
      <c r="O231" s="155"/>
      <c r="P231" s="155"/>
      <c r="Q231" s="155"/>
      <c r="R231" s="155"/>
    </row>
    <row r="232" spans="1:20" x14ac:dyDescent="0.2">
      <c r="A232" s="153">
        <v>2020</v>
      </c>
      <c r="B232" s="153">
        <v>3</v>
      </c>
      <c r="C232" s="153" t="str">
        <f t="shared" si="35"/>
        <v>20203</v>
      </c>
      <c r="D232" s="153" t="str">
        <f t="shared" si="37"/>
        <v>Q1</v>
      </c>
      <c r="E232" s="153">
        <f t="shared" si="38"/>
        <v>158898.726</v>
      </c>
      <c r="F232" s="153" t="e">
        <f t="shared" si="36"/>
        <v>#N/A</v>
      </c>
      <c r="G232" s="153">
        <f t="shared" si="36"/>
        <v>4643.5770000000002</v>
      </c>
      <c r="H232" s="153">
        <f t="shared" si="36"/>
        <v>1844.713</v>
      </c>
      <c r="O232" s="155"/>
      <c r="P232" s="155"/>
      <c r="Q232" s="155"/>
      <c r="R232" s="155"/>
    </row>
    <row r="233" spans="1:20" x14ac:dyDescent="0.2">
      <c r="A233" s="153">
        <v>2020</v>
      </c>
      <c r="B233" s="153">
        <v>4</v>
      </c>
      <c r="C233" s="153" t="str">
        <f t="shared" si="35"/>
        <v>20204</v>
      </c>
      <c r="D233" s="153" t="str">
        <f t="shared" si="37"/>
        <v>Q2</v>
      </c>
      <c r="E233" s="153">
        <f t="shared" si="38"/>
        <v>159849.41</v>
      </c>
      <c r="F233" s="153" t="e">
        <f t="shared" si="36"/>
        <v>#N/A</v>
      </c>
      <c r="G233" s="153">
        <f t="shared" si="36"/>
        <v>4651.8969999999999</v>
      </c>
      <c r="H233" s="153">
        <f t="shared" si="36"/>
        <v>1847.818</v>
      </c>
      <c r="O233" s="155"/>
      <c r="P233" s="155"/>
      <c r="Q233" s="155"/>
      <c r="R233" s="155"/>
      <c r="S233" s="180"/>
      <c r="T233" s="180"/>
    </row>
    <row r="234" spans="1:20" x14ac:dyDescent="0.2">
      <c r="A234" s="153">
        <v>2020</v>
      </c>
      <c r="B234" s="153">
        <v>5</v>
      </c>
      <c r="C234" s="153" t="str">
        <f t="shared" si="35"/>
        <v>20205</v>
      </c>
      <c r="D234" s="153" t="str">
        <f t="shared" si="37"/>
        <v>Q2</v>
      </c>
      <c r="E234" s="153">
        <f t="shared" si="38"/>
        <v>159849.41</v>
      </c>
      <c r="F234" s="153" t="e">
        <f t="shared" si="36"/>
        <v>#N/A</v>
      </c>
      <c r="G234" s="153">
        <f t="shared" si="36"/>
        <v>4651.8969999999999</v>
      </c>
      <c r="H234" s="153">
        <f t="shared" si="36"/>
        <v>1847.818</v>
      </c>
      <c r="O234" s="155"/>
      <c r="P234" s="155"/>
      <c r="Q234" s="155"/>
      <c r="R234" s="155"/>
      <c r="S234" s="180"/>
      <c r="T234" s="180"/>
    </row>
    <row r="235" spans="1:20" x14ac:dyDescent="0.2">
      <c r="A235" s="153">
        <v>2020</v>
      </c>
      <c r="B235" s="153">
        <v>6</v>
      </c>
      <c r="C235" s="153" t="str">
        <f t="shared" si="35"/>
        <v>20206</v>
      </c>
      <c r="D235" s="153" t="str">
        <f t="shared" si="37"/>
        <v>Q2</v>
      </c>
      <c r="E235" s="153">
        <f t="shared" si="38"/>
        <v>159849.41</v>
      </c>
      <c r="F235" s="153" t="e">
        <f t="shared" si="36"/>
        <v>#N/A</v>
      </c>
      <c r="G235" s="153">
        <f t="shared" si="36"/>
        <v>4651.8969999999999</v>
      </c>
      <c r="H235" s="153">
        <f t="shared" si="36"/>
        <v>1847.818</v>
      </c>
      <c r="O235" s="155"/>
      <c r="P235" s="155"/>
      <c r="Q235" s="155"/>
      <c r="R235" s="155"/>
      <c r="S235" s="180"/>
      <c r="T235" s="180"/>
    </row>
    <row r="236" spans="1:20" x14ac:dyDescent="0.2">
      <c r="A236" s="153">
        <v>2020</v>
      </c>
      <c r="B236" s="153">
        <v>7</v>
      </c>
      <c r="C236" s="153" t="str">
        <f t="shared" si="35"/>
        <v>20207</v>
      </c>
      <c r="D236" s="153" t="str">
        <f t="shared" si="37"/>
        <v>Q3</v>
      </c>
      <c r="E236" s="153">
        <f t="shared" si="38"/>
        <v>160644.163</v>
      </c>
      <c r="F236" s="153" t="e">
        <f t="shared" si="36"/>
        <v>#N/A</v>
      </c>
      <c r="G236" s="153">
        <f t="shared" si="36"/>
        <v>4660.2060000000001</v>
      </c>
      <c r="H236" s="153">
        <f t="shared" si="36"/>
        <v>1850.903</v>
      </c>
      <c r="O236" s="155"/>
      <c r="P236" s="155"/>
      <c r="Q236" s="155"/>
      <c r="R236" s="155"/>
      <c r="S236" s="180"/>
      <c r="T236" s="180"/>
    </row>
    <row r="237" spans="1:20" x14ac:dyDescent="0.2">
      <c r="A237" s="153">
        <v>2020</v>
      </c>
      <c r="B237" s="153">
        <v>8</v>
      </c>
      <c r="C237" s="153" t="str">
        <f t="shared" si="35"/>
        <v>20208</v>
      </c>
      <c r="D237" s="153" t="str">
        <f t="shared" si="37"/>
        <v>Q3</v>
      </c>
      <c r="E237" s="153">
        <f t="shared" si="38"/>
        <v>160644.163</v>
      </c>
      <c r="F237" s="153" t="e">
        <f t="shared" si="36"/>
        <v>#N/A</v>
      </c>
      <c r="G237" s="153">
        <f t="shared" si="36"/>
        <v>4660.2060000000001</v>
      </c>
      <c r="H237" s="153">
        <f t="shared" si="36"/>
        <v>1850.903</v>
      </c>
      <c r="O237" s="155"/>
      <c r="P237" s="155"/>
      <c r="Q237" s="155"/>
      <c r="R237" s="155"/>
      <c r="S237" s="180"/>
      <c r="T237" s="180"/>
    </row>
    <row r="238" spans="1:20" x14ac:dyDescent="0.2">
      <c r="A238" s="153">
        <v>2020</v>
      </c>
      <c r="B238" s="153">
        <v>9</v>
      </c>
      <c r="C238" s="153" t="str">
        <f t="shared" si="35"/>
        <v>20209</v>
      </c>
      <c r="D238" s="153" t="str">
        <f t="shared" si="37"/>
        <v>Q3</v>
      </c>
      <c r="E238" s="153">
        <f t="shared" si="38"/>
        <v>160644.163</v>
      </c>
      <c r="F238" s="153" t="e">
        <f t="shared" si="36"/>
        <v>#N/A</v>
      </c>
      <c r="G238" s="153">
        <f t="shared" si="36"/>
        <v>4660.2060000000001</v>
      </c>
      <c r="H238" s="153">
        <f t="shared" si="36"/>
        <v>1850.903</v>
      </c>
      <c r="O238" s="155"/>
      <c r="P238" s="155"/>
      <c r="Q238" s="155"/>
      <c r="R238" s="155"/>
      <c r="S238" s="180"/>
      <c r="T238" s="180"/>
    </row>
    <row r="239" spans="1:20" x14ac:dyDescent="0.2">
      <c r="A239" s="153">
        <v>2020</v>
      </c>
      <c r="B239" s="153">
        <v>10</v>
      </c>
      <c r="C239" s="153" t="str">
        <f t="shared" si="35"/>
        <v>202010</v>
      </c>
      <c r="D239" s="153" t="str">
        <f t="shared" si="37"/>
        <v>Q4</v>
      </c>
      <c r="E239" s="153">
        <f t="shared" si="38"/>
        <v>161348.13399999999</v>
      </c>
      <c r="F239" s="153" t="e">
        <f t="shared" si="36"/>
        <v>#N/A</v>
      </c>
      <c r="G239" s="153">
        <f t="shared" si="36"/>
        <v>4668.5039999999999</v>
      </c>
      <c r="H239" s="153">
        <f t="shared" si="36"/>
        <v>1853.9760000000001</v>
      </c>
      <c r="O239" s="155"/>
      <c r="P239" s="155"/>
      <c r="Q239" s="155"/>
      <c r="R239" s="155"/>
      <c r="S239" s="180"/>
      <c r="T239" s="180"/>
    </row>
    <row r="240" spans="1:20" x14ac:dyDescent="0.2">
      <c r="A240" s="153">
        <v>2020</v>
      </c>
      <c r="B240" s="153">
        <v>11</v>
      </c>
      <c r="C240" s="153" t="str">
        <f t="shared" si="35"/>
        <v>202011</v>
      </c>
      <c r="D240" s="153" t="str">
        <f t="shared" si="37"/>
        <v>Q4</v>
      </c>
      <c r="E240" s="153">
        <f t="shared" si="38"/>
        <v>161348.13399999999</v>
      </c>
      <c r="F240" s="153" t="e">
        <f t="shared" si="36"/>
        <v>#N/A</v>
      </c>
      <c r="G240" s="153">
        <f t="shared" si="36"/>
        <v>4668.5039999999999</v>
      </c>
      <c r="H240" s="153">
        <f t="shared" si="36"/>
        <v>1853.9760000000001</v>
      </c>
      <c r="O240" s="155"/>
      <c r="P240" s="155"/>
      <c r="Q240" s="155"/>
      <c r="R240" s="155"/>
      <c r="S240" s="180"/>
      <c r="T240" s="180"/>
    </row>
    <row r="241" spans="1:18" x14ac:dyDescent="0.2">
      <c r="A241" s="153">
        <v>2020</v>
      </c>
      <c r="B241" s="153">
        <v>12</v>
      </c>
      <c r="C241" s="153" t="str">
        <f t="shared" si="35"/>
        <v>202012</v>
      </c>
      <c r="D241" s="153" t="str">
        <f t="shared" si="37"/>
        <v>Q4</v>
      </c>
      <c r="E241" s="153">
        <f t="shared" si="38"/>
        <v>161348.13399999999</v>
      </c>
      <c r="F241" s="153" t="e">
        <f t="shared" si="36"/>
        <v>#N/A</v>
      </c>
      <c r="G241" s="153">
        <f t="shared" si="36"/>
        <v>4668.5039999999999</v>
      </c>
      <c r="H241" s="153">
        <f t="shared" si="36"/>
        <v>1853.9760000000001</v>
      </c>
      <c r="O241" s="159"/>
      <c r="P241" s="159"/>
      <c r="Q241" s="159"/>
      <c r="R241" s="159"/>
    </row>
    <row r="242" spans="1:18" x14ac:dyDescent="0.2">
      <c r="A242" s="153">
        <v>2021</v>
      </c>
      <c r="B242" s="153">
        <v>1</v>
      </c>
      <c r="C242" s="153" t="str">
        <f t="shared" si="35"/>
        <v>20211</v>
      </c>
      <c r="D242" s="153" t="str">
        <f t="shared" si="37"/>
        <v>Q1</v>
      </c>
      <c r="E242" s="153">
        <f t="shared" si="38"/>
        <v>162475.66899999999</v>
      </c>
      <c r="F242" s="153" t="e">
        <f t="shared" si="36"/>
        <v>#N/A</v>
      </c>
      <c r="G242" s="153">
        <f t="shared" si="36"/>
        <v>4676.79</v>
      </c>
      <c r="H242" s="153">
        <f t="shared" si="36"/>
        <v>1856.8409999999999</v>
      </c>
      <c r="O242" s="159"/>
      <c r="P242" s="159"/>
      <c r="Q242" s="159"/>
      <c r="R242" s="159"/>
    </row>
    <row r="243" spans="1:18" x14ac:dyDescent="0.2">
      <c r="A243" s="153">
        <v>2021</v>
      </c>
      <c r="B243" s="153">
        <v>2</v>
      </c>
      <c r="C243" s="153" t="str">
        <f t="shared" si="35"/>
        <v>20212</v>
      </c>
      <c r="D243" s="153" t="str">
        <f t="shared" si="37"/>
        <v>Q1</v>
      </c>
      <c r="E243" s="153">
        <f t="shared" si="38"/>
        <v>162475.66899999999</v>
      </c>
      <c r="F243" s="153" t="e">
        <f t="shared" si="36"/>
        <v>#N/A</v>
      </c>
      <c r="G243" s="153">
        <f t="shared" si="36"/>
        <v>4676.79</v>
      </c>
      <c r="H243" s="153">
        <f t="shared" si="36"/>
        <v>1856.8409999999999</v>
      </c>
      <c r="O243" s="159"/>
      <c r="P243" s="159"/>
      <c r="Q243" s="159"/>
      <c r="R243" s="159"/>
    </row>
    <row r="244" spans="1:18" x14ac:dyDescent="0.2">
      <c r="A244" s="153">
        <v>2021</v>
      </c>
      <c r="B244" s="153">
        <v>3</v>
      </c>
      <c r="C244" s="153" t="str">
        <f t="shared" si="35"/>
        <v>20213</v>
      </c>
      <c r="D244" s="153" t="str">
        <f t="shared" si="37"/>
        <v>Q1</v>
      </c>
      <c r="E244" s="153">
        <f t="shared" si="38"/>
        <v>162475.66899999999</v>
      </c>
      <c r="F244" s="153" t="e">
        <f t="shared" si="36"/>
        <v>#N/A</v>
      </c>
      <c r="G244" s="153">
        <f t="shared" si="36"/>
        <v>4676.79</v>
      </c>
      <c r="H244" s="153">
        <f t="shared" si="36"/>
        <v>1856.8409999999999</v>
      </c>
      <c r="O244" s="159"/>
      <c r="P244" s="159"/>
      <c r="Q244" s="159"/>
      <c r="R244" s="159"/>
    </row>
    <row r="245" spans="1:18" x14ac:dyDescent="0.2">
      <c r="A245" s="153">
        <v>2021</v>
      </c>
      <c r="B245" s="153">
        <v>4</v>
      </c>
      <c r="C245" s="153" t="str">
        <f t="shared" si="35"/>
        <v>20214</v>
      </c>
      <c r="D245" s="153" t="str">
        <f t="shared" si="37"/>
        <v>Q2</v>
      </c>
      <c r="E245" s="153">
        <f t="shared" si="38"/>
        <v>163161.704</v>
      </c>
      <c r="F245" s="153" t="e">
        <f t="shared" si="36"/>
        <v>#N/A</v>
      </c>
      <c r="G245" s="153">
        <f t="shared" si="36"/>
        <v>4685.0510000000004</v>
      </c>
      <c r="H245" s="153">
        <f t="shared" si="36"/>
        <v>1859.7909999999999</v>
      </c>
      <c r="O245" s="159"/>
      <c r="P245" s="159"/>
      <c r="Q245" s="159"/>
      <c r="R245" s="159"/>
    </row>
    <row r="246" spans="1:18" x14ac:dyDescent="0.2">
      <c r="A246" s="153">
        <v>2021</v>
      </c>
      <c r="B246" s="153">
        <v>5</v>
      </c>
      <c r="C246" s="153" t="str">
        <f t="shared" si="35"/>
        <v>20215</v>
      </c>
      <c r="D246" s="153" t="str">
        <f t="shared" si="37"/>
        <v>Q2</v>
      </c>
      <c r="E246" s="153">
        <f t="shared" si="38"/>
        <v>163161.704</v>
      </c>
      <c r="F246" s="153" t="e">
        <f t="shared" si="36"/>
        <v>#N/A</v>
      </c>
      <c r="G246" s="153">
        <f t="shared" si="36"/>
        <v>4685.0510000000004</v>
      </c>
      <c r="H246" s="153">
        <f t="shared" si="36"/>
        <v>1859.7909999999999</v>
      </c>
      <c r="O246" s="159"/>
      <c r="P246" s="159"/>
      <c r="Q246" s="159"/>
      <c r="R246" s="159"/>
    </row>
    <row r="247" spans="1:18" x14ac:dyDescent="0.2">
      <c r="A247" s="153">
        <v>2021</v>
      </c>
      <c r="B247" s="153">
        <v>6</v>
      </c>
      <c r="C247" s="153" t="str">
        <f t="shared" si="35"/>
        <v>20216</v>
      </c>
      <c r="D247" s="153" t="str">
        <f t="shared" si="37"/>
        <v>Q2</v>
      </c>
      <c r="E247" s="153">
        <f t="shared" si="38"/>
        <v>163161.704</v>
      </c>
      <c r="F247" s="153" t="e">
        <f t="shared" si="36"/>
        <v>#N/A</v>
      </c>
      <c r="G247" s="153">
        <f t="shared" si="36"/>
        <v>4685.0510000000004</v>
      </c>
      <c r="H247" s="153">
        <f t="shared" si="36"/>
        <v>1859.7909999999999</v>
      </c>
      <c r="O247" s="159"/>
      <c r="P247" s="159"/>
      <c r="Q247" s="159"/>
      <c r="R247" s="159"/>
    </row>
    <row r="248" spans="1:18" x14ac:dyDescent="0.2">
      <c r="A248" s="153">
        <v>2021</v>
      </c>
      <c r="B248" s="153">
        <v>7</v>
      </c>
      <c r="C248" s="153" t="str">
        <f t="shared" si="35"/>
        <v>20217</v>
      </c>
      <c r="D248" s="153" t="str">
        <f t="shared" si="37"/>
        <v>Q3</v>
      </c>
      <c r="E248" s="153">
        <f t="shared" si="38"/>
        <v>163854.01199999999</v>
      </c>
      <c r="F248" s="153" t="e">
        <f t="shared" si="36"/>
        <v>#N/A</v>
      </c>
      <c r="G248" s="153">
        <f t="shared" si="36"/>
        <v>4693.299</v>
      </c>
      <c r="H248" s="153">
        <f t="shared" si="36"/>
        <v>1862.693</v>
      </c>
      <c r="O248" s="159"/>
      <c r="P248" s="159"/>
      <c r="Q248" s="159"/>
      <c r="R248" s="159"/>
    </row>
    <row r="249" spans="1:18" x14ac:dyDescent="0.2">
      <c r="A249" s="153">
        <v>2021</v>
      </c>
      <c r="B249" s="153">
        <v>8</v>
      </c>
      <c r="C249" s="153" t="str">
        <f t="shared" si="35"/>
        <v>20218</v>
      </c>
      <c r="D249" s="153" t="str">
        <f t="shared" si="37"/>
        <v>Q3</v>
      </c>
      <c r="E249" s="153">
        <f t="shared" si="38"/>
        <v>163854.01199999999</v>
      </c>
      <c r="F249" s="153" t="e">
        <f t="shared" si="36"/>
        <v>#N/A</v>
      </c>
      <c r="G249" s="153">
        <f t="shared" si="36"/>
        <v>4693.299</v>
      </c>
      <c r="H249" s="153">
        <f t="shared" si="36"/>
        <v>1862.693</v>
      </c>
      <c r="O249" s="159"/>
      <c r="P249" s="159"/>
      <c r="Q249" s="159"/>
      <c r="R249" s="159"/>
    </row>
    <row r="250" spans="1:18" x14ac:dyDescent="0.2">
      <c r="A250" s="153">
        <v>2021</v>
      </c>
      <c r="B250" s="153">
        <v>9</v>
      </c>
      <c r="C250" s="153" t="str">
        <f t="shared" si="35"/>
        <v>20219</v>
      </c>
      <c r="D250" s="153" t="str">
        <f t="shared" si="37"/>
        <v>Q3</v>
      </c>
      <c r="E250" s="153">
        <f t="shared" si="38"/>
        <v>163854.01199999999</v>
      </c>
      <c r="F250" s="153" t="e">
        <f t="shared" si="36"/>
        <v>#N/A</v>
      </c>
      <c r="G250" s="153">
        <f t="shared" si="36"/>
        <v>4693.299</v>
      </c>
      <c r="H250" s="153">
        <f t="shared" si="36"/>
        <v>1862.693</v>
      </c>
      <c r="L250" s="177"/>
    </row>
    <row r="251" spans="1:18" x14ac:dyDescent="0.2">
      <c r="A251" s="153">
        <v>2021</v>
      </c>
      <c r="B251" s="153">
        <v>10</v>
      </c>
      <c r="C251" s="153" t="str">
        <f t="shared" si="35"/>
        <v>202110</v>
      </c>
      <c r="D251" s="153" t="str">
        <f t="shared" si="37"/>
        <v>Q4</v>
      </c>
      <c r="E251" s="153">
        <f t="shared" si="38"/>
        <v>164597.87899999999</v>
      </c>
      <c r="F251" s="153" t="e">
        <f t="shared" si="36"/>
        <v>#N/A</v>
      </c>
      <c r="G251" s="153">
        <f t="shared" si="36"/>
        <v>4701.5330000000004</v>
      </c>
      <c r="H251" s="153">
        <f t="shared" si="36"/>
        <v>1866.915</v>
      </c>
      <c r="L251" s="177"/>
    </row>
    <row r="252" spans="1:18" x14ac:dyDescent="0.2">
      <c r="A252" s="153">
        <v>2021</v>
      </c>
      <c r="B252" s="153">
        <v>11</v>
      </c>
      <c r="C252" s="153" t="str">
        <f t="shared" si="35"/>
        <v>202111</v>
      </c>
      <c r="D252" s="153" t="str">
        <f t="shared" si="37"/>
        <v>Q4</v>
      </c>
      <c r="E252" s="153">
        <f t="shared" si="38"/>
        <v>164597.87899999999</v>
      </c>
      <c r="F252" s="153" t="e">
        <f t="shared" si="36"/>
        <v>#N/A</v>
      </c>
      <c r="G252" s="153">
        <f t="shared" si="36"/>
        <v>4701.5330000000004</v>
      </c>
      <c r="H252" s="153">
        <f t="shared" si="36"/>
        <v>1866.915</v>
      </c>
      <c r="L252" s="177"/>
    </row>
    <row r="253" spans="1:18" x14ac:dyDescent="0.2">
      <c r="A253" s="153">
        <v>2021</v>
      </c>
      <c r="B253" s="153">
        <v>12</v>
      </c>
      <c r="C253" s="153" t="str">
        <f t="shared" si="35"/>
        <v>202112</v>
      </c>
      <c r="D253" s="153" t="str">
        <f t="shared" si="37"/>
        <v>Q4</v>
      </c>
      <c r="E253" s="153">
        <f t="shared" si="38"/>
        <v>164597.87899999999</v>
      </c>
      <c r="F253" s="153" t="e">
        <f t="shared" si="36"/>
        <v>#N/A</v>
      </c>
      <c r="G253" s="153">
        <f t="shared" si="36"/>
        <v>4701.5330000000004</v>
      </c>
      <c r="H253" s="153">
        <f t="shared" si="36"/>
        <v>1866.915</v>
      </c>
      <c r="L253" s="177"/>
    </row>
    <row r="254" spans="1:18" x14ac:dyDescent="0.2">
      <c r="A254" s="153">
        <v>2022</v>
      </c>
      <c r="B254" s="153">
        <v>1</v>
      </c>
      <c r="C254" s="153" t="str">
        <f t="shared" si="35"/>
        <v>20221</v>
      </c>
      <c r="D254" s="153" t="str">
        <f t="shared" si="37"/>
        <v>Q1</v>
      </c>
      <c r="E254" s="153">
        <f t="shared" si="38"/>
        <v>165857.508</v>
      </c>
      <c r="F254" s="153" t="e">
        <f t="shared" si="36"/>
        <v>#N/A</v>
      </c>
      <c r="G254" s="153">
        <f t="shared" si="36"/>
        <v>4709.7529999999997</v>
      </c>
      <c r="H254" s="153">
        <f t="shared" si="36"/>
        <v>1869.009</v>
      </c>
      <c r="L254" s="177"/>
    </row>
    <row r="255" spans="1:18" x14ac:dyDescent="0.2">
      <c r="A255" s="153">
        <v>2022</v>
      </c>
      <c r="B255" s="153">
        <v>2</v>
      </c>
      <c r="C255" s="153" t="str">
        <f t="shared" si="35"/>
        <v>20222</v>
      </c>
      <c r="D255" s="153" t="str">
        <f t="shared" si="37"/>
        <v>Q1</v>
      </c>
      <c r="E255" s="153">
        <f t="shared" si="38"/>
        <v>165857.508</v>
      </c>
      <c r="F255" s="153" t="e">
        <f t="shared" si="36"/>
        <v>#N/A</v>
      </c>
      <c r="G255" s="153">
        <f t="shared" si="36"/>
        <v>4709.7529999999997</v>
      </c>
      <c r="H255" s="153">
        <f t="shared" si="36"/>
        <v>1869.009</v>
      </c>
      <c r="L255" s="177"/>
    </row>
    <row r="256" spans="1:18" x14ac:dyDescent="0.2">
      <c r="A256" s="153">
        <v>2022</v>
      </c>
      <c r="B256" s="153">
        <v>3</v>
      </c>
      <c r="C256" s="153" t="str">
        <f t="shared" si="35"/>
        <v>20223</v>
      </c>
      <c r="D256" s="153" t="str">
        <f t="shared" si="37"/>
        <v>Q1</v>
      </c>
      <c r="E256" s="153">
        <f t="shared" si="38"/>
        <v>165857.508</v>
      </c>
      <c r="F256" s="153" t="e">
        <f t="shared" si="36"/>
        <v>#N/A</v>
      </c>
      <c r="G256" s="153">
        <f t="shared" si="36"/>
        <v>4709.7529999999997</v>
      </c>
      <c r="H256" s="153">
        <f t="shared" si="36"/>
        <v>1869.009</v>
      </c>
      <c r="L256" s="177"/>
    </row>
    <row r="257" spans="1:12" x14ac:dyDescent="0.2">
      <c r="A257" s="153">
        <v>2022</v>
      </c>
      <c r="B257" s="153">
        <v>4</v>
      </c>
      <c r="C257" s="153" t="str">
        <f t="shared" si="35"/>
        <v>20224</v>
      </c>
      <c r="D257" s="153" t="str">
        <f t="shared" si="37"/>
        <v>Q2</v>
      </c>
      <c r="E257" s="153">
        <f t="shared" si="38"/>
        <v>166796.47399999999</v>
      </c>
      <c r="F257" s="153" t="e">
        <f t="shared" si="36"/>
        <v>#N/A</v>
      </c>
      <c r="G257" s="153">
        <f t="shared" si="36"/>
        <v>4717.9579999999996</v>
      </c>
      <c r="H257" s="153">
        <f t="shared" si="36"/>
        <v>1872.117</v>
      </c>
      <c r="L257" s="177"/>
    </row>
    <row r="258" spans="1:12" x14ac:dyDescent="0.2">
      <c r="A258" s="153">
        <v>2022</v>
      </c>
      <c r="B258" s="153">
        <v>5</v>
      </c>
      <c r="C258" s="153" t="str">
        <f t="shared" si="35"/>
        <v>20225</v>
      </c>
      <c r="D258" s="153" t="str">
        <f t="shared" si="37"/>
        <v>Q2</v>
      </c>
      <c r="E258" s="153">
        <f t="shared" si="38"/>
        <v>166796.47399999999</v>
      </c>
      <c r="F258" s="153" t="e">
        <f t="shared" si="36"/>
        <v>#N/A</v>
      </c>
      <c r="G258" s="153">
        <f t="shared" si="36"/>
        <v>4717.9579999999996</v>
      </c>
      <c r="H258" s="153">
        <f t="shared" si="36"/>
        <v>1872.117</v>
      </c>
      <c r="L258" s="177"/>
    </row>
    <row r="259" spans="1:12" x14ac:dyDescent="0.2">
      <c r="A259" s="153">
        <v>2022</v>
      </c>
      <c r="B259" s="153">
        <v>6</v>
      </c>
      <c r="C259" s="153" t="str">
        <f t="shared" ref="C259:C322" si="39">A259&amp;B259</f>
        <v>20226</v>
      </c>
      <c r="D259" s="153" t="str">
        <f t="shared" si="37"/>
        <v>Q2</v>
      </c>
      <c r="E259" s="153">
        <f t="shared" si="38"/>
        <v>166796.47399999999</v>
      </c>
      <c r="F259" s="153" t="e">
        <f t="shared" ref="F259:H322" si="40">VLOOKUP($A259&amp;$D259,$N$1:$U$169,MATCH(F$1,$N$1:$U$1,0),0)</f>
        <v>#N/A</v>
      </c>
      <c r="G259" s="153">
        <f t="shared" si="40"/>
        <v>4717.9579999999996</v>
      </c>
      <c r="H259" s="153">
        <f t="shared" si="40"/>
        <v>1872.117</v>
      </c>
      <c r="L259" s="177"/>
    </row>
    <row r="260" spans="1:12" x14ac:dyDescent="0.2">
      <c r="A260" s="153">
        <v>2022</v>
      </c>
      <c r="B260" s="153">
        <v>7</v>
      </c>
      <c r="C260" s="153" t="str">
        <f t="shared" si="39"/>
        <v>20227</v>
      </c>
      <c r="D260" s="153" t="str">
        <f t="shared" si="37"/>
        <v>Q3</v>
      </c>
      <c r="E260" s="153">
        <f t="shared" si="38"/>
        <v>167787.24299999999</v>
      </c>
      <c r="F260" s="153" t="e">
        <f t="shared" si="40"/>
        <v>#N/A</v>
      </c>
      <c r="G260" s="153">
        <f t="shared" si="40"/>
        <v>4726.1329999999998</v>
      </c>
      <c r="H260" s="153">
        <f t="shared" si="40"/>
        <v>1875.1959999999999</v>
      </c>
      <c r="L260" s="177"/>
    </row>
    <row r="261" spans="1:12" x14ac:dyDescent="0.2">
      <c r="A261" s="153">
        <v>2022</v>
      </c>
      <c r="B261" s="153">
        <v>8</v>
      </c>
      <c r="C261" s="153" t="str">
        <f t="shared" si="39"/>
        <v>20228</v>
      </c>
      <c r="D261" s="153" t="str">
        <f t="shared" si="37"/>
        <v>Q3</v>
      </c>
      <c r="E261" s="153">
        <f t="shared" si="38"/>
        <v>167787.24299999999</v>
      </c>
      <c r="F261" s="153" t="e">
        <f t="shared" si="40"/>
        <v>#N/A</v>
      </c>
      <c r="G261" s="153">
        <f t="shared" si="40"/>
        <v>4726.1329999999998</v>
      </c>
      <c r="H261" s="153">
        <f t="shared" si="40"/>
        <v>1875.1959999999999</v>
      </c>
      <c r="L261" s="177"/>
    </row>
    <row r="262" spans="1:12" x14ac:dyDescent="0.2">
      <c r="A262" s="153">
        <v>2022</v>
      </c>
      <c r="B262" s="153">
        <v>9</v>
      </c>
      <c r="C262" s="153" t="str">
        <f t="shared" si="39"/>
        <v>20229</v>
      </c>
      <c r="D262" s="153" t="str">
        <f t="shared" si="37"/>
        <v>Q3</v>
      </c>
      <c r="E262" s="153">
        <f t="shared" si="38"/>
        <v>167787.24299999999</v>
      </c>
      <c r="F262" s="153" t="e">
        <f t="shared" si="40"/>
        <v>#N/A</v>
      </c>
      <c r="G262" s="153">
        <f t="shared" si="40"/>
        <v>4726.1329999999998</v>
      </c>
      <c r="H262" s="153">
        <f t="shared" si="40"/>
        <v>1875.1959999999999</v>
      </c>
      <c r="L262" s="177"/>
    </row>
    <row r="263" spans="1:12" x14ac:dyDescent="0.2">
      <c r="A263" s="153">
        <v>2022</v>
      </c>
      <c r="B263" s="153">
        <v>10</v>
      </c>
      <c r="C263" s="153" t="str">
        <f t="shared" si="39"/>
        <v>202210</v>
      </c>
      <c r="D263" s="153" t="str">
        <f t="shared" si="37"/>
        <v>Q4</v>
      </c>
      <c r="E263" s="153">
        <f t="shared" si="38"/>
        <v>168781.15</v>
      </c>
      <c r="F263" s="153" t="e">
        <f t="shared" si="40"/>
        <v>#N/A</v>
      </c>
      <c r="G263" s="153">
        <f t="shared" si="40"/>
        <v>4734.2920000000004</v>
      </c>
      <c r="H263" s="153">
        <f t="shared" si="40"/>
        <v>1878.357</v>
      </c>
      <c r="L263" s="177"/>
    </row>
    <row r="264" spans="1:12" x14ac:dyDescent="0.2">
      <c r="A264" s="153">
        <v>2022</v>
      </c>
      <c r="B264" s="153">
        <v>11</v>
      </c>
      <c r="C264" s="153" t="str">
        <f t="shared" si="39"/>
        <v>202211</v>
      </c>
      <c r="D264" s="153" t="str">
        <f t="shared" si="37"/>
        <v>Q4</v>
      </c>
      <c r="E264" s="153">
        <f t="shared" si="38"/>
        <v>168781.15</v>
      </c>
      <c r="F264" s="153" t="e">
        <f t="shared" si="40"/>
        <v>#N/A</v>
      </c>
      <c r="G264" s="153">
        <f t="shared" si="40"/>
        <v>4734.2920000000004</v>
      </c>
      <c r="H264" s="153">
        <f t="shared" si="40"/>
        <v>1878.357</v>
      </c>
      <c r="L264" s="177"/>
    </row>
    <row r="265" spans="1:12" x14ac:dyDescent="0.2">
      <c r="A265" s="153">
        <v>2022</v>
      </c>
      <c r="B265" s="153">
        <v>12</v>
      </c>
      <c r="C265" s="153" t="str">
        <f t="shared" si="39"/>
        <v>202212</v>
      </c>
      <c r="D265" s="153" t="str">
        <f t="shared" si="37"/>
        <v>Q4</v>
      </c>
      <c r="E265" s="153">
        <f t="shared" si="38"/>
        <v>168781.15</v>
      </c>
      <c r="F265" s="153" t="e">
        <f t="shared" si="40"/>
        <v>#N/A</v>
      </c>
      <c r="G265" s="153">
        <f t="shared" si="40"/>
        <v>4734.2920000000004</v>
      </c>
      <c r="H265" s="153">
        <f t="shared" si="40"/>
        <v>1878.357</v>
      </c>
      <c r="L265" s="177"/>
    </row>
    <row r="266" spans="1:12" x14ac:dyDescent="0.2">
      <c r="A266" s="153">
        <v>2023</v>
      </c>
      <c r="B266" s="153">
        <v>1</v>
      </c>
      <c r="C266" s="153" t="str">
        <f t="shared" si="39"/>
        <v>20231</v>
      </c>
      <c r="D266" s="153" t="str">
        <f t="shared" si="37"/>
        <v>Q1</v>
      </c>
      <c r="E266" s="153">
        <f t="shared" si="38"/>
        <v>170138.21400000001</v>
      </c>
      <c r="F266" s="153" t="e">
        <f t="shared" si="40"/>
        <v>#N/A</v>
      </c>
      <c r="G266" s="153">
        <f t="shared" si="40"/>
        <v>4742.4340000000002</v>
      </c>
      <c r="H266" s="153">
        <f t="shared" si="40"/>
        <v>1881.624</v>
      </c>
      <c r="L266" s="177"/>
    </row>
    <row r="267" spans="1:12" x14ac:dyDescent="0.2">
      <c r="A267" s="153">
        <v>2023</v>
      </c>
      <c r="B267" s="153">
        <v>2</v>
      </c>
      <c r="C267" s="153" t="str">
        <f t="shared" si="39"/>
        <v>20232</v>
      </c>
      <c r="D267" s="153" t="str">
        <f t="shared" si="37"/>
        <v>Q1</v>
      </c>
      <c r="E267" s="153">
        <f t="shared" si="38"/>
        <v>170138.21400000001</v>
      </c>
      <c r="F267" s="153" t="e">
        <f t="shared" si="40"/>
        <v>#N/A</v>
      </c>
      <c r="G267" s="153">
        <f t="shared" si="40"/>
        <v>4742.4340000000002</v>
      </c>
      <c r="H267" s="153">
        <f t="shared" si="40"/>
        <v>1881.624</v>
      </c>
      <c r="L267" s="177"/>
    </row>
    <row r="268" spans="1:12" x14ac:dyDescent="0.2">
      <c r="A268" s="153">
        <v>2023</v>
      </c>
      <c r="B268" s="153">
        <v>3</v>
      </c>
      <c r="C268" s="153" t="str">
        <f t="shared" si="39"/>
        <v>20233</v>
      </c>
      <c r="D268" s="153" t="str">
        <f t="shared" si="37"/>
        <v>Q1</v>
      </c>
      <c r="E268" s="153">
        <f t="shared" si="38"/>
        <v>170138.21400000001</v>
      </c>
      <c r="F268" s="153" t="e">
        <f t="shared" si="40"/>
        <v>#N/A</v>
      </c>
      <c r="G268" s="153">
        <f t="shared" si="40"/>
        <v>4742.4340000000002</v>
      </c>
      <c r="H268" s="153">
        <f t="shared" si="40"/>
        <v>1881.624</v>
      </c>
      <c r="L268" s="177"/>
    </row>
    <row r="269" spans="1:12" x14ac:dyDescent="0.2">
      <c r="A269" s="153">
        <v>2023</v>
      </c>
      <c r="B269" s="153">
        <v>4</v>
      </c>
      <c r="C269" s="153" t="str">
        <f t="shared" si="39"/>
        <v>20234</v>
      </c>
      <c r="D269" s="153" t="str">
        <f t="shared" si="37"/>
        <v>Q2</v>
      </c>
      <c r="E269" s="153">
        <f t="shared" si="38"/>
        <v>171101.02100000001</v>
      </c>
      <c r="F269" s="153" t="e">
        <f t="shared" si="40"/>
        <v>#N/A</v>
      </c>
      <c r="G269" s="153">
        <f t="shared" si="40"/>
        <v>4750.558</v>
      </c>
      <c r="H269" s="153">
        <f t="shared" si="40"/>
        <v>1884.9670000000001</v>
      </c>
      <c r="L269" s="177"/>
    </row>
    <row r="270" spans="1:12" x14ac:dyDescent="0.2">
      <c r="A270" s="153">
        <v>2023</v>
      </c>
      <c r="B270" s="153">
        <v>5</v>
      </c>
      <c r="C270" s="153" t="str">
        <f t="shared" si="39"/>
        <v>20235</v>
      </c>
      <c r="D270" s="153" t="str">
        <f t="shared" si="37"/>
        <v>Q2</v>
      </c>
      <c r="E270" s="153">
        <f t="shared" si="38"/>
        <v>171101.02100000001</v>
      </c>
      <c r="F270" s="153" t="e">
        <f t="shared" si="40"/>
        <v>#N/A</v>
      </c>
      <c r="G270" s="153">
        <f t="shared" si="40"/>
        <v>4750.558</v>
      </c>
      <c r="H270" s="153">
        <f t="shared" si="40"/>
        <v>1884.9670000000001</v>
      </c>
      <c r="L270" s="177"/>
    </row>
    <row r="271" spans="1:12" x14ac:dyDescent="0.2">
      <c r="A271" s="153">
        <v>2023</v>
      </c>
      <c r="B271" s="153">
        <v>6</v>
      </c>
      <c r="C271" s="153" t="str">
        <f t="shared" si="39"/>
        <v>20236</v>
      </c>
      <c r="D271" s="153" t="str">
        <f t="shared" ref="D271:D334" si="41">D259</f>
        <v>Q2</v>
      </c>
      <c r="E271" s="153">
        <f t="shared" si="38"/>
        <v>171101.02100000001</v>
      </c>
      <c r="F271" s="153" t="e">
        <f t="shared" si="40"/>
        <v>#N/A</v>
      </c>
      <c r="G271" s="153">
        <f t="shared" si="40"/>
        <v>4750.558</v>
      </c>
      <c r="H271" s="153">
        <f t="shared" si="40"/>
        <v>1884.9670000000001</v>
      </c>
      <c r="L271" s="177"/>
    </row>
    <row r="272" spans="1:12" x14ac:dyDescent="0.2">
      <c r="A272" s="153">
        <v>2023</v>
      </c>
      <c r="B272" s="153">
        <v>7</v>
      </c>
      <c r="C272" s="153" t="str">
        <f t="shared" si="39"/>
        <v>20237</v>
      </c>
      <c r="D272" s="153" t="str">
        <f t="shared" si="41"/>
        <v>Q3</v>
      </c>
      <c r="E272" s="153">
        <f t="shared" si="38"/>
        <v>172007.791</v>
      </c>
      <c r="F272" s="153" t="e">
        <f t="shared" si="40"/>
        <v>#N/A</v>
      </c>
      <c r="G272" s="153">
        <f t="shared" si="40"/>
        <v>4758.6490000000003</v>
      </c>
      <c r="H272" s="153">
        <f t="shared" si="40"/>
        <v>1888.2650000000001</v>
      </c>
      <c r="L272" s="177"/>
    </row>
    <row r="273" spans="1:12" x14ac:dyDescent="0.2">
      <c r="A273" s="153">
        <v>2023</v>
      </c>
      <c r="B273" s="153">
        <v>8</v>
      </c>
      <c r="C273" s="153" t="str">
        <f t="shared" si="39"/>
        <v>20238</v>
      </c>
      <c r="D273" s="153" t="str">
        <f t="shared" si="41"/>
        <v>Q3</v>
      </c>
      <c r="E273" s="153">
        <f t="shared" si="38"/>
        <v>172007.791</v>
      </c>
      <c r="F273" s="153" t="e">
        <f t="shared" si="40"/>
        <v>#N/A</v>
      </c>
      <c r="G273" s="153">
        <f t="shared" si="40"/>
        <v>4758.6490000000003</v>
      </c>
      <c r="H273" s="153">
        <f t="shared" si="40"/>
        <v>1888.2650000000001</v>
      </c>
      <c r="L273" s="177"/>
    </row>
    <row r="274" spans="1:12" x14ac:dyDescent="0.2">
      <c r="A274" s="153">
        <v>2023</v>
      </c>
      <c r="B274" s="153">
        <v>9</v>
      </c>
      <c r="C274" s="153" t="str">
        <f t="shared" si="39"/>
        <v>20239</v>
      </c>
      <c r="D274" s="153" t="str">
        <f t="shared" si="41"/>
        <v>Q3</v>
      </c>
      <c r="E274" s="153">
        <f t="shared" si="38"/>
        <v>172007.791</v>
      </c>
      <c r="F274" s="153" t="e">
        <f t="shared" si="40"/>
        <v>#N/A</v>
      </c>
      <c r="G274" s="153">
        <f t="shared" si="40"/>
        <v>4758.6490000000003</v>
      </c>
      <c r="H274" s="153">
        <f t="shared" si="40"/>
        <v>1888.2650000000001</v>
      </c>
      <c r="L274" s="177"/>
    </row>
    <row r="275" spans="1:12" x14ac:dyDescent="0.2">
      <c r="A275" s="153">
        <v>2023</v>
      </c>
      <c r="B275" s="153">
        <v>10</v>
      </c>
      <c r="C275" s="153" t="str">
        <f t="shared" si="39"/>
        <v>202310</v>
      </c>
      <c r="D275" s="153" t="str">
        <f t="shared" si="41"/>
        <v>Q4</v>
      </c>
      <c r="E275" s="153">
        <f t="shared" si="38"/>
        <v>172918.79399999999</v>
      </c>
      <c r="F275" s="153" t="e">
        <f t="shared" si="40"/>
        <v>#N/A</v>
      </c>
      <c r="G275" s="153">
        <f t="shared" si="40"/>
        <v>4766.7089999999998</v>
      </c>
      <c r="H275" s="153">
        <f t="shared" si="40"/>
        <v>1893.3720000000001</v>
      </c>
      <c r="L275" s="177"/>
    </row>
    <row r="276" spans="1:12" x14ac:dyDescent="0.2">
      <c r="A276" s="153">
        <v>2023</v>
      </c>
      <c r="B276" s="153">
        <v>11</v>
      </c>
      <c r="C276" s="153" t="str">
        <f t="shared" si="39"/>
        <v>202311</v>
      </c>
      <c r="D276" s="153" t="str">
        <f t="shared" si="41"/>
        <v>Q4</v>
      </c>
      <c r="E276" s="153">
        <f t="shared" si="38"/>
        <v>172918.79399999999</v>
      </c>
      <c r="F276" s="153" t="e">
        <f t="shared" si="40"/>
        <v>#N/A</v>
      </c>
      <c r="G276" s="153">
        <f t="shared" si="40"/>
        <v>4766.7089999999998</v>
      </c>
      <c r="H276" s="153">
        <f t="shared" si="40"/>
        <v>1893.3720000000001</v>
      </c>
      <c r="L276" s="177"/>
    </row>
    <row r="277" spans="1:12" x14ac:dyDescent="0.2">
      <c r="A277" s="153">
        <v>2023</v>
      </c>
      <c r="B277" s="153">
        <v>12</v>
      </c>
      <c r="C277" s="153" t="str">
        <f t="shared" si="39"/>
        <v>202312</v>
      </c>
      <c r="D277" s="153" t="str">
        <f t="shared" si="41"/>
        <v>Q4</v>
      </c>
      <c r="E277" s="153">
        <f t="shared" si="38"/>
        <v>172918.79399999999</v>
      </c>
      <c r="F277" s="153" t="e">
        <f t="shared" si="40"/>
        <v>#N/A</v>
      </c>
      <c r="G277" s="153">
        <f t="shared" si="40"/>
        <v>4766.7089999999998</v>
      </c>
      <c r="H277" s="153">
        <f t="shared" si="40"/>
        <v>1893.3720000000001</v>
      </c>
      <c r="L277" s="177"/>
    </row>
    <row r="278" spans="1:12" x14ac:dyDescent="0.2">
      <c r="A278" s="153">
        <v>2024</v>
      </c>
      <c r="B278" s="153">
        <v>1</v>
      </c>
      <c r="C278" s="153" t="str">
        <f t="shared" si="39"/>
        <v>20241</v>
      </c>
      <c r="D278" s="153" t="str">
        <f t="shared" si="41"/>
        <v>Q1</v>
      </c>
      <c r="E278" s="153">
        <f t="shared" si="38"/>
        <v>174458.15100000001</v>
      </c>
      <c r="F278" s="153" t="e">
        <f t="shared" si="40"/>
        <v>#N/A</v>
      </c>
      <c r="G278" s="153">
        <f t="shared" si="40"/>
        <v>4774.7489999999998</v>
      </c>
      <c r="H278" s="153">
        <f t="shared" si="40"/>
        <v>1895.836</v>
      </c>
      <c r="L278" s="177"/>
    </row>
    <row r="279" spans="1:12" x14ac:dyDescent="0.2">
      <c r="A279" s="153">
        <v>2024</v>
      </c>
      <c r="B279" s="153">
        <v>2</v>
      </c>
      <c r="C279" s="153" t="str">
        <f t="shared" si="39"/>
        <v>20242</v>
      </c>
      <c r="D279" s="153" t="str">
        <f t="shared" si="41"/>
        <v>Q1</v>
      </c>
      <c r="E279" s="153">
        <f t="shared" si="38"/>
        <v>174458.15100000001</v>
      </c>
      <c r="F279" s="153" t="e">
        <f t="shared" si="40"/>
        <v>#N/A</v>
      </c>
      <c r="G279" s="153">
        <f t="shared" si="40"/>
        <v>4774.7489999999998</v>
      </c>
      <c r="H279" s="153">
        <f t="shared" si="40"/>
        <v>1895.836</v>
      </c>
      <c r="L279" s="177"/>
    </row>
    <row r="280" spans="1:12" x14ac:dyDescent="0.2">
      <c r="A280" s="153">
        <v>2024</v>
      </c>
      <c r="B280" s="153">
        <v>3</v>
      </c>
      <c r="C280" s="153" t="str">
        <f t="shared" si="39"/>
        <v>20243</v>
      </c>
      <c r="D280" s="153" t="str">
        <f t="shared" si="41"/>
        <v>Q1</v>
      </c>
      <c r="E280" s="153">
        <f t="shared" si="38"/>
        <v>174458.15100000001</v>
      </c>
      <c r="F280" s="153" t="e">
        <f t="shared" si="40"/>
        <v>#N/A</v>
      </c>
      <c r="G280" s="153">
        <f t="shared" si="40"/>
        <v>4774.7489999999998</v>
      </c>
      <c r="H280" s="153">
        <f t="shared" si="40"/>
        <v>1895.836</v>
      </c>
      <c r="L280" s="177"/>
    </row>
    <row r="281" spans="1:12" x14ac:dyDescent="0.2">
      <c r="A281" s="153">
        <v>2024</v>
      </c>
      <c r="B281" s="153">
        <v>4</v>
      </c>
      <c r="C281" s="153" t="str">
        <f t="shared" si="39"/>
        <v>20244</v>
      </c>
      <c r="D281" s="153" t="str">
        <f t="shared" si="41"/>
        <v>Q2</v>
      </c>
      <c r="E281" s="153">
        <f t="shared" si="38"/>
        <v>175426.49799999999</v>
      </c>
      <c r="F281" s="153" t="e">
        <f t="shared" si="40"/>
        <v>#N/A</v>
      </c>
      <c r="G281" s="153">
        <f t="shared" si="40"/>
        <v>4782.7700000000004</v>
      </c>
      <c r="H281" s="153">
        <f t="shared" si="40"/>
        <v>1898.4659999999999</v>
      </c>
      <c r="L281" s="177"/>
    </row>
    <row r="282" spans="1:12" x14ac:dyDescent="0.2">
      <c r="A282" s="153">
        <v>2024</v>
      </c>
      <c r="B282" s="153">
        <v>5</v>
      </c>
      <c r="C282" s="153" t="str">
        <f t="shared" si="39"/>
        <v>20245</v>
      </c>
      <c r="D282" s="153" t="str">
        <f t="shared" si="41"/>
        <v>Q2</v>
      </c>
      <c r="E282" s="153">
        <f t="shared" si="38"/>
        <v>175426.49799999999</v>
      </c>
      <c r="F282" s="153" t="e">
        <f t="shared" si="40"/>
        <v>#N/A</v>
      </c>
      <c r="G282" s="153">
        <f t="shared" si="40"/>
        <v>4782.7700000000004</v>
      </c>
      <c r="H282" s="153">
        <f t="shared" si="40"/>
        <v>1898.4659999999999</v>
      </c>
      <c r="L282" s="177"/>
    </row>
    <row r="283" spans="1:12" x14ac:dyDescent="0.2">
      <c r="A283" s="153">
        <v>2024</v>
      </c>
      <c r="B283" s="153">
        <v>6</v>
      </c>
      <c r="C283" s="153" t="str">
        <f t="shared" si="39"/>
        <v>20246</v>
      </c>
      <c r="D283" s="153" t="str">
        <f t="shared" si="41"/>
        <v>Q2</v>
      </c>
      <c r="E283" s="153">
        <f t="shared" si="38"/>
        <v>175426.49799999999</v>
      </c>
      <c r="F283" s="153" t="e">
        <f t="shared" si="40"/>
        <v>#N/A</v>
      </c>
      <c r="G283" s="153">
        <f t="shared" si="40"/>
        <v>4782.7700000000004</v>
      </c>
      <c r="H283" s="153">
        <f t="shared" si="40"/>
        <v>1898.4659999999999</v>
      </c>
      <c r="L283" s="177"/>
    </row>
    <row r="284" spans="1:12" x14ac:dyDescent="0.2">
      <c r="A284" s="153">
        <v>2024</v>
      </c>
      <c r="B284" s="153">
        <v>7</v>
      </c>
      <c r="C284" s="153" t="str">
        <f t="shared" si="39"/>
        <v>20247</v>
      </c>
      <c r="D284" s="153" t="str">
        <f t="shared" si="41"/>
        <v>Q3</v>
      </c>
      <c r="E284" s="153">
        <f t="shared" si="38"/>
        <v>176369.43100000001</v>
      </c>
      <c r="F284" s="153" t="e">
        <f t="shared" si="40"/>
        <v>#N/A</v>
      </c>
      <c r="G284" s="153">
        <f t="shared" si="40"/>
        <v>4790.7579999999998</v>
      </c>
      <c r="H284" s="153">
        <f t="shared" si="40"/>
        <v>1901.0250000000001</v>
      </c>
      <c r="L284" s="177"/>
    </row>
    <row r="285" spans="1:12" x14ac:dyDescent="0.2">
      <c r="A285" s="153">
        <v>2024</v>
      </c>
      <c r="B285" s="153">
        <v>8</v>
      </c>
      <c r="C285" s="153" t="str">
        <f t="shared" si="39"/>
        <v>20248</v>
      </c>
      <c r="D285" s="153" t="str">
        <f t="shared" si="41"/>
        <v>Q3</v>
      </c>
      <c r="E285" s="153">
        <f t="shared" si="38"/>
        <v>176369.43100000001</v>
      </c>
      <c r="F285" s="153" t="e">
        <f t="shared" si="40"/>
        <v>#N/A</v>
      </c>
      <c r="G285" s="153">
        <f t="shared" si="40"/>
        <v>4790.7579999999998</v>
      </c>
      <c r="H285" s="153">
        <f t="shared" si="40"/>
        <v>1901.0250000000001</v>
      </c>
      <c r="L285" s="177"/>
    </row>
    <row r="286" spans="1:12" x14ac:dyDescent="0.2">
      <c r="A286" s="153">
        <v>2024</v>
      </c>
      <c r="B286" s="153">
        <v>9</v>
      </c>
      <c r="C286" s="153" t="str">
        <f t="shared" si="39"/>
        <v>20249</v>
      </c>
      <c r="D286" s="153" t="str">
        <f t="shared" si="41"/>
        <v>Q3</v>
      </c>
      <c r="E286" s="153">
        <f t="shared" si="38"/>
        <v>176369.43100000001</v>
      </c>
      <c r="F286" s="153" t="e">
        <f t="shared" si="40"/>
        <v>#N/A</v>
      </c>
      <c r="G286" s="153">
        <f t="shared" si="40"/>
        <v>4790.7579999999998</v>
      </c>
      <c r="H286" s="153">
        <f t="shared" si="40"/>
        <v>1901.0250000000001</v>
      </c>
      <c r="L286" s="177"/>
    </row>
    <row r="287" spans="1:12" x14ac:dyDescent="0.2">
      <c r="A287" s="153">
        <v>2024</v>
      </c>
      <c r="B287" s="153">
        <v>10</v>
      </c>
      <c r="C287" s="153" t="str">
        <f t="shared" si="39"/>
        <v>202410</v>
      </c>
      <c r="D287" s="153" t="str">
        <f t="shared" si="41"/>
        <v>Q4</v>
      </c>
      <c r="E287" s="153">
        <f t="shared" si="38"/>
        <v>177331.9</v>
      </c>
      <c r="F287" s="153" t="e">
        <f t="shared" si="40"/>
        <v>#N/A</v>
      </c>
      <c r="G287" s="153">
        <f t="shared" si="40"/>
        <v>4798.7250000000004</v>
      </c>
      <c r="H287" s="153">
        <f t="shared" si="40"/>
        <v>1903.5609999999999</v>
      </c>
      <c r="L287" s="177"/>
    </row>
    <row r="288" spans="1:12" x14ac:dyDescent="0.2">
      <c r="A288" s="153">
        <v>2024</v>
      </c>
      <c r="B288" s="153">
        <v>11</v>
      </c>
      <c r="C288" s="153" t="str">
        <f t="shared" si="39"/>
        <v>202411</v>
      </c>
      <c r="D288" s="153" t="str">
        <f t="shared" si="41"/>
        <v>Q4</v>
      </c>
      <c r="E288" s="153">
        <f t="shared" si="38"/>
        <v>177331.9</v>
      </c>
      <c r="F288" s="153" t="e">
        <f t="shared" si="40"/>
        <v>#N/A</v>
      </c>
      <c r="G288" s="153">
        <f t="shared" si="40"/>
        <v>4798.7250000000004</v>
      </c>
      <c r="H288" s="153">
        <f t="shared" si="40"/>
        <v>1903.5609999999999</v>
      </c>
      <c r="L288" s="177"/>
    </row>
    <row r="289" spans="1:12" x14ac:dyDescent="0.2">
      <c r="A289" s="153">
        <v>2024</v>
      </c>
      <c r="B289" s="153">
        <v>12</v>
      </c>
      <c r="C289" s="153" t="str">
        <f t="shared" si="39"/>
        <v>202412</v>
      </c>
      <c r="D289" s="153" t="str">
        <f t="shared" si="41"/>
        <v>Q4</v>
      </c>
      <c r="E289" s="153">
        <f t="shared" si="38"/>
        <v>177331.9</v>
      </c>
      <c r="F289" s="153" t="e">
        <f t="shared" si="40"/>
        <v>#N/A</v>
      </c>
      <c r="G289" s="153">
        <f t="shared" si="40"/>
        <v>4798.7250000000004</v>
      </c>
      <c r="H289" s="153">
        <f t="shared" si="40"/>
        <v>1903.5609999999999</v>
      </c>
      <c r="L289" s="177"/>
    </row>
    <row r="290" spans="1:12" x14ac:dyDescent="0.2">
      <c r="A290" s="153">
        <v>2025</v>
      </c>
      <c r="B290" s="153">
        <v>1</v>
      </c>
      <c r="C290" s="153" t="str">
        <f t="shared" si="39"/>
        <v>20251</v>
      </c>
      <c r="D290" s="153" t="str">
        <f t="shared" si="41"/>
        <v>Q1</v>
      </c>
      <c r="E290" s="153">
        <f t="shared" si="38"/>
        <v>178892.09099999999</v>
      </c>
      <c r="F290" s="153" t="e">
        <f t="shared" si="40"/>
        <v>#N/A</v>
      </c>
      <c r="G290" s="153">
        <f t="shared" si="40"/>
        <v>4806.6729999999998</v>
      </c>
      <c r="H290" s="153">
        <f t="shared" si="40"/>
        <v>1907.3309999999999</v>
      </c>
      <c r="L290" s="177"/>
    </row>
    <row r="291" spans="1:12" x14ac:dyDescent="0.2">
      <c r="A291" s="153">
        <v>2025</v>
      </c>
      <c r="B291" s="153">
        <v>2</v>
      </c>
      <c r="C291" s="153" t="str">
        <f t="shared" si="39"/>
        <v>20252</v>
      </c>
      <c r="D291" s="153" t="str">
        <f t="shared" si="41"/>
        <v>Q1</v>
      </c>
      <c r="E291" s="153">
        <f t="shared" ref="E291:E354" si="42">VLOOKUP($A291&amp;$D291,$N$1:$U$169,MATCH(E$1,$N$1:$U$1,0),0)</f>
        <v>178892.09099999999</v>
      </c>
      <c r="F291" s="153" t="e">
        <f t="shared" si="40"/>
        <v>#N/A</v>
      </c>
      <c r="G291" s="153">
        <f t="shared" si="40"/>
        <v>4806.6729999999998</v>
      </c>
      <c r="H291" s="153">
        <f t="shared" si="40"/>
        <v>1907.3309999999999</v>
      </c>
      <c r="L291" s="177"/>
    </row>
    <row r="292" spans="1:12" x14ac:dyDescent="0.2">
      <c r="A292" s="153">
        <v>2025</v>
      </c>
      <c r="B292" s="153">
        <v>3</v>
      </c>
      <c r="C292" s="153" t="str">
        <f t="shared" si="39"/>
        <v>20253</v>
      </c>
      <c r="D292" s="153" t="str">
        <f t="shared" si="41"/>
        <v>Q1</v>
      </c>
      <c r="E292" s="153">
        <f t="shared" si="42"/>
        <v>178892.09099999999</v>
      </c>
      <c r="F292" s="153" t="e">
        <f t="shared" si="40"/>
        <v>#N/A</v>
      </c>
      <c r="G292" s="153">
        <f t="shared" si="40"/>
        <v>4806.6729999999998</v>
      </c>
      <c r="H292" s="153">
        <f t="shared" si="40"/>
        <v>1907.3309999999999</v>
      </c>
      <c r="L292" s="177"/>
    </row>
    <row r="293" spans="1:12" x14ac:dyDescent="0.2">
      <c r="A293" s="153">
        <v>2025</v>
      </c>
      <c r="B293" s="153">
        <v>4</v>
      </c>
      <c r="C293" s="153" t="str">
        <f t="shared" si="39"/>
        <v>20254</v>
      </c>
      <c r="D293" s="153" t="str">
        <f t="shared" si="41"/>
        <v>Q2</v>
      </c>
      <c r="E293" s="153">
        <f t="shared" si="42"/>
        <v>179884.057</v>
      </c>
      <c r="F293" s="153" t="e">
        <f t="shared" si="40"/>
        <v>#N/A</v>
      </c>
      <c r="G293" s="153">
        <f t="shared" si="40"/>
        <v>4814.6009999999997</v>
      </c>
      <c r="H293" s="153">
        <f t="shared" si="40"/>
        <v>1911.173</v>
      </c>
      <c r="L293" s="177"/>
    </row>
    <row r="294" spans="1:12" x14ac:dyDescent="0.2">
      <c r="A294" s="153">
        <v>2025</v>
      </c>
      <c r="B294" s="153">
        <v>5</v>
      </c>
      <c r="C294" s="153" t="str">
        <f t="shared" si="39"/>
        <v>20255</v>
      </c>
      <c r="D294" s="153" t="str">
        <f t="shared" si="41"/>
        <v>Q2</v>
      </c>
      <c r="E294" s="153">
        <f t="shared" si="42"/>
        <v>179884.057</v>
      </c>
      <c r="F294" s="153" t="e">
        <f t="shared" si="40"/>
        <v>#N/A</v>
      </c>
      <c r="G294" s="153">
        <f t="shared" si="40"/>
        <v>4814.6009999999997</v>
      </c>
      <c r="H294" s="153">
        <f t="shared" si="40"/>
        <v>1911.173</v>
      </c>
      <c r="L294" s="177"/>
    </row>
    <row r="295" spans="1:12" x14ac:dyDescent="0.2">
      <c r="A295" s="153">
        <v>2025</v>
      </c>
      <c r="B295" s="153">
        <v>6</v>
      </c>
      <c r="C295" s="153" t="str">
        <f t="shared" si="39"/>
        <v>20256</v>
      </c>
      <c r="D295" s="153" t="str">
        <f t="shared" si="41"/>
        <v>Q2</v>
      </c>
      <c r="E295" s="153">
        <f t="shared" si="42"/>
        <v>179884.057</v>
      </c>
      <c r="F295" s="153" t="e">
        <f t="shared" si="40"/>
        <v>#N/A</v>
      </c>
      <c r="G295" s="153">
        <f t="shared" si="40"/>
        <v>4814.6009999999997</v>
      </c>
      <c r="H295" s="153">
        <f t="shared" si="40"/>
        <v>1911.173</v>
      </c>
      <c r="L295" s="177"/>
    </row>
    <row r="296" spans="1:12" x14ac:dyDescent="0.2">
      <c r="A296" s="153">
        <v>2025</v>
      </c>
      <c r="B296" s="153">
        <v>7</v>
      </c>
      <c r="C296" s="153" t="str">
        <f t="shared" si="39"/>
        <v>20257</v>
      </c>
      <c r="D296" s="153" t="str">
        <f t="shared" si="41"/>
        <v>Q3</v>
      </c>
      <c r="E296" s="153">
        <f t="shared" si="42"/>
        <v>180786.26300000001</v>
      </c>
      <c r="F296" s="153" t="e">
        <f t="shared" si="40"/>
        <v>#N/A</v>
      </c>
      <c r="G296" s="153">
        <f t="shared" si="40"/>
        <v>4822.4949999999999</v>
      </c>
      <c r="H296" s="153">
        <f t="shared" si="40"/>
        <v>1914.9459999999999</v>
      </c>
      <c r="L296" s="177"/>
    </row>
    <row r="297" spans="1:12" x14ac:dyDescent="0.2">
      <c r="A297" s="153">
        <v>2025</v>
      </c>
      <c r="B297" s="153">
        <v>8</v>
      </c>
      <c r="C297" s="153" t="str">
        <f t="shared" si="39"/>
        <v>20258</v>
      </c>
      <c r="D297" s="153" t="str">
        <f t="shared" si="41"/>
        <v>Q3</v>
      </c>
      <c r="E297" s="153">
        <f t="shared" si="42"/>
        <v>180786.26300000001</v>
      </c>
      <c r="F297" s="153" t="e">
        <f t="shared" si="40"/>
        <v>#N/A</v>
      </c>
      <c r="G297" s="153">
        <f t="shared" si="40"/>
        <v>4822.4949999999999</v>
      </c>
      <c r="H297" s="153">
        <f t="shared" si="40"/>
        <v>1914.9459999999999</v>
      </c>
      <c r="L297" s="177"/>
    </row>
    <row r="298" spans="1:12" x14ac:dyDescent="0.2">
      <c r="A298" s="153">
        <v>2025</v>
      </c>
      <c r="B298" s="153">
        <v>9</v>
      </c>
      <c r="C298" s="153" t="str">
        <f t="shared" si="39"/>
        <v>20259</v>
      </c>
      <c r="D298" s="153" t="str">
        <f t="shared" si="41"/>
        <v>Q3</v>
      </c>
      <c r="E298" s="153">
        <f t="shared" si="42"/>
        <v>180786.26300000001</v>
      </c>
      <c r="F298" s="153" t="e">
        <f t="shared" si="40"/>
        <v>#N/A</v>
      </c>
      <c r="G298" s="153">
        <f t="shared" si="40"/>
        <v>4822.4949999999999</v>
      </c>
      <c r="H298" s="153">
        <f t="shared" si="40"/>
        <v>1914.9459999999999</v>
      </c>
      <c r="L298" s="177"/>
    </row>
    <row r="299" spans="1:12" x14ac:dyDescent="0.2">
      <c r="A299" s="153">
        <v>2025</v>
      </c>
      <c r="B299" s="153">
        <v>10</v>
      </c>
      <c r="C299" s="153" t="str">
        <f t="shared" si="39"/>
        <v>202510</v>
      </c>
      <c r="D299" s="153" t="str">
        <f t="shared" si="41"/>
        <v>Q4</v>
      </c>
      <c r="E299" s="153">
        <f t="shared" si="42"/>
        <v>181695.31</v>
      </c>
      <c r="F299" s="153" t="e">
        <f t="shared" si="40"/>
        <v>#N/A</v>
      </c>
      <c r="G299" s="153">
        <f t="shared" si="40"/>
        <v>4830.3680000000004</v>
      </c>
      <c r="H299" s="153">
        <f t="shared" si="40"/>
        <v>1918.75</v>
      </c>
      <c r="L299" s="177"/>
    </row>
    <row r="300" spans="1:12" x14ac:dyDescent="0.2">
      <c r="A300" s="153">
        <v>2025</v>
      </c>
      <c r="B300" s="153">
        <v>11</v>
      </c>
      <c r="C300" s="153" t="str">
        <f t="shared" si="39"/>
        <v>202511</v>
      </c>
      <c r="D300" s="153" t="str">
        <f t="shared" si="41"/>
        <v>Q4</v>
      </c>
      <c r="E300" s="153">
        <f t="shared" si="42"/>
        <v>181695.31</v>
      </c>
      <c r="F300" s="153" t="e">
        <f t="shared" si="40"/>
        <v>#N/A</v>
      </c>
      <c r="G300" s="153">
        <f t="shared" si="40"/>
        <v>4830.3680000000004</v>
      </c>
      <c r="H300" s="153">
        <f t="shared" si="40"/>
        <v>1918.75</v>
      </c>
      <c r="L300" s="177"/>
    </row>
    <row r="301" spans="1:12" x14ac:dyDescent="0.2">
      <c r="A301" s="153">
        <v>2025</v>
      </c>
      <c r="B301" s="153">
        <v>12</v>
      </c>
      <c r="C301" s="153" t="str">
        <f t="shared" si="39"/>
        <v>202512</v>
      </c>
      <c r="D301" s="153" t="str">
        <f t="shared" si="41"/>
        <v>Q4</v>
      </c>
      <c r="E301" s="153">
        <f t="shared" si="42"/>
        <v>181695.31</v>
      </c>
      <c r="F301" s="153" t="e">
        <f t="shared" si="40"/>
        <v>#N/A</v>
      </c>
      <c r="G301" s="153">
        <f t="shared" si="40"/>
        <v>4830.3680000000004</v>
      </c>
      <c r="H301" s="153">
        <f t="shared" si="40"/>
        <v>1918.75</v>
      </c>
      <c r="L301" s="177"/>
    </row>
    <row r="302" spans="1:12" x14ac:dyDescent="0.2">
      <c r="A302" s="153">
        <v>2026</v>
      </c>
      <c r="B302" s="153">
        <v>1</v>
      </c>
      <c r="C302" s="153" t="str">
        <f t="shared" si="39"/>
        <v>20261</v>
      </c>
      <c r="D302" s="153" t="str">
        <f t="shared" si="41"/>
        <v>Q1</v>
      </c>
      <c r="E302" s="153">
        <f t="shared" si="42"/>
        <v>183193.88699999999</v>
      </c>
      <c r="F302" s="153" t="e">
        <f t="shared" si="40"/>
        <v>#N/A</v>
      </c>
      <c r="G302" s="153">
        <f t="shared" si="40"/>
        <v>4838.2219999999998</v>
      </c>
      <c r="H302" s="153">
        <f t="shared" si="40"/>
        <v>1922.499</v>
      </c>
      <c r="L302" s="177"/>
    </row>
    <row r="303" spans="1:12" x14ac:dyDescent="0.2">
      <c r="A303" s="153">
        <v>2026</v>
      </c>
      <c r="B303" s="153">
        <v>2</v>
      </c>
      <c r="C303" s="153" t="str">
        <f t="shared" si="39"/>
        <v>20262</v>
      </c>
      <c r="D303" s="153" t="str">
        <f t="shared" si="41"/>
        <v>Q1</v>
      </c>
      <c r="E303" s="153">
        <f t="shared" si="42"/>
        <v>183193.88699999999</v>
      </c>
      <c r="F303" s="153" t="e">
        <f t="shared" si="40"/>
        <v>#N/A</v>
      </c>
      <c r="G303" s="153">
        <f t="shared" si="40"/>
        <v>4838.2219999999998</v>
      </c>
      <c r="H303" s="153">
        <f t="shared" si="40"/>
        <v>1922.499</v>
      </c>
      <c r="L303" s="177"/>
    </row>
    <row r="304" spans="1:12" x14ac:dyDescent="0.2">
      <c r="A304" s="153">
        <v>2026</v>
      </c>
      <c r="B304" s="153">
        <v>3</v>
      </c>
      <c r="C304" s="153" t="str">
        <f t="shared" si="39"/>
        <v>20263</v>
      </c>
      <c r="D304" s="153" t="str">
        <f t="shared" si="41"/>
        <v>Q1</v>
      </c>
      <c r="E304" s="153">
        <f t="shared" si="42"/>
        <v>183193.88699999999</v>
      </c>
      <c r="F304" s="153" t="e">
        <f t="shared" si="40"/>
        <v>#N/A</v>
      </c>
      <c r="G304" s="153">
        <f t="shared" si="40"/>
        <v>4838.2219999999998</v>
      </c>
      <c r="H304" s="153">
        <f t="shared" si="40"/>
        <v>1922.499</v>
      </c>
      <c r="L304" s="177"/>
    </row>
    <row r="305" spans="1:12" x14ac:dyDescent="0.2">
      <c r="A305" s="153">
        <v>2026</v>
      </c>
      <c r="B305" s="153">
        <v>4</v>
      </c>
      <c r="C305" s="153" t="str">
        <f t="shared" si="39"/>
        <v>20264</v>
      </c>
      <c r="D305" s="153" t="str">
        <f t="shared" si="41"/>
        <v>Q2</v>
      </c>
      <c r="E305" s="153">
        <f t="shared" si="42"/>
        <v>184162.48300000001</v>
      </c>
      <c r="F305" s="153" t="e">
        <f t="shared" si="40"/>
        <v>#N/A</v>
      </c>
      <c r="G305" s="153">
        <f t="shared" si="40"/>
        <v>4846.0540000000001</v>
      </c>
      <c r="H305" s="153">
        <f t="shared" si="40"/>
        <v>1926.31</v>
      </c>
      <c r="L305" s="177"/>
    </row>
    <row r="306" spans="1:12" x14ac:dyDescent="0.2">
      <c r="A306" s="153">
        <v>2026</v>
      </c>
      <c r="B306" s="153">
        <v>5</v>
      </c>
      <c r="C306" s="153" t="str">
        <f t="shared" si="39"/>
        <v>20265</v>
      </c>
      <c r="D306" s="153" t="str">
        <f t="shared" si="41"/>
        <v>Q2</v>
      </c>
      <c r="E306" s="153">
        <f t="shared" si="42"/>
        <v>184162.48300000001</v>
      </c>
      <c r="F306" s="153" t="e">
        <f t="shared" si="40"/>
        <v>#N/A</v>
      </c>
      <c r="G306" s="153">
        <f t="shared" si="40"/>
        <v>4846.0540000000001</v>
      </c>
      <c r="H306" s="153">
        <f t="shared" si="40"/>
        <v>1926.31</v>
      </c>
      <c r="L306" s="177"/>
    </row>
    <row r="307" spans="1:12" x14ac:dyDescent="0.2">
      <c r="A307" s="153">
        <v>2026</v>
      </c>
      <c r="B307" s="153">
        <v>6</v>
      </c>
      <c r="C307" s="153" t="str">
        <f t="shared" si="39"/>
        <v>20266</v>
      </c>
      <c r="D307" s="153" t="str">
        <f t="shared" si="41"/>
        <v>Q2</v>
      </c>
      <c r="E307" s="153">
        <f t="shared" si="42"/>
        <v>184162.48300000001</v>
      </c>
      <c r="F307" s="153" t="e">
        <f t="shared" si="40"/>
        <v>#N/A</v>
      </c>
      <c r="G307" s="153">
        <f t="shared" si="40"/>
        <v>4846.0540000000001</v>
      </c>
      <c r="H307" s="153">
        <f t="shared" si="40"/>
        <v>1926.31</v>
      </c>
      <c r="L307" s="177"/>
    </row>
    <row r="308" spans="1:12" x14ac:dyDescent="0.2">
      <c r="A308" s="153">
        <v>2026</v>
      </c>
      <c r="B308" s="153">
        <v>7</v>
      </c>
      <c r="C308" s="153" t="str">
        <f t="shared" si="39"/>
        <v>20267</v>
      </c>
      <c r="D308" s="153" t="str">
        <f t="shared" si="41"/>
        <v>Q3</v>
      </c>
      <c r="E308" s="153">
        <f t="shared" si="42"/>
        <v>185034.74600000001</v>
      </c>
      <c r="F308" s="153" t="e">
        <f t="shared" si="40"/>
        <v>#N/A</v>
      </c>
      <c r="G308" s="153">
        <f t="shared" si="40"/>
        <v>4853.84</v>
      </c>
      <c r="H308" s="153">
        <f t="shared" si="40"/>
        <v>1930.05</v>
      </c>
      <c r="L308" s="177"/>
    </row>
    <row r="309" spans="1:12" x14ac:dyDescent="0.2">
      <c r="A309" s="153">
        <v>2026</v>
      </c>
      <c r="B309" s="153">
        <v>8</v>
      </c>
      <c r="C309" s="153" t="str">
        <f t="shared" si="39"/>
        <v>20268</v>
      </c>
      <c r="D309" s="153" t="str">
        <f t="shared" si="41"/>
        <v>Q3</v>
      </c>
      <c r="E309" s="153">
        <f t="shared" si="42"/>
        <v>185034.74600000001</v>
      </c>
      <c r="F309" s="153" t="e">
        <f t="shared" si="40"/>
        <v>#N/A</v>
      </c>
      <c r="G309" s="153">
        <f t="shared" si="40"/>
        <v>4853.84</v>
      </c>
      <c r="H309" s="153">
        <f t="shared" si="40"/>
        <v>1930.05</v>
      </c>
      <c r="L309" s="177"/>
    </row>
    <row r="310" spans="1:12" x14ac:dyDescent="0.2">
      <c r="A310" s="153">
        <v>2026</v>
      </c>
      <c r="B310" s="153">
        <v>9</v>
      </c>
      <c r="C310" s="153" t="str">
        <f t="shared" si="39"/>
        <v>20269</v>
      </c>
      <c r="D310" s="153" t="str">
        <f t="shared" si="41"/>
        <v>Q3</v>
      </c>
      <c r="E310" s="153">
        <f t="shared" si="42"/>
        <v>185034.74600000001</v>
      </c>
      <c r="F310" s="153" t="e">
        <f t="shared" si="40"/>
        <v>#N/A</v>
      </c>
      <c r="G310" s="153">
        <f t="shared" si="40"/>
        <v>4853.84</v>
      </c>
      <c r="H310" s="153">
        <f t="shared" si="40"/>
        <v>1930.05</v>
      </c>
      <c r="L310" s="177"/>
    </row>
    <row r="311" spans="1:12" x14ac:dyDescent="0.2">
      <c r="A311" s="153">
        <v>2026</v>
      </c>
      <c r="B311" s="153">
        <v>10</v>
      </c>
      <c r="C311" s="153" t="str">
        <f t="shared" si="39"/>
        <v>202610</v>
      </c>
      <c r="D311" s="153" t="str">
        <f t="shared" si="41"/>
        <v>Q4</v>
      </c>
      <c r="E311" s="153">
        <f t="shared" si="42"/>
        <v>185915.33600000001</v>
      </c>
      <c r="F311" s="153" t="e">
        <f t="shared" si="40"/>
        <v>#N/A</v>
      </c>
      <c r="G311" s="153">
        <f t="shared" si="40"/>
        <v>4861.6040000000003</v>
      </c>
      <c r="H311" s="153">
        <f t="shared" si="40"/>
        <v>1933.8019999999999</v>
      </c>
      <c r="L311" s="177"/>
    </row>
    <row r="312" spans="1:12" x14ac:dyDescent="0.2">
      <c r="A312" s="153">
        <v>2026</v>
      </c>
      <c r="B312" s="153">
        <v>11</v>
      </c>
      <c r="C312" s="153" t="str">
        <f t="shared" si="39"/>
        <v>202611</v>
      </c>
      <c r="D312" s="153" t="str">
        <f t="shared" si="41"/>
        <v>Q4</v>
      </c>
      <c r="E312" s="153">
        <f t="shared" si="42"/>
        <v>185915.33600000001</v>
      </c>
      <c r="F312" s="153" t="e">
        <f t="shared" si="40"/>
        <v>#N/A</v>
      </c>
      <c r="G312" s="153">
        <f t="shared" si="40"/>
        <v>4861.6040000000003</v>
      </c>
      <c r="H312" s="153">
        <f t="shared" si="40"/>
        <v>1933.8019999999999</v>
      </c>
      <c r="L312" s="177"/>
    </row>
    <row r="313" spans="1:12" x14ac:dyDescent="0.2">
      <c r="A313" s="153">
        <v>2026</v>
      </c>
      <c r="B313" s="153">
        <v>12</v>
      </c>
      <c r="C313" s="153" t="str">
        <f t="shared" si="39"/>
        <v>202612</v>
      </c>
      <c r="D313" s="153" t="str">
        <f t="shared" si="41"/>
        <v>Q4</v>
      </c>
      <c r="E313" s="153">
        <f t="shared" si="42"/>
        <v>185915.33600000001</v>
      </c>
      <c r="F313" s="153" t="e">
        <f t="shared" si="40"/>
        <v>#N/A</v>
      </c>
      <c r="G313" s="153">
        <f t="shared" si="40"/>
        <v>4861.6040000000003</v>
      </c>
      <c r="H313" s="153">
        <f t="shared" si="40"/>
        <v>1933.8019999999999</v>
      </c>
      <c r="L313" s="177"/>
    </row>
    <row r="314" spans="1:12" x14ac:dyDescent="0.2">
      <c r="A314" s="153">
        <v>2027</v>
      </c>
      <c r="B314" s="153">
        <v>1</v>
      </c>
      <c r="C314" s="153" t="str">
        <f t="shared" si="39"/>
        <v>20271</v>
      </c>
      <c r="D314" s="153" t="str">
        <f t="shared" si="41"/>
        <v>Q1</v>
      </c>
      <c r="E314" s="153">
        <f t="shared" si="42"/>
        <v>187484.08600000001</v>
      </c>
      <c r="F314" s="153" t="e">
        <f t="shared" si="40"/>
        <v>#N/A</v>
      </c>
      <c r="G314" s="153">
        <f t="shared" si="40"/>
        <v>4869.3490000000002</v>
      </c>
      <c r="H314" s="153">
        <f t="shared" si="40"/>
        <v>1937.5239999999999</v>
      </c>
      <c r="L314" s="177"/>
    </row>
    <row r="315" spans="1:12" x14ac:dyDescent="0.2">
      <c r="A315" s="153">
        <v>2027</v>
      </c>
      <c r="B315" s="153">
        <v>2</v>
      </c>
      <c r="C315" s="153" t="str">
        <f t="shared" si="39"/>
        <v>20272</v>
      </c>
      <c r="D315" s="153" t="str">
        <f t="shared" si="41"/>
        <v>Q1</v>
      </c>
      <c r="E315" s="153">
        <f t="shared" si="42"/>
        <v>187484.08600000001</v>
      </c>
      <c r="F315" s="153" t="e">
        <f t="shared" si="40"/>
        <v>#N/A</v>
      </c>
      <c r="G315" s="153">
        <f t="shared" si="40"/>
        <v>4869.3490000000002</v>
      </c>
      <c r="H315" s="153">
        <f t="shared" si="40"/>
        <v>1937.5239999999999</v>
      </c>
      <c r="L315" s="177"/>
    </row>
    <row r="316" spans="1:12" x14ac:dyDescent="0.2">
      <c r="A316" s="153">
        <v>2027</v>
      </c>
      <c r="B316" s="153">
        <v>3</v>
      </c>
      <c r="C316" s="153" t="str">
        <f t="shared" si="39"/>
        <v>20273</v>
      </c>
      <c r="D316" s="153" t="str">
        <f t="shared" si="41"/>
        <v>Q1</v>
      </c>
      <c r="E316" s="153">
        <f t="shared" si="42"/>
        <v>187484.08600000001</v>
      </c>
      <c r="F316" s="153" t="e">
        <f t="shared" si="40"/>
        <v>#N/A</v>
      </c>
      <c r="G316" s="153">
        <f t="shared" si="40"/>
        <v>4869.3490000000002</v>
      </c>
      <c r="H316" s="153">
        <f t="shared" si="40"/>
        <v>1937.5239999999999</v>
      </c>
      <c r="L316" s="177"/>
    </row>
    <row r="317" spans="1:12" x14ac:dyDescent="0.2">
      <c r="A317" s="153">
        <v>2027</v>
      </c>
      <c r="B317" s="153">
        <v>4</v>
      </c>
      <c r="C317" s="153" t="str">
        <f t="shared" si="39"/>
        <v>20274</v>
      </c>
      <c r="D317" s="153" t="str">
        <f t="shared" si="41"/>
        <v>Q2</v>
      </c>
      <c r="E317" s="153">
        <f t="shared" si="42"/>
        <v>188450.351</v>
      </c>
      <c r="F317" s="153" t="e">
        <f t="shared" si="40"/>
        <v>#N/A</v>
      </c>
      <c r="G317" s="153">
        <f t="shared" si="40"/>
        <v>4877.0720000000001</v>
      </c>
      <c r="H317" s="153">
        <f t="shared" si="40"/>
        <v>1941.306</v>
      </c>
      <c r="L317" s="177"/>
    </row>
    <row r="318" spans="1:12" x14ac:dyDescent="0.2">
      <c r="A318" s="153">
        <v>2027</v>
      </c>
      <c r="B318" s="153">
        <v>5</v>
      </c>
      <c r="C318" s="153" t="str">
        <f t="shared" si="39"/>
        <v>20275</v>
      </c>
      <c r="D318" s="153" t="str">
        <f t="shared" si="41"/>
        <v>Q2</v>
      </c>
      <c r="E318" s="153">
        <f t="shared" si="42"/>
        <v>188450.351</v>
      </c>
      <c r="F318" s="153" t="e">
        <f t="shared" si="40"/>
        <v>#N/A</v>
      </c>
      <c r="G318" s="153">
        <f t="shared" si="40"/>
        <v>4877.0720000000001</v>
      </c>
      <c r="H318" s="153">
        <f t="shared" si="40"/>
        <v>1941.306</v>
      </c>
      <c r="L318" s="177"/>
    </row>
    <row r="319" spans="1:12" x14ac:dyDescent="0.2">
      <c r="A319" s="153">
        <v>2027</v>
      </c>
      <c r="B319" s="153">
        <v>6</v>
      </c>
      <c r="C319" s="153" t="str">
        <f t="shared" si="39"/>
        <v>20276</v>
      </c>
      <c r="D319" s="153" t="str">
        <f t="shared" si="41"/>
        <v>Q2</v>
      </c>
      <c r="E319" s="153">
        <f t="shared" si="42"/>
        <v>188450.351</v>
      </c>
      <c r="F319" s="153" t="e">
        <f t="shared" si="40"/>
        <v>#N/A</v>
      </c>
      <c r="G319" s="153">
        <f t="shared" si="40"/>
        <v>4877.0720000000001</v>
      </c>
      <c r="H319" s="153">
        <f t="shared" si="40"/>
        <v>1941.306</v>
      </c>
      <c r="L319" s="177"/>
    </row>
    <row r="320" spans="1:12" x14ac:dyDescent="0.2">
      <c r="A320" s="153">
        <v>2027</v>
      </c>
      <c r="B320" s="153">
        <v>7</v>
      </c>
      <c r="C320" s="153" t="str">
        <f t="shared" si="39"/>
        <v>20277</v>
      </c>
      <c r="D320" s="153" t="str">
        <f t="shared" si="41"/>
        <v>Q3</v>
      </c>
      <c r="E320" s="153">
        <f t="shared" si="42"/>
        <v>189344.48499999999</v>
      </c>
      <c r="F320" s="153" t="e">
        <f t="shared" si="40"/>
        <v>#N/A</v>
      </c>
      <c r="G320" s="153">
        <f t="shared" si="40"/>
        <v>4884.7619999999997</v>
      </c>
      <c r="H320" s="153">
        <f t="shared" si="40"/>
        <v>1947.4949999999999</v>
      </c>
      <c r="L320" s="177"/>
    </row>
    <row r="321" spans="1:12" x14ac:dyDescent="0.2">
      <c r="A321" s="153">
        <v>2027</v>
      </c>
      <c r="B321" s="153">
        <v>8</v>
      </c>
      <c r="C321" s="153" t="str">
        <f t="shared" si="39"/>
        <v>20278</v>
      </c>
      <c r="D321" s="153" t="str">
        <f t="shared" si="41"/>
        <v>Q3</v>
      </c>
      <c r="E321" s="153">
        <f t="shared" si="42"/>
        <v>189344.48499999999</v>
      </c>
      <c r="F321" s="153" t="e">
        <f t="shared" si="40"/>
        <v>#N/A</v>
      </c>
      <c r="G321" s="153">
        <f t="shared" si="40"/>
        <v>4884.7619999999997</v>
      </c>
      <c r="H321" s="153">
        <f t="shared" si="40"/>
        <v>1947.4949999999999</v>
      </c>
      <c r="L321" s="177"/>
    </row>
    <row r="322" spans="1:12" x14ac:dyDescent="0.2">
      <c r="A322" s="153">
        <v>2027</v>
      </c>
      <c r="B322" s="153">
        <v>9</v>
      </c>
      <c r="C322" s="153" t="str">
        <f t="shared" si="39"/>
        <v>20279</v>
      </c>
      <c r="D322" s="153" t="str">
        <f t="shared" si="41"/>
        <v>Q3</v>
      </c>
      <c r="E322" s="153">
        <f t="shared" si="42"/>
        <v>189344.48499999999</v>
      </c>
      <c r="F322" s="153" t="e">
        <f t="shared" si="40"/>
        <v>#N/A</v>
      </c>
      <c r="G322" s="153">
        <f t="shared" si="40"/>
        <v>4884.7619999999997</v>
      </c>
      <c r="H322" s="153">
        <f t="shared" si="40"/>
        <v>1947.4949999999999</v>
      </c>
      <c r="L322" s="177"/>
    </row>
    <row r="323" spans="1:12" x14ac:dyDescent="0.2">
      <c r="A323" s="153">
        <v>2027</v>
      </c>
      <c r="B323" s="153">
        <v>10</v>
      </c>
      <c r="C323" s="153" t="str">
        <f t="shared" ref="C323:C386" si="43">A323&amp;B323</f>
        <v>202710</v>
      </c>
      <c r="D323" s="153" t="str">
        <f t="shared" si="41"/>
        <v>Q4</v>
      </c>
      <c r="E323" s="153">
        <f t="shared" si="42"/>
        <v>190254.26500000001</v>
      </c>
      <c r="F323" s="153" t="e">
        <f t="shared" ref="F323:H354" si="44">VLOOKUP($A323&amp;$D323,$N$1:$U$169,MATCH(F$1,$N$1:$U$1,0),0)</f>
        <v>#N/A</v>
      </c>
      <c r="G323" s="153">
        <f t="shared" si="44"/>
        <v>4892.43</v>
      </c>
      <c r="H323" s="153">
        <f t="shared" si="44"/>
        <v>1950.02</v>
      </c>
      <c r="L323" s="177"/>
    </row>
    <row r="324" spans="1:12" x14ac:dyDescent="0.2">
      <c r="A324" s="153">
        <v>2027</v>
      </c>
      <c r="B324" s="153">
        <v>11</v>
      </c>
      <c r="C324" s="153" t="str">
        <f t="shared" si="43"/>
        <v>202711</v>
      </c>
      <c r="D324" s="153" t="str">
        <f t="shared" si="41"/>
        <v>Q4</v>
      </c>
      <c r="E324" s="153">
        <f t="shared" si="42"/>
        <v>190254.26500000001</v>
      </c>
      <c r="F324" s="153" t="e">
        <f t="shared" si="44"/>
        <v>#N/A</v>
      </c>
      <c r="G324" s="153">
        <f t="shared" si="44"/>
        <v>4892.43</v>
      </c>
      <c r="H324" s="153">
        <f t="shared" si="44"/>
        <v>1950.02</v>
      </c>
      <c r="L324" s="177"/>
    </row>
    <row r="325" spans="1:12" x14ac:dyDescent="0.2">
      <c r="A325" s="153">
        <v>2027</v>
      </c>
      <c r="B325" s="153">
        <v>12</v>
      </c>
      <c r="C325" s="153" t="str">
        <f t="shared" si="43"/>
        <v>202712</v>
      </c>
      <c r="D325" s="153" t="str">
        <f t="shared" si="41"/>
        <v>Q4</v>
      </c>
      <c r="E325" s="153">
        <f t="shared" si="42"/>
        <v>190254.26500000001</v>
      </c>
      <c r="F325" s="153" t="e">
        <f t="shared" si="44"/>
        <v>#N/A</v>
      </c>
      <c r="G325" s="153">
        <f t="shared" si="44"/>
        <v>4892.43</v>
      </c>
      <c r="H325" s="153">
        <f t="shared" si="44"/>
        <v>1950.02</v>
      </c>
      <c r="L325" s="177"/>
    </row>
    <row r="326" spans="1:12" x14ac:dyDescent="0.2">
      <c r="A326" s="153">
        <v>2028</v>
      </c>
      <c r="B326" s="153">
        <v>1</v>
      </c>
      <c r="C326" s="153" t="str">
        <f t="shared" si="43"/>
        <v>20281</v>
      </c>
      <c r="D326" s="153" t="str">
        <f t="shared" si="41"/>
        <v>Q1</v>
      </c>
      <c r="E326" s="153">
        <f t="shared" si="42"/>
        <v>191884.976</v>
      </c>
      <c r="F326" s="153" t="e">
        <f t="shared" si="44"/>
        <v>#N/A</v>
      </c>
      <c r="G326" s="153">
        <f t="shared" si="44"/>
        <v>4900.0990000000002</v>
      </c>
      <c r="H326" s="153">
        <f t="shared" si="44"/>
        <v>1952.6130000000001</v>
      </c>
      <c r="L326" s="177"/>
    </row>
    <row r="327" spans="1:12" x14ac:dyDescent="0.2">
      <c r="A327" s="153">
        <v>2028</v>
      </c>
      <c r="B327" s="153">
        <v>2</v>
      </c>
      <c r="C327" s="153" t="str">
        <f t="shared" si="43"/>
        <v>20282</v>
      </c>
      <c r="D327" s="153" t="str">
        <f t="shared" si="41"/>
        <v>Q1</v>
      </c>
      <c r="E327" s="153">
        <f t="shared" si="42"/>
        <v>191884.976</v>
      </c>
      <c r="F327" s="153" t="e">
        <f t="shared" si="44"/>
        <v>#N/A</v>
      </c>
      <c r="G327" s="153">
        <f t="shared" si="44"/>
        <v>4900.0990000000002</v>
      </c>
      <c r="H327" s="153">
        <f t="shared" si="44"/>
        <v>1952.6130000000001</v>
      </c>
      <c r="L327" s="177"/>
    </row>
    <row r="328" spans="1:12" x14ac:dyDescent="0.2">
      <c r="A328" s="153">
        <v>2028</v>
      </c>
      <c r="B328" s="153">
        <v>3</v>
      </c>
      <c r="C328" s="153" t="str">
        <f t="shared" si="43"/>
        <v>20283</v>
      </c>
      <c r="D328" s="153" t="str">
        <f t="shared" si="41"/>
        <v>Q1</v>
      </c>
      <c r="E328" s="153">
        <f t="shared" si="42"/>
        <v>191884.976</v>
      </c>
      <c r="F328" s="153" t="e">
        <f t="shared" si="44"/>
        <v>#N/A</v>
      </c>
      <c r="G328" s="153">
        <f t="shared" si="44"/>
        <v>4900.0990000000002</v>
      </c>
      <c r="H328" s="153">
        <f t="shared" si="44"/>
        <v>1952.6130000000001</v>
      </c>
      <c r="L328" s="177"/>
    </row>
    <row r="329" spans="1:12" x14ac:dyDescent="0.2">
      <c r="A329" s="153">
        <v>2028</v>
      </c>
      <c r="B329" s="153">
        <v>4</v>
      </c>
      <c r="C329" s="153" t="str">
        <f t="shared" si="43"/>
        <v>20284</v>
      </c>
      <c r="D329" s="153" t="str">
        <f t="shared" si="41"/>
        <v>Q2</v>
      </c>
      <c r="E329" s="153">
        <f t="shared" si="42"/>
        <v>192867.91899999999</v>
      </c>
      <c r="F329" s="153" t="e">
        <f t="shared" si="44"/>
        <v>#N/A</v>
      </c>
      <c r="G329" s="153">
        <f t="shared" si="44"/>
        <v>4907.7340000000004</v>
      </c>
      <c r="H329" s="153">
        <f t="shared" si="44"/>
        <v>1955.2370000000001</v>
      </c>
      <c r="L329" s="177"/>
    </row>
    <row r="330" spans="1:12" x14ac:dyDescent="0.2">
      <c r="A330" s="153">
        <v>2028</v>
      </c>
      <c r="B330" s="153">
        <v>5</v>
      </c>
      <c r="C330" s="153" t="str">
        <f t="shared" si="43"/>
        <v>20285</v>
      </c>
      <c r="D330" s="153" t="str">
        <f t="shared" si="41"/>
        <v>Q2</v>
      </c>
      <c r="E330" s="153">
        <f t="shared" si="42"/>
        <v>192867.91899999999</v>
      </c>
      <c r="F330" s="153" t="e">
        <f t="shared" si="44"/>
        <v>#N/A</v>
      </c>
      <c r="G330" s="153">
        <f t="shared" si="44"/>
        <v>4907.7340000000004</v>
      </c>
      <c r="H330" s="153">
        <f t="shared" si="44"/>
        <v>1955.2370000000001</v>
      </c>
      <c r="L330" s="177"/>
    </row>
    <row r="331" spans="1:12" x14ac:dyDescent="0.2">
      <c r="A331" s="153">
        <v>2028</v>
      </c>
      <c r="B331" s="153">
        <v>6</v>
      </c>
      <c r="C331" s="153" t="str">
        <f t="shared" si="43"/>
        <v>20286</v>
      </c>
      <c r="D331" s="153" t="str">
        <f t="shared" si="41"/>
        <v>Q2</v>
      </c>
      <c r="E331" s="153">
        <f t="shared" si="42"/>
        <v>192867.91899999999</v>
      </c>
      <c r="F331" s="153" t="e">
        <f t="shared" si="44"/>
        <v>#N/A</v>
      </c>
      <c r="G331" s="153">
        <f t="shared" si="44"/>
        <v>4907.7340000000004</v>
      </c>
      <c r="H331" s="153">
        <f t="shared" si="44"/>
        <v>1955.2370000000001</v>
      </c>
      <c r="L331" s="177"/>
    </row>
    <row r="332" spans="1:12" x14ac:dyDescent="0.2">
      <c r="A332" s="153">
        <v>2028</v>
      </c>
      <c r="B332" s="153">
        <v>7</v>
      </c>
      <c r="C332" s="153" t="str">
        <f t="shared" si="43"/>
        <v>20287</v>
      </c>
      <c r="D332" s="153" t="str">
        <f t="shared" si="41"/>
        <v>Q3</v>
      </c>
      <c r="E332" s="153">
        <f t="shared" si="42"/>
        <v>193808.63</v>
      </c>
      <c r="F332" s="153" t="e">
        <f t="shared" si="44"/>
        <v>#N/A</v>
      </c>
      <c r="G332" s="153">
        <f t="shared" si="44"/>
        <v>4915.3220000000001</v>
      </c>
      <c r="H332" s="153">
        <f t="shared" si="44"/>
        <v>1957.7329999999999</v>
      </c>
      <c r="L332" s="177"/>
    </row>
    <row r="333" spans="1:12" x14ac:dyDescent="0.2">
      <c r="A333" s="153">
        <v>2028</v>
      </c>
      <c r="B333" s="153">
        <v>8</v>
      </c>
      <c r="C333" s="153" t="str">
        <f t="shared" si="43"/>
        <v>20288</v>
      </c>
      <c r="D333" s="153" t="str">
        <f t="shared" si="41"/>
        <v>Q3</v>
      </c>
      <c r="E333" s="153">
        <f t="shared" si="42"/>
        <v>193808.63</v>
      </c>
      <c r="F333" s="153" t="e">
        <f t="shared" si="44"/>
        <v>#N/A</v>
      </c>
      <c r="G333" s="153">
        <f t="shared" si="44"/>
        <v>4915.3220000000001</v>
      </c>
      <c r="H333" s="153">
        <f t="shared" si="44"/>
        <v>1957.7329999999999</v>
      </c>
      <c r="L333" s="177"/>
    </row>
    <row r="334" spans="1:12" x14ac:dyDescent="0.2">
      <c r="A334" s="153">
        <v>2028</v>
      </c>
      <c r="B334" s="153">
        <v>9</v>
      </c>
      <c r="C334" s="153" t="str">
        <f t="shared" si="43"/>
        <v>20289</v>
      </c>
      <c r="D334" s="153" t="str">
        <f t="shared" si="41"/>
        <v>Q3</v>
      </c>
      <c r="E334" s="153">
        <f t="shared" si="42"/>
        <v>193808.63</v>
      </c>
      <c r="F334" s="153" t="e">
        <f t="shared" si="44"/>
        <v>#N/A</v>
      </c>
      <c r="G334" s="153">
        <f t="shared" si="44"/>
        <v>4915.3220000000001</v>
      </c>
      <c r="H334" s="153">
        <f t="shared" si="44"/>
        <v>1957.7329999999999</v>
      </c>
      <c r="L334" s="177"/>
    </row>
    <row r="335" spans="1:12" x14ac:dyDescent="0.2">
      <c r="A335" s="153">
        <v>2028</v>
      </c>
      <c r="B335" s="153">
        <v>10</v>
      </c>
      <c r="C335" s="153" t="str">
        <f t="shared" si="43"/>
        <v>202810</v>
      </c>
      <c r="D335" s="153" t="str">
        <f t="shared" ref="D335:D398" si="45">D323</f>
        <v>Q4</v>
      </c>
      <c r="E335" s="153">
        <f t="shared" si="42"/>
        <v>194786.40400000001</v>
      </c>
      <c r="F335" s="153" t="e">
        <f t="shared" si="44"/>
        <v>#N/A</v>
      </c>
      <c r="G335" s="153">
        <f t="shared" si="44"/>
        <v>4922.8760000000002</v>
      </c>
      <c r="H335" s="153">
        <f t="shared" si="44"/>
        <v>1961.22</v>
      </c>
      <c r="L335" s="177"/>
    </row>
    <row r="336" spans="1:12" x14ac:dyDescent="0.2">
      <c r="A336" s="153">
        <v>2028</v>
      </c>
      <c r="B336" s="153">
        <v>11</v>
      </c>
      <c r="C336" s="153" t="str">
        <f t="shared" si="43"/>
        <v>202811</v>
      </c>
      <c r="D336" s="153" t="str">
        <f t="shared" si="45"/>
        <v>Q4</v>
      </c>
      <c r="E336" s="153">
        <f t="shared" si="42"/>
        <v>194786.40400000001</v>
      </c>
      <c r="F336" s="153" t="e">
        <f t="shared" si="44"/>
        <v>#N/A</v>
      </c>
      <c r="G336" s="153">
        <f t="shared" si="44"/>
        <v>4922.8760000000002</v>
      </c>
      <c r="H336" s="153">
        <f t="shared" si="44"/>
        <v>1961.22</v>
      </c>
      <c r="L336" s="177"/>
    </row>
    <row r="337" spans="1:12" x14ac:dyDescent="0.2">
      <c r="A337" s="153">
        <v>2028</v>
      </c>
      <c r="B337" s="153">
        <v>12</v>
      </c>
      <c r="C337" s="153" t="str">
        <f t="shared" si="43"/>
        <v>202812</v>
      </c>
      <c r="D337" s="153" t="str">
        <f t="shared" si="45"/>
        <v>Q4</v>
      </c>
      <c r="E337" s="153">
        <f t="shared" si="42"/>
        <v>194786.40400000001</v>
      </c>
      <c r="F337" s="153" t="e">
        <f t="shared" si="44"/>
        <v>#N/A</v>
      </c>
      <c r="G337" s="153">
        <f t="shared" si="44"/>
        <v>4922.8760000000002</v>
      </c>
      <c r="H337" s="153">
        <f t="shared" si="44"/>
        <v>1961.22</v>
      </c>
      <c r="L337" s="177"/>
    </row>
    <row r="338" spans="1:12" x14ac:dyDescent="0.2">
      <c r="A338" s="153">
        <v>2029</v>
      </c>
      <c r="B338" s="153">
        <v>1</v>
      </c>
      <c r="C338" s="153" t="str">
        <f t="shared" si="43"/>
        <v>20291</v>
      </c>
      <c r="D338" s="153" t="str">
        <f t="shared" si="45"/>
        <v>Q1</v>
      </c>
      <c r="E338" s="153">
        <f t="shared" si="42"/>
        <v>196497.82699999999</v>
      </c>
      <c r="F338" s="153" t="e">
        <f t="shared" si="44"/>
        <v>#N/A</v>
      </c>
      <c r="G338" s="153">
        <f t="shared" si="44"/>
        <v>4930.3969999999999</v>
      </c>
      <c r="H338" s="153">
        <f t="shared" si="44"/>
        <v>1964.691</v>
      </c>
      <c r="L338" s="177"/>
    </row>
    <row r="339" spans="1:12" x14ac:dyDescent="0.2">
      <c r="A339" s="153">
        <v>2029</v>
      </c>
      <c r="B339" s="153">
        <v>2</v>
      </c>
      <c r="C339" s="153" t="str">
        <f t="shared" si="43"/>
        <v>20292</v>
      </c>
      <c r="D339" s="153" t="str">
        <f t="shared" si="45"/>
        <v>Q1</v>
      </c>
      <c r="E339" s="153">
        <f t="shared" si="42"/>
        <v>196497.82699999999</v>
      </c>
      <c r="F339" s="153" t="e">
        <f t="shared" si="44"/>
        <v>#N/A</v>
      </c>
      <c r="G339" s="153">
        <f t="shared" si="44"/>
        <v>4930.3969999999999</v>
      </c>
      <c r="H339" s="153">
        <f t="shared" si="44"/>
        <v>1964.691</v>
      </c>
      <c r="L339" s="177"/>
    </row>
    <row r="340" spans="1:12" x14ac:dyDescent="0.2">
      <c r="A340" s="153">
        <v>2029</v>
      </c>
      <c r="B340" s="153">
        <v>3</v>
      </c>
      <c r="C340" s="153" t="str">
        <f t="shared" si="43"/>
        <v>20293</v>
      </c>
      <c r="D340" s="153" t="str">
        <f t="shared" si="45"/>
        <v>Q1</v>
      </c>
      <c r="E340" s="153">
        <f t="shared" si="42"/>
        <v>196497.82699999999</v>
      </c>
      <c r="F340" s="153" t="e">
        <f t="shared" si="44"/>
        <v>#N/A</v>
      </c>
      <c r="G340" s="153">
        <f t="shared" si="44"/>
        <v>4930.3969999999999</v>
      </c>
      <c r="H340" s="153">
        <f t="shared" si="44"/>
        <v>1964.691</v>
      </c>
      <c r="L340" s="177"/>
    </row>
    <row r="341" spans="1:12" x14ac:dyDescent="0.2">
      <c r="A341" s="153">
        <v>2029</v>
      </c>
      <c r="B341" s="153">
        <v>4</v>
      </c>
      <c r="C341" s="153" t="str">
        <f t="shared" si="43"/>
        <v>20294</v>
      </c>
      <c r="D341" s="153" t="str">
        <f t="shared" si="45"/>
        <v>Q2</v>
      </c>
      <c r="E341" s="153">
        <f t="shared" si="42"/>
        <v>197549.33600000001</v>
      </c>
      <c r="F341" s="153" t="e">
        <f t="shared" si="44"/>
        <v>#N/A</v>
      </c>
      <c r="G341" s="153">
        <f t="shared" si="44"/>
        <v>4937.8850000000002</v>
      </c>
      <c r="H341" s="153">
        <f t="shared" si="44"/>
        <v>1968.1590000000001</v>
      </c>
      <c r="L341" s="177"/>
    </row>
    <row r="342" spans="1:12" x14ac:dyDescent="0.2">
      <c r="A342" s="153">
        <v>2029</v>
      </c>
      <c r="B342" s="153">
        <v>5</v>
      </c>
      <c r="C342" s="153" t="str">
        <f t="shared" si="43"/>
        <v>20295</v>
      </c>
      <c r="D342" s="153" t="str">
        <f t="shared" si="45"/>
        <v>Q2</v>
      </c>
      <c r="E342" s="153">
        <f t="shared" si="42"/>
        <v>197549.33600000001</v>
      </c>
      <c r="F342" s="153" t="e">
        <f t="shared" si="44"/>
        <v>#N/A</v>
      </c>
      <c r="G342" s="153">
        <f t="shared" si="44"/>
        <v>4937.8850000000002</v>
      </c>
      <c r="H342" s="153">
        <f t="shared" si="44"/>
        <v>1968.1590000000001</v>
      </c>
      <c r="L342" s="177"/>
    </row>
    <row r="343" spans="1:12" x14ac:dyDescent="0.2">
      <c r="A343" s="153">
        <v>2029</v>
      </c>
      <c r="B343" s="153">
        <v>6</v>
      </c>
      <c r="C343" s="153" t="str">
        <f t="shared" si="43"/>
        <v>20296</v>
      </c>
      <c r="D343" s="153" t="str">
        <f t="shared" si="45"/>
        <v>Q2</v>
      </c>
      <c r="E343" s="153">
        <f t="shared" si="42"/>
        <v>197549.33600000001</v>
      </c>
      <c r="F343" s="153" t="e">
        <f t="shared" si="44"/>
        <v>#N/A</v>
      </c>
      <c r="G343" s="153">
        <f t="shared" si="44"/>
        <v>4937.8850000000002</v>
      </c>
      <c r="H343" s="153">
        <f t="shared" si="44"/>
        <v>1968.1590000000001</v>
      </c>
      <c r="L343" s="177"/>
    </row>
    <row r="344" spans="1:12" x14ac:dyDescent="0.2">
      <c r="A344" s="153">
        <v>2029</v>
      </c>
      <c r="B344" s="153">
        <v>7</v>
      </c>
      <c r="C344" s="153" t="str">
        <f t="shared" si="43"/>
        <v>20297</v>
      </c>
      <c r="D344" s="153" t="str">
        <f t="shared" si="45"/>
        <v>Q3</v>
      </c>
      <c r="E344" s="153">
        <f t="shared" si="42"/>
        <v>198516.981</v>
      </c>
      <c r="F344" s="153" t="e">
        <f t="shared" si="44"/>
        <v>#N/A</v>
      </c>
      <c r="G344" s="153">
        <f t="shared" si="44"/>
        <v>4945.34</v>
      </c>
      <c r="H344" s="153">
        <f t="shared" si="44"/>
        <v>1971.586</v>
      </c>
      <c r="L344" s="177"/>
    </row>
    <row r="345" spans="1:12" x14ac:dyDescent="0.2">
      <c r="A345" s="153">
        <v>2029</v>
      </c>
      <c r="B345" s="153">
        <v>8</v>
      </c>
      <c r="C345" s="153" t="str">
        <f t="shared" si="43"/>
        <v>20298</v>
      </c>
      <c r="D345" s="153" t="str">
        <f t="shared" si="45"/>
        <v>Q3</v>
      </c>
      <c r="E345" s="153">
        <f t="shared" si="42"/>
        <v>198516.981</v>
      </c>
      <c r="F345" s="153" t="e">
        <f t="shared" si="44"/>
        <v>#N/A</v>
      </c>
      <c r="G345" s="153">
        <f t="shared" si="44"/>
        <v>4945.34</v>
      </c>
      <c r="H345" s="153">
        <f t="shared" si="44"/>
        <v>1971.586</v>
      </c>
      <c r="L345" s="177"/>
    </row>
    <row r="346" spans="1:12" x14ac:dyDescent="0.2">
      <c r="A346" s="153">
        <v>2029</v>
      </c>
      <c r="B346" s="153">
        <v>9</v>
      </c>
      <c r="C346" s="153" t="str">
        <f t="shared" si="43"/>
        <v>20299</v>
      </c>
      <c r="D346" s="153" t="str">
        <f t="shared" si="45"/>
        <v>Q3</v>
      </c>
      <c r="E346" s="153">
        <f t="shared" si="42"/>
        <v>198516.981</v>
      </c>
      <c r="F346" s="153" t="e">
        <f t="shared" si="44"/>
        <v>#N/A</v>
      </c>
      <c r="G346" s="153">
        <f t="shared" si="44"/>
        <v>4945.34</v>
      </c>
      <c r="H346" s="153">
        <f t="shared" si="44"/>
        <v>1971.586</v>
      </c>
      <c r="L346" s="177"/>
    </row>
    <row r="347" spans="1:12" x14ac:dyDescent="0.2">
      <c r="A347" s="153">
        <v>2029</v>
      </c>
      <c r="B347" s="153">
        <v>10</v>
      </c>
      <c r="C347" s="153" t="str">
        <f t="shared" si="43"/>
        <v>202910</v>
      </c>
      <c r="D347" s="153" t="str">
        <f t="shared" si="45"/>
        <v>Q4</v>
      </c>
      <c r="E347" s="153">
        <f t="shared" si="42"/>
        <v>199480.13399999999</v>
      </c>
      <c r="F347" s="153" t="e">
        <f t="shared" si="44"/>
        <v>#N/A</v>
      </c>
      <c r="G347" s="153">
        <f t="shared" si="44"/>
        <v>4952.7489999999998</v>
      </c>
      <c r="H347" s="153">
        <f t="shared" si="44"/>
        <v>1975.02</v>
      </c>
      <c r="L347" s="177"/>
    </row>
    <row r="348" spans="1:12" x14ac:dyDescent="0.2">
      <c r="A348" s="153">
        <v>2029</v>
      </c>
      <c r="B348" s="153">
        <v>11</v>
      </c>
      <c r="C348" s="153" t="str">
        <f t="shared" si="43"/>
        <v>202911</v>
      </c>
      <c r="D348" s="153" t="str">
        <f t="shared" si="45"/>
        <v>Q4</v>
      </c>
      <c r="E348" s="153">
        <f t="shared" si="42"/>
        <v>199480.13399999999</v>
      </c>
      <c r="F348" s="153" t="e">
        <f t="shared" si="44"/>
        <v>#N/A</v>
      </c>
      <c r="G348" s="153">
        <f t="shared" si="44"/>
        <v>4952.7489999999998</v>
      </c>
      <c r="H348" s="153">
        <f t="shared" si="44"/>
        <v>1975.02</v>
      </c>
      <c r="L348" s="177"/>
    </row>
    <row r="349" spans="1:12" x14ac:dyDescent="0.2">
      <c r="A349" s="153">
        <v>2029</v>
      </c>
      <c r="B349" s="153">
        <v>12</v>
      </c>
      <c r="C349" s="153" t="str">
        <f t="shared" si="43"/>
        <v>202912</v>
      </c>
      <c r="D349" s="153" t="str">
        <f t="shared" si="45"/>
        <v>Q4</v>
      </c>
      <c r="E349" s="153">
        <f t="shared" si="42"/>
        <v>199480.13399999999</v>
      </c>
      <c r="F349" s="153" t="e">
        <f t="shared" si="44"/>
        <v>#N/A</v>
      </c>
      <c r="G349" s="153">
        <f t="shared" si="44"/>
        <v>4952.7489999999998</v>
      </c>
      <c r="H349" s="153">
        <f t="shared" si="44"/>
        <v>1975.02</v>
      </c>
      <c r="L349" s="177"/>
    </row>
    <row r="350" spans="1:12" x14ac:dyDescent="0.2">
      <c r="A350" s="153">
        <v>2030</v>
      </c>
      <c r="B350" s="153">
        <v>1</v>
      </c>
      <c r="C350" s="153" t="str">
        <f t="shared" si="43"/>
        <v>20301</v>
      </c>
      <c r="D350" s="153" t="str">
        <f t="shared" si="45"/>
        <v>Q1</v>
      </c>
      <c r="E350" s="153">
        <f t="shared" si="42"/>
        <v>201210.11900000001</v>
      </c>
      <c r="F350" s="153" t="e">
        <f t="shared" si="44"/>
        <v>#N/A</v>
      </c>
      <c r="G350" s="153">
        <f t="shared" si="44"/>
        <v>4960.1260000000002</v>
      </c>
      <c r="H350" s="153">
        <f t="shared" si="44"/>
        <v>1978.5</v>
      </c>
      <c r="L350" s="177"/>
    </row>
    <row r="351" spans="1:12" x14ac:dyDescent="0.2">
      <c r="A351" s="153">
        <v>2030</v>
      </c>
      <c r="B351" s="153">
        <v>2</v>
      </c>
      <c r="C351" s="153" t="str">
        <f t="shared" si="43"/>
        <v>20302</v>
      </c>
      <c r="D351" s="153" t="str">
        <f t="shared" si="45"/>
        <v>Q1</v>
      </c>
      <c r="E351" s="153">
        <f t="shared" si="42"/>
        <v>201210.11900000001</v>
      </c>
      <c r="F351" s="153" t="e">
        <f t="shared" si="44"/>
        <v>#N/A</v>
      </c>
      <c r="G351" s="153">
        <f t="shared" si="44"/>
        <v>4960.1260000000002</v>
      </c>
      <c r="H351" s="153">
        <f t="shared" si="44"/>
        <v>1978.5</v>
      </c>
      <c r="L351" s="177"/>
    </row>
    <row r="352" spans="1:12" x14ac:dyDescent="0.2">
      <c r="A352" s="153">
        <v>2030</v>
      </c>
      <c r="B352" s="153">
        <v>3</v>
      </c>
      <c r="C352" s="153" t="str">
        <f t="shared" si="43"/>
        <v>20303</v>
      </c>
      <c r="D352" s="153" t="str">
        <f t="shared" si="45"/>
        <v>Q1</v>
      </c>
      <c r="E352" s="153">
        <f t="shared" si="42"/>
        <v>201210.11900000001</v>
      </c>
      <c r="F352" s="153" t="e">
        <f t="shared" si="44"/>
        <v>#N/A</v>
      </c>
      <c r="G352" s="153">
        <f t="shared" si="44"/>
        <v>4960.1260000000002</v>
      </c>
      <c r="H352" s="153">
        <f t="shared" si="44"/>
        <v>1978.5</v>
      </c>
      <c r="L352" s="177"/>
    </row>
    <row r="353" spans="1:12" x14ac:dyDescent="0.2">
      <c r="A353" s="153">
        <v>2030</v>
      </c>
      <c r="B353" s="153">
        <v>4</v>
      </c>
      <c r="C353" s="153" t="str">
        <f t="shared" si="43"/>
        <v>20304</v>
      </c>
      <c r="D353" s="153" t="str">
        <f t="shared" si="45"/>
        <v>Q2</v>
      </c>
      <c r="E353" s="153">
        <f t="shared" si="42"/>
        <v>202357.96400000001</v>
      </c>
      <c r="F353" s="153" t="e">
        <f t="shared" si="44"/>
        <v>#N/A</v>
      </c>
      <c r="G353" s="153">
        <f t="shared" si="44"/>
        <v>4967.4709999999995</v>
      </c>
      <c r="H353" s="153">
        <f t="shared" si="44"/>
        <v>1982.0429999999999</v>
      </c>
      <c r="L353" s="177"/>
    </row>
    <row r="354" spans="1:12" x14ac:dyDescent="0.2">
      <c r="A354" s="153">
        <v>2030</v>
      </c>
      <c r="B354" s="153">
        <v>5</v>
      </c>
      <c r="C354" s="153" t="str">
        <f t="shared" si="43"/>
        <v>20305</v>
      </c>
      <c r="D354" s="153" t="str">
        <f t="shared" si="45"/>
        <v>Q2</v>
      </c>
      <c r="E354" s="153">
        <f t="shared" si="42"/>
        <v>202357.96400000001</v>
      </c>
      <c r="F354" s="153" t="e">
        <f t="shared" si="44"/>
        <v>#N/A</v>
      </c>
      <c r="G354" s="153">
        <f t="shared" si="44"/>
        <v>4967.4709999999995</v>
      </c>
      <c r="H354" s="153">
        <f t="shared" si="44"/>
        <v>1982.0429999999999</v>
      </c>
      <c r="L354" s="177"/>
    </row>
    <row r="355" spans="1:12" x14ac:dyDescent="0.2">
      <c r="A355" s="153">
        <v>2030</v>
      </c>
      <c r="B355" s="153">
        <v>6</v>
      </c>
      <c r="C355" s="153" t="str">
        <f t="shared" si="43"/>
        <v>20306</v>
      </c>
      <c r="D355" s="153" t="str">
        <f t="shared" si="45"/>
        <v>Q2</v>
      </c>
      <c r="E355" s="153">
        <f t="shared" ref="E355:E418" si="46">VLOOKUP($A355&amp;$D355,$N$1:$U$169,MATCH(E$1,$N$1:$U$1,0),0)</f>
        <v>202357.96400000001</v>
      </c>
      <c r="F355" s="153" t="e">
        <f t="shared" ref="F355:H386" si="47">VLOOKUP($A355&amp;$D355,$N$1:$U$169,MATCH(F$1,$N$1:$U$1,0),0)</f>
        <v>#N/A</v>
      </c>
      <c r="G355" s="153">
        <f t="shared" si="47"/>
        <v>4967.4709999999995</v>
      </c>
      <c r="H355" s="153">
        <f t="shared" si="47"/>
        <v>1982.0429999999999</v>
      </c>
      <c r="L355" s="177"/>
    </row>
    <row r="356" spans="1:12" x14ac:dyDescent="0.2">
      <c r="A356" s="153">
        <v>2030</v>
      </c>
      <c r="B356" s="153">
        <v>7</v>
      </c>
      <c r="C356" s="153" t="str">
        <f t="shared" si="43"/>
        <v>20307</v>
      </c>
      <c r="D356" s="153" t="str">
        <f t="shared" si="45"/>
        <v>Q3</v>
      </c>
      <c r="E356" s="153">
        <f t="shared" si="46"/>
        <v>203321.337</v>
      </c>
      <c r="F356" s="153" t="e">
        <f t="shared" si="47"/>
        <v>#N/A</v>
      </c>
      <c r="G356" s="153">
        <f t="shared" si="47"/>
        <v>4974.7839999999997</v>
      </c>
      <c r="H356" s="153">
        <f t="shared" si="47"/>
        <v>1985.5609999999999</v>
      </c>
      <c r="L356" s="177"/>
    </row>
    <row r="357" spans="1:12" x14ac:dyDescent="0.2">
      <c r="A357" s="153">
        <v>2030</v>
      </c>
      <c r="B357" s="153">
        <v>8</v>
      </c>
      <c r="C357" s="153" t="str">
        <f t="shared" si="43"/>
        <v>20308</v>
      </c>
      <c r="D357" s="153" t="str">
        <f t="shared" si="45"/>
        <v>Q3</v>
      </c>
      <c r="E357" s="153">
        <f t="shared" si="46"/>
        <v>203321.337</v>
      </c>
      <c r="F357" s="153" t="e">
        <f t="shared" si="47"/>
        <v>#N/A</v>
      </c>
      <c r="G357" s="153">
        <f t="shared" si="47"/>
        <v>4974.7839999999997</v>
      </c>
      <c r="H357" s="153">
        <f t="shared" si="47"/>
        <v>1985.5609999999999</v>
      </c>
      <c r="L357" s="177"/>
    </row>
    <row r="358" spans="1:12" x14ac:dyDescent="0.2">
      <c r="A358" s="153">
        <v>2030</v>
      </c>
      <c r="B358" s="153">
        <v>9</v>
      </c>
      <c r="C358" s="153" t="str">
        <f t="shared" si="43"/>
        <v>20309</v>
      </c>
      <c r="D358" s="153" t="str">
        <f t="shared" si="45"/>
        <v>Q3</v>
      </c>
      <c r="E358" s="153">
        <f t="shared" si="46"/>
        <v>203321.337</v>
      </c>
      <c r="F358" s="153" t="e">
        <f t="shared" si="47"/>
        <v>#N/A</v>
      </c>
      <c r="G358" s="153">
        <f t="shared" si="47"/>
        <v>4974.7839999999997</v>
      </c>
      <c r="H358" s="153">
        <f t="shared" si="47"/>
        <v>1985.5609999999999</v>
      </c>
      <c r="L358" s="177"/>
    </row>
    <row r="359" spans="1:12" x14ac:dyDescent="0.2">
      <c r="A359" s="153">
        <v>2030</v>
      </c>
      <c r="B359" s="153">
        <v>10</v>
      </c>
      <c r="C359" s="153" t="str">
        <f t="shared" si="43"/>
        <v>203010</v>
      </c>
      <c r="D359" s="153" t="str">
        <f t="shared" si="45"/>
        <v>Q4</v>
      </c>
      <c r="E359" s="153">
        <f t="shared" si="46"/>
        <v>204205.139</v>
      </c>
      <c r="F359" s="153" t="e">
        <f t="shared" si="47"/>
        <v>#N/A</v>
      </c>
      <c r="G359" s="153">
        <f t="shared" si="47"/>
        <v>4982.0529999999999</v>
      </c>
      <c r="H359" s="153">
        <f t="shared" si="47"/>
        <v>1989.038</v>
      </c>
      <c r="L359" s="177"/>
    </row>
    <row r="360" spans="1:12" x14ac:dyDescent="0.2">
      <c r="A360" s="153">
        <v>2030</v>
      </c>
      <c r="B360" s="153">
        <v>11</v>
      </c>
      <c r="C360" s="153" t="str">
        <f t="shared" si="43"/>
        <v>203011</v>
      </c>
      <c r="D360" s="153" t="str">
        <f t="shared" si="45"/>
        <v>Q4</v>
      </c>
      <c r="E360" s="153">
        <f t="shared" si="46"/>
        <v>204205.139</v>
      </c>
      <c r="F360" s="153" t="e">
        <f t="shared" si="47"/>
        <v>#N/A</v>
      </c>
      <c r="G360" s="153">
        <f t="shared" si="47"/>
        <v>4982.0529999999999</v>
      </c>
      <c r="H360" s="153">
        <f t="shared" si="47"/>
        <v>1989.038</v>
      </c>
      <c r="L360" s="177"/>
    </row>
    <row r="361" spans="1:12" x14ac:dyDescent="0.2">
      <c r="A361" s="153">
        <v>2030</v>
      </c>
      <c r="B361" s="153">
        <v>12</v>
      </c>
      <c r="C361" s="153" t="str">
        <f t="shared" si="43"/>
        <v>203012</v>
      </c>
      <c r="D361" s="153" t="str">
        <f t="shared" si="45"/>
        <v>Q4</v>
      </c>
      <c r="E361" s="153">
        <f t="shared" si="46"/>
        <v>204205.139</v>
      </c>
      <c r="F361" s="153" t="e">
        <f t="shared" si="47"/>
        <v>#N/A</v>
      </c>
      <c r="G361" s="153">
        <f t="shared" si="47"/>
        <v>4982.0529999999999</v>
      </c>
      <c r="H361" s="153">
        <f t="shared" si="47"/>
        <v>1989.038</v>
      </c>
      <c r="L361" s="177"/>
    </row>
    <row r="362" spans="1:12" x14ac:dyDescent="0.2">
      <c r="A362" s="153">
        <v>2031</v>
      </c>
      <c r="B362" s="153">
        <v>1</v>
      </c>
      <c r="C362" s="153" t="str">
        <f t="shared" si="43"/>
        <v>20311</v>
      </c>
      <c r="D362" s="153" t="str">
        <f t="shared" si="45"/>
        <v>Q1</v>
      </c>
      <c r="E362" s="153">
        <f t="shared" si="46"/>
        <v>205835.74900000001</v>
      </c>
      <c r="F362" s="153" t="e">
        <f t="shared" si="47"/>
        <v>#N/A</v>
      </c>
      <c r="G362" s="153">
        <f t="shared" si="47"/>
        <v>4989.29</v>
      </c>
      <c r="H362" s="153">
        <f t="shared" si="47"/>
        <v>1992.472</v>
      </c>
      <c r="L362" s="177"/>
    </row>
    <row r="363" spans="1:12" x14ac:dyDescent="0.2">
      <c r="A363" s="153">
        <v>2031</v>
      </c>
      <c r="B363" s="153">
        <v>2</v>
      </c>
      <c r="C363" s="153" t="str">
        <f t="shared" si="43"/>
        <v>20312</v>
      </c>
      <c r="D363" s="153" t="str">
        <f t="shared" si="45"/>
        <v>Q1</v>
      </c>
      <c r="E363" s="153">
        <f t="shared" si="46"/>
        <v>205835.74900000001</v>
      </c>
      <c r="F363" s="153" t="e">
        <f t="shared" si="47"/>
        <v>#N/A</v>
      </c>
      <c r="G363" s="153">
        <f t="shared" si="47"/>
        <v>4989.29</v>
      </c>
      <c r="H363" s="153">
        <f t="shared" si="47"/>
        <v>1992.472</v>
      </c>
      <c r="L363" s="177"/>
    </row>
    <row r="364" spans="1:12" x14ac:dyDescent="0.2">
      <c r="A364" s="153">
        <v>2031</v>
      </c>
      <c r="B364" s="153">
        <v>3</v>
      </c>
      <c r="C364" s="153" t="str">
        <f t="shared" si="43"/>
        <v>20313</v>
      </c>
      <c r="D364" s="153" t="str">
        <f t="shared" si="45"/>
        <v>Q1</v>
      </c>
      <c r="E364" s="153">
        <f t="shared" si="46"/>
        <v>205835.74900000001</v>
      </c>
      <c r="F364" s="153" t="e">
        <f t="shared" si="47"/>
        <v>#N/A</v>
      </c>
      <c r="G364" s="153">
        <f t="shared" si="47"/>
        <v>4989.29</v>
      </c>
      <c r="H364" s="153">
        <f t="shared" si="47"/>
        <v>1992.472</v>
      </c>
      <c r="L364" s="177"/>
    </row>
    <row r="365" spans="1:12" x14ac:dyDescent="0.2">
      <c r="A365" s="153">
        <v>2031</v>
      </c>
      <c r="B365" s="153">
        <v>4</v>
      </c>
      <c r="C365" s="153" t="str">
        <f t="shared" si="43"/>
        <v>20314</v>
      </c>
      <c r="D365" s="153" t="str">
        <f t="shared" si="45"/>
        <v>Q2</v>
      </c>
      <c r="E365" s="153">
        <f t="shared" si="46"/>
        <v>206821.26699999999</v>
      </c>
      <c r="F365" s="153" t="e">
        <f t="shared" si="47"/>
        <v>#N/A</v>
      </c>
      <c r="G365" s="153">
        <f t="shared" si="47"/>
        <v>4996.4970000000003</v>
      </c>
      <c r="H365" s="153">
        <f t="shared" si="47"/>
        <v>1995.8920000000001</v>
      </c>
      <c r="L365" s="177"/>
    </row>
    <row r="366" spans="1:12" x14ac:dyDescent="0.2">
      <c r="A366" s="153">
        <v>2031</v>
      </c>
      <c r="B366" s="153">
        <v>5</v>
      </c>
      <c r="C366" s="153" t="str">
        <f t="shared" si="43"/>
        <v>20315</v>
      </c>
      <c r="D366" s="153" t="str">
        <f t="shared" si="45"/>
        <v>Q2</v>
      </c>
      <c r="E366" s="153">
        <f t="shared" si="46"/>
        <v>206821.26699999999</v>
      </c>
      <c r="F366" s="153" t="e">
        <f t="shared" si="47"/>
        <v>#N/A</v>
      </c>
      <c r="G366" s="153">
        <f t="shared" si="47"/>
        <v>4996.4970000000003</v>
      </c>
      <c r="H366" s="153">
        <f t="shared" si="47"/>
        <v>1995.8920000000001</v>
      </c>
      <c r="L366" s="177"/>
    </row>
    <row r="367" spans="1:12" x14ac:dyDescent="0.2">
      <c r="A367" s="153">
        <v>2031</v>
      </c>
      <c r="B367" s="153">
        <v>6</v>
      </c>
      <c r="C367" s="153" t="str">
        <f t="shared" si="43"/>
        <v>20316</v>
      </c>
      <c r="D367" s="153" t="str">
        <f t="shared" si="45"/>
        <v>Q2</v>
      </c>
      <c r="E367" s="153">
        <f t="shared" si="46"/>
        <v>206821.26699999999</v>
      </c>
      <c r="F367" s="153" t="e">
        <f t="shared" si="47"/>
        <v>#N/A</v>
      </c>
      <c r="G367" s="153">
        <f t="shared" si="47"/>
        <v>4996.4970000000003</v>
      </c>
      <c r="H367" s="153">
        <f t="shared" si="47"/>
        <v>1995.8920000000001</v>
      </c>
      <c r="L367" s="177"/>
    </row>
    <row r="368" spans="1:12" x14ac:dyDescent="0.2">
      <c r="A368" s="153">
        <v>2031</v>
      </c>
      <c r="B368" s="153">
        <v>7</v>
      </c>
      <c r="C368" s="153" t="str">
        <f t="shared" si="43"/>
        <v>20317</v>
      </c>
      <c r="D368" s="153" t="str">
        <f t="shared" si="45"/>
        <v>Q3</v>
      </c>
      <c r="E368" s="153">
        <f t="shared" si="46"/>
        <v>207691.48499999999</v>
      </c>
      <c r="F368" s="153" t="e">
        <f t="shared" si="47"/>
        <v>#N/A</v>
      </c>
      <c r="G368" s="153">
        <f t="shared" si="47"/>
        <v>5003.6859999999997</v>
      </c>
      <c r="H368" s="153">
        <f t="shared" si="47"/>
        <v>1999.29</v>
      </c>
      <c r="L368" s="177"/>
    </row>
    <row r="369" spans="1:12" x14ac:dyDescent="0.2">
      <c r="A369" s="153">
        <v>2031</v>
      </c>
      <c r="B369" s="153">
        <v>8</v>
      </c>
      <c r="C369" s="153" t="str">
        <f t="shared" si="43"/>
        <v>20318</v>
      </c>
      <c r="D369" s="153" t="str">
        <f t="shared" si="45"/>
        <v>Q3</v>
      </c>
      <c r="E369" s="153">
        <f t="shared" si="46"/>
        <v>207691.48499999999</v>
      </c>
      <c r="F369" s="153" t="e">
        <f t="shared" si="47"/>
        <v>#N/A</v>
      </c>
      <c r="G369" s="153">
        <f t="shared" si="47"/>
        <v>5003.6859999999997</v>
      </c>
      <c r="H369" s="153">
        <f t="shared" si="47"/>
        <v>1999.29</v>
      </c>
      <c r="L369" s="177"/>
    </row>
    <row r="370" spans="1:12" x14ac:dyDescent="0.2">
      <c r="A370" s="153">
        <v>2031</v>
      </c>
      <c r="B370" s="153">
        <v>9</v>
      </c>
      <c r="C370" s="153" t="str">
        <f t="shared" si="43"/>
        <v>20319</v>
      </c>
      <c r="D370" s="153" t="str">
        <f t="shared" si="45"/>
        <v>Q3</v>
      </c>
      <c r="E370" s="153">
        <f t="shared" si="46"/>
        <v>207691.48499999999</v>
      </c>
      <c r="F370" s="153" t="e">
        <f t="shared" si="47"/>
        <v>#N/A</v>
      </c>
      <c r="G370" s="153">
        <f t="shared" si="47"/>
        <v>5003.6859999999997</v>
      </c>
      <c r="H370" s="153">
        <f t="shared" si="47"/>
        <v>1999.29</v>
      </c>
      <c r="L370" s="177"/>
    </row>
    <row r="371" spans="1:12" x14ac:dyDescent="0.2">
      <c r="A371" s="153">
        <v>2031</v>
      </c>
      <c r="B371" s="153">
        <v>10</v>
      </c>
      <c r="C371" s="153" t="str">
        <f t="shared" si="43"/>
        <v>203110</v>
      </c>
      <c r="D371" s="153" t="str">
        <f t="shared" si="45"/>
        <v>Q4</v>
      </c>
      <c r="E371" s="153">
        <f t="shared" si="46"/>
        <v>208506.54</v>
      </c>
      <c r="F371" s="153" t="e">
        <f t="shared" si="47"/>
        <v>#N/A</v>
      </c>
      <c r="G371" s="153">
        <f t="shared" si="47"/>
        <v>5010.8329999999996</v>
      </c>
      <c r="H371" s="153">
        <f t="shared" si="47"/>
        <v>2002.6890000000001</v>
      </c>
      <c r="L371" s="177"/>
    </row>
    <row r="372" spans="1:12" x14ac:dyDescent="0.2">
      <c r="A372" s="153">
        <v>2031</v>
      </c>
      <c r="B372" s="153">
        <v>11</v>
      </c>
      <c r="C372" s="153" t="str">
        <f t="shared" si="43"/>
        <v>203111</v>
      </c>
      <c r="D372" s="153" t="str">
        <f t="shared" si="45"/>
        <v>Q4</v>
      </c>
      <c r="E372" s="153">
        <f t="shared" si="46"/>
        <v>208506.54</v>
      </c>
      <c r="F372" s="153" t="e">
        <f t="shared" si="47"/>
        <v>#N/A</v>
      </c>
      <c r="G372" s="153">
        <f t="shared" si="47"/>
        <v>5010.8329999999996</v>
      </c>
      <c r="H372" s="153">
        <f t="shared" si="47"/>
        <v>2002.6890000000001</v>
      </c>
      <c r="L372" s="177"/>
    </row>
    <row r="373" spans="1:12" x14ac:dyDescent="0.2">
      <c r="A373" s="153">
        <v>2031</v>
      </c>
      <c r="B373" s="153">
        <v>12</v>
      </c>
      <c r="C373" s="153" t="str">
        <f t="shared" si="43"/>
        <v>203112</v>
      </c>
      <c r="D373" s="153" t="str">
        <f t="shared" si="45"/>
        <v>Q4</v>
      </c>
      <c r="E373" s="153">
        <f t="shared" si="46"/>
        <v>208506.54</v>
      </c>
      <c r="F373" s="153" t="e">
        <f t="shared" si="47"/>
        <v>#N/A</v>
      </c>
      <c r="G373" s="153">
        <f t="shared" si="47"/>
        <v>5010.8329999999996</v>
      </c>
      <c r="H373" s="153">
        <f t="shared" si="47"/>
        <v>2002.6890000000001</v>
      </c>
      <c r="L373" s="177"/>
    </row>
    <row r="374" spans="1:12" x14ac:dyDescent="0.2">
      <c r="A374" s="153">
        <v>2032</v>
      </c>
      <c r="B374" s="153">
        <v>1</v>
      </c>
      <c r="C374" s="153" t="str">
        <f t="shared" si="43"/>
        <v>20321</v>
      </c>
      <c r="D374" s="153" t="str">
        <f t="shared" si="45"/>
        <v>Q1</v>
      </c>
      <c r="E374" s="153">
        <f t="shared" si="46"/>
        <v>210181.51699999999</v>
      </c>
      <c r="F374" s="153" t="e">
        <f t="shared" si="47"/>
        <v>#N/A</v>
      </c>
      <c r="G374" s="153">
        <f t="shared" si="47"/>
        <v>5017.95</v>
      </c>
      <c r="H374" s="153">
        <f t="shared" si="47"/>
        <v>2006.07</v>
      </c>
      <c r="L374" s="177"/>
    </row>
    <row r="375" spans="1:12" x14ac:dyDescent="0.2">
      <c r="A375" s="153">
        <v>2032</v>
      </c>
      <c r="B375" s="153">
        <v>2</v>
      </c>
      <c r="C375" s="153" t="str">
        <f t="shared" si="43"/>
        <v>20322</v>
      </c>
      <c r="D375" s="153" t="str">
        <f t="shared" si="45"/>
        <v>Q1</v>
      </c>
      <c r="E375" s="153">
        <f t="shared" si="46"/>
        <v>210181.51699999999</v>
      </c>
      <c r="F375" s="153" t="e">
        <f t="shared" si="47"/>
        <v>#N/A</v>
      </c>
      <c r="G375" s="153">
        <f t="shared" si="47"/>
        <v>5017.95</v>
      </c>
      <c r="H375" s="153">
        <f t="shared" si="47"/>
        <v>2006.07</v>
      </c>
      <c r="L375" s="177"/>
    </row>
    <row r="376" spans="1:12" x14ac:dyDescent="0.2">
      <c r="A376" s="153">
        <v>2032</v>
      </c>
      <c r="B376" s="153">
        <v>3</v>
      </c>
      <c r="C376" s="153" t="str">
        <f t="shared" si="43"/>
        <v>20323</v>
      </c>
      <c r="D376" s="153" t="str">
        <f t="shared" si="45"/>
        <v>Q1</v>
      </c>
      <c r="E376" s="153">
        <f t="shared" si="46"/>
        <v>210181.51699999999</v>
      </c>
      <c r="F376" s="153" t="e">
        <f t="shared" si="47"/>
        <v>#N/A</v>
      </c>
      <c r="G376" s="153">
        <f t="shared" si="47"/>
        <v>5017.95</v>
      </c>
      <c r="H376" s="153">
        <f t="shared" si="47"/>
        <v>2006.07</v>
      </c>
      <c r="L376" s="177"/>
    </row>
    <row r="377" spans="1:12" x14ac:dyDescent="0.2">
      <c r="A377" s="153">
        <v>2032</v>
      </c>
      <c r="B377" s="153">
        <v>4</v>
      </c>
      <c r="C377" s="153" t="str">
        <f t="shared" si="43"/>
        <v>20324</v>
      </c>
      <c r="D377" s="153" t="str">
        <f t="shared" si="45"/>
        <v>Q2</v>
      </c>
      <c r="E377" s="153">
        <f t="shared" si="46"/>
        <v>211132.98300000001</v>
      </c>
      <c r="F377" s="153" t="e">
        <f t="shared" si="47"/>
        <v>#N/A</v>
      </c>
      <c r="G377" s="153">
        <f t="shared" si="47"/>
        <v>5025.0370000000003</v>
      </c>
      <c r="H377" s="153">
        <f t="shared" si="47"/>
        <v>2009.4970000000001</v>
      </c>
      <c r="L377" s="177"/>
    </row>
    <row r="378" spans="1:12" x14ac:dyDescent="0.2">
      <c r="A378" s="153">
        <v>2032</v>
      </c>
      <c r="B378" s="153">
        <v>5</v>
      </c>
      <c r="C378" s="153" t="str">
        <f t="shared" si="43"/>
        <v>20325</v>
      </c>
      <c r="D378" s="153" t="str">
        <f t="shared" si="45"/>
        <v>Q2</v>
      </c>
      <c r="E378" s="153">
        <f t="shared" si="46"/>
        <v>211132.98300000001</v>
      </c>
      <c r="F378" s="153" t="e">
        <f t="shared" si="47"/>
        <v>#N/A</v>
      </c>
      <c r="G378" s="153">
        <f t="shared" si="47"/>
        <v>5025.0370000000003</v>
      </c>
      <c r="H378" s="153">
        <f t="shared" si="47"/>
        <v>2009.4970000000001</v>
      </c>
      <c r="L378" s="177"/>
    </row>
    <row r="379" spans="1:12" x14ac:dyDescent="0.2">
      <c r="A379" s="153">
        <v>2032</v>
      </c>
      <c r="B379" s="153">
        <v>6</v>
      </c>
      <c r="C379" s="153" t="str">
        <f t="shared" si="43"/>
        <v>20326</v>
      </c>
      <c r="D379" s="153" t="str">
        <f t="shared" si="45"/>
        <v>Q2</v>
      </c>
      <c r="E379" s="153">
        <f t="shared" si="46"/>
        <v>211132.98300000001</v>
      </c>
      <c r="F379" s="153" t="e">
        <f t="shared" si="47"/>
        <v>#N/A</v>
      </c>
      <c r="G379" s="153">
        <f t="shared" si="47"/>
        <v>5025.0370000000003</v>
      </c>
      <c r="H379" s="153">
        <f t="shared" si="47"/>
        <v>2009.4970000000001</v>
      </c>
      <c r="L379" s="177"/>
    </row>
    <row r="380" spans="1:12" x14ac:dyDescent="0.2">
      <c r="A380" s="153">
        <v>2032</v>
      </c>
      <c r="B380" s="153">
        <v>7</v>
      </c>
      <c r="C380" s="153" t="str">
        <f t="shared" si="43"/>
        <v>20327</v>
      </c>
      <c r="D380" s="153" t="str">
        <f t="shared" si="45"/>
        <v>Q3</v>
      </c>
      <c r="E380" s="153">
        <f t="shared" si="46"/>
        <v>211990.587</v>
      </c>
      <c r="F380" s="153" t="e">
        <f t="shared" si="47"/>
        <v>#N/A</v>
      </c>
      <c r="G380" s="153">
        <f t="shared" si="47"/>
        <v>5032.0959999999995</v>
      </c>
      <c r="H380" s="153">
        <f t="shared" si="47"/>
        <v>2014.751</v>
      </c>
      <c r="L380" s="177"/>
    </row>
    <row r="381" spans="1:12" x14ac:dyDescent="0.2">
      <c r="A381" s="153">
        <v>2032</v>
      </c>
      <c r="B381" s="153">
        <v>8</v>
      </c>
      <c r="C381" s="153" t="str">
        <f t="shared" si="43"/>
        <v>20328</v>
      </c>
      <c r="D381" s="153" t="str">
        <f t="shared" si="45"/>
        <v>Q3</v>
      </c>
      <c r="E381" s="153">
        <f t="shared" si="46"/>
        <v>211990.587</v>
      </c>
      <c r="F381" s="153" t="e">
        <f t="shared" si="47"/>
        <v>#N/A</v>
      </c>
      <c r="G381" s="153">
        <f t="shared" si="47"/>
        <v>5032.0959999999995</v>
      </c>
      <c r="H381" s="153">
        <f t="shared" si="47"/>
        <v>2014.751</v>
      </c>
      <c r="L381" s="177"/>
    </row>
    <row r="382" spans="1:12" x14ac:dyDescent="0.2">
      <c r="A382" s="153">
        <v>2032</v>
      </c>
      <c r="B382" s="153">
        <v>9</v>
      </c>
      <c r="C382" s="153" t="str">
        <f t="shared" si="43"/>
        <v>20329</v>
      </c>
      <c r="D382" s="153" t="str">
        <f t="shared" si="45"/>
        <v>Q3</v>
      </c>
      <c r="E382" s="153">
        <f t="shared" si="46"/>
        <v>211990.587</v>
      </c>
      <c r="F382" s="153" t="e">
        <f t="shared" si="47"/>
        <v>#N/A</v>
      </c>
      <c r="G382" s="153">
        <f t="shared" si="47"/>
        <v>5032.0959999999995</v>
      </c>
      <c r="H382" s="153">
        <f t="shared" si="47"/>
        <v>2014.751</v>
      </c>
      <c r="L382" s="177"/>
    </row>
    <row r="383" spans="1:12" x14ac:dyDescent="0.2">
      <c r="A383" s="153">
        <v>2032</v>
      </c>
      <c r="B383" s="153">
        <v>10</v>
      </c>
      <c r="C383" s="153" t="str">
        <f t="shared" si="43"/>
        <v>203210</v>
      </c>
      <c r="D383" s="153" t="str">
        <f t="shared" si="45"/>
        <v>Q4</v>
      </c>
      <c r="E383" s="153">
        <f t="shared" si="46"/>
        <v>212819.59099999999</v>
      </c>
      <c r="F383" s="153" t="e">
        <f t="shared" si="47"/>
        <v>#N/A</v>
      </c>
      <c r="G383" s="153">
        <f t="shared" si="47"/>
        <v>5039.1130000000003</v>
      </c>
      <c r="H383" s="153">
        <f t="shared" si="47"/>
        <v>2017.2260000000001</v>
      </c>
      <c r="L383" s="177"/>
    </row>
    <row r="384" spans="1:12" x14ac:dyDescent="0.2">
      <c r="A384" s="153">
        <v>2032</v>
      </c>
      <c r="B384" s="153">
        <v>11</v>
      </c>
      <c r="C384" s="153" t="str">
        <f t="shared" si="43"/>
        <v>203211</v>
      </c>
      <c r="D384" s="153" t="str">
        <f t="shared" si="45"/>
        <v>Q4</v>
      </c>
      <c r="E384" s="153">
        <f t="shared" si="46"/>
        <v>212819.59099999999</v>
      </c>
      <c r="F384" s="153" t="e">
        <f t="shared" si="47"/>
        <v>#N/A</v>
      </c>
      <c r="G384" s="153">
        <f t="shared" si="47"/>
        <v>5039.1130000000003</v>
      </c>
      <c r="H384" s="153">
        <f t="shared" si="47"/>
        <v>2017.2260000000001</v>
      </c>
      <c r="L384" s="177"/>
    </row>
    <row r="385" spans="1:12" x14ac:dyDescent="0.2">
      <c r="A385" s="153">
        <v>2032</v>
      </c>
      <c r="B385" s="153">
        <v>12</v>
      </c>
      <c r="C385" s="153" t="str">
        <f t="shared" si="43"/>
        <v>203212</v>
      </c>
      <c r="D385" s="153" t="str">
        <f t="shared" si="45"/>
        <v>Q4</v>
      </c>
      <c r="E385" s="153">
        <f t="shared" si="46"/>
        <v>212819.59099999999</v>
      </c>
      <c r="F385" s="153" t="e">
        <f t="shared" si="47"/>
        <v>#N/A</v>
      </c>
      <c r="G385" s="153">
        <f t="shared" si="47"/>
        <v>5039.1130000000003</v>
      </c>
      <c r="H385" s="153">
        <f t="shared" si="47"/>
        <v>2017.2260000000001</v>
      </c>
      <c r="L385" s="177"/>
    </row>
    <row r="386" spans="1:12" x14ac:dyDescent="0.2">
      <c r="A386" s="153">
        <v>2033</v>
      </c>
      <c r="B386" s="153">
        <v>1</v>
      </c>
      <c r="C386" s="153" t="str">
        <f t="shared" si="43"/>
        <v>20331</v>
      </c>
      <c r="D386" s="153" t="str">
        <f t="shared" si="45"/>
        <v>Q1</v>
      </c>
      <c r="E386" s="153">
        <f t="shared" si="46"/>
        <v>214486.36799999999</v>
      </c>
      <c r="F386" s="153" t="e">
        <f t="shared" si="47"/>
        <v>#N/A</v>
      </c>
      <c r="G386" s="153">
        <f t="shared" si="47"/>
        <v>5046.1030000000001</v>
      </c>
      <c r="H386" s="153">
        <f t="shared" si="47"/>
        <v>2020.7070000000001</v>
      </c>
      <c r="L386" s="177"/>
    </row>
    <row r="387" spans="1:12" x14ac:dyDescent="0.2">
      <c r="A387" s="153">
        <v>2033</v>
      </c>
      <c r="B387" s="153">
        <v>2</v>
      </c>
      <c r="C387" s="153" t="str">
        <f t="shared" ref="C387:C450" si="48">A387&amp;B387</f>
        <v>20332</v>
      </c>
      <c r="D387" s="153" t="str">
        <f t="shared" si="45"/>
        <v>Q1</v>
      </c>
      <c r="E387" s="153">
        <f t="shared" si="46"/>
        <v>214486.36799999999</v>
      </c>
      <c r="F387" s="153" t="e">
        <f t="shared" ref="F387:H418" si="49">VLOOKUP($A387&amp;$D387,$N$1:$U$169,MATCH(F$1,$N$1:$U$1,0),0)</f>
        <v>#N/A</v>
      </c>
      <c r="G387" s="153">
        <f t="shared" si="49"/>
        <v>5046.1030000000001</v>
      </c>
      <c r="H387" s="153">
        <f t="shared" si="49"/>
        <v>2020.7070000000001</v>
      </c>
      <c r="L387" s="177"/>
    </row>
    <row r="388" spans="1:12" x14ac:dyDescent="0.2">
      <c r="A388" s="153">
        <v>2033</v>
      </c>
      <c r="B388" s="153">
        <v>3</v>
      </c>
      <c r="C388" s="153" t="str">
        <f t="shared" si="48"/>
        <v>20333</v>
      </c>
      <c r="D388" s="153" t="str">
        <f t="shared" si="45"/>
        <v>Q1</v>
      </c>
      <c r="E388" s="153">
        <f t="shared" si="46"/>
        <v>214486.36799999999</v>
      </c>
      <c r="F388" s="153" t="e">
        <f t="shared" si="49"/>
        <v>#N/A</v>
      </c>
      <c r="G388" s="153">
        <f t="shared" si="49"/>
        <v>5046.1030000000001</v>
      </c>
      <c r="H388" s="153">
        <f t="shared" si="49"/>
        <v>2020.7070000000001</v>
      </c>
      <c r="L388" s="177"/>
    </row>
    <row r="389" spans="1:12" x14ac:dyDescent="0.2">
      <c r="A389" s="153">
        <v>2033</v>
      </c>
      <c r="B389" s="153">
        <v>4</v>
      </c>
      <c r="C389" s="153" t="str">
        <f t="shared" si="48"/>
        <v>20334</v>
      </c>
      <c r="D389" s="153" t="str">
        <f t="shared" si="45"/>
        <v>Q2</v>
      </c>
      <c r="E389" s="153">
        <f t="shared" si="46"/>
        <v>215382.42600000001</v>
      </c>
      <c r="F389" s="153" t="e">
        <f t="shared" si="49"/>
        <v>#N/A</v>
      </c>
      <c r="G389" s="153">
        <f t="shared" si="49"/>
        <v>5053.0649999999996</v>
      </c>
      <c r="H389" s="153">
        <f t="shared" si="49"/>
        <v>2024.18</v>
      </c>
      <c r="L389" s="177"/>
    </row>
    <row r="390" spans="1:12" x14ac:dyDescent="0.2">
      <c r="A390" s="153">
        <v>2033</v>
      </c>
      <c r="B390" s="153">
        <v>5</v>
      </c>
      <c r="C390" s="153" t="str">
        <f t="shared" si="48"/>
        <v>20335</v>
      </c>
      <c r="D390" s="153" t="str">
        <f t="shared" si="45"/>
        <v>Q2</v>
      </c>
      <c r="E390" s="153">
        <f t="shared" si="46"/>
        <v>215382.42600000001</v>
      </c>
      <c r="F390" s="153" t="e">
        <f t="shared" si="49"/>
        <v>#N/A</v>
      </c>
      <c r="G390" s="153">
        <f t="shared" si="49"/>
        <v>5053.0649999999996</v>
      </c>
      <c r="H390" s="153">
        <f t="shared" si="49"/>
        <v>2024.18</v>
      </c>
      <c r="L390" s="177"/>
    </row>
    <row r="391" spans="1:12" x14ac:dyDescent="0.2">
      <c r="A391" s="153">
        <v>2033</v>
      </c>
      <c r="B391" s="153">
        <v>6</v>
      </c>
      <c r="C391" s="153" t="str">
        <f t="shared" si="48"/>
        <v>20336</v>
      </c>
      <c r="D391" s="153" t="str">
        <f t="shared" si="45"/>
        <v>Q2</v>
      </c>
      <c r="E391" s="153">
        <f t="shared" si="46"/>
        <v>215382.42600000001</v>
      </c>
      <c r="F391" s="153" t="e">
        <f t="shared" si="49"/>
        <v>#N/A</v>
      </c>
      <c r="G391" s="153">
        <f t="shared" si="49"/>
        <v>5053.0649999999996</v>
      </c>
      <c r="H391" s="153">
        <f t="shared" si="49"/>
        <v>2024.18</v>
      </c>
      <c r="L391" s="177"/>
    </row>
    <row r="392" spans="1:12" x14ac:dyDescent="0.2">
      <c r="A392" s="153">
        <v>2033</v>
      </c>
      <c r="B392" s="153">
        <v>7</v>
      </c>
      <c r="C392" s="153" t="str">
        <f t="shared" si="48"/>
        <v>20337</v>
      </c>
      <c r="D392" s="153" t="str">
        <f t="shared" si="45"/>
        <v>Q3</v>
      </c>
      <c r="E392" s="153">
        <f t="shared" si="46"/>
        <v>216207.60200000001</v>
      </c>
      <c r="F392" s="153" t="e">
        <f t="shared" si="49"/>
        <v>#N/A</v>
      </c>
      <c r="G392" s="153">
        <f t="shared" si="49"/>
        <v>5060</v>
      </c>
      <c r="H392" s="153">
        <f t="shared" si="49"/>
        <v>2027.626</v>
      </c>
      <c r="L392" s="177"/>
    </row>
    <row r="393" spans="1:12" x14ac:dyDescent="0.2">
      <c r="A393" s="153">
        <v>2033</v>
      </c>
      <c r="B393" s="153">
        <v>8</v>
      </c>
      <c r="C393" s="153" t="str">
        <f t="shared" si="48"/>
        <v>20338</v>
      </c>
      <c r="D393" s="153" t="str">
        <f t="shared" si="45"/>
        <v>Q3</v>
      </c>
      <c r="E393" s="153">
        <f t="shared" si="46"/>
        <v>216207.60200000001</v>
      </c>
      <c r="F393" s="153" t="e">
        <f t="shared" si="49"/>
        <v>#N/A</v>
      </c>
      <c r="G393" s="153">
        <f t="shared" si="49"/>
        <v>5060</v>
      </c>
      <c r="H393" s="153">
        <f t="shared" si="49"/>
        <v>2027.626</v>
      </c>
      <c r="L393" s="177"/>
    </row>
    <row r="394" spans="1:12" x14ac:dyDescent="0.2">
      <c r="A394" s="153">
        <v>2033</v>
      </c>
      <c r="B394" s="153">
        <v>9</v>
      </c>
      <c r="C394" s="153" t="str">
        <f t="shared" si="48"/>
        <v>20339</v>
      </c>
      <c r="D394" s="153" t="str">
        <f t="shared" si="45"/>
        <v>Q3</v>
      </c>
      <c r="E394" s="153">
        <f t="shared" si="46"/>
        <v>216207.60200000001</v>
      </c>
      <c r="F394" s="153" t="e">
        <f t="shared" si="49"/>
        <v>#N/A</v>
      </c>
      <c r="G394" s="153">
        <f t="shared" si="49"/>
        <v>5060</v>
      </c>
      <c r="H394" s="153">
        <f t="shared" si="49"/>
        <v>2027.626</v>
      </c>
      <c r="L394" s="177"/>
    </row>
    <row r="395" spans="1:12" x14ac:dyDescent="0.2">
      <c r="A395" s="153">
        <v>2033</v>
      </c>
      <c r="B395" s="153">
        <v>10</v>
      </c>
      <c r="C395" s="153" t="str">
        <f t="shared" si="48"/>
        <v>203310</v>
      </c>
      <c r="D395" s="153" t="str">
        <f t="shared" si="45"/>
        <v>Q4</v>
      </c>
      <c r="E395" s="153">
        <f t="shared" si="46"/>
        <v>217023.29399999999</v>
      </c>
      <c r="F395" s="153" t="e">
        <f t="shared" si="49"/>
        <v>#N/A</v>
      </c>
      <c r="G395" s="153">
        <f t="shared" si="49"/>
        <v>5066.8959999999997</v>
      </c>
      <c r="H395" s="153">
        <f t="shared" si="49"/>
        <v>2031.1179999999999</v>
      </c>
      <c r="L395" s="177"/>
    </row>
    <row r="396" spans="1:12" x14ac:dyDescent="0.2">
      <c r="A396" s="153">
        <v>2033</v>
      </c>
      <c r="B396" s="153">
        <v>11</v>
      </c>
      <c r="C396" s="153" t="str">
        <f t="shared" si="48"/>
        <v>203311</v>
      </c>
      <c r="D396" s="153" t="str">
        <f t="shared" si="45"/>
        <v>Q4</v>
      </c>
      <c r="E396" s="153">
        <f t="shared" si="46"/>
        <v>217023.29399999999</v>
      </c>
      <c r="F396" s="153" t="e">
        <f t="shared" si="49"/>
        <v>#N/A</v>
      </c>
      <c r="G396" s="153">
        <f t="shared" si="49"/>
        <v>5066.8959999999997</v>
      </c>
      <c r="H396" s="153">
        <f t="shared" si="49"/>
        <v>2031.1179999999999</v>
      </c>
      <c r="L396" s="177"/>
    </row>
    <row r="397" spans="1:12" x14ac:dyDescent="0.2">
      <c r="A397" s="153">
        <v>2033</v>
      </c>
      <c r="B397" s="153">
        <v>12</v>
      </c>
      <c r="C397" s="153" t="str">
        <f t="shared" si="48"/>
        <v>203312</v>
      </c>
      <c r="D397" s="153" t="str">
        <f t="shared" si="45"/>
        <v>Q4</v>
      </c>
      <c r="E397" s="153">
        <f t="shared" si="46"/>
        <v>217023.29399999999</v>
      </c>
      <c r="F397" s="153" t="e">
        <f t="shared" si="49"/>
        <v>#N/A</v>
      </c>
      <c r="G397" s="153">
        <f t="shared" si="49"/>
        <v>5066.8959999999997</v>
      </c>
      <c r="H397" s="153">
        <f t="shared" si="49"/>
        <v>2031.1179999999999</v>
      </c>
      <c r="L397" s="177"/>
    </row>
    <row r="398" spans="1:12" x14ac:dyDescent="0.2">
      <c r="A398" s="153">
        <v>2034</v>
      </c>
      <c r="B398" s="153">
        <v>1</v>
      </c>
      <c r="C398" s="153" t="str">
        <f t="shared" si="48"/>
        <v>20341</v>
      </c>
      <c r="D398" s="153" t="str">
        <f t="shared" si="45"/>
        <v>Q1</v>
      </c>
      <c r="E398" s="153">
        <f t="shared" si="46"/>
        <v>218712.25599999999</v>
      </c>
      <c r="F398" s="153" t="e">
        <f t="shared" si="49"/>
        <v>#N/A</v>
      </c>
      <c r="G398" s="153">
        <f t="shared" si="49"/>
        <v>5073.7650000000003</v>
      </c>
      <c r="H398" s="153">
        <f t="shared" si="49"/>
        <v>2034.5630000000001</v>
      </c>
      <c r="L398" s="177"/>
    </row>
    <row r="399" spans="1:12" x14ac:dyDescent="0.2">
      <c r="A399" s="153">
        <v>2034</v>
      </c>
      <c r="B399" s="153">
        <v>2</v>
      </c>
      <c r="C399" s="153" t="str">
        <f t="shared" si="48"/>
        <v>20342</v>
      </c>
      <c r="D399" s="153" t="str">
        <f t="shared" ref="D399:D462" si="50">D387</f>
        <v>Q1</v>
      </c>
      <c r="E399" s="153">
        <f t="shared" si="46"/>
        <v>218712.25599999999</v>
      </c>
      <c r="F399" s="153" t="e">
        <f t="shared" si="49"/>
        <v>#N/A</v>
      </c>
      <c r="G399" s="153">
        <f t="shared" si="49"/>
        <v>5073.7650000000003</v>
      </c>
      <c r="H399" s="153">
        <f t="shared" si="49"/>
        <v>2034.5630000000001</v>
      </c>
      <c r="L399" s="177"/>
    </row>
    <row r="400" spans="1:12" x14ac:dyDescent="0.2">
      <c r="A400" s="153">
        <v>2034</v>
      </c>
      <c r="B400" s="153">
        <v>3</v>
      </c>
      <c r="C400" s="153" t="str">
        <f t="shared" si="48"/>
        <v>20343</v>
      </c>
      <c r="D400" s="153" t="str">
        <f t="shared" si="50"/>
        <v>Q1</v>
      </c>
      <c r="E400" s="153">
        <f t="shared" si="46"/>
        <v>218712.25599999999</v>
      </c>
      <c r="F400" s="153" t="e">
        <f t="shared" si="49"/>
        <v>#N/A</v>
      </c>
      <c r="G400" s="153">
        <f t="shared" si="49"/>
        <v>5073.7650000000003</v>
      </c>
      <c r="H400" s="153">
        <f t="shared" si="49"/>
        <v>2034.5630000000001</v>
      </c>
      <c r="L400" s="177"/>
    </row>
    <row r="401" spans="1:12" x14ac:dyDescent="0.2">
      <c r="A401" s="153">
        <v>2034</v>
      </c>
      <c r="B401" s="153">
        <v>4</v>
      </c>
      <c r="C401" s="153" t="str">
        <f t="shared" si="48"/>
        <v>20344</v>
      </c>
      <c r="D401" s="153" t="str">
        <f t="shared" si="50"/>
        <v>Q2</v>
      </c>
      <c r="E401" s="153">
        <f t="shared" si="46"/>
        <v>219678.68900000001</v>
      </c>
      <c r="F401" s="153" t="e">
        <f t="shared" si="49"/>
        <v>#N/A</v>
      </c>
      <c r="G401" s="153">
        <f t="shared" si="49"/>
        <v>5080.6090000000004</v>
      </c>
      <c r="H401" s="153">
        <f t="shared" si="49"/>
        <v>2038.0329999999999</v>
      </c>
      <c r="L401" s="177"/>
    </row>
    <row r="402" spans="1:12" x14ac:dyDescent="0.2">
      <c r="A402" s="153">
        <v>2034</v>
      </c>
      <c r="B402" s="153">
        <v>5</v>
      </c>
      <c r="C402" s="153" t="str">
        <f t="shared" si="48"/>
        <v>20345</v>
      </c>
      <c r="D402" s="153" t="str">
        <f t="shared" si="50"/>
        <v>Q2</v>
      </c>
      <c r="E402" s="153">
        <f t="shared" si="46"/>
        <v>219678.68900000001</v>
      </c>
      <c r="F402" s="153" t="e">
        <f t="shared" si="49"/>
        <v>#N/A</v>
      </c>
      <c r="G402" s="153">
        <f t="shared" si="49"/>
        <v>5080.6090000000004</v>
      </c>
      <c r="H402" s="153">
        <f t="shared" si="49"/>
        <v>2038.0329999999999</v>
      </c>
      <c r="L402" s="177"/>
    </row>
    <row r="403" spans="1:12" x14ac:dyDescent="0.2">
      <c r="A403" s="153">
        <v>2034</v>
      </c>
      <c r="B403" s="153">
        <v>6</v>
      </c>
      <c r="C403" s="153" t="str">
        <f t="shared" si="48"/>
        <v>20346</v>
      </c>
      <c r="D403" s="153" t="str">
        <f t="shared" si="50"/>
        <v>Q2</v>
      </c>
      <c r="E403" s="153">
        <f t="shared" si="46"/>
        <v>219678.68900000001</v>
      </c>
      <c r="F403" s="153" t="e">
        <f t="shared" si="49"/>
        <v>#N/A</v>
      </c>
      <c r="G403" s="153">
        <f t="shared" si="49"/>
        <v>5080.6090000000004</v>
      </c>
      <c r="H403" s="153">
        <f t="shared" si="49"/>
        <v>2038.0329999999999</v>
      </c>
      <c r="L403" s="177"/>
    </row>
    <row r="404" spans="1:12" x14ac:dyDescent="0.2">
      <c r="A404" s="153">
        <v>2034</v>
      </c>
      <c r="B404" s="153">
        <v>7</v>
      </c>
      <c r="C404" s="153" t="str">
        <f t="shared" si="48"/>
        <v>20347</v>
      </c>
      <c r="D404" s="153" t="str">
        <f t="shared" si="50"/>
        <v>Q3</v>
      </c>
      <c r="E404" s="153">
        <f t="shared" si="46"/>
        <v>220588.57</v>
      </c>
      <c r="F404" s="153" t="e">
        <f t="shared" si="49"/>
        <v>#N/A</v>
      </c>
      <c r="G404" s="153">
        <f t="shared" si="49"/>
        <v>5087.4409999999998</v>
      </c>
      <c r="H404" s="153">
        <f t="shared" si="49"/>
        <v>2043.357</v>
      </c>
      <c r="L404" s="177"/>
    </row>
    <row r="405" spans="1:12" x14ac:dyDescent="0.2">
      <c r="A405" s="153">
        <v>2034</v>
      </c>
      <c r="B405" s="153">
        <v>8</v>
      </c>
      <c r="C405" s="153" t="str">
        <f t="shared" si="48"/>
        <v>20348</v>
      </c>
      <c r="D405" s="153" t="str">
        <f t="shared" si="50"/>
        <v>Q3</v>
      </c>
      <c r="E405" s="153">
        <f t="shared" si="46"/>
        <v>220588.57</v>
      </c>
      <c r="F405" s="153" t="e">
        <f t="shared" si="49"/>
        <v>#N/A</v>
      </c>
      <c r="G405" s="153">
        <f t="shared" si="49"/>
        <v>5087.4409999999998</v>
      </c>
      <c r="H405" s="153">
        <f t="shared" si="49"/>
        <v>2043.357</v>
      </c>
      <c r="L405" s="177"/>
    </row>
    <row r="406" spans="1:12" x14ac:dyDescent="0.2">
      <c r="A406" s="153">
        <v>2034</v>
      </c>
      <c r="B406" s="153">
        <v>9</v>
      </c>
      <c r="C406" s="153" t="str">
        <f t="shared" si="48"/>
        <v>20349</v>
      </c>
      <c r="D406" s="153" t="str">
        <f t="shared" si="50"/>
        <v>Q3</v>
      </c>
      <c r="E406" s="153">
        <f t="shared" si="46"/>
        <v>220588.57</v>
      </c>
      <c r="F406" s="153" t="e">
        <f t="shared" si="49"/>
        <v>#N/A</v>
      </c>
      <c r="G406" s="153">
        <f t="shared" si="49"/>
        <v>5087.4409999999998</v>
      </c>
      <c r="H406" s="153">
        <f t="shared" si="49"/>
        <v>2043.357</v>
      </c>
      <c r="L406" s="177"/>
    </row>
    <row r="407" spans="1:12" x14ac:dyDescent="0.2">
      <c r="A407" s="153">
        <v>2034</v>
      </c>
      <c r="B407" s="153">
        <v>10</v>
      </c>
      <c r="C407" s="153" t="str">
        <f t="shared" si="48"/>
        <v>203410</v>
      </c>
      <c r="D407" s="153" t="str">
        <f t="shared" si="50"/>
        <v>Q4</v>
      </c>
      <c r="E407" s="153">
        <f t="shared" si="46"/>
        <v>221480.42499999999</v>
      </c>
      <c r="F407" s="153" t="e">
        <f t="shared" si="49"/>
        <v>#N/A</v>
      </c>
      <c r="G407" s="153">
        <f t="shared" si="49"/>
        <v>5094.2359999999999</v>
      </c>
      <c r="H407" s="153">
        <f t="shared" si="49"/>
        <v>2045.7919999999999</v>
      </c>
      <c r="L407" s="177"/>
    </row>
    <row r="408" spans="1:12" x14ac:dyDescent="0.2">
      <c r="A408" s="153">
        <v>2034</v>
      </c>
      <c r="B408" s="153">
        <v>11</v>
      </c>
      <c r="C408" s="153" t="str">
        <f t="shared" si="48"/>
        <v>203411</v>
      </c>
      <c r="D408" s="153" t="str">
        <f t="shared" si="50"/>
        <v>Q4</v>
      </c>
      <c r="E408" s="153">
        <f t="shared" si="46"/>
        <v>221480.42499999999</v>
      </c>
      <c r="F408" s="153" t="e">
        <f t="shared" si="49"/>
        <v>#N/A</v>
      </c>
      <c r="G408" s="153">
        <f t="shared" si="49"/>
        <v>5094.2359999999999</v>
      </c>
      <c r="H408" s="153">
        <f t="shared" si="49"/>
        <v>2045.7919999999999</v>
      </c>
      <c r="L408" s="177"/>
    </row>
    <row r="409" spans="1:12" x14ac:dyDescent="0.2">
      <c r="A409" s="153">
        <v>2034</v>
      </c>
      <c r="B409" s="153">
        <v>12</v>
      </c>
      <c r="C409" s="153" t="str">
        <f t="shared" si="48"/>
        <v>203412</v>
      </c>
      <c r="D409" s="153" t="str">
        <f t="shared" si="50"/>
        <v>Q4</v>
      </c>
      <c r="E409" s="153">
        <f t="shared" si="46"/>
        <v>221480.42499999999</v>
      </c>
      <c r="F409" s="153" t="e">
        <f t="shared" si="49"/>
        <v>#N/A</v>
      </c>
      <c r="G409" s="153">
        <f t="shared" si="49"/>
        <v>5094.2359999999999</v>
      </c>
      <c r="H409" s="153">
        <f t="shared" si="49"/>
        <v>2045.7919999999999</v>
      </c>
      <c r="L409" s="177"/>
    </row>
    <row r="410" spans="1:12" x14ac:dyDescent="0.2">
      <c r="A410" s="153">
        <v>2035</v>
      </c>
      <c r="B410" s="153">
        <v>1</v>
      </c>
      <c r="C410" s="153" t="str">
        <f t="shared" si="48"/>
        <v>20351</v>
      </c>
      <c r="D410" s="153" t="str">
        <f t="shared" si="50"/>
        <v>Q1</v>
      </c>
      <c r="E410" s="153">
        <f t="shared" si="46"/>
        <v>223274.90299999999</v>
      </c>
      <c r="F410" s="153" t="e">
        <f t="shared" si="49"/>
        <v>#N/A</v>
      </c>
      <c r="G410" s="153">
        <f t="shared" si="49"/>
        <v>5101.0060000000003</v>
      </c>
      <c r="H410" s="153">
        <f t="shared" si="49"/>
        <v>2049.09</v>
      </c>
      <c r="L410" s="177"/>
    </row>
    <row r="411" spans="1:12" x14ac:dyDescent="0.2">
      <c r="A411" s="153">
        <v>2035</v>
      </c>
      <c r="B411" s="153">
        <v>2</v>
      </c>
      <c r="C411" s="153" t="str">
        <f t="shared" si="48"/>
        <v>20352</v>
      </c>
      <c r="D411" s="153" t="str">
        <f t="shared" si="50"/>
        <v>Q1</v>
      </c>
      <c r="E411" s="153">
        <f t="shared" si="46"/>
        <v>223274.90299999999</v>
      </c>
      <c r="F411" s="153" t="e">
        <f t="shared" si="49"/>
        <v>#N/A</v>
      </c>
      <c r="G411" s="153">
        <f t="shared" si="49"/>
        <v>5101.0060000000003</v>
      </c>
      <c r="H411" s="153">
        <f t="shared" si="49"/>
        <v>2049.09</v>
      </c>
      <c r="L411" s="177"/>
    </row>
    <row r="412" spans="1:12" x14ac:dyDescent="0.2">
      <c r="A412" s="153">
        <v>2035</v>
      </c>
      <c r="B412" s="153">
        <v>3</v>
      </c>
      <c r="C412" s="153" t="str">
        <f t="shared" si="48"/>
        <v>20353</v>
      </c>
      <c r="D412" s="153" t="str">
        <f t="shared" si="50"/>
        <v>Q1</v>
      </c>
      <c r="E412" s="153">
        <f t="shared" si="46"/>
        <v>223274.90299999999</v>
      </c>
      <c r="F412" s="153" t="e">
        <f t="shared" si="49"/>
        <v>#N/A</v>
      </c>
      <c r="G412" s="153">
        <f t="shared" si="49"/>
        <v>5101.0060000000003</v>
      </c>
      <c r="H412" s="153">
        <f t="shared" si="49"/>
        <v>2049.09</v>
      </c>
      <c r="L412" s="177"/>
    </row>
    <row r="413" spans="1:12" x14ac:dyDescent="0.2">
      <c r="A413" s="153">
        <v>2035</v>
      </c>
      <c r="B413" s="153">
        <v>4</v>
      </c>
      <c r="C413" s="153" t="str">
        <f t="shared" si="48"/>
        <v>20354</v>
      </c>
      <c r="D413" s="153" t="str">
        <f t="shared" si="50"/>
        <v>Q2</v>
      </c>
      <c r="E413" s="153">
        <f t="shared" si="46"/>
        <v>224274.87700000001</v>
      </c>
      <c r="F413" s="153" t="e">
        <f t="shared" si="49"/>
        <v>#N/A</v>
      </c>
      <c r="G413" s="153">
        <f t="shared" si="49"/>
        <v>5107.7510000000002</v>
      </c>
      <c r="H413" s="153">
        <f t="shared" si="49"/>
        <v>2052.3820000000001</v>
      </c>
      <c r="L413" s="177"/>
    </row>
    <row r="414" spans="1:12" x14ac:dyDescent="0.2">
      <c r="A414" s="153">
        <v>2035</v>
      </c>
      <c r="B414" s="153">
        <v>5</v>
      </c>
      <c r="C414" s="153" t="str">
        <f t="shared" si="48"/>
        <v>20355</v>
      </c>
      <c r="D414" s="153" t="str">
        <f t="shared" si="50"/>
        <v>Q2</v>
      </c>
      <c r="E414" s="153">
        <f t="shared" si="46"/>
        <v>224274.87700000001</v>
      </c>
      <c r="F414" s="153" t="e">
        <f t="shared" si="49"/>
        <v>#N/A</v>
      </c>
      <c r="G414" s="153">
        <f t="shared" si="49"/>
        <v>5107.7510000000002</v>
      </c>
      <c r="H414" s="153">
        <f t="shared" si="49"/>
        <v>2052.3820000000001</v>
      </c>
      <c r="L414" s="177"/>
    </row>
    <row r="415" spans="1:12" x14ac:dyDescent="0.2">
      <c r="A415" s="153">
        <v>2035</v>
      </c>
      <c r="B415" s="153">
        <v>6</v>
      </c>
      <c r="C415" s="153" t="str">
        <f t="shared" si="48"/>
        <v>20356</v>
      </c>
      <c r="D415" s="153" t="str">
        <f t="shared" si="50"/>
        <v>Q2</v>
      </c>
      <c r="E415" s="153">
        <f t="shared" si="46"/>
        <v>224274.87700000001</v>
      </c>
      <c r="F415" s="153" t="e">
        <f t="shared" si="49"/>
        <v>#N/A</v>
      </c>
      <c r="G415" s="153">
        <f t="shared" si="49"/>
        <v>5107.7510000000002</v>
      </c>
      <c r="H415" s="153">
        <f t="shared" si="49"/>
        <v>2052.3820000000001</v>
      </c>
      <c r="L415" s="177"/>
    </row>
    <row r="416" spans="1:12" x14ac:dyDescent="0.2">
      <c r="A416" s="153">
        <v>2035</v>
      </c>
      <c r="B416" s="153">
        <v>7</v>
      </c>
      <c r="C416" s="153" t="str">
        <f t="shared" si="48"/>
        <v>20357</v>
      </c>
      <c r="D416" s="153" t="str">
        <f t="shared" si="50"/>
        <v>Q3</v>
      </c>
      <c r="E416" s="153">
        <f t="shared" si="46"/>
        <v>225199.902</v>
      </c>
      <c r="F416" s="153" t="e">
        <f t="shared" si="49"/>
        <v>#N/A</v>
      </c>
      <c r="G416" s="153">
        <f t="shared" si="49"/>
        <v>5114.4719999999998</v>
      </c>
      <c r="H416" s="153">
        <f t="shared" si="49"/>
        <v>2055.6619999999998</v>
      </c>
      <c r="L416" s="177"/>
    </row>
    <row r="417" spans="1:12" x14ac:dyDescent="0.2">
      <c r="A417" s="153">
        <v>2035</v>
      </c>
      <c r="B417" s="153">
        <v>8</v>
      </c>
      <c r="C417" s="153" t="str">
        <f t="shared" si="48"/>
        <v>20358</v>
      </c>
      <c r="D417" s="153" t="str">
        <f t="shared" si="50"/>
        <v>Q3</v>
      </c>
      <c r="E417" s="153">
        <f t="shared" si="46"/>
        <v>225199.902</v>
      </c>
      <c r="F417" s="153" t="e">
        <f t="shared" si="49"/>
        <v>#N/A</v>
      </c>
      <c r="G417" s="153">
        <f t="shared" si="49"/>
        <v>5114.4719999999998</v>
      </c>
      <c r="H417" s="153">
        <f t="shared" si="49"/>
        <v>2055.6619999999998</v>
      </c>
      <c r="L417" s="177"/>
    </row>
    <row r="418" spans="1:12" x14ac:dyDescent="0.2">
      <c r="A418" s="153">
        <v>2035</v>
      </c>
      <c r="B418" s="153">
        <v>9</v>
      </c>
      <c r="C418" s="153" t="str">
        <f t="shared" si="48"/>
        <v>20359</v>
      </c>
      <c r="D418" s="153" t="str">
        <f t="shared" si="50"/>
        <v>Q3</v>
      </c>
      <c r="E418" s="153">
        <f t="shared" si="46"/>
        <v>225199.902</v>
      </c>
      <c r="F418" s="153" t="e">
        <f t="shared" si="49"/>
        <v>#N/A</v>
      </c>
      <c r="G418" s="153">
        <f t="shared" si="49"/>
        <v>5114.4719999999998</v>
      </c>
      <c r="H418" s="153">
        <f t="shared" si="49"/>
        <v>2055.6619999999998</v>
      </c>
      <c r="L418" s="177"/>
    </row>
    <row r="419" spans="1:12" x14ac:dyDescent="0.2">
      <c r="A419" s="153">
        <v>2035</v>
      </c>
      <c r="B419" s="153">
        <v>10</v>
      </c>
      <c r="C419" s="153" t="str">
        <f t="shared" si="48"/>
        <v>203510</v>
      </c>
      <c r="D419" s="153" t="str">
        <f t="shared" si="50"/>
        <v>Q4</v>
      </c>
      <c r="E419" s="153">
        <f t="shared" ref="E419:E482" si="51">VLOOKUP($A419&amp;$D419,$N$1:$U$169,MATCH(E$1,$N$1:$U$1,0),0)</f>
        <v>226081.57399999999</v>
      </c>
      <c r="F419" s="153" t="e">
        <f t="shared" ref="F419:H450" si="52">VLOOKUP($A419&amp;$D419,$N$1:$U$169,MATCH(F$1,$N$1:$U$1,0),0)</f>
        <v>#N/A</v>
      </c>
      <c r="G419" s="153">
        <f t="shared" si="52"/>
        <v>5121.1570000000002</v>
      </c>
      <c r="H419" s="153">
        <f t="shared" si="52"/>
        <v>2058.951</v>
      </c>
      <c r="L419" s="177"/>
    </row>
    <row r="420" spans="1:12" x14ac:dyDescent="0.2">
      <c r="A420" s="153">
        <v>2035</v>
      </c>
      <c r="B420" s="153">
        <v>11</v>
      </c>
      <c r="C420" s="153" t="str">
        <f t="shared" si="48"/>
        <v>203511</v>
      </c>
      <c r="D420" s="153" t="str">
        <f t="shared" si="50"/>
        <v>Q4</v>
      </c>
      <c r="E420" s="153">
        <f t="shared" si="51"/>
        <v>226081.57399999999</v>
      </c>
      <c r="F420" s="153" t="e">
        <f t="shared" si="52"/>
        <v>#N/A</v>
      </c>
      <c r="G420" s="153">
        <f t="shared" si="52"/>
        <v>5121.1570000000002</v>
      </c>
      <c r="H420" s="153">
        <f t="shared" si="52"/>
        <v>2058.951</v>
      </c>
      <c r="L420" s="177"/>
    </row>
    <row r="421" spans="1:12" x14ac:dyDescent="0.2">
      <c r="A421" s="153">
        <v>2035</v>
      </c>
      <c r="B421" s="153">
        <v>12</v>
      </c>
      <c r="C421" s="153" t="str">
        <f t="shared" si="48"/>
        <v>203512</v>
      </c>
      <c r="D421" s="153" t="str">
        <f t="shared" si="50"/>
        <v>Q4</v>
      </c>
      <c r="E421" s="153">
        <f t="shared" si="51"/>
        <v>226081.57399999999</v>
      </c>
      <c r="F421" s="153" t="e">
        <f t="shared" si="52"/>
        <v>#N/A</v>
      </c>
      <c r="G421" s="153">
        <f t="shared" si="52"/>
        <v>5121.1570000000002</v>
      </c>
      <c r="H421" s="153">
        <f t="shared" si="52"/>
        <v>2058.951</v>
      </c>
      <c r="L421" s="177"/>
    </row>
    <row r="422" spans="1:12" x14ac:dyDescent="0.2">
      <c r="A422" s="153">
        <v>2036</v>
      </c>
      <c r="B422" s="153">
        <v>1</v>
      </c>
      <c r="C422" s="153" t="str">
        <f t="shared" si="48"/>
        <v>20361</v>
      </c>
      <c r="D422" s="153" t="str">
        <f t="shared" si="50"/>
        <v>Q1</v>
      </c>
      <c r="E422" s="153">
        <f t="shared" si="51"/>
        <v>227897.829</v>
      </c>
      <c r="F422" s="153" t="e">
        <f t="shared" si="52"/>
        <v>#N/A</v>
      </c>
      <c r="G422" s="153">
        <f t="shared" si="52"/>
        <v>5127.8339999999998</v>
      </c>
      <c r="H422" s="153">
        <f t="shared" si="52"/>
        <v>2062.277</v>
      </c>
      <c r="L422" s="177"/>
    </row>
    <row r="423" spans="1:12" x14ac:dyDescent="0.2">
      <c r="A423" s="153">
        <v>2036</v>
      </c>
      <c r="B423" s="153">
        <v>2</v>
      </c>
      <c r="C423" s="153" t="str">
        <f t="shared" si="48"/>
        <v>20362</v>
      </c>
      <c r="D423" s="153" t="str">
        <f t="shared" si="50"/>
        <v>Q1</v>
      </c>
      <c r="E423" s="153">
        <f t="shared" si="51"/>
        <v>227897.829</v>
      </c>
      <c r="F423" s="153" t="e">
        <f t="shared" si="52"/>
        <v>#N/A</v>
      </c>
      <c r="G423" s="153">
        <f t="shared" si="52"/>
        <v>5127.8339999999998</v>
      </c>
      <c r="H423" s="153">
        <f t="shared" si="52"/>
        <v>2062.277</v>
      </c>
      <c r="L423" s="177"/>
    </row>
    <row r="424" spans="1:12" x14ac:dyDescent="0.2">
      <c r="A424" s="153">
        <v>2036</v>
      </c>
      <c r="B424" s="153">
        <v>3</v>
      </c>
      <c r="C424" s="153" t="str">
        <f t="shared" si="48"/>
        <v>20363</v>
      </c>
      <c r="D424" s="153" t="str">
        <f t="shared" si="50"/>
        <v>Q1</v>
      </c>
      <c r="E424" s="153">
        <f t="shared" si="51"/>
        <v>227897.829</v>
      </c>
      <c r="F424" s="153" t="e">
        <f t="shared" si="52"/>
        <v>#N/A</v>
      </c>
      <c r="G424" s="153">
        <f t="shared" si="52"/>
        <v>5127.8339999999998</v>
      </c>
      <c r="H424" s="153">
        <f t="shared" si="52"/>
        <v>2062.277</v>
      </c>
      <c r="L424" s="177"/>
    </row>
    <row r="425" spans="1:12" x14ac:dyDescent="0.2">
      <c r="A425" s="153">
        <v>2036</v>
      </c>
      <c r="B425" s="153">
        <v>4</v>
      </c>
      <c r="C425" s="153" t="str">
        <f t="shared" si="48"/>
        <v>20364</v>
      </c>
      <c r="D425" s="153" t="str">
        <f t="shared" si="50"/>
        <v>Q2</v>
      </c>
      <c r="E425" s="153">
        <f t="shared" si="51"/>
        <v>228888.74400000001</v>
      </c>
      <c r="F425" s="153" t="e">
        <f t="shared" si="52"/>
        <v>#N/A</v>
      </c>
      <c r="G425" s="153">
        <f t="shared" si="52"/>
        <v>5134.5159999999996</v>
      </c>
      <c r="H425" s="153">
        <f t="shared" si="52"/>
        <v>2065.558</v>
      </c>
      <c r="L425" s="177"/>
    </row>
    <row r="426" spans="1:12" x14ac:dyDescent="0.2">
      <c r="A426" s="153">
        <v>2036</v>
      </c>
      <c r="B426" s="153">
        <v>5</v>
      </c>
      <c r="C426" s="153" t="str">
        <f t="shared" si="48"/>
        <v>20365</v>
      </c>
      <c r="D426" s="153" t="str">
        <f t="shared" si="50"/>
        <v>Q2</v>
      </c>
      <c r="E426" s="153">
        <f t="shared" si="51"/>
        <v>228888.74400000001</v>
      </c>
      <c r="F426" s="153" t="e">
        <f t="shared" si="52"/>
        <v>#N/A</v>
      </c>
      <c r="G426" s="153">
        <f t="shared" si="52"/>
        <v>5134.5159999999996</v>
      </c>
      <c r="H426" s="153">
        <f t="shared" si="52"/>
        <v>2065.558</v>
      </c>
      <c r="L426" s="177"/>
    </row>
    <row r="427" spans="1:12" x14ac:dyDescent="0.2">
      <c r="A427" s="153">
        <v>2036</v>
      </c>
      <c r="B427" s="153">
        <v>6</v>
      </c>
      <c r="C427" s="153" t="str">
        <f t="shared" si="48"/>
        <v>20366</v>
      </c>
      <c r="D427" s="153" t="str">
        <f t="shared" si="50"/>
        <v>Q2</v>
      </c>
      <c r="E427" s="153">
        <f t="shared" si="51"/>
        <v>228888.74400000001</v>
      </c>
      <c r="F427" s="153" t="e">
        <f t="shared" si="52"/>
        <v>#N/A</v>
      </c>
      <c r="G427" s="153">
        <f t="shared" si="52"/>
        <v>5134.5159999999996</v>
      </c>
      <c r="H427" s="153">
        <f t="shared" si="52"/>
        <v>2065.558</v>
      </c>
      <c r="L427" s="177"/>
    </row>
    <row r="428" spans="1:12" x14ac:dyDescent="0.2">
      <c r="A428" s="153">
        <v>2036</v>
      </c>
      <c r="B428" s="153">
        <v>7</v>
      </c>
      <c r="C428" s="153" t="str">
        <f t="shared" si="48"/>
        <v>20367</v>
      </c>
      <c r="D428" s="153" t="str">
        <f t="shared" si="50"/>
        <v>Q3</v>
      </c>
      <c r="E428" s="153">
        <f t="shared" si="51"/>
        <v>229812.7</v>
      </c>
      <c r="F428" s="153" t="e">
        <f t="shared" si="52"/>
        <v>#N/A</v>
      </c>
      <c r="G428" s="153">
        <f t="shared" si="52"/>
        <v>5141.1930000000002</v>
      </c>
      <c r="H428" s="153">
        <f t="shared" si="52"/>
        <v>2068.8319999999999</v>
      </c>
      <c r="L428" s="177"/>
    </row>
    <row r="429" spans="1:12" x14ac:dyDescent="0.2">
      <c r="A429" s="153">
        <v>2036</v>
      </c>
      <c r="B429" s="153">
        <v>8</v>
      </c>
      <c r="C429" s="153" t="str">
        <f t="shared" si="48"/>
        <v>20368</v>
      </c>
      <c r="D429" s="153" t="str">
        <f t="shared" si="50"/>
        <v>Q3</v>
      </c>
      <c r="E429" s="153">
        <f t="shared" si="51"/>
        <v>229812.7</v>
      </c>
      <c r="F429" s="153" t="e">
        <f t="shared" si="52"/>
        <v>#N/A</v>
      </c>
      <c r="G429" s="153">
        <f t="shared" si="52"/>
        <v>5141.1930000000002</v>
      </c>
      <c r="H429" s="153">
        <f t="shared" si="52"/>
        <v>2068.8319999999999</v>
      </c>
      <c r="L429" s="177"/>
    </row>
    <row r="430" spans="1:12" x14ac:dyDescent="0.2">
      <c r="A430" s="153">
        <v>2036</v>
      </c>
      <c r="B430" s="153">
        <v>9</v>
      </c>
      <c r="C430" s="153" t="str">
        <f t="shared" si="48"/>
        <v>20369</v>
      </c>
      <c r="D430" s="153" t="str">
        <f t="shared" si="50"/>
        <v>Q3</v>
      </c>
      <c r="E430" s="153">
        <f t="shared" si="51"/>
        <v>229812.7</v>
      </c>
      <c r="F430" s="153" t="e">
        <f t="shared" si="52"/>
        <v>#N/A</v>
      </c>
      <c r="G430" s="153">
        <f t="shared" si="52"/>
        <v>5141.1930000000002</v>
      </c>
      <c r="H430" s="153">
        <f t="shared" si="52"/>
        <v>2068.8319999999999</v>
      </c>
      <c r="L430" s="177"/>
    </row>
    <row r="431" spans="1:12" x14ac:dyDescent="0.2">
      <c r="A431" s="153">
        <v>2036</v>
      </c>
      <c r="B431" s="153">
        <v>10</v>
      </c>
      <c r="C431" s="153" t="str">
        <f t="shared" si="48"/>
        <v>203610</v>
      </c>
      <c r="D431" s="153" t="str">
        <f t="shared" si="50"/>
        <v>Q4</v>
      </c>
      <c r="E431" s="153">
        <f t="shared" si="51"/>
        <v>230688.69399999999</v>
      </c>
      <c r="F431" s="153" t="e">
        <f t="shared" si="52"/>
        <v>#N/A</v>
      </c>
      <c r="G431" s="153">
        <f t="shared" si="52"/>
        <v>5147.8509999999997</v>
      </c>
      <c r="H431" s="153">
        <f t="shared" si="52"/>
        <v>2072.0839999999998</v>
      </c>
      <c r="L431" s="177"/>
    </row>
    <row r="432" spans="1:12" x14ac:dyDescent="0.2">
      <c r="A432" s="153">
        <v>2036</v>
      </c>
      <c r="B432" s="153">
        <v>11</v>
      </c>
      <c r="C432" s="153" t="str">
        <f t="shared" si="48"/>
        <v>203611</v>
      </c>
      <c r="D432" s="153" t="str">
        <f t="shared" si="50"/>
        <v>Q4</v>
      </c>
      <c r="E432" s="153">
        <f t="shared" si="51"/>
        <v>230688.69399999999</v>
      </c>
      <c r="F432" s="153" t="e">
        <f t="shared" si="52"/>
        <v>#N/A</v>
      </c>
      <c r="G432" s="153">
        <f t="shared" si="52"/>
        <v>5147.8509999999997</v>
      </c>
      <c r="H432" s="153">
        <f t="shared" si="52"/>
        <v>2072.0839999999998</v>
      </c>
      <c r="L432" s="177"/>
    </row>
    <row r="433" spans="1:12" x14ac:dyDescent="0.2">
      <c r="A433" s="153">
        <v>2036</v>
      </c>
      <c r="B433" s="153">
        <v>12</v>
      </c>
      <c r="C433" s="153" t="str">
        <f t="shared" si="48"/>
        <v>203612</v>
      </c>
      <c r="D433" s="153" t="str">
        <f t="shared" si="50"/>
        <v>Q4</v>
      </c>
      <c r="E433" s="153">
        <f t="shared" si="51"/>
        <v>230688.69399999999</v>
      </c>
      <c r="F433" s="153" t="e">
        <f t="shared" si="52"/>
        <v>#N/A</v>
      </c>
      <c r="G433" s="153">
        <f t="shared" si="52"/>
        <v>5147.8509999999997</v>
      </c>
      <c r="H433" s="153">
        <f t="shared" si="52"/>
        <v>2072.0839999999998</v>
      </c>
      <c r="L433" s="177"/>
    </row>
    <row r="434" spans="1:12" x14ac:dyDescent="0.2">
      <c r="A434" s="153">
        <v>2037</v>
      </c>
      <c r="B434" s="153">
        <v>1</v>
      </c>
      <c r="C434" s="153" t="str">
        <f t="shared" si="48"/>
        <v>20371</v>
      </c>
      <c r="D434" s="153" t="str">
        <f t="shared" si="50"/>
        <v>Q1</v>
      </c>
      <c r="E434" s="153">
        <f t="shared" si="51"/>
        <v>232435.19899999999</v>
      </c>
      <c r="F434" s="153" t="e">
        <f t="shared" si="52"/>
        <v>#N/A</v>
      </c>
      <c r="G434" s="153">
        <f t="shared" si="52"/>
        <v>5154.5029999999997</v>
      </c>
      <c r="H434" s="153">
        <f t="shared" si="52"/>
        <v>2076.9920000000002</v>
      </c>
      <c r="L434" s="177"/>
    </row>
    <row r="435" spans="1:12" x14ac:dyDescent="0.2">
      <c r="A435" s="153">
        <v>2037</v>
      </c>
      <c r="B435" s="153">
        <v>2</v>
      </c>
      <c r="C435" s="153" t="str">
        <f t="shared" si="48"/>
        <v>20372</v>
      </c>
      <c r="D435" s="153" t="str">
        <f t="shared" si="50"/>
        <v>Q1</v>
      </c>
      <c r="E435" s="153">
        <f t="shared" si="51"/>
        <v>232435.19899999999</v>
      </c>
      <c r="F435" s="153" t="e">
        <f t="shared" si="52"/>
        <v>#N/A</v>
      </c>
      <c r="G435" s="153">
        <f t="shared" si="52"/>
        <v>5154.5029999999997</v>
      </c>
      <c r="H435" s="153">
        <f t="shared" si="52"/>
        <v>2076.9920000000002</v>
      </c>
      <c r="L435" s="177"/>
    </row>
    <row r="436" spans="1:12" x14ac:dyDescent="0.2">
      <c r="A436" s="153">
        <v>2037</v>
      </c>
      <c r="B436" s="153">
        <v>3</v>
      </c>
      <c r="C436" s="153" t="str">
        <f t="shared" si="48"/>
        <v>20373</v>
      </c>
      <c r="D436" s="153" t="str">
        <f t="shared" si="50"/>
        <v>Q1</v>
      </c>
      <c r="E436" s="153">
        <f t="shared" si="51"/>
        <v>232435.19899999999</v>
      </c>
      <c r="F436" s="153" t="e">
        <f t="shared" si="52"/>
        <v>#N/A</v>
      </c>
      <c r="G436" s="153">
        <f t="shared" si="52"/>
        <v>5154.5029999999997</v>
      </c>
      <c r="H436" s="153">
        <f t="shared" si="52"/>
        <v>2076.9920000000002</v>
      </c>
      <c r="L436" s="177"/>
    </row>
    <row r="437" spans="1:12" x14ac:dyDescent="0.2">
      <c r="A437" s="153">
        <v>2037</v>
      </c>
      <c r="B437" s="153">
        <v>4</v>
      </c>
      <c r="C437" s="153" t="str">
        <f t="shared" si="48"/>
        <v>20374</v>
      </c>
      <c r="D437" s="153" t="str">
        <f t="shared" si="50"/>
        <v>Q2</v>
      </c>
      <c r="E437" s="153">
        <f t="shared" si="51"/>
        <v>233443.413</v>
      </c>
      <c r="F437" s="153" t="e">
        <f t="shared" si="52"/>
        <v>#N/A</v>
      </c>
      <c r="G437" s="153">
        <f t="shared" si="52"/>
        <v>5161.152</v>
      </c>
      <c r="H437" s="153">
        <f t="shared" si="52"/>
        <v>2079.442</v>
      </c>
      <c r="L437" s="177"/>
    </row>
    <row r="438" spans="1:12" x14ac:dyDescent="0.2">
      <c r="A438" s="153">
        <v>2037</v>
      </c>
      <c r="B438" s="153">
        <v>5</v>
      </c>
      <c r="C438" s="153" t="str">
        <f t="shared" si="48"/>
        <v>20375</v>
      </c>
      <c r="D438" s="153" t="str">
        <f t="shared" si="50"/>
        <v>Q2</v>
      </c>
      <c r="E438" s="153">
        <f t="shared" si="51"/>
        <v>233443.413</v>
      </c>
      <c r="F438" s="153" t="e">
        <f t="shared" si="52"/>
        <v>#N/A</v>
      </c>
      <c r="G438" s="153">
        <f t="shared" si="52"/>
        <v>5161.152</v>
      </c>
      <c r="H438" s="153">
        <f t="shared" si="52"/>
        <v>2079.442</v>
      </c>
      <c r="L438" s="177"/>
    </row>
    <row r="439" spans="1:12" x14ac:dyDescent="0.2">
      <c r="A439" s="153">
        <v>2037</v>
      </c>
      <c r="B439" s="153">
        <v>6</v>
      </c>
      <c r="C439" s="153" t="str">
        <f t="shared" si="48"/>
        <v>20376</v>
      </c>
      <c r="D439" s="153" t="str">
        <f t="shared" si="50"/>
        <v>Q2</v>
      </c>
      <c r="E439" s="153">
        <f t="shared" si="51"/>
        <v>233443.413</v>
      </c>
      <c r="F439" s="153" t="e">
        <f t="shared" si="52"/>
        <v>#N/A</v>
      </c>
      <c r="G439" s="153">
        <f t="shared" si="52"/>
        <v>5161.152</v>
      </c>
      <c r="H439" s="153">
        <f t="shared" si="52"/>
        <v>2079.442</v>
      </c>
      <c r="L439" s="177"/>
    </row>
    <row r="440" spans="1:12" x14ac:dyDescent="0.2">
      <c r="A440" s="153">
        <v>2037</v>
      </c>
      <c r="B440" s="153">
        <v>7</v>
      </c>
      <c r="C440" s="153" t="str">
        <f t="shared" si="48"/>
        <v>20377</v>
      </c>
      <c r="D440" s="153" t="str">
        <f t="shared" si="50"/>
        <v>Q3</v>
      </c>
      <c r="E440" s="153">
        <f t="shared" si="51"/>
        <v>234353.842</v>
      </c>
      <c r="F440" s="153" t="e">
        <f t="shared" si="52"/>
        <v>#N/A</v>
      </c>
      <c r="G440" s="153">
        <f t="shared" si="52"/>
        <v>5167.8109999999997</v>
      </c>
      <c r="H440" s="153">
        <f t="shared" si="52"/>
        <v>2082.4160000000002</v>
      </c>
      <c r="L440" s="177"/>
    </row>
    <row r="441" spans="1:12" x14ac:dyDescent="0.2">
      <c r="A441" s="153">
        <v>2037</v>
      </c>
      <c r="B441" s="153">
        <v>8</v>
      </c>
      <c r="C441" s="153" t="str">
        <f t="shared" si="48"/>
        <v>20378</v>
      </c>
      <c r="D441" s="153" t="str">
        <f t="shared" si="50"/>
        <v>Q3</v>
      </c>
      <c r="E441" s="153">
        <f t="shared" si="51"/>
        <v>234353.842</v>
      </c>
      <c r="F441" s="153" t="e">
        <f t="shared" si="52"/>
        <v>#N/A</v>
      </c>
      <c r="G441" s="153">
        <f t="shared" si="52"/>
        <v>5167.8109999999997</v>
      </c>
      <c r="H441" s="153">
        <f t="shared" si="52"/>
        <v>2082.4160000000002</v>
      </c>
      <c r="L441" s="177"/>
    </row>
    <row r="442" spans="1:12" x14ac:dyDescent="0.2">
      <c r="A442" s="153">
        <v>2037</v>
      </c>
      <c r="B442" s="153">
        <v>9</v>
      </c>
      <c r="C442" s="153" t="str">
        <f t="shared" si="48"/>
        <v>20379</v>
      </c>
      <c r="D442" s="153" t="str">
        <f t="shared" si="50"/>
        <v>Q3</v>
      </c>
      <c r="E442" s="153">
        <f t="shared" si="51"/>
        <v>234353.842</v>
      </c>
      <c r="F442" s="153" t="e">
        <f t="shared" si="52"/>
        <v>#N/A</v>
      </c>
      <c r="G442" s="153">
        <f t="shared" si="52"/>
        <v>5167.8109999999997</v>
      </c>
      <c r="H442" s="153">
        <f t="shared" si="52"/>
        <v>2082.4160000000002</v>
      </c>
      <c r="L442" s="177"/>
    </row>
    <row r="443" spans="1:12" x14ac:dyDescent="0.2">
      <c r="A443" s="153">
        <v>2037</v>
      </c>
      <c r="B443" s="153">
        <v>10</v>
      </c>
      <c r="C443" s="153" t="str">
        <f t="shared" si="48"/>
        <v>203710</v>
      </c>
      <c r="D443" s="153" t="str">
        <f t="shared" si="50"/>
        <v>Q4</v>
      </c>
      <c r="E443" s="153">
        <f t="shared" si="51"/>
        <v>235229.45199999999</v>
      </c>
      <c r="F443" s="153" t="e">
        <f t="shared" si="52"/>
        <v>#N/A</v>
      </c>
      <c r="G443" s="153">
        <f t="shared" si="52"/>
        <v>5174.4539999999997</v>
      </c>
      <c r="H443" s="153">
        <f t="shared" si="52"/>
        <v>2085.3620000000001</v>
      </c>
      <c r="L443" s="177"/>
    </row>
    <row r="444" spans="1:12" x14ac:dyDescent="0.2">
      <c r="A444" s="153">
        <v>2037</v>
      </c>
      <c r="B444" s="153">
        <v>11</v>
      </c>
      <c r="C444" s="153" t="str">
        <f t="shared" si="48"/>
        <v>203711</v>
      </c>
      <c r="D444" s="153" t="str">
        <f t="shared" si="50"/>
        <v>Q4</v>
      </c>
      <c r="E444" s="153">
        <f t="shared" si="51"/>
        <v>235229.45199999999</v>
      </c>
      <c r="F444" s="153" t="e">
        <f t="shared" si="52"/>
        <v>#N/A</v>
      </c>
      <c r="G444" s="153">
        <f t="shared" si="52"/>
        <v>5174.4539999999997</v>
      </c>
      <c r="H444" s="153">
        <f t="shared" si="52"/>
        <v>2085.3620000000001</v>
      </c>
      <c r="L444" s="177"/>
    </row>
    <row r="445" spans="1:12" x14ac:dyDescent="0.2">
      <c r="A445" s="153">
        <v>2037</v>
      </c>
      <c r="B445" s="153">
        <v>12</v>
      </c>
      <c r="C445" s="153" t="str">
        <f t="shared" si="48"/>
        <v>203712</v>
      </c>
      <c r="D445" s="153" t="str">
        <f t="shared" si="50"/>
        <v>Q4</v>
      </c>
      <c r="E445" s="153">
        <f t="shared" si="51"/>
        <v>235229.45199999999</v>
      </c>
      <c r="F445" s="153" t="e">
        <f t="shared" si="52"/>
        <v>#N/A</v>
      </c>
      <c r="G445" s="153">
        <f t="shared" si="52"/>
        <v>5174.4539999999997</v>
      </c>
      <c r="H445" s="153">
        <f t="shared" si="52"/>
        <v>2085.3620000000001</v>
      </c>
      <c r="L445" s="177"/>
    </row>
    <row r="446" spans="1:12" x14ac:dyDescent="0.2">
      <c r="A446" s="153">
        <v>2038</v>
      </c>
      <c r="B446" s="153">
        <v>1</v>
      </c>
      <c r="C446" s="153" t="str">
        <f t="shared" si="48"/>
        <v>20381</v>
      </c>
      <c r="D446" s="153" t="str">
        <f t="shared" si="50"/>
        <v>Q1</v>
      </c>
      <c r="E446" s="153">
        <f t="shared" si="51"/>
        <v>237001.329</v>
      </c>
      <c r="F446" s="153" t="e">
        <f t="shared" si="52"/>
        <v>#N/A</v>
      </c>
      <c r="G446" s="153">
        <f t="shared" si="52"/>
        <v>5181.1000000000004</v>
      </c>
      <c r="H446" s="153">
        <f t="shared" si="52"/>
        <v>2088.3440000000001</v>
      </c>
      <c r="L446" s="177"/>
    </row>
    <row r="447" spans="1:12" x14ac:dyDescent="0.2">
      <c r="A447" s="153">
        <v>2038</v>
      </c>
      <c r="B447" s="153">
        <v>2</v>
      </c>
      <c r="C447" s="153" t="str">
        <f t="shared" si="48"/>
        <v>20382</v>
      </c>
      <c r="D447" s="153" t="str">
        <f t="shared" si="50"/>
        <v>Q1</v>
      </c>
      <c r="E447" s="153">
        <f t="shared" si="51"/>
        <v>237001.329</v>
      </c>
      <c r="F447" s="153" t="e">
        <f t="shared" si="52"/>
        <v>#N/A</v>
      </c>
      <c r="G447" s="153">
        <f t="shared" si="52"/>
        <v>5181.1000000000004</v>
      </c>
      <c r="H447" s="153">
        <f t="shared" si="52"/>
        <v>2088.3440000000001</v>
      </c>
      <c r="L447" s="177"/>
    </row>
    <row r="448" spans="1:12" x14ac:dyDescent="0.2">
      <c r="A448" s="153">
        <v>2038</v>
      </c>
      <c r="B448" s="153">
        <v>3</v>
      </c>
      <c r="C448" s="153" t="str">
        <f t="shared" si="48"/>
        <v>20383</v>
      </c>
      <c r="D448" s="153" t="str">
        <f t="shared" si="50"/>
        <v>Q1</v>
      </c>
      <c r="E448" s="153">
        <f t="shared" si="51"/>
        <v>237001.329</v>
      </c>
      <c r="F448" s="153" t="e">
        <f t="shared" si="52"/>
        <v>#N/A</v>
      </c>
      <c r="G448" s="153">
        <f t="shared" si="52"/>
        <v>5181.1000000000004</v>
      </c>
      <c r="H448" s="153">
        <f t="shared" si="52"/>
        <v>2088.3440000000001</v>
      </c>
      <c r="L448" s="177"/>
    </row>
    <row r="449" spans="1:18" x14ac:dyDescent="0.2">
      <c r="A449" s="153">
        <v>2038</v>
      </c>
      <c r="B449" s="153">
        <v>4</v>
      </c>
      <c r="C449" s="153" t="str">
        <f t="shared" si="48"/>
        <v>20384</v>
      </c>
      <c r="D449" s="153" t="str">
        <f t="shared" si="50"/>
        <v>Q2</v>
      </c>
      <c r="E449" s="153">
        <f t="shared" si="51"/>
        <v>237918.01</v>
      </c>
      <c r="F449" s="153" t="e">
        <f t="shared" si="52"/>
        <v>#N/A</v>
      </c>
      <c r="G449" s="153">
        <f t="shared" si="52"/>
        <v>5187.7489999999998</v>
      </c>
      <c r="H449" s="153">
        <f t="shared" si="52"/>
        <v>2091.375</v>
      </c>
      <c r="L449" s="177"/>
    </row>
    <row r="450" spans="1:18" x14ac:dyDescent="0.2">
      <c r="A450" s="153">
        <v>2038</v>
      </c>
      <c r="B450" s="153">
        <v>5</v>
      </c>
      <c r="C450" s="153" t="str">
        <f t="shared" si="48"/>
        <v>20385</v>
      </c>
      <c r="D450" s="153" t="str">
        <f t="shared" si="50"/>
        <v>Q2</v>
      </c>
      <c r="E450" s="153">
        <f t="shared" si="51"/>
        <v>237918.01</v>
      </c>
      <c r="F450" s="153" t="e">
        <f t="shared" si="52"/>
        <v>#N/A</v>
      </c>
      <c r="G450" s="153">
        <f t="shared" si="52"/>
        <v>5187.7489999999998</v>
      </c>
      <c r="H450" s="153">
        <f t="shared" si="52"/>
        <v>2091.375</v>
      </c>
      <c r="L450" s="177"/>
    </row>
    <row r="451" spans="1:18" x14ac:dyDescent="0.2">
      <c r="A451" s="153">
        <v>2038</v>
      </c>
      <c r="B451" s="153">
        <v>6</v>
      </c>
      <c r="C451" s="153" t="str">
        <f t="shared" ref="C451:C505" si="53">A451&amp;B451</f>
        <v>20386</v>
      </c>
      <c r="D451" s="153" t="str">
        <f t="shared" si="50"/>
        <v>Q2</v>
      </c>
      <c r="E451" s="153">
        <f t="shared" si="51"/>
        <v>237918.01</v>
      </c>
      <c r="F451" s="153" t="e">
        <f t="shared" ref="F451:H482" si="54">VLOOKUP($A451&amp;$D451,$N$1:$U$169,MATCH(F$1,$N$1:$U$1,0),0)</f>
        <v>#N/A</v>
      </c>
      <c r="G451" s="153">
        <f t="shared" si="54"/>
        <v>5187.7489999999998</v>
      </c>
      <c r="H451" s="153">
        <f t="shared" si="54"/>
        <v>2091.375</v>
      </c>
      <c r="L451" s="177"/>
    </row>
    <row r="452" spans="1:18" x14ac:dyDescent="0.2">
      <c r="A452" s="153">
        <v>2038</v>
      </c>
      <c r="B452" s="153">
        <v>7</v>
      </c>
      <c r="C452" s="153" t="str">
        <f t="shared" si="53"/>
        <v>20387</v>
      </c>
      <c r="D452" s="153" t="str">
        <f t="shared" si="50"/>
        <v>Q3</v>
      </c>
      <c r="E452" s="153">
        <f t="shared" si="51"/>
        <v>238774.076</v>
      </c>
      <c r="F452" s="153" t="e">
        <f t="shared" si="54"/>
        <v>#N/A</v>
      </c>
      <c r="G452" s="153">
        <f t="shared" si="54"/>
        <v>5194.402</v>
      </c>
      <c r="H452" s="153">
        <f t="shared" si="54"/>
        <v>2094.3809999999999</v>
      </c>
      <c r="L452" s="177"/>
    </row>
    <row r="453" spans="1:18" x14ac:dyDescent="0.2">
      <c r="A453" s="153">
        <v>2038</v>
      </c>
      <c r="B453" s="153">
        <v>8</v>
      </c>
      <c r="C453" s="153" t="str">
        <f t="shared" si="53"/>
        <v>20388</v>
      </c>
      <c r="D453" s="153" t="str">
        <f t="shared" si="50"/>
        <v>Q3</v>
      </c>
      <c r="E453" s="153">
        <f t="shared" si="51"/>
        <v>238774.076</v>
      </c>
      <c r="F453" s="153" t="e">
        <f t="shared" si="54"/>
        <v>#N/A</v>
      </c>
      <c r="G453" s="153">
        <f t="shared" si="54"/>
        <v>5194.402</v>
      </c>
      <c r="H453" s="153">
        <f t="shared" si="54"/>
        <v>2094.3809999999999</v>
      </c>
      <c r="L453" s="177"/>
    </row>
    <row r="454" spans="1:18" x14ac:dyDescent="0.2">
      <c r="A454" s="153">
        <v>2038</v>
      </c>
      <c r="B454" s="153">
        <v>9</v>
      </c>
      <c r="C454" s="153" t="str">
        <f t="shared" si="53"/>
        <v>20389</v>
      </c>
      <c r="D454" s="153" t="str">
        <f t="shared" si="50"/>
        <v>Q3</v>
      </c>
      <c r="E454" s="153">
        <f t="shared" si="51"/>
        <v>238774.076</v>
      </c>
      <c r="F454" s="153" t="e">
        <f t="shared" si="54"/>
        <v>#N/A</v>
      </c>
      <c r="G454" s="153">
        <f t="shared" si="54"/>
        <v>5194.402</v>
      </c>
      <c r="H454" s="153">
        <f t="shared" si="54"/>
        <v>2094.3809999999999</v>
      </c>
      <c r="L454" s="177"/>
    </row>
    <row r="455" spans="1:18" x14ac:dyDescent="0.2">
      <c r="A455" s="153">
        <v>2038</v>
      </c>
      <c r="B455" s="153">
        <v>10</v>
      </c>
      <c r="C455" s="153" t="str">
        <f t="shared" si="53"/>
        <v>203810</v>
      </c>
      <c r="D455" s="153" t="str">
        <f t="shared" si="50"/>
        <v>Q4</v>
      </c>
      <c r="E455" s="153">
        <f t="shared" si="51"/>
        <v>239533.158</v>
      </c>
      <c r="F455" s="153" t="e">
        <f t="shared" si="54"/>
        <v>#N/A</v>
      </c>
      <c r="G455" s="153">
        <f t="shared" si="54"/>
        <v>5201.0860000000002</v>
      </c>
      <c r="H455" s="153">
        <f t="shared" si="54"/>
        <v>2097.3989999999999</v>
      </c>
      <c r="L455" s="177"/>
    </row>
    <row r="456" spans="1:18" x14ac:dyDescent="0.2">
      <c r="A456" s="153">
        <v>2038</v>
      </c>
      <c r="B456" s="153">
        <v>11</v>
      </c>
      <c r="C456" s="153" t="str">
        <f t="shared" si="53"/>
        <v>203811</v>
      </c>
      <c r="D456" s="153" t="str">
        <f t="shared" si="50"/>
        <v>Q4</v>
      </c>
      <c r="E456" s="153">
        <f t="shared" si="51"/>
        <v>239533.158</v>
      </c>
      <c r="F456" s="153" t="e">
        <f t="shared" si="54"/>
        <v>#N/A</v>
      </c>
      <c r="G456" s="153">
        <f t="shared" si="54"/>
        <v>5201.0860000000002</v>
      </c>
      <c r="H456" s="153">
        <f t="shared" si="54"/>
        <v>2097.3989999999999</v>
      </c>
      <c r="L456" s="177"/>
    </row>
    <row r="457" spans="1:18" x14ac:dyDescent="0.2">
      <c r="A457" s="153">
        <v>2038</v>
      </c>
      <c r="B457" s="153">
        <v>12</v>
      </c>
      <c r="C457" s="153" t="str">
        <f t="shared" si="53"/>
        <v>203812</v>
      </c>
      <c r="D457" s="153" t="str">
        <f t="shared" si="50"/>
        <v>Q4</v>
      </c>
      <c r="E457" s="153">
        <f t="shared" si="51"/>
        <v>239533.158</v>
      </c>
      <c r="F457" s="153" t="e">
        <f t="shared" si="54"/>
        <v>#N/A</v>
      </c>
      <c r="G457" s="153">
        <f t="shared" si="54"/>
        <v>5201.0860000000002</v>
      </c>
      <c r="H457" s="153">
        <f t="shared" si="54"/>
        <v>2097.3989999999999</v>
      </c>
      <c r="L457" s="177"/>
    </row>
    <row r="458" spans="1:18" x14ac:dyDescent="0.2">
      <c r="A458" s="153">
        <v>2039</v>
      </c>
      <c r="B458" s="153">
        <v>1</v>
      </c>
      <c r="C458" s="153" t="str">
        <f t="shared" si="53"/>
        <v>20391</v>
      </c>
      <c r="D458" s="153" t="str">
        <f t="shared" si="50"/>
        <v>Q1</v>
      </c>
      <c r="E458" s="153">
        <f t="shared" si="51"/>
        <v>241255.864</v>
      </c>
      <c r="F458" s="153" t="e">
        <f t="shared" si="54"/>
        <v>#N/A</v>
      </c>
      <c r="G458" s="153">
        <f t="shared" si="54"/>
        <v>5207.7619999999997</v>
      </c>
      <c r="H458" s="153">
        <f t="shared" si="54"/>
        <v>2100.3829999999998</v>
      </c>
      <c r="L458" s="177"/>
      <c r="O458" s="161"/>
      <c r="P458" s="161"/>
      <c r="Q458" s="161"/>
      <c r="R458" s="161"/>
    </row>
    <row r="459" spans="1:18" x14ac:dyDescent="0.2">
      <c r="A459" s="153">
        <v>2039</v>
      </c>
      <c r="B459" s="153">
        <v>2</v>
      </c>
      <c r="C459" s="153" t="str">
        <f t="shared" si="53"/>
        <v>20392</v>
      </c>
      <c r="D459" s="153" t="str">
        <f t="shared" si="50"/>
        <v>Q1</v>
      </c>
      <c r="E459" s="153">
        <f t="shared" si="51"/>
        <v>241255.864</v>
      </c>
      <c r="F459" s="153" t="e">
        <f t="shared" si="54"/>
        <v>#N/A</v>
      </c>
      <c r="G459" s="153">
        <f t="shared" si="54"/>
        <v>5207.7619999999997</v>
      </c>
      <c r="H459" s="153">
        <f t="shared" si="54"/>
        <v>2100.3829999999998</v>
      </c>
      <c r="L459" s="177"/>
      <c r="O459" s="161"/>
      <c r="P459" s="161"/>
      <c r="Q459" s="161"/>
      <c r="R459" s="161"/>
    </row>
    <row r="460" spans="1:18" x14ac:dyDescent="0.2">
      <c r="A460" s="153">
        <v>2039</v>
      </c>
      <c r="B460" s="153">
        <v>3</v>
      </c>
      <c r="C460" s="153" t="str">
        <f t="shared" si="53"/>
        <v>20393</v>
      </c>
      <c r="D460" s="153" t="str">
        <f t="shared" si="50"/>
        <v>Q1</v>
      </c>
      <c r="E460" s="153">
        <f t="shared" si="51"/>
        <v>241255.864</v>
      </c>
      <c r="F460" s="153" t="e">
        <f t="shared" si="54"/>
        <v>#N/A</v>
      </c>
      <c r="G460" s="153">
        <f t="shared" si="54"/>
        <v>5207.7619999999997</v>
      </c>
      <c r="H460" s="153">
        <f t="shared" si="54"/>
        <v>2100.3829999999998</v>
      </c>
      <c r="L460" s="177"/>
      <c r="O460" s="161"/>
      <c r="P460" s="161"/>
      <c r="Q460" s="161"/>
      <c r="R460" s="161"/>
    </row>
    <row r="461" spans="1:18" x14ac:dyDescent="0.2">
      <c r="A461" s="153">
        <v>2039</v>
      </c>
      <c r="B461" s="153">
        <v>4</v>
      </c>
      <c r="C461" s="153" t="str">
        <f t="shared" si="53"/>
        <v>20394</v>
      </c>
      <c r="D461" s="153" t="str">
        <f t="shared" si="50"/>
        <v>Q2</v>
      </c>
      <c r="E461" s="153">
        <f t="shared" si="51"/>
        <v>242089.55</v>
      </c>
      <c r="F461" s="153" t="e">
        <f t="shared" si="54"/>
        <v>#N/A</v>
      </c>
      <c r="G461" s="153">
        <f t="shared" si="54"/>
        <v>5214.4319999999998</v>
      </c>
      <c r="H461" s="153">
        <f t="shared" si="54"/>
        <v>2103.498</v>
      </c>
      <c r="L461" s="177"/>
      <c r="O461" s="161"/>
      <c r="P461" s="161"/>
      <c r="Q461" s="161"/>
      <c r="R461" s="161"/>
    </row>
    <row r="462" spans="1:18" x14ac:dyDescent="0.2">
      <c r="A462" s="153">
        <v>2039</v>
      </c>
      <c r="B462" s="153">
        <v>5</v>
      </c>
      <c r="C462" s="153" t="str">
        <f t="shared" si="53"/>
        <v>20395</v>
      </c>
      <c r="D462" s="153" t="str">
        <f t="shared" si="50"/>
        <v>Q2</v>
      </c>
      <c r="E462" s="153">
        <f t="shared" si="51"/>
        <v>242089.55</v>
      </c>
      <c r="F462" s="153" t="e">
        <f t="shared" si="54"/>
        <v>#N/A</v>
      </c>
      <c r="G462" s="153">
        <f t="shared" si="54"/>
        <v>5214.4319999999998</v>
      </c>
      <c r="H462" s="153">
        <f t="shared" si="54"/>
        <v>2103.498</v>
      </c>
      <c r="L462" s="177"/>
      <c r="O462" s="161"/>
      <c r="P462" s="161"/>
      <c r="Q462" s="161"/>
      <c r="R462" s="161"/>
    </row>
    <row r="463" spans="1:18" x14ac:dyDescent="0.2">
      <c r="A463" s="153">
        <v>2039</v>
      </c>
      <c r="B463" s="153">
        <v>6</v>
      </c>
      <c r="C463" s="153" t="str">
        <f t="shared" si="53"/>
        <v>20396</v>
      </c>
      <c r="D463" s="153" t="str">
        <f t="shared" ref="D463:D505" si="55">D451</f>
        <v>Q2</v>
      </c>
      <c r="E463" s="153">
        <f t="shared" si="51"/>
        <v>242089.55</v>
      </c>
      <c r="F463" s="153" t="e">
        <f t="shared" si="54"/>
        <v>#N/A</v>
      </c>
      <c r="G463" s="153">
        <f t="shared" si="54"/>
        <v>5214.4319999999998</v>
      </c>
      <c r="H463" s="153">
        <f t="shared" si="54"/>
        <v>2103.498</v>
      </c>
      <c r="L463" s="177"/>
      <c r="O463" s="161"/>
      <c r="P463" s="161"/>
      <c r="Q463" s="161"/>
      <c r="R463" s="161"/>
    </row>
    <row r="464" spans="1:18" x14ac:dyDescent="0.2">
      <c r="A464" s="153">
        <v>2039</v>
      </c>
      <c r="B464" s="153">
        <v>7</v>
      </c>
      <c r="C464" s="153" t="str">
        <f t="shared" si="53"/>
        <v>20397</v>
      </c>
      <c r="D464" s="153" t="str">
        <f t="shared" si="55"/>
        <v>Q3</v>
      </c>
      <c r="E464" s="153">
        <f t="shared" si="51"/>
        <v>242952.587</v>
      </c>
      <c r="F464" s="153" t="e">
        <f t="shared" si="54"/>
        <v>#N/A</v>
      </c>
      <c r="G464" s="153">
        <f t="shared" si="54"/>
        <v>5221.0969999999998</v>
      </c>
      <c r="H464" s="153">
        <f t="shared" si="54"/>
        <v>2106.587</v>
      </c>
      <c r="L464" s="177"/>
      <c r="O464" s="161"/>
      <c r="P464" s="161"/>
      <c r="Q464" s="161"/>
      <c r="R464" s="161"/>
    </row>
    <row r="465" spans="1:18" x14ac:dyDescent="0.2">
      <c r="A465" s="153">
        <v>2039</v>
      </c>
      <c r="B465" s="153">
        <v>8</v>
      </c>
      <c r="C465" s="153" t="str">
        <f t="shared" si="53"/>
        <v>20398</v>
      </c>
      <c r="D465" s="153" t="str">
        <f t="shared" si="55"/>
        <v>Q3</v>
      </c>
      <c r="E465" s="153">
        <f t="shared" si="51"/>
        <v>242952.587</v>
      </c>
      <c r="F465" s="153" t="e">
        <f t="shared" si="54"/>
        <v>#N/A</v>
      </c>
      <c r="G465" s="153">
        <f t="shared" si="54"/>
        <v>5221.0969999999998</v>
      </c>
      <c r="H465" s="153">
        <f t="shared" si="54"/>
        <v>2106.587</v>
      </c>
      <c r="L465" s="177"/>
      <c r="O465" s="161"/>
      <c r="P465" s="161"/>
      <c r="Q465" s="161"/>
      <c r="R465" s="161"/>
    </row>
    <row r="466" spans="1:18" x14ac:dyDescent="0.2">
      <c r="A466" s="153">
        <v>2039</v>
      </c>
      <c r="B466" s="153">
        <v>9</v>
      </c>
      <c r="C466" s="153" t="str">
        <f t="shared" si="53"/>
        <v>20399</v>
      </c>
      <c r="D466" s="153" t="str">
        <f t="shared" si="55"/>
        <v>Q3</v>
      </c>
      <c r="E466" s="153">
        <f t="shared" si="51"/>
        <v>242952.587</v>
      </c>
      <c r="F466" s="153" t="e">
        <f t="shared" si="54"/>
        <v>#N/A</v>
      </c>
      <c r="G466" s="153">
        <f t="shared" si="54"/>
        <v>5221.0969999999998</v>
      </c>
      <c r="H466" s="153">
        <f t="shared" si="54"/>
        <v>2106.587</v>
      </c>
      <c r="L466" s="177"/>
      <c r="O466" s="161"/>
      <c r="P466" s="161"/>
      <c r="Q466" s="161"/>
      <c r="R466" s="161"/>
    </row>
    <row r="467" spans="1:18" x14ac:dyDescent="0.2">
      <c r="A467" s="153">
        <v>2039</v>
      </c>
      <c r="B467" s="153">
        <v>10</v>
      </c>
      <c r="C467" s="153" t="str">
        <f t="shared" si="53"/>
        <v>203910</v>
      </c>
      <c r="D467" s="153" t="str">
        <f t="shared" si="55"/>
        <v>Q4</v>
      </c>
      <c r="E467" s="153">
        <f t="shared" si="51"/>
        <v>243706.79399999999</v>
      </c>
      <c r="F467" s="153" t="e">
        <f t="shared" si="54"/>
        <v>#N/A</v>
      </c>
      <c r="G467" s="153">
        <f t="shared" si="54"/>
        <v>5227.7560000000003</v>
      </c>
      <c r="H467" s="153">
        <f t="shared" si="54"/>
        <v>2109.66</v>
      </c>
      <c r="L467" s="177"/>
      <c r="O467" s="161"/>
      <c r="P467" s="161"/>
      <c r="Q467" s="161"/>
      <c r="R467" s="161"/>
    </row>
    <row r="468" spans="1:18" x14ac:dyDescent="0.2">
      <c r="A468" s="153">
        <v>2039</v>
      </c>
      <c r="B468" s="153">
        <v>11</v>
      </c>
      <c r="C468" s="153" t="str">
        <f t="shared" si="53"/>
        <v>203911</v>
      </c>
      <c r="D468" s="153" t="str">
        <f t="shared" si="55"/>
        <v>Q4</v>
      </c>
      <c r="E468" s="153">
        <f t="shared" si="51"/>
        <v>243706.79399999999</v>
      </c>
      <c r="F468" s="153" t="e">
        <f t="shared" si="54"/>
        <v>#N/A</v>
      </c>
      <c r="G468" s="153">
        <f t="shared" si="54"/>
        <v>5227.7560000000003</v>
      </c>
      <c r="H468" s="153">
        <f t="shared" si="54"/>
        <v>2109.66</v>
      </c>
      <c r="L468" s="177"/>
      <c r="O468" s="161"/>
      <c r="P468" s="161"/>
      <c r="Q468" s="161"/>
      <c r="R468" s="161"/>
    </row>
    <row r="469" spans="1:18" x14ac:dyDescent="0.2">
      <c r="A469" s="153">
        <v>2039</v>
      </c>
      <c r="B469" s="153">
        <v>12</v>
      </c>
      <c r="C469" s="153" t="str">
        <f t="shared" si="53"/>
        <v>203912</v>
      </c>
      <c r="D469" s="153" t="str">
        <f t="shared" si="55"/>
        <v>Q4</v>
      </c>
      <c r="E469" s="153">
        <f t="shared" si="51"/>
        <v>243706.79399999999</v>
      </c>
      <c r="F469" s="153" t="e">
        <f t="shared" si="54"/>
        <v>#N/A</v>
      </c>
      <c r="G469" s="153">
        <f t="shared" si="54"/>
        <v>5227.7560000000003</v>
      </c>
      <c r="H469" s="153">
        <f t="shared" si="54"/>
        <v>2109.66</v>
      </c>
      <c r="L469" s="177"/>
      <c r="O469" s="161"/>
      <c r="P469" s="161"/>
      <c r="Q469" s="161"/>
      <c r="R469" s="161"/>
    </row>
    <row r="470" spans="1:18" x14ac:dyDescent="0.2">
      <c r="A470" s="153">
        <v>2040</v>
      </c>
      <c r="B470" s="153">
        <v>1</v>
      </c>
      <c r="C470" s="153" t="str">
        <f t="shared" si="53"/>
        <v>20401</v>
      </c>
      <c r="D470" s="153" t="str">
        <f t="shared" si="55"/>
        <v>Q1</v>
      </c>
      <c r="E470" s="153">
        <f t="shared" si="51"/>
        <v>245424.038</v>
      </c>
      <c r="F470" s="153" t="e">
        <f t="shared" si="54"/>
        <v>#N/A</v>
      </c>
      <c r="G470" s="153">
        <f t="shared" si="54"/>
        <v>5234.41</v>
      </c>
      <c r="H470" s="153">
        <f t="shared" si="54"/>
        <v>2112.6480000000001</v>
      </c>
      <c r="L470" s="177"/>
    </row>
    <row r="471" spans="1:18" x14ac:dyDescent="0.2">
      <c r="A471" s="153">
        <v>2040</v>
      </c>
      <c r="B471" s="153">
        <v>2</v>
      </c>
      <c r="C471" s="153" t="str">
        <f t="shared" si="53"/>
        <v>20402</v>
      </c>
      <c r="D471" s="153" t="str">
        <f t="shared" si="55"/>
        <v>Q1</v>
      </c>
      <c r="E471" s="153">
        <f t="shared" si="51"/>
        <v>245424.038</v>
      </c>
      <c r="F471" s="153" t="e">
        <f t="shared" si="54"/>
        <v>#N/A</v>
      </c>
      <c r="G471" s="153">
        <f t="shared" si="54"/>
        <v>5234.41</v>
      </c>
      <c r="H471" s="153">
        <f t="shared" si="54"/>
        <v>2112.6480000000001</v>
      </c>
      <c r="L471" s="177"/>
    </row>
    <row r="472" spans="1:18" x14ac:dyDescent="0.2">
      <c r="A472" s="153">
        <v>2040</v>
      </c>
      <c r="B472" s="153">
        <v>3</v>
      </c>
      <c r="C472" s="153" t="str">
        <f t="shared" si="53"/>
        <v>20403</v>
      </c>
      <c r="D472" s="153" t="str">
        <f t="shared" si="55"/>
        <v>Q1</v>
      </c>
      <c r="E472" s="153">
        <f t="shared" si="51"/>
        <v>245424.038</v>
      </c>
      <c r="F472" s="153" t="e">
        <f t="shared" si="54"/>
        <v>#N/A</v>
      </c>
      <c r="G472" s="153">
        <f t="shared" si="54"/>
        <v>5234.41</v>
      </c>
      <c r="H472" s="153">
        <f t="shared" si="54"/>
        <v>2112.6480000000001</v>
      </c>
      <c r="L472" s="177"/>
    </row>
    <row r="473" spans="1:18" x14ac:dyDescent="0.2">
      <c r="A473" s="153">
        <v>2040</v>
      </c>
      <c r="B473" s="153">
        <v>4</v>
      </c>
      <c r="C473" s="153" t="str">
        <f t="shared" si="53"/>
        <v>20404</v>
      </c>
      <c r="D473" s="153" t="str">
        <f t="shared" si="55"/>
        <v>Q2</v>
      </c>
      <c r="E473" s="153">
        <f t="shared" si="51"/>
        <v>246375.226</v>
      </c>
      <c r="F473" s="153" t="e">
        <f t="shared" si="54"/>
        <v>#N/A</v>
      </c>
      <c r="G473" s="153">
        <f t="shared" si="54"/>
        <v>5241.0609999999997</v>
      </c>
      <c r="H473" s="153">
        <f t="shared" si="54"/>
        <v>2115.703</v>
      </c>
      <c r="L473" s="177"/>
    </row>
    <row r="474" spans="1:18" x14ac:dyDescent="0.2">
      <c r="A474" s="153">
        <v>2040</v>
      </c>
      <c r="B474" s="153">
        <v>5</v>
      </c>
      <c r="C474" s="153" t="str">
        <f t="shared" si="53"/>
        <v>20405</v>
      </c>
      <c r="D474" s="153" t="str">
        <f t="shared" si="55"/>
        <v>Q2</v>
      </c>
      <c r="E474" s="153">
        <f t="shared" si="51"/>
        <v>246375.226</v>
      </c>
      <c r="F474" s="153" t="e">
        <f t="shared" si="54"/>
        <v>#N/A</v>
      </c>
      <c r="G474" s="153">
        <f t="shared" si="54"/>
        <v>5241.0609999999997</v>
      </c>
      <c r="H474" s="153">
        <f t="shared" si="54"/>
        <v>2115.703</v>
      </c>
      <c r="L474" s="177"/>
    </row>
    <row r="475" spans="1:18" x14ac:dyDescent="0.2">
      <c r="A475" s="153">
        <v>2040</v>
      </c>
      <c r="B475" s="153">
        <v>6</v>
      </c>
      <c r="C475" s="153" t="str">
        <f t="shared" si="53"/>
        <v>20406</v>
      </c>
      <c r="D475" s="153" t="str">
        <f t="shared" si="55"/>
        <v>Q2</v>
      </c>
      <c r="E475" s="153">
        <f t="shared" si="51"/>
        <v>246375.226</v>
      </c>
      <c r="F475" s="153" t="e">
        <f t="shared" si="54"/>
        <v>#N/A</v>
      </c>
      <c r="G475" s="153">
        <f t="shared" si="54"/>
        <v>5241.0609999999997</v>
      </c>
      <c r="H475" s="153">
        <f t="shared" si="54"/>
        <v>2115.703</v>
      </c>
      <c r="L475" s="177"/>
    </row>
    <row r="476" spans="1:18" x14ac:dyDescent="0.2">
      <c r="A476" s="153">
        <v>2040</v>
      </c>
      <c r="B476" s="153">
        <v>7</v>
      </c>
      <c r="C476" s="153" t="str">
        <f t="shared" si="53"/>
        <v>20407</v>
      </c>
      <c r="D476" s="153" t="str">
        <f t="shared" si="55"/>
        <v>Q3</v>
      </c>
      <c r="E476" s="153">
        <f t="shared" si="51"/>
        <v>247249.16699999999</v>
      </c>
      <c r="F476" s="153" t="e">
        <f t="shared" si="54"/>
        <v>#N/A</v>
      </c>
      <c r="G476" s="153">
        <f t="shared" si="54"/>
        <v>5247.7089999999998</v>
      </c>
      <c r="H476" s="153">
        <f t="shared" si="54"/>
        <v>2118.7440000000001</v>
      </c>
      <c r="L476" s="177"/>
    </row>
    <row r="477" spans="1:18" x14ac:dyDescent="0.2">
      <c r="A477" s="153">
        <v>2040</v>
      </c>
      <c r="B477" s="153">
        <v>8</v>
      </c>
      <c r="C477" s="153" t="str">
        <f t="shared" si="53"/>
        <v>20408</v>
      </c>
      <c r="D477" s="153" t="str">
        <f t="shared" si="55"/>
        <v>Q3</v>
      </c>
      <c r="E477" s="153">
        <f t="shared" si="51"/>
        <v>247249.16699999999</v>
      </c>
      <c r="F477" s="153" t="e">
        <f t="shared" si="54"/>
        <v>#N/A</v>
      </c>
      <c r="G477" s="153">
        <f t="shared" si="54"/>
        <v>5247.7089999999998</v>
      </c>
      <c r="H477" s="153">
        <f t="shared" si="54"/>
        <v>2118.7440000000001</v>
      </c>
      <c r="L477" s="177"/>
    </row>
    <row r="478" spans="1:18" x14ac:dyDescent="0.2">
      <c r="A478" s="153">
        <v>2040</v>
      </c>
      <c r="B478" s="153">
        <v>9</v>
      </c>
      <c r="C478" s="153" t="str">
        <f t="shared" si="53"/>
        <v>20409</v>
      </c>
      <c r="D478" s="153" t="str">
        <f t="shared" si="55"/>
        <v>Q3</v>
      </c>
      <c r="E478" s="153">
        <f t="shared" si="51"/>
        <v>247249.16699999999</v>
      </c>
      <c r="F478" s="153" t="e">
        <f t="shared" si="54"/>
        <v>#N/A</v>
      </c>
      <c r="G478" s="153">
        <f t="shared" si="54"/>
        <v>5247.7089999999998</v>
      </c>
      <c r="H478" s="153">
        <f t="shared" si="54"/>
        <v>2118.7440000000001</v>
      </c>
      <c r="L478" s="177"/>
    </row>
    <row r="479" spans="1:18" x14ac:dyDescent="0.2">
      <c r="A479" s="153">
        <v>2040</v>
      </c>
      <c r="B479" s="153">
        <v>10</v>
      </c>
      <c r="C479" s="153" t="str">
        <f t="shared" si="53"/>
        <v>204010</v>
      </c>
      <c r="D479" s="153" t="str">
        <f t="shared" si="55"/>
        <v>Q4</v>
      </c>
      <c r="E479" s="153">
        <f t="shared" si="51"/>
        <v>247944.00599999999</v>
      </c>
      <c r="F479" s="153" t="e">
        <f t="shared" si="54"/>
        <v>#N/A</v>
      </c>
      <c r="G479" s="153">
        <f t="shared" si="54"/>
        <v>5254.3540000000003</v>
      </c>
      <c r="H479" s="153">
        <f t="shared" si="54"/>
        <v>2121.819</v>
      </c>
      <c r="L479" s="177"/>
    </row>
    <row r="480" spans="1:18" x14ac:dyDescent="0.2">
      <c r="A480" s="153">
        <v>2040</v>
      </c>
      <c r="B480" s="153">
        <v>11</v>
      </c>
      <c r="C480" s="153" t="str">
        <f t="shared" si="53"/>
        <v>204011</v>
      </c>
      <c r="D480" s="153" t="str">
        <f t="shared" si="55"/>
        <v>Q4</v>
      </c>
      <c r="E480" s="153">
        <f t="shared" si="51"/>
        <v>247944.00599999999</v>
      </c>
      <c r="F480" s="153" t="e">
        <f t="shared" si="54"/>
        <v>#N/A</v>
      </c>
      <c r="G480" s="153">
        <f t="shared" si="54"/>
        <v>5254.3540000000003</v>
      </c>
      <c r="H480" s="153">
        <f t="shared" si="54"/>
        <v>2121.819</v>
      </c>
      <c r="L480" s="177"/>
    </row>
    <row r="481" spans="1:12" x14ac:dyDescent="0.2">
      <c r="A481" s="153">
        <v>2040</v>
      </c>
      <c r="B481" s="153">
        <v>12</v>
      </c>
      <c r="C481" s="153" t="str">
        <f t="shared" si="53"/>
        <v>204012</v>
      </c>
      <c r="D481" s="153" t="str">
        <f t="shared" si="55"/>
        <v>Q4</v>
      </c>
      <c r="E481" s="153">
        <f t="shared" si="51"/>
        <v>247944.00599999999</v>
      </c>
      <c r="F481" s="153" t="e">
        <f t="shared" si="54"/>
        <v>#N/A</v>
      </c>
      <c r="G481" s="153">
        <f t="shared" si="54"/>
        <v>5254.3540000000003</v>
      </c>
      <c r="H481" s="153">
        <f t="shared" si="54"/>
        <v>2121.819</v>
      </c>
      <c r="L481" s="177"/>
    </row>
    <row r="482" spans="1:12" x14ac:dyDescent="0.2">
      <c r="A482" s="153">
        <v>2041</v>
      </c>
      <c r="B482" s="153">
        <v>1</v>
      </c>
      <c r="C482" s="153" t="str">
        <f t="shared" si="53"/>
        <v>20411</v>
      </c>
      <c r="D482" s="153" t="str">
        <f t="shared" si="55"/>
        <v>Q1</v>
      </c>
      <c r="E482" s="153">
        <f t="shared" si="51"/>
        <v>249612.27900000001</v>
      </c>
      <c r="F482" s="153" t="e">
        <f t="shared" si="54"/>
        <v>#N/A</v>
      </c>
      <c r="G482" s="153">
        <f t="shared" si="54"/>
        <v>5261</v>
      </c>
      <c r="H482" s="153">
        <f t="shared" si="54"/>
        <v>2125.2959999999998</v>
      </c>
      <c r="L482" s="177"/>
    </row>
    <row r="483" spans="1:12" x14ac:dyDescent="0.2">
      <c r="A483" s="153">
        <v>2041</v>
      </c>
      <c r="B483" s="153">
        <v>2</v>
      </c>
      <c r="C483" s="153" t="str">
        <f t="shared" si="53"/>
        <v>20412</v>
      </c>
      <c r="D483" s="153" t="str">
        <f t="shared" si="55"/>
        <v>Q1</v>
      </c>
      <c r="E483" s="153">
        <f t="shared" ref="E483:E505" si="56">VLOOKUP($A483&amp;$D483,$N$1:$U$169,MATCH(E$1,$N$1:$U$1,0),0)</f>
        <v>249612.27900000001</v>
      </c>
      <c r="F483" s="153" t="e">
        <f t="shared" ref="F483:H505" si="57">VLOOKUP($A483&amp;$D483,$N$1:$U$169,MATCH(F$1,$N$1:$U$1,0),0)</f>
        <v>#N/A</v>
      </c>
      <c r="G483" s="153">
        <f t="shared" si="57"/>
        <v>5261</v>
      </c>
      <c r="H483" s="153">
        <f t="shared" si="57"/>
        <v>2125.2959999999998</v>
      </c>
      <c r="L483" s="177"/>
    </row>
    <row r="484" spans="1:12" x14ac:dyDescent="0.2">
      <c r="A484" s="153">
        <v>2041</v>
      </c>
      <c r="B484" s="153">
        <v>3</v>
      </c>
      <c r="C484" s="153" t="str">
        <f t="shared" si="53"/>
        <v>20413</v>
      </c>
      <c r="D484" s="153" t="str">
        <f t="shared" si="55"/>
        <v>Q1</v>
      </c>
      <c r="E484" s="153">
        <f t="shared" si="56"/>
        <v>249612.27900000001</v>
      </c>
      <c r="F484" s="153" t="e">
        <f t="shared" si="57"/>
        <v>#N/A</v>
      </c>
      <c r="G484" s="153">
        <f t="shared" si="57"/>
        <v>5261</v>
      </c>
      <c r="H484" s="153">
        <f t="shared" si="57"/>
        <v>2125.2959999999998</v>
      </c>
      <c r="L484" s="177"/>
    </row>
    <row r="485" spans="1:12" x14ac:dyDescent="0.2">
      <c r="A485" s="153">
        <v>2041</v>
      </c>
      <c r="B485" s="153">
        <v>4</v>
      </c>
      <c r="C485" s="153" t="str">
        <f t="shared" si="53"/>
        <v>20414</v>
      </c>
      <c r="D485" s="153" t="str">
        <f t="shared" si="55"/>
        <v>Q2</v>
      </c>
      <c r="E485" s="153">
        <f t="shared" si="56"/>
        <v>250429.492</v>
      </c>
      <c r="F485" s="153" t="e">
        <f t="shared" si="57"/>
        <v>#N/A</v>
      </c>
      <c r="G485" s="153">
        <f t="shared" si="57"/>
        <v>5267.6459999999997</v>
      </c>
      <c r="H485" s="153">
        <f t="shared" si="57"/>
        <v>2128.549</v>
      </c>
      <c r="L485" s="177"/>
    </row>
    <row r="486" spans="1:12" x14ac:dyDescent="0.2">
      <c r="A486" s="153">
        <v>2041</v>
      </c>
      <c r="B486" s="153">
        <v>5</v>
      </c>
      <c r="C486" s="153" t="str">
        <f t="shared" si="53"/>
        <v>20415</v>
      </c>
      <c r="D486" s="153" t="str">
        <f t="shared" si="55"/>
        <v>Q2</v>
      </c>
      <c r="E486" s="153">
        <f t="shared" si="56"/>
        <v>250429.492</v>
      </c>
      <c r="F486" s="153" t="e">
        <f t="shared" si="57"/>
        <v>#N/A</v>
      </c>
      <c r="G486" s="153">
        <f t="shared" si="57"/>
        <v>5267.6459999999997</v>
      </c>
      <c r="H486" s="153">
        <f t="shared" si="57"/>
        <v>2128.549</v>
      </c>
      <c r="L486" s="177"/>
    </row>
    <row r="487" spans="1:12" x14ac:dyDescent="0.2">
      <c r="A487" s="153">
        <v>2041</v>
      </c>
      <c r="B487" s="153">
        <v>6</v>
      </c>
      <c r="C487" s="153" t="str">
        <f t="shared" si="53"/>
        <v>20416</v>
      </c>
      <c r="D487" s="153" t="str">
        <f t="shared" si="55"/>
        <v>Q2</v>
      </c>
      <c r="E487" s="153">
        <f t="shared" si="56"/>
        <v>250429.492</v>
      </c>
      <c r="F487" s="153" t="e">
        <f t="shared" si="57"/>
        <v>#N/A</v>
      </c>
      <c r="G487" s="153">
        <f t="shared" si="57"/>
        <v>5267.6459999999997</v>
      </c>
      <c r="H487" s="153">
        <f t="shared" si="57"/>
        <v>2128.549</v>
      </c>
      <c r="L487" s="177"/>
    </row>
    <row r="488" spans="1:12" x14ac:dyDescent="0.2">
      <c r="A488" s="153">
        <v>2041</v>
      </c>
      <c r="B488" s="153">
        <v>7</v>
      </c>
      <c r="C488" s="153" t="str">
        <f t="shared" si="53"/>
        <v>20417</v>
      </c>
      <c r="D488" s="153" t="str">
        <f t="shared" si="55"/>
        <v>Q3</v>
      </c>
      <c r="E488" s="153">
        <f t="shared" si="56"/>
        <v>251394.72700000001</v>
      </c>
      <c r="F488" s="153" t="e">
        <f t="shared" si="57"/>
        <v>#N/A</v>
      </c>
      <c r="G488" s="153">
        <f t="shared" si="57"/>
        <v>5274.2950000000001</v>
      </c>
      <c r="H488" s="153">
        <f t="shared" si="57"/>
        <v>2131.8040000000001</v>
      </c>
      <c r="L488" s="177"/>
    </row>
    <row r="489" spans="1:12" x14ac:dyDescent="0.2">
      <c r="A489" s="153">
        <v>2041</v>
      </c>
      <c r="B489" s="153">
        <v>8</v>
      </c>
      <c r="C489" s="153" t="str">
        <f t="shared" si="53"/>
        <v>20418</v>
      </c>
      <c r="D489" s="153" t="str">
        <f t="shared" si="55"/>
        <v>Q3</v>
      </c>
      <c r="E489" s="153">
        <f t="shared" si="56"/>
        <v>251394.72700000001</v>
      </c>
      <c r="F489" s="153" t="e">
        <f t="shared" si="57"/>
        <v>#N/A</v>
      </c>
      <c r="G489" s="153">
        <f t="shared" si="57"/>
        <v>5274.2950000000001</v>
      </c>
      <c r="H489" s="153">
        <f t="shared" si="57"/>
        <v>2131.8040000000001</v>
      </c>
      <c r="L489" s="177"/>
    </row>
    <row r="490" spans="1:12" x14ac:dyDescent="0.2">
      <c r="A490" s="153">
        <v>2041</v>
      </c>
      <c r="B490" s="153">
        <v>9</v>
      </c>
      <c r="C490" s="153" t="str">
        <f t="shared" si="53"/>
        <v>20419</v>
      </c>
      <c r="D490" s="153" t="str">
        <f t="shared" si="55"/>
        <v>Q3</v>
      </c>
      <c r="E490" s="153">
        <f t="shared" si="56"/>
        <v>251394.72700000001</v>
      </c>
      <c r="F490" s="153" t="e">
        <f t="shared" si="57"/>
        <v>#N/A</v>
      </c>
      <c r="G490" s="153">
        <f t="shared" si="57"/>
        <v>5274.2950000000001</v>
      </c>
      <c r="H490" s="153">
        <f t="shared" si="57"/>
        <v>2131.8040000000001</v>
      </c>
      <c r="L490" s="177"/>
    </row>
    <row r="491" spans="1:12" x14ac:dyDescent="0.2">
      <c r="A491" s="153">
        <v>2041</v>
      </c>
      <c r="B491" s="153">
        <v>10</v>
      </c>
      <c r="C491" s="153" t="str">
        <f t="shared" si="53"/>
        <v>204110</v>
      </c>
      <c r="D491" s="153" t="str">
        <f t="shared" si="55"/>
        <v>Q4</v>
      </c>
      <c r="E491" s="153">
        <f t="shared" si="56"/>
        <v>252359.43400000001</v>
      </c>
      <c r="F491" s="153" t="e">
        <f t="shared" si="57"/>
        <v>#N/A</v>
      </c>
      <c r="G491" s="153">
        <f t="shared" si="57"/>
        <v>5280.9449999999997</v>
      </c>
      <c r="H491" s="153">
        <f t="shared" si="57"/>
        <v>2135.0920000000001</v>
      </c>
      <c r="L491" s="177"/>
    </row>
    <row r="492" spans="1:12" x14ac:dyDescent="0.2">
      <c r="A492" s="153">
        <v>2041</v>
      </c>
      <c r="B492" s="153">
        <v>11</v>
      </c>
      <c r="C492" s="153" t="str">
        <f t="shared" si="53"/>
        <v>204111</v>
      </c>
      <c r="D492" s="153" t="str">
        <f t="shared" si="55"/>
        <v>Q4</v>
      </c>
      <c r="E492" s="153">
        <f t="shared" si="56"/>
        <v>252359.43400000001</v>
      </c>
      <c r="F492" s="153" t="e">
        <f t="shared" si="57"/>
        <v>#N/A</v>
      </c>
      <c r="G492" s="153">
        <f t="shared" si="57"/>
        <v>5280.9449999999997</v>
      </c>
      <c r="H492" s="153">
        <f t="shared" si="57"/>
        <v>2135.0920000000001</v>
      </c>
      <c r="L492" s="177"/>
    </row>
    <row r="493" spans="1:12" x14ac:dyDescent="0.2">
      <c r="A493" s="153">
        <v>2041</v>
      </c>
      <c r="B493" s="153">
        <v>12</v>
      </c>
      <c r="C493" s="153" t="str">
        <f t="shared" si="53"/>
        <v>204112</v>
      </c>
      <c r="D493" s="153" t="str">
        <f t="shared" si="55"/>
        <v>Q4</v>
      </c>
      <c r="E493" s="153">
        <f t="shared" si="56"/>
        <v>252359.43400000001</v>
      </c>
      <c r="F493" s="153" t="e">
        <f t="shared" si="57"/>
        <v>#N/A</v>
      </c>
      <c r="G493" s="153">
        <f t="shared" si="57"/>
        <v>5280.9449999999997</v>
      </c>
      <c r="H493" s="153">
        <f t="shared" si="57"/>
        <v>2135.0920000000001</v>
      </c>
      <c r="L493" s="177"/>
    </row>
    <row r="494" spans="1:12" x14ac:dyDescent="0.2">
      <c r="A494" s="153">
        <f>A482+1</f>
        <v>2042</v>
      </c>
      <c r="B494" s="153">
        <v>1</v>
      </c>
      <c r="C494" s="153" t="str">
        <f t="shared" si="53"/>
        <v>20421</v>
      </c>
      <c r="D494" s="153" t="str">
        <f t="shared" si="55"/>
        <v>Q1</v>
      </c>
      <c r="E494" s="153">
        <f t="shared" si="56"/>
        <v>253356.46318499997</v>
      </c>
      <c r="F494" s="153" t="e">
        <f t="shared" si="57"/>
        <v>#N/A</v>
      </c>
      <c r="G494" s="153">
        <f t="shared" si="57"/>
        <v>5288.9449999999997</v>
      </c>
      <c r="H494" s="153">
        <f t="shared" si="57"/>
        <v>0</v>
      </c>
      <c r="L494" s="177"/>
    </row>
    <row r="495" spans="1:12" x14ac:dyDescent="0.2">
      <c r="A495" s="153">
        <f t="shared" ref="A495:A505" si="58">A483+1</f>
        <v>2042</v>
      </c>
      <c r="B495" s="153">
        <v>2</v>
      </c>
      <c r="C495" s="153" t="str">
        <f t="shared" si="53"/>
        <v>20422</v>
      </c>
      <c r="D495" s="153" t="str">
        <f t="shared" si="55"/>
        <v>Q1</v>
      </c>
      <c r="E495" s="153">
        <f t="shared" si="56"/>
        <v>253356.46318499997</v>
      </c>
      <c r="F495" s="153" t="e">
        <f t="shared" si="57"/>
        <v>#N/A</v>
      </c>
      <c r="G495" s="153">
        <f t="shared" si="57"/>
        <v>5288.9449999999997</v>
      </c>
      <c r="H495" s="153">
        <f t="shared" si="57"/>
        <v>0</v>
      </c>
      <c r="L495" s="177"/>
    </row>
    <row r="496" spans="1:12" x14ac:dyDescent="0.2">
      <c r="A496" s="153">
        <f t="shared" si="58"/>
        <v>2042</v>
      </c>
      <c r="B496" s="153">
        <v>3</v>
      </c>
      <c r="C496" s="153" t="str">
        <f t="shared" si="53"/>
        <v>20423</v>
      </c>
      <c r="D496" s="153" t="str">
        <f t="shared" si="55"/>
        <v>Q1</v>
      </c>
      <c r="E496" s="153">
        <f t="shared" si="56"/>
        <v>253356.46318499997</v>
      </c>
      <c r="F496" s="153" t="e">
        <f t="shared" si="57"/>
        <v>#N/A</v>
      </c>
      <c r="G496" s="153">
        <f t="shared" si="57"/>
        <v>5288.9449999999997</v>
      </c>
      <c r="H496" s="153">
        <f t="shared" si="57"/>
        <v>0</v>
      </c>
      <c r="L496" s="177"/>
    </row>
    <row r="497" spans="1:12" x14ac:dyDescent="0.2">
      <c r="A497" s="153">
        <f t="shared" si="58"/>
        <v>2042</v>
      </c>
      <c r="B497" s="153">
        <v>4</v>
      </c>
      <c r="C497" s="153" t="str">
        <f t="shared" si="53"/>
        <v>20424</v>
      </c>
      <c r="D497" s="153" t="str">
        <f t="shared" si="55"/>
        <v>Q2</v>
      </c>
      <c r="E497" s="153">
        <f t="shared" si="56"/>
        <v>254185.93437999996</v>
      </c>
      <c r="F497" s="153" t="e">
        <f t="shared" si="57"/>
        <v>#N/A</v>
      </c>
      <c r="G497" s="153">
        <f t="shared" si="57"/>
        <v>5296.9449999999997</v>
      </c>
      <c r="H497" s="153">
        <f t="shared" si="57"/>
        <v>0</v>
      </c>
      <c r="L497" s="177"/>
    </row>
    <row r="498" spans="1:12" x14ac:dyDescent="0.2">
      <c r="A498" s="153">
        <f t="shared" si="58"/>
        <v>2042</v>
      </c>
      <c r="B498" s="153">
        <v>5</v>
      </c>
      <c r="C498" s="153" t="str">
        <f t="shared" si="53"/>
        <v>20425</v>
      </c>
      <c r="D498" s="153" t="str">
        <f t="shared" si="55"/>
        <v>Q2</v>
      </c>
      <c r="E498" s="153">
        <f t="shared" si="56"/>
        <v>254185.93437999996</v>
      </c>
      <c r="F498" s="153" t="e">
        <f t="shared" si="57"/>
        <v>#N/A</v>
      </c>
      <c r="G498" s="153">
        <f t="shared" si="57"/>
        <v>5296.9449999999997</v>
      </c>
      <c r="H498" s="153">
        <f t="shared" si="57"/>
        <v>0</v>
      </c>
      <c r="L498" s="177"/>
    </row>
    <row r="499" spans="1:12" x14ac:dyDescent="0.2">
      <c r="A499" s="153">
        <f t="shared" si="58"/>
        <v>2042</v>
      </c>
      <c r="B499" s="153">
        <v>6</v>
      </c>
      <c r="C499" s="153" t="str">
        <f t="shared" si="53"/>
        <v>20426</v>
      </c>
      <c r="D499" s="153" t="str">
        <f t="shared" si="55"/>
        <v>Q2</v>
      </c>
      <c r="E499" s="153">
        <f t="shared" si="56"/>
        <v>254185.93437999996</v>
      </c>
      <c r="F499" s="153" t="e">
        <f t="shared" si="57"/>
        <v>#N/A</v>
      </c>
      <c r="G499" s="153">
        <f t="shared" si="57"/>
        <v>5296.9449999999997</v>
      </c>
      <c r="H499" s="153">
        <f t="shared" si="57"/>
        <v>0</v>
      </c>
      <c r="L499" s="177"/>
    </row>
    <row r="500" spans="1:12" x14ac:dyDescent="0.2">
      <c r="A500" s="153">
        <f t="shared" si="58"/>
        <v>2042</v>
      </c>
      <c r="B500" s="153">
        <v>7</v>
      </c>
      <c r="C500" s="153" t="str">
        <f t="shared" si="53"/>
        <v>20427</v>
      </c>
      <c r="D500" s="153" t="str">
        <f t="shared" si="55"/>
        <v>Q3</v>
      </c>
      <c r="E500" s="153">
        <f t="shared" si="56"/>
        <v>255165.64790499999</v>
      </c>
      <c r="F500" s="153" t="e">
        <f t="shared" si="57"/>
        <v>#N/A</v>
      </c>
      <c r="G500" s="153">
        <f t="shared" si="57"/>
        <v>5304.9449999999997</v>
      </c>
      <c r="H500" s="153">
        <f t="shared" si="57"/>
        <v>0</v>
      </c>
      <c r="L500" s="177"/>
    </row>
    <row r="501" spans="1:12" x14ac:dyDescent="0.2">
      <c r="A501" s="153">
        <f t="shared" si="58"/>
        <v>2042</v>
      </c>
      <c r="B501" s="153">
        <v>8</v>
      </c>
      <c r="C501" s="153" t="str">
        <f t="shared" si="53"/>
        <v>20428</v>
      </c>
      <c r="D501" s="153" t="str">
        <f t="shared" si="55"/>
        <v>Q3</v>
      </c>
      <c r="E501" s="153">
        <f t="shared" si="56"/>
        <v>255165.64790499999</v>
      </c>
      <c r="F501" s="153" t="e">
        <f t="shared" si="57"/>
        <v>#N/A</v>
      </c>
      <c r="G501" s="153">
        <f t="shared" si="57"/>
        <v>5304.9449999999997</v>
      </c>
      <c r="H501" s="153">
        <f t="shared" si="57"/>
        <v>0</v>
      </c>
      <c r="L501" s="177"/>
    </row>
    <row r="502" spans="1:12" x14ac:dyDescent="0.2">
      <c r="A502" s="153">
        <f t="shared" si="58"/>
        <v>2042</v>
      </c>
      <c r="B502" s="153">
        <v>9</v>
      </c>
      <c r="C502" s="153" t="str">
        <f t="shared" si="53"/>
        <v>20429</v>
      </c>
      <c r="D502" s="153" t="str">
        <f t="shared" si="55"/>
        <v>Q3</v>
      </c>
      <c r="E502" s="153">
        <f t="shared" si="56"/>
        <v>255165.64790499999</v>
      </c>
      <c r="F502" s="153" t="e">
        <f t="shared" si="57"/>
        <v>#N/A</v>
      </c>
      <c r="G502" s="153">
        <f t="shared" si="57"/>
        <v>5304.9449999999997</v>
      </c>
      <c r="H502" s="153">
        <f t="shared" si="57"/>
        <v>0</v>
      </c>
      <c r="L502" s="177"/>
    </row>
    <row r="503" spans="1:12" x14ac:dyDescent="0.2">
      <c r="A503" s="153">
        <f>A491+1</f>
        <v>2042</v>
      </c>
      <c r="B503" s="153">
        <v>10</v>
      </c>
      <c r="C503" s="153" t="str">
        <f t="shared" si="53"/>
        <v>204210</v>
      </c>
      <c r="D503" s="153" t="str">
        <f t="shared" si="55"/>
        <v>Q4</v>
      </c>
      <c r="E503" s="153">
        <f t="shared" si="56"/>
        <v>256144.82551</v>
      </c>
      <c r="F503" s="153" t="e">
        <f t="shared" si="57"/>
        <v>#N/A</v>
      </c>
      <c r="G503" s="153">
        <f t="shared" si="57"/>
        <v>5312.9449999999997</v>
      </c>
      <c r="H503" s="153">
        <f t="shared" si="57"/>
        <v>0</v>
      </c>
      <c r="L503" s="177"/>
    </row>
    <row r="504" spans="1:12" x14ac:dyDescent="0.2">
      <c r="A504" s="153">
        <f t="shared" si="58"/>
        <v>2042</v>
      </c>
      <c r="B504" s="153">
        <v>11</v>
      </c>
      <c r="C504" s="153" t="str">
        <f t="shared" si="53"/>
        <v>204211</v>
      </c>
      <c r="D504" s="153" t="str">
        <f t="shared" si="55"/>
        <v>Q4</v>
      </c>
      <c r="E504" s="153">
        <f t="shared" si="56"/>
        <v>256144.82551</v>
      </c>
      <c r="F504" s="153" t="e">
        <f t="shared" si="57"/>
        <v>#N/A</v>
      </c>
      <c r="G504" s="153">
        <f t="shared" si="57"/>
        <v>5312.9449999999997</v>
      </c>
      <c r="H504" s="153">
        <f t="shared" si="57"/>
        <v>0</v>
      </c>
      <c r="L504" s="177"/>
    </row>
    <row r="505" spans="1:12" x14ac:dyDescent="0.2">
      <c r="A505" s="153">
        <f t="shared" si="58"/>
        <v>2042</v>
      </c>
      <c r="B505" s="153">
        <v>12</v>
      </c>
      <c r="C505" s="153" t="str">
        <f t="shared" si="53"/>
        <v>204212</v>
      </c>
      <c r="D505" s="153" t="str">
        <f t="shared" si="55"/>
        <v>Q4</v>
      </c>
      <c r="E505" s="153">
        <f t="shared" si="56"/>
        <v>256144.82551</v>
      </c>
      <c r="F505" s="153" t="e">
        <f t="shared" si="57"/>
        <v>#N/A</v>
      </c>
      <c r="G505" s="153">
        <f t="shared" si="57"/>
        <v>5312.9449999999997</v>
      </c>
      <c r="H505" s="153">
        <f t="shared" si="57"/>
        <v>0</v>
      </c>
      <c r="L505" s="177"/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9"/>
  <sheetViews>
    <sheetView zoomScaleNormal="100" workbookViewId="0">
      <pane xSplit="1" ySplit="1" topLeftCell="B2" activePane="bottomRight" state="frozen"/>
      <selection activeCell="P1" sqref="P1:Q15"/>
      <selection pane="topRight" activeCell="P1" sqref="P1:Q15"/>
      <selection pane="bottomLeft" activeCell="P1" sqref="P1:Q15"/>
      <selection pane="bottomRight" activeCell="AX2" sqref="AX2:AX13"/>
    </sheetView>
  </sheetViews>
  <sheetFormatPr defaultColWidth="8.85546875" defaultRowHeight="12.75" x14ac:dyDescent="0.2"/>
  <cols>
    <col min="1" max="1" width="5.140625" style="177" bestFit="1" customWidth="1"/>
    <col min="2" max="2" width="7.28515625" style="177" bestFit="1" customWidth="1"/>
    <col min="3" max="3" width="12.28515625" style="177" hidden="1" customWidth="1"/>
    <col min="4" max="4" width="7.7109375" style="177" bestFit="1" customWidth="1"/>
    <col min="5" max="5" width="12.85546875" style="177" hidden="1" customWidth="1"/>
    <col min="6" max="6" width="9.140625" style="177" bestFit="1" customWidth="1"/>
    <col min="7" max="7" width="7.7109375" style="177" customWidth="1"/>
    <col min="8" max="8" width="11.42578125" style="177" hidden="1" customWidth="1"/>
    <col min="9" max="9" width="6.28515625" style="177" customWidth="1"/>
    <col min="10" max="10" width="10" style="177" hidden="1" customWidth="1"/>
    <col min="11" max="11" width="7.7109375" style="177" customWidth="1"/>
    <col min="12" max="13" width="12.85546875" style="177" hidden="1" customWidth="1"/>
    <col min="14" max="14" width="9.140625" style="177" hidden="1" customWidth="1"/>
    <col min="15" max="15" width="7.42578125" style="177" customWidth="1"/>
    <col min="16" max="16" width="9.42578125" style="177" hidden="1" customWidth="1"/>
    <col min="17" max="17" width="8.140625" style="177" customWidth="1"/>
    <col min="18" max="18" width="12" style="177" hidden="1" customWidth="1"/>
    <col min="19" max="19" width="7.28515625" style="177" customWidth="1"/>
    <col min="20" max="20" width="10.28515625" style="177" hidden="1" customWidth="1"/>
    <col min="21" max="21" width="7.28515625" style="177" bestFit="1" customWidth="1"/>
    <col min="22" max="22" width="7.28515625" style="177" customWidth="1"/>
    <col min="23" max="23" width="9.28515625" style="177" hidden="1" customWidth="1"/>
    <col min="24" max="24" width="6.28515625" style="177" customWidth="1"/>
    <col min="25" max="25" width="8.28515625" style="177" bestFit="1" customWidth="1"/>
    <col min="26" max="26" width="6.28515625" style="177" customWidth="1"/>
    <col min="27" max="27" width="9.28515625" style="177" hidden="1" customWidth="1"/>
    <col min="28" max="28" width="7.28515625" style="177" customWidth="1"/>
    <col min="29" max="29" width="10.7109375" style="177" hidden="1" customWidth="1"/>
    <col min="30" max="30" width="6.28515625" style="177" customWidth="1"/>
    <col min="31" max="31" width="6.28515625" style="177" hidden="1" customWidth="1"/>
    <col min="32" max="32" width="7.28515625" style="177" customWidth="1"/>
    <col min="33" max="33" width="7.28515625" style="177" hidden="1" customWidth="1"/>
    <col min="34" max="34" width="8.5703125" style="177" bestFit="1" customWidth="1"/>
    <col min="35" max="36" width="7.28515625" style="177" bestFit="1" customWidth="1"/>
    <col min="37" max="37" width="8.140625" style="209" bestFit="1" customWidth="1"/>
    <col min="38" max="38" width="10.28515625" style="177" customWidth="1"/>
    <col min="39" max="40" width="8.85546875" style="177" customWidth="1"/>
    <col min="41" max="41" width="9.28515625" style="177" customWidth="1"/>
    <col min="42" max="43" width="8.85546875" style="177" customWidth="1"/>
    <col min="44" max="44" width="9.28515625" style="177" customWidth="1"/>
    <col min="45" max="47" width="8.85546875" style="177" customWidth="1"/>
    <col min="48" max="48" width="9" style="177" customWidth="1"/>
    <col min="49" max="56" width="8.85546875" style="177" customWidth="1"/>
    <col min="57" max="16384" width="8.85546875" style="177"/>
  </cols>
  <sheetData>
    <row r="1" spans="1:65" x14ac:dyDescent="0.2">
      <c r="A1" s="192"/>
      <c r="B1" s="193" t="s">
        <v>0</v>
      </c>
      <c r="C1" s="193" t="s">
        <v>194</v>
      </c>
      <c r="D1" s="193" t="s">
        <v>1</v>
      </c>
      <c r="E1" s="193" t="s">
        <v>195</v>
      </c>
      <c r="F1" s="193" t="s">
        <v>163</v>
      </c>
      <c r="G1" s="193" t="s">
        <v>145</v>
      </c>
      <c r="H1" s="193" t="s">
        <v>196</v>
      </c>
      <c r="I1" s="193" t="s">
        <v>2</v>
      </c>
      <c r="J1" s="193" t="s">
        <v>197</v>
      </c>
      <c r="K1" s="193" t="s">
        <v>3</v>
      </c>
      <c r="L1" s="193" t="s">
        <v>198</v>
      </c>
      <c r="M1" s="193" t="s">
        <v>199</v>
      </c>
      <c r="N1" s="193" t="s">
        <v>165</v>
      </c>
      <c r="O1" s="193" t="s">
        <v>4</v>
      </c>
      <c r="P1" s="193"/>
      <c r="Q1" s="193"/>
      <c r="R1" s="193" t="s">
        <v>201</v>
      </c>
      <c r="S1" s="193" t="s">
        <v>6</v>
      </c>
      <c r="T1" s="193" t="s">
        <v>202</v>
      </c>
      <c r="U1" s="193" t="s">
        <v>7</v>
      </c>
      <c r="V1" s="193" t="s">
        <v>8</v>
      </c>
      <c r="W1" s="193" t="s">
        <v>204</v>
      </c>
      <c r="X1" s="193" t="s">
        <v>9</v>
      </c>
      <c r="Y1" s="193" t="s">
        <v>205</v>
      </c>
      <c r="Z1" s="193" t="s">
        <v>10</v>
      </c>
      <c r="AA1" s="193" t="s">
        <v>206</v>
      </c>
      <c r="AB1" s="193" t="s">
        <v>11</v>
      </c>
      <c r="AC1" s="193" t="s">
        <v>207</v>
      </c>
      <c r="AD1" s="193" t="s">
        <v>12</v>
      </c>
      <c r="AE1" s="193" t="s">
        <v>208</v>
      </c>
      <c r="AF1" s="194" t="s">
        <v>100</v>
      </c>
      <c r="AG1" s="194" t="s">
        <v>215</v>
      </c>
      <c r="AH1" s="194" t="s">
        <v>173</v>
      </c>
      <c r="AI1" s="193" t="s">
        <v>13</v>
      </c>
      <c r="AJ1" s="193" t="s">
        <v>14</v>
      </c>
      <c r="AK1" s="194"/>
      <c r="AL1" s="194" t="s">
        <v>192</v>
      </c>
      <c r="AM1" s="194"/>
      <c r="AN1" s="194" t="s">
        <v>193</v>
      </c>
      <c r="AO1" s="194" t="s">
        <v>1</v>
      </c>
      <c r="AP1" s="194" t="s">
        <v>145</v>
      </c>
      <c r="AR1" s="194" t="s">
        <v>2</v>
      </c>
      <c r="AT1" s="194" t="s">
        <v>3</v>
      </c>
      <c r="AV1" s="195" t="s">
        <v>4</v>
      </c>
      <c r="AX1" s="195" t="s">
        <v>5</v>
      </c>
      <c r="AY1" s="195"/>
      <c r="AZ1" s="193" t="s">
        <v>6</v>
      </c>
      <c r="BA1" s="195"/>
      <c r="BB1" s="195" t="s">
        <v>203</v>
      </c>
      <c r="BC1" s="195"/>
      <c r="BD1" s="193" t="s">
        <v>9</v>
      </c>
      <c r="BE1" s="193"/>
      <c r="BF1" s="193" t="s">
        <v>10</v>
      </c>
      <c r="BG1" s="193"/>
      <c r="BH1" s="193" t="s">
        <v>11</v>
      </c>
      <c r="BI1" s="193"/>
      <c r="BJ1" s="193" t="s">
        <v>12</v>
      </c>
      <c r="BK1" s="195"/>
      <c r="BL1" s="195"/>
      <c r="BM1" s="195"/>
    </row>
    <row r="2" spans="1:65" x14ac:dyDescent="0.2">
      <c r="A2" s="196">
        <v>1995</v>
      </c>
      <c r="B2" s="197">
        <f>AN2</f>
        <v>0.12767999999999999</v>
      </c>
      <c r="C2" s="198">
        <v>7.040000000000006E-2</v>
      </c>
      <c r="D2" s="199">
        <f t="shared" ref="D2:D17" si="0">AO2</f>
        <v>8.0640000000000003E-2</v>
      </c>
      <c r="E2" s="200">
        <v>9.1400000000000065E-2</v>
      </c>
      <c r="F2" s="200">
        <v>2.8737134677953111E-3</v>
      </c>
      <c r="G2" s="197">
        <f t="shared" ref="G2:G17" si="1">AP2</f>
        <v>0.1249999999999999</v>
      </c>
      <c r="H2" s="200">
        <v>0.14347257439869704</v>
      </c>
      <c r="I2" s="197">
        <f t="shared" ref="I2:I17" si="2">AR2</f>
        <v>0.81399999999999995</v>
      </c>
      <c r="J2" s="200">
        <v>0.88179999999999947</v>
      </c>
      <c r="K2" s="206">
        <f t="shared" ref="K2:K12" si="3">K3-0.05%</f>
        <v>2.6999999999999996E-2</v>
      </c>
      <c r="L2" s="200">
        <v>2.7799999999999984E-2</v>
      </c>
      <c r="M2" s="200">
        <v>2.7799999999999984E-2</v>
      </c>
      <c r="N2" s="197">
        <f t="shared" ref="N2:N42" si="4">F2</f>
        <v>2.8737134677953111E-3</v>
      </c>
      <c r="O2" s="197">
        <f t="shared" ref="O2:O17" si="5">AV2</f>
        <v>0.22900000000000001</v>
      </c>
      <c r="P2" s="200"/>
      <c r="Q2" s="245">
        <f t="shared" ref="Q2:Q15" si="6">AX2</f>
        <v>0.20399999999999999</v>
      </c>
      <c r="R2" s="200">
        <v>0.19239999999999999</v>
      </c>
      <c r="S2" s="212">
        <f t="shared" ref="S2:S12" si="7">S3-1.4%</f>
        <v>0.54499999999999982</v>
      </c>
      <c r="T2" s="200">
        <v>0.68830000000000002</v>
      </c>
      <c r="U2" s="200">
        <v>1</v>
      </c>
      <c r="V2" s="200">
        <v>0.2</v>
      </c>
      <c r="W2" s="200">
        <v>0.29630000000000029</v>
      </c>
      <c r="X2" s="200">
        <v>0.35</v>
      </c>
      <c r="Y2" s="200">
        <v>0.06</v>
      </c>
      <c r="Z2" s="200">
        <v>0.64</v>
      </c>
      <c r="AA2" s="200">
        <v>0.98</v>
      </c>
      <c r="AB2" s="200">
        <v>0.84</v>
      </c>
      <c r="AC2" s="200">
        <v>0.98</v>
      </c>
      <c r="AD2" s="212">
        <f t="shared" ref="AD2:AD13" si="8">AE2</f>
        <v>0.75950000000000062</v>
      </c>
      <c r="AE2" s="200">
        <v>0.75950000000000062</v>
      </c>
      <c r="AF2" s="203">
        <v>3.0720000000000001</v>
      </c>
      <c r="AG2" s="200">
        <v>2.0296122627882225</v>
      </c>
      <c r="AH2" s="200">
        <v>0.4790597755265889</v>
      </c>
      <c r="AI2" s="200">
        <v>1</v>
      </c>
      <c r="AJ2" s="200">
        <v>1</v>
      </c>
      <c r="AK2" s="201"/>
      <c r="AL2" s="202">
        <v>0.224</v>
      </c>
      <c r="AM2" s="202"/>
      <c r="AN2" s="178">
        <f t="shared" ref="AN2:AN16" si="9">AL2*0.57</f>
        <v>0.12767999999999999</v>
      </c>
      <c r="AO2" s="203">
        <f t="shared" ref="AO2:AO16" si="10">36%*AL2</f>
        <v>8.0640000000000003E-2</v>
      </c>
      <c r="AP2" s="204">
        <f t="shared" ref="AP2:AP13" si="11">AP3-1%</f>
        <v>0.1249999999999999</v>
      </c>
      <c r="AR2" s="203">
        <v>0.81399999999999995</v>
      </c>
      <c r="AV2" s="203">
        <v>0.22900000000000001</v>
      </c>
      <c r="AX2" s="203">
        <f>$AX$14</f>
        <v>0.20399999999999999</v>
      </c>
    </row>
    <row r="3" spans="1:65" x14ac:dyDescent="0.2">
      <c r="A3" s="196">
        <v>1996</v>
      </c>
      <c r="B3" s="197">
        <f t="shared" ref="B3:B17" si="12">AN3</f>
        <v>0.12539999999999998</v>
      </c>
      <c r="C3" s="198">
        <v>7.1200000000000055E-2</v>
      </c>
      <c r="D3" s="199">
        <f t="shared" si="0"/>
        <v>7.9199999999999993E-2</v>
      </c>
      <c r="E3" s="200">
        <v>9.1700000000000059E-2</v>
      </c>
      <c r="F3" s="200">
        <f t="shared" ref="F3:AH11" si="13">F2+((F$12-F$2)/10)</f>
        <v>3.065294365648332E-3</v>
      </c>
      <c r="G3" s="197">
        <f t="shared" si="1"/>
        <v>0.1349999999999999</v>
      </c>
      <c r="H3" s="200">
        <v>0.14219922430887486</v>
      </c>
      <c r="I3" s="197">
        <f t="shared" si="2"/>
        <v>0.82599999999999996</v>
      </c>
      <c r="J3" s="200">
        <v>0.88239999999999952</v>
      </c>
      <c r="K3" s="206">
        <f t="shared" si="3"/>
        <v>2.7499999999999997E-2</v>
      </c>
      <c r="L3" s="200">
        <v>2.8399999999999984E-2</v>
      </c>
      <c r="M3" s="200">
        <v>2.8399999999999984E-2</v>
      </c>
      <c r="N3" s="197">
        <f t="shared" si="4"/>
        <v>3.065294365648332E-3</v>
      </c>
      <c r="O3" s="197">
        <f t="shared" si="5"/>
        <v>0.20700000000000002</v>
      </c>
      <c r="P3" s="200"/>
      <c r="Q3" s="245">
        <f t="shared" si="6"/>
        <v>0.20399999999999999</v>
      </c>
      <c r="R3" s="200">
        <v>0.19339999999999999</v>
      </c>
      <c r="S3" s="212">
        <f t="shared" si="7"/>
        <v>0.55899999999999983</v>
      </c>
      <c r="T3" s="200">
        <v>0.69030000000000002</v>
      </c>
      <c r="U3" s="200">
        <f t="shared" si="13"/>
        <v>1</v>
      </c>
      <c r="V3" s="197">
        <f t="shared" ref="V3:V11" si="14">V2</f>
        <v>0.2</v>
      </c>
      <c r="W3" s="200">
        <v>0.29650000000000026</v>
      </c>
      <c r="X3" s="197">
        <f>X2</f>
        <v>0.35</v>
      </c>
      <c r="Y3" s="200">
        <v>0.06</v>
      </c>
      <c r="Z3" s="213">
        <f>Z2+3%/12</f>
        <v>0.64249999999999996</v>
      </c>
      <c r="AA3" s="200">
        <v>0.98</v>
      </c>
      <c r="AB3" s="213">
        <f>AB2+4%/12</f>
        <v>0.84333333333333327</v>
      </c>
      <c r="AC3" s="200">
        <v>0.98</v>
      </c>
      <c r="AD3" s="212">
        <f t="shared" si="8"/>
        <v>0.76100000000000056</v>
      </c>
      <c r="AE3" s="200">
        <v>0.76100000000000056</v>
      </c>
      <c r="AF3" s="203">
        <v>3.0859999999999999</v>
      </c>
      <c r="AG3" s="200">
        <v>2.0734332018352153</v>
      </c>
      <c r="AH3" s="200">
        <f t="shared" si="13"/>
        <v>0.47833042722836155</v>
      </c>
      <c r="AI3" s="200">
        <v>1</v>
      </c>
      <c r="AJ3" s="200">
        <v>1</v>
      </c>
      <c r="AK3" s="201"/>
      <c r="AL3" s="202">
        <f>AL2+$AM$6/4</f>
        <v>0.22</v>
      </c>
      <c r="AM3" s="202"/>
      <c r="AN3" s="178">
        <f t="shared" si="9"/>
        <v>0.12539999999999998</v>
      </c>
      <c r="AO3" s="203">
        <f t="shared" si="10"/>
        <v>7.9199999999999993E-2</v>
      </c>
      <c r="AP3" s="204">
        <f t="shared" si="11"/>
        <v>0.1349999999999999</v>
      </c>
      <c r="AR3" s="203">
        <f>AR2+$AS$6/5</f>
        <v>0.82599999999999996</v>
      </c>
      <c r="AV3" s="204">
        <f>AV2+$AW$6/4</f>
        <v>0.20700000000000002</v>
      </c>
      <c r="AX3" s="203">
        <f t="shared" ref="AX3:AX13" si="15">$AX$14</f>
        <v>0.20399999999999999</v>
      </c>
    </row>
    <row r="4" spans="1:65" s="205" customFormat="1" x14ac:dyDescent="0.2">
      <c r="A4" s="196">
        <v>1997</v>
      </c>
      <c r="B4" s="197">
        <f t="shared" si="12"/>
        <v>0.12311999999999999</v>
      </c>
      <c r="C4" s="198">
        <v>7.200000000000005E-2</v>
      </c>
      <c r="D4" s="199">
        <f t="shared" si="0"/>
        <v>7.7759999999999996E-2</v>
      </c>
      <c r="E4" s="200">
        <v>9.2000000000000054E-2</v>
      </c>
      <c r="F4" s="200">
        <f t="shared" si="13"/>
        <v>3.2568752635013529E-3</v>
      </c>
      <c r="G4" s="197">
        <f t="shared" si="1"/>
        <v>0.14499999999999991</v>
      </c>
      <c r="H4" s="200">
        <v>0.14093717547616083</v>
      </c>
      <c r="I4" s="197">
        <f t="shared" si="2"/>
        <v>0.83799999999999997</v>
      </c>
      <c r="J4" s="200">
        <v>0.88299999999999956</v>
      </c>
      <c r="K4" s="206">
        <f t="shared" si="3"/>
        <v>2.7999999999999997E-2</v>
      </c>
      <c r="L4" s="200">
        <v>2.8999999999999984E-2</v>
      </c>
      <c r="M4" s="200">
        <v>2.8999999999999984E-2</v>
      </c>
      <c r="N4" s="197">
        <f t="shared" si="4"/>
        <v>3.2568752635013529E-3</v>
      </c>
      <c r="O4" s="197">
        <f t="shared" si="5"/>
        <v>0.185</v>
      </c>
      <c r="P4" s="200"/>
      <c r="Q4" s="245">
        <f t="shared" si="6"/>
        <v>0.20399999999999999</v>
      </c>
      <c r="R4" s="200">
        <v>0.19439999999999999</v>
      </c>
      <c r="S4" s="212">
        <f t="shared" si="7"/>
        <v>0.57299999999999984</v>
      </c>
      <c r="T4" s="200">
        <v>0.69230000000000003</v>
      </c>
      <c r="U4" s="200">
        <f t="shared" si="13"/>
        <v>1</v>
      </c>
      <c r="V4" s="197">
        <f t="shared" si="14"/>
        <v>0.2</v>
      </c>
      <c r="W4" s="200">
        <v>0.29670000000000024</v>
      </c>
      <c r="X4" s="197">
        <f t="shared" ref="X4:X13" si="16">X3</f>
        <v>0.35</v>
      </c>
      <c r="Y4" s="200">
        <v>0.06</v>
      </c>
      <c r="Z4" s="213">
        <f t="shared" ref="Z4:Z13" si="17">Z3+3%/12</f>
        <v>0.64499999999999991</v>
      </c>
      <c r="AA4" s="200">
        <v>0.98</v>
      </c>
      <c r="AB4" s="213">
        <f t="shared" ref="AB4:AB13" si="18">AB3+4%/12</f>
        <v>0.84666666666666657</v>
      </c>
      <c r="AC4" s="200">
        <v>0.98</v>
      </c>
      <c r="AD4" s="212">
        <f t="shared" si="8"/>
        <v>0.76250000000000051</v>
      </c>
      <c r="AE4" s="200">
        <v>0.76250000000000051</v>
      </c>
      <c r="AF4" s="203">
        <v>3.1</v>
      </c>
      <c r="AG4" s="200">
        <v>2.1058214536112612</v>
      </c>
      <c r="AH4" s="200">
        <f t="shared" si="13"/>
        <v>0.4776010789301342</v>
      </c>
      <c r="AI4" s="200">
        <v>1</v>
      </c>
      <c r="AJ4" s="200">
        <v>1</v>
      </c>
      <c r="AK4" s="201"/>
      <c r="AL4" s="202">
        <f t="shared" ref="AL4:AL5" si="19">AL3+$AM$6/4</f>
        <v>0.216</v>
      </c>
      <c r="AM4" s="202"/>
      <c r="AN4" s="178">
        <f t="shared" si="9"/>
        <v>0.12311999999999999</v>
      </c>
      <c r="AO4" s="203">
        <f t="shared" si="10"/>
        <v>7.7759999999999996E-2</v>
      </c>
      <c r="AP4" s="204">
        <f t="shared" si="11"/>
        <v>0.14499999999999991</v>
      </c>
      <c r="AR4" s="203">
        <f t="shared" ref="AR4:AR5" si="20">AR3+$AS$6/5</f>
        <v>0.83799999999999997</v>
      </c>
      <c r="AV4" s="204">
        <f t="shared" ref="AV4:AV5" si="21">AV3+$AW$6/4</f>
        <v>0.185</v>
      </c>
      <c r="AX4" s="203">
        <f t="shared" si="15"/>
        <v>0.20399999999999999</v>
      </c>
    </row>
    <row r="5" spans="1:65" x14ac:dyDescent="0.2">
      <c r="A5" s="196">
        <v>1998</v>
      </c>
      <c r="B5" s="197">
        <f t="shared" si="12"/>
        <v>0.12083999999999999</v>
      </c>
      <c r="C5" s="198">
        <v>7.2800000000000045E-2</v>
      </c>
      <c r="D5" s="199">
        <f t="shared" si="0"/>
        <v>7.6319999999999999E-2</v>
      </c>
      <c r="E5" s="200">
        <v>9.2300000000000049E-2</v>
      </c>
      <c r="F5" s="200">
        <f t="shared" si="13"/>
        <v>3.4484561613543738E-3</v>
      </c>
      <c r="G5" s="197">
        <f t="shared" si="1"/>
        <v>0.15499999999999992</v>
      </c>
      <c r="H5" s="200">
        <v>0.1396863275994569</v>
      </c>
      <c r="I5" s="197">
        <f t="shared" si="2"/>
        <v>0.85</v>
      </c>
      <c r="J5" s="200">
        <v>0.88359999999999961</v>
      </c>
      <c r="K5" s="206">
        <f t="shared" si="3"/>
        <v>2.8499999999999998E-2</v>
      </c>
      <c r="L5" s="200">
        <v>2.9599999999999984E-2</v>
      </c>
      <c r="M5" s="200">
        <v>2.9599999999999984E-2</v>
      </c>
      <c r="N5" s="197">
        <f t="shared" si="4"/>
        <v>3.4484561613543738E-3</v>
      </c>
      <c r="O5" s="197">
        <f t="shared" si="5"/>
        <v>0.16299999999999998</v>
      </c>
      <c r="P5" s="200"/>
      <c r="Q5" s="245">
        <f t="shared" si="6"/>
        <v>0.20399999999999999</v>
      </c>
      <c r="R5" s="200">
        <v>0.19539999999999999</v>
      </c>
      <c r="S5" s="212">
        <f t="shared" si="7"/>
        <v>0.58699999999999986</v>
      </c>
      <c r="T5" s="200">
        <v>0.69430000000000003</v>
      </c>
      <c r="U5" s="200">
        <f t="shared" si="13"/>
        <v>1</v>
      </c>
      <c r="V5" s="197">
        <f t="shared" si="14"/>
        <v>0.2</v>
      </c>
      <c r="W5" s="200">
        <v>0.29690000000000022</v>
      </c>
      <c r="X5" s="197">
        <f t="shared" si="16"/>
        <v>0.35</v>
      </c>
      <c r="Y5" s="200">
        <v>0.06</v>
      </c>
      <c r="Z5" s="213">
        <f t="shared" si="17"/>
        <v>0.64749999999999985</v>
      </c>
      <c r="AA5" s="200">
        <v>0.98</v>
      </c>
      <c r="AB5" s="213">
        <f t="shared" si="18"/>
        <v>0.84999999999999987</v>
      </c>
      <c r="AC5" s="200">
        <v>0.98</v>
      </c>
      <c r="AD5" s="212">
        <f t="shared" si="8"/>
        <v>0.76400000000000046</v>
      </c>
      <c r="AE5" s="200">
        <v>0.76400000000000046</v>
      </c>
      <c r="AF5" s="203">
        <v>3.1139999999999999</v>
      </c>
      <c r="AG5" s="200">
        <v>2.138209705387307</v>
      </c>
      <c r="AH5" s="200">
        <f t="shared" si="13"/>
        <v>0.47687173063190685</v>
      </c>
      <c r="AI5" s="200">
        <v>1</v>
      </c>
      <c r="AJ5" s="200">
        <v>1</v>
      </c>
      <c r="AK5" s="201"/>
      <c r="AL5" s="202">
        <f t="shared" si="19"/>
        <v>0.21199999999999999</v>
      </c>
      <c r="AM5" s="202"/>
      <c r="AN5" s="178">
        <f t="shared" si="9"/>
        <v>0.12083999999999999</v>
      </c>
      <c r="AO5" s="203">
        <f t="shared" si="10"/>
        <v>7.6319999999999999E-2</v>
      </c>
      <c r="AP5" s="204">
        <f t="shared" si="11"/>
        <v>0.15499999999999992</v>
      </c>
      <c r="AR5" s="203">
        <f t="shared" si="20"/>
        <v>0.85</v>
      </c>
      <c r="AV5" s="204">
        <f t="shared" si="21"/>
        <v>0.16299999999999998</v>
      </c>
      <c r="AX5" s="203">
        <f t="shared" si="15"/>
        <v>0.20399999999999999</v>
      </c>
    </row>
    <row r="6" spans="1:65" x14ac:dyDescent="0.2">
      <c r="A6" s="196">
        <v>1999</v>
      </c>
      <c r="B6" s="197">
        <f t="shared" si="12"/>
        <v>0.11855999999999998</v>
      </c>
      <c r="C6" s="198">
        <v>7.360000000000004E-2</v>
      </c>
      <c r="D6" s="199">
        <f t="shared" si="0"/>
        <v>7.4879999999999988E-2</v>
      </c>
      <c r="E6" s="200">
        <v>9.2600000000000043E-2</v>
      </c>
      <c r="F6" s="200">
        <f t="shared" si="13"/>
        <v>3.6400370592073947E-3</v>
      </c>
      <c r="G6" s="197">
        <f t="shared" si="1"/>
        <v>0.16499999999999992</v>
      </c>
      <c r="H6" s="200">
        <v>0.13844658126785894</v>
      </c>
      <c r="I6" s="197">
        <f t="shared" si="2"/>
        <v>0.874</v>
      </c>
      <c r="J6" s="200">
        <v>0.88419999999999965</v>
      </c>
      <c r="K6" s="206">
        <f t="shared" si="3"/>
        <v>2.8999999999999998E-2</v>
      </c>
      <c r="L6" s="200">
        <v>3.0199999999999984E-2</v>
      </c>
      <c r="M6" s="200">
        <v>3.0199999999999984E-2</v>
      </c>
      <c r="N6" s="197">
        <f t="shared" si="4"/>
        <v>3.6400370592073947E-3</v>
      </c>
      <c r="O6" s="197">
        <f t="shared" si="5"/>
        <v>0.14099999999999999</v>
      </c>
      <c r="P6" s="200"/>
      <c r="Q6" s="245">
        <f t="shared" si="6"/>
        <v>0.20399999999999999</v>
      </c>
      <c r="R6" s="200">
        <v>0.19639999999999999</v>
      </c>
      <c r="S6" s="212">
        <f t="shared" si="7"/>
        <v>0.60099999999999987</v>
      </c>
      <c r="T6" s="200">
        <v>0.69630000000000003</v>
      </c>
      <c r="U6" s="200">
        <f t="shared" si="13"/>
        <v>1</v>
      </c>
      <c r="V6" s="197">
        <f t="shared" si="14"/>
        <v>0.2</v>
      </c>
      <c r="W6" s="200">
        <v>0.2971000000000002</v>
      </c>
      <c r="X6" s="197">
        <f t="shared" si="16"/>
        <v>0.35</v>
      </c>
      <c r="Y6" s="200">
        <v>0.06</v>
      </c>
      <c r="Z6" s="213">
        <f t="shared" si="17"/>
        <v>0.6499999999999998</v>
      </c>
      <c r="AA6" s="200">
        <v>0.98</v>
      </c>
      <c r="AB6" s="213">
        <f t="shared" si="18"/>
        <v>0.85333333333333317</v>
      </c>
      <c r="AC6" s="200">
        <v>0.98</v>
      </c>
      <c r="AD6" s="212">
        <f t="shared" si="8"/>
        <v>0.7655000000000004</v>
      </c>
      <c r="AE6" s="200">
        <v>0.7655000000000004</v>
      </c>
      <c r="AF6" s="203">
        <v>3.1280000000000001</v>
      </c>
      <c r="AG6" s="200">
        <v>2.1705979571633529</v>
      </c>
      <c r="AH6" s="200">
        <f t="shared" si="13"/>
        <v>0.4761423823336795</v>
      </c>
      <c r="AI6" s="200">
        <v>1</v>
      </c>
      <c r="AJ6" s="200">
        <v>1</v>
      </c>
      <c r="AK6" s="201"/>
      <c r="AL6" s="202">
        <v>0.20799999999999999</v>
      </c>
      <c r="AM6" s="202">
        <f>AL6-AL2</f>
        <v>-1.6000000000000014E-2</v>
      </c>
      <c r="AN6" s="178">
        <f t="shared" si="9"/>
        <v>0.11855999999999998</v>
      </c>
      <c r="AO6" s="203">
        <f t="shared" si="10"/>
        <v>7.4879999999999988E-2</v>
      </c>
      <c r="AP6" s="204">
        <f t="shared" si="11"/>
        <v>0.16499999999999992</v>
      </c>
      <c r="AR6" s="203">
        <v>0.874</v>
      </c>
      <c r="AS6" s="203">
        <f>AR6-$AR$2</f>
        <v>6.0000000000000053E-2</v>
      </c>
      <c r="AV6" s="203">
        <v>0.14099999999999999</v>
      </c>
      <c r="AW6" s="203">
        <f>AV6-AV2</f>
        <v>-8.8000000000000023E-2</v>
      </c>
      <c r="AX6" s="203">
        <f t="shared" si="15"/>
        <v>0.20399999999999999</v>
      </c>
    </row>
    <row r="7" spans="1:65" x14ac:dyDescent="0.2">
      <c r="A7" s="196">
        <v>2000</v>
      </c>
      <c r="B7" s="197">
        <f t="shared" si="12"/>
        <v>0.11798999999999998</v>
      </c>
      <c r="C7" s="198">
        <v>7.4400000000000036E-2</v>
      </c>
      <c r="D7" s="199">
        <f t="shared" si="0"/>
        <v>7.4519999999999989E-2</v>
      </c>
      <c r="E7" s="200">
        <v>9.2900000000000038E-2</v>
      </c>
      <c r="F7" s="200">
        <f t="shared" si="13"/>
        <v>3.8316179570604156E-3</v>
      </c>
      <c r="G7" s="197">
        <f t="shared" si="1"/>
        <v>0.17499999999999993</v>
      </c>
      <c r="H7" s="200">
        <v>0.13721783795275602</v>
      </c>
      <c r="I7" s="197">
        <f t="shared" si="2"/>
        <v>0.87016666666666664</v>
      </c>
      <c r="J7" s="200">
        <v>0.8847999999999997</v>
      </c>
      <c r="K7" s="206">
        <f t="shared" si="3"/>
        <v>2.9499999999999998E-2</v>
      </c>
      <c r="L7" s="200">
        <v>3.0799999999999984E-2</v>
      </c>
      <c r="M7" s="200">
        <v>3.0799999999999984E-2</v>
      </c>
      <c r="N7" s="197">
        <f t="shared" si="4"/>
        <v>3.8316179570604156E-3</v>
      </c>
      <c r="O7" s="197">
        <f t="shared" si="5"/>
        <v>0.13149999999999998</v>
      </c>
      <c r="P7" s="200"/>
      <c r="Q7" s="245">
        <f t="shared" si="6"/>
        <v>0.20399999999999999</v>
      </c>
      <c r="R7" s="200">
        <v>0.19739999999999999</v>
      </c>
      <c r="S7" s="212">
        <f t="shared" si="7"/>
        <v>0.61499999999999988</v>
      </c>
      <c r="T7" s="200">
        <v>0.69830000000000003</v>
      </c>
      <c r="U7" s="200">
        <f t="shared" si="13"/>
        <v>1</v>
      </c>
      <c r="V7" s="197">
        <f t="shared" si="14"/>
        <v>0.2</v>
      </c>
      <c r="W7" s="200">
        <v>0.29730000000000018</v>
      </c>
      <c r="X7" s="197">
        <f t="shared" si="16"/>
        <v>0.35</v>
      </c>
      <c r="Y7" s="200">
        <v>0.06</v>
      </c>
      <c r="Z7" s="213">
        <f t="shared" si="17"/>
        <v>0.65249999999999975</v>
      </c>
      <c r="AA7" s="200">
        <v>0.98</v>
      </c>
      <c r="AB7" s="213">
        <f t="shared" si="18"/>
        <v>0.85666666666666647</v>
      </c>
      <c r="AC7" s="200">
        <v>0.98</v>
      </c>
      <c r="AD7" s="212">
        <f t="shared" si="8"/>
        <v>0.76700000000000035</v>
      </c>
      <c r="AE7" s="200">
        <v>0.76700000000000035</v>
      </c>
      <c r="AF7" s="203">
        <v>3.1419999999999999</v>
      </c>
      <c r="AG7" s="200">
        <v>2.2029862089393988</v>
      </c>
      <c r="AH7" s="200">
        <f t="shared" si="13"/>
        <v>0.47541303403545215</v>
      </c>
      <c r="AI7" s="200">
        <v>1</v>
      </c>
      <c r="AJ7" s="200">
        <v>1</v>
      </c>
      <c r="AK7" s="201"/>
      <c r="AL7" s="202">
        <v>0.20699999999999999</v>
      </c>
      <c r="AM7" s="202"/>
      <c r="AN7" s="178">
        <f t="shared" si="9"/>
        <v>0.11798999999999998</v>
      </c>
      <c r="AO7" s="203">
        <f t="shared" si="10"/>
        <v>7.4519999999999989E-2</v>
      </c>
      <c r="AP7" s="204">
        <f t="shared" si="11"/>
        <v>0.17499999999999993</v>
      </c>
      <c r="AR7" s="203">
        <f>AR6+$AS$12/6</f>
        <v>0.87016666666666664</v>
      </c>
      <c r="AV7" s="204">
        <f>AV6+$AW$10/4</f>
        <v>0.13149999999999998</v>
      </c>
      <c r="AX7" s="203">
        <f t="shared" si="15"/>
        <v>0.20399999999999999</v>
      </c>
    </row>
    <row r="8" spans="1:65" x14ac:dyDescent="0.2">
      <c r="A8" s="196">
        <v>2001</v>
      </c>
      <c r="B8" s="197">
        <f t="shared" si="12"/>
        <v>0.11741999999999998</v>
      </c>
      <c r="C8" s="198">
        <v>7.5200000000000031E-2</v>
      </c>
      <c r="D8" s="199">
        <f t="shared" si="0"/>
        <v>7.415999999999999E-2</v>
      </c>
      <c r="E8" s="200">
        <v>9.3200000000000033E-2</v>
      </c>
      <c r="F8" s="200">
        <f t="shared" si="13"/>
        <v>4.0231988549134364E-3</v>
      </c>
      <c r="G8" s="197">
        <f t="shared" si="1"/>
        <v>0.18499999999999994</v>
      </c>
      <c r="H8" s="200">
        <v>0.13600000000000001</v>
      </c>
      <c r="I8" s="197">
        <f t="shared" si="2"/>
        <v>0.86633333333333329</v>
      </c>
      <c r="J8" s="200">
        <v>0.88539999999999974</v>
      </c>
      <c r="K8" s="206">
        <f t="shared" si="3"/>
        <v>0.03</v>
      </c>
      <c r="L8" s="200">
        <v>3.1399999999999983E-2</v>
      </c>
      <c r="M8" s="200">
        <v>3.1399999999999983E-2</v>
      </c>
      <c r="N8" s="197">
        <f t="shared" si="4"/>
        <v>4.0231988549134364E-3</v>
      </c>
      <c r="O8" s="197">
        <f t="shared" si="5"/>
        <v>0.12199999999999998</v>
      </c>
      <c r="P8" s="200"/>
      <c r="Q8" s="245">
        <f t="shared" si="6"/>
        <v>0.20399999999999999</v>
      </c>
      <c r="R8" s="200">
        <v>0.19839999999999999</v>
      </c>
      <c r="S8" s="212">
        <f t="shared" si="7"/>
        <v>0.62899999999999989</v>
      </c>
      <c r="T8" s="200">
        <v>0.70030000000000003</v>
      </c>
      <c r="U8" s="200">
        <f t="shared" si="13"/>
        <v>1</v>
      </c>
      <c r="V8" s="197">
        <f t="shared" si="14"/>
        <v>0.2</v>
      </c>
      <c r="W8" s="200">
        <v>0.29749999999999999</v>
      </c>
      <c r="X8" s="197">
        <f t="shared" si="16"/>
        <v>0.35</v>
      </c>
      <c r="Y8" s="200">
        <v>0.06</v>
      </c>
      <c r="Z8" s="213">
        <f t="shared" si="17"/>
        <v>0.65499999999999969</v>
      </c>
      <c r="AA8" s="200">
        <v>0.98</v>
      </c>
      <c r="AB8" s="213">
        <f t="shared" si="18"/>
        <v>0.85999999999999976</v>
      </c>
      <c r="AC8" s="200">
        <v>0.98</v>
      </c>
      <c r="AD8" s="212">
        <f t="shared" si="8"/>
        <v>0.76850000000000029</v>
      </c>
      <c r="AE8" s="200">
        <v>0.76850000000000029</v>
      </c>
      <c r="AF8" s="203">
        <v>3.157</v>
      </c>
      <c r="AG8" s="200">
        <v>2.2353744607154451</v>
      </c>
      <c r="AH8" s="200">
        <f t="shared" si="13"/>
        <v>0.4746836857372248</v>
      </c>
      <c r="AI8" s="200">
        <v>1</v>
      </c>
      <c r="AJ8" s="200">
        <v>1</v>
      </c>
      <c r="AK8" s="201"/>
      <c r="AL8" s="200">
        <v>0.20599999999999999</v>
      </c>
      <c r="AM8" s="200"/>
      <c r="AN8" s="178">
        <f t="shared" si="9"/>
        <v>0.11741999999999998</v>
      </c>
      <c r="AO8" s="203">
        <f t="shared" si="10"/>
        <v>7.415999999999999E-2</v>
      </c>
      <c r="AP8" s="204">
        <f t="shared" si="11"/>
        <v>0.18499999999999994</v>
      </c>
      <c r="AR8" s="203">
        <f t="shared" ref="AR8:AR11" si="22">AR7+$AS$12/6</f>
        <v>0.86633333333333329</v>
      </c>
      <c r="AV8" s="204">
        <f t="shared" ref="AV8:AV9" si="23">AV7+$AW$10/4</f>
        <v>0.12199999999999998</v>
      </c>
      <c r="AX8" s="203">
        <f t="shared" si="15"/>
        <v>0.20399999999999999</v>
      </c>
    </row>
    <row r="9" spans="1:65" x14ac:dyDescent="0.2">
      <c r="A9" s="196">
        <v>2002</v>
      </c>
      <c r="B9" s="197">
        <f t="shared" si="12"/>
        <v>0.11684999999999998</v>
      </c>
      <c r="C9" s="198">
        <v>7.6000000000000026E-2</v>
      </c>
      <c r="D9" s="199">
        <f t="shared" si="0"/>
        <v>7.3799999999999991E-2</v>
      </c>
      <c r="E9" s="200">
        <v>9.3500000000000028E-2</v>
      </c>
      <c r="F9" s="200">
        <f t="shared" si="13"/>
        <v>4.2147797527664569E-3</v>
      </c>
      <c r="G9" s="197">
        <f t="shared" si="1"/>
        <v>0.19499999999999995</v>
      </c>
      <c r="H9" s="200">
        <v>0.13534699069913084</v>
      </c>
      <c r="I9" s="197">
        <f t="shared" si="2"/>
        <v>0.86249999999999993</v>
      </c>
      <c r="J9" s="200">
        <v>0.88599999999999979</v>
      </c>
      <c r="K9" s="206">
        <f t="shared" si="3"/>
        <v>3.0499999999999999E-2</v>
      </c>
      <c r="L9" s="200">
        <v>3.1999999999999987E-2</v>
      </c>
      <c r="M9" s="200">
        <v>3.1999999999999987E-2</v>
      </c>
      <c r="N9" s="197">
        <f t="shared" si="4"/>
        <v>4.2147797527664569E-3</v>
      </c>
      <c r="O9" s="197">
        <f t="shared" si="5"/>
        <v>0.11249999999999999</v>
      </c>
      <c r="P9" s="200"/>
      <c r="Q9" s="245">
        <f t="shared" si="6"/>
        <v>0.20399999999999999</v>
      </c>
      <c r="R9" s="200">
        <v>0.19939999999999999</v>
      </c>
      <c r="S9" s="212">
        <f t="shared" si="7"/>
        <v>0.6429999999999999</v>
      </c>
      <c r="T9" s="200">
        <v>0.70230000000000004</v>
      </c>
      <c r="U9" s="200">
        <f t="shared" si="13"/>
        <v>1</v>
      </c>
      <c r="V9" s="197">
        <f t="shared" si="14"/>
        <v>0.2</v>
      </c>
      <c r="W9" s="200">
        <v>0.29770000000000013</v>
      </c>
      <c r="X9" s="197">
        <f t="shared" si="16"/>
        <v>0.35</v>
      </c>
      <c r="Y9" s="200">
        <v>0.06</v>
      </c>
      <c r="Z9" s="213">
        <f t="shared" si="17"/>
        <v>0.65749999999999964</v>
      </c>
      <c r="AA9" s="200">
        <v>0.98</v>
      </c>
      <c r="AB9" s="213">
        <f t="shared" si="18"/>
        <v>0.86333333333333306</v>
      </c>
      <c r="AC9" s="200">
        <v>0.98</v>
      </c>
      <c r="AD9" s="212">
        <f t="shared" si="8"/>
        <v>0.77</v>
      </c>
      <c r="AE9" s="200">
        <v>0.77</v>
      </c>
      <c r="AF9" s="203">
        <v>3.1709999999999998</v>
      </c>
      <c r="AG9" s="200">
        <v>2.2799818691099363</v>
      </c>
      <c r="AH9" s="200">
        <f t="shared" si="13"/>
        <v>0.47395433743899745</v>
      </c>
      <c r="AI9" s="200">
        <v>1</v>
      </c>
      <c r="AJ9" s="200">
        <v>1</v>
      </c>
      <c r="AK9" s="201"/>
      <c r="AL9" s="202">
        <v>0.20499999999999999</v>
      </c>
      <c r="AM9" s="202"/>
      <c r="AN9" s="178">
        <f t="shared" si="9"/>
        <v>0.11684999999999998</v>
      </c>
      <c r="AO9" s="203">
        <f t="shared" si="10"/>
        <v>7.3799999999999991E-2</v>
      </c>
      <c r="AP9" s="204">
        <f t="shared" si="11"/>
        <v>0.19499999999999995</v>
      </c>
      <c r="AR9" s="203">
        <f t="shared" si="22"/>
        <v>0.86249999999999993</v>
      </c>
      <c r="AV9" s="204">
        <f t="shared" si="23"/>
        <v>0.11249999999999999</v>
      </c>
      <c r="AX9" s="203">
        <f t="shared" si="15"/>
        <v>0.20399999999999999</v>
      </c>
    </row>
    <row r="10" spans="1:65" x14ac:dyDescent="0.2">
      <c r="A10" s="196">
        <v>2003</v>
      </c>
      <c r="B10" s="197">
        <f t="shared" si="12"/>
        <v>0.11627999999999998</v>
      </c>
      <c r="C10" s="198">
        <v>7.6800000000000021E-2</v>
      </c>
      <c r="D10" s="199">
        <f t="shared" si="0"/>
        <v>7.3439999999999991E-2</v>
      </c>
      <c r="E10" s="200">
        <v>9.3800000000000022E-2</v>
      </c>
      <c r="F10" s="200">
        <f t="shared" si="13"/>
        <v>4.4063606506194774E-3</v>
      </c>
      <c r="G10" s="197">
        <f t="shared" si="1"/>
        <v>0.20499999999999996</v>
      </c>
      <c r="H10" s="200">
        <v>0.13359890668108435</v>
      </c>
      <c r="I10" s="197">
        <f t="shared" si="2"/>
        <v>0.85866666666666658</v>
      </c>
      <c r="J10" s="200">
        <v>0.88659999999999983</v>
      </c>
      <c r="K10" s="206">
        <f t="shared" si="3"/>
        <v>3.1E-2</v>
      </c>
      <c r="L10" s="200">
        <v>3.259999999999999E-2</v>
      </c>
      <c r="M10" s="200">
        <v>3.259999999999999E-2</v>
      </c>
      <c r="N10" s="197">
        <f t="shared" si="4"/>
        <v>4.4063606506194774E-3</v>
      </c>
      <c r="O10" s="197">
        <f t="shared" si="5"/>
        <v>0.10299999999999999</v>
      </c>
      <c r="P10" s="200"/>
      <c r="Q10" s="245">
        <f t="shared" si="6"/>
        <v>0.20399999999999999</v>
      </c>
      <c r="R10" s="200">
        <v>0.20039999999999999</v>
      </c>
      <c r="S10" s="212">
        <f t="shared" si="7"/>
        <v>0.65699999999999992</v>
      </c>
      <c r="T10" s="200">
        <v>0.70430000000000004</v>
      </c>
      <c r="U10" s="200">
        <f t="shared" si="13"/>
        <v>1</v>
      </c>
      <c r="V10" s="197">
        <f t="shared" si="14"/>
        <v>0.2</v>
      </c>
      <c r="W10" s="200">
        <v>0.29790000000000011</v>
      </c>
      <c r="X10" s="197">
        <f t="shared" si="16"/>
        <v>0.35</v>
      </c>
      <c r="Y10" s="200">
        <v>0.06</v>
      </c>
      <c r="Z10" s="213">
        <f t="shared" si="17"/>
        <v>0.65999999999999959</v>
      </c>
      <c r="AA10" s="200">
        <v>0.98</v>
      </c>
      <c r="AB10" s="213">
        <f t="shared" si="18"/>
        <v>0.86666666666666636</v>
      </c>
      <c r="AC10" s="200">
        <v>0.98</v>
      </c>
      <c r="AD10" s="212">
        <f t="shared" si="8"/>
        <v>0.77150000000000019</v>
      </c>
      <c r="AE10" s="200">
        <v>0.77150000000000019</v>
      </c>
      <c r="AF10" s="203">
        <v>3.1850000000000001</v>
      </c>
      <c r="AG10" s="200">
        <v>2.3345669825758248</v>
      </c>
      <c r="AH10" s="200">
        <f t="shared" si="13"/>
        <v>0.4732249891407701</v>
      </c>
      <c r="AI10" s="200">
        <v>1</v>
      </c>
      <c r="AJ10" s="200">
        <v>1</v>
      </c>
      <c r="AK10" s="201"/>
      <c r="AL10" s="203">
        <v>0.20399999999999999</v>
      </c>
      <c r="AM10" s="203"/>
      <c r="AN10" s="178">
        <f t="shared" si="9"/>
        <v>0.11627999999999998</v>
      </c>
      <c r="AO10" s="203">
        <f t="shared" si="10"/>
        <v>7.3439999999999991E-2</v>
      </c>
      <c r="AP10" s="204">
        <f t="shared" si="11"/>
        <v>0.20499999999999996</v>
      </c>
      <c r="AR10" s="203">
        <f t="shared" si="22"/>
        <v>0.85866666666666658</v>
      </c>
      <c r="AV10" s="203">
        <v>0.10299999999999999</v>
      </c>
      <c r="AW10" s="203">
        <f>AV10-AV6</f>
        <v>-3.7999999999999992E-2</v>
      </c>
      <c r="AX10" s="203">
        <f t="shared" si="15"/>
        <v>0.20399999999999999</v>
      </c>
    </row>
    <row r="11" spans="1:65" x14ac:dyDescent="0.2">
      <c r="A11" s="196">
        <v>2004</v>
      </c>
      <c r="B11" s="197">
        <f t="shared" si="12"/>
        <v>0.11214749999999998</v>
      </c>
      <c r="C11" s="198">
        <v>7.7600000000000016E-2</v>
      </c>
      <c r="D11" s="199">
        <f t="shared" si="0"/>
        <v>7.082999999999999E-2</v>
      </c>
      <c r="E11" s="200">
        <v>9.4100000000000017E-2</v>
      </c>
      <c r="F11" s="200">
        <f t="shared" si="13"/>
        <v>4.5979415484724978E-3</v>
      </c>
      <c r="G11" s="197">
        <f t="shared" si="1"/>
        <v>0.21499999999999997</v>
      </c>
      <c r="H11" s="200">
        <v>0.13185150222044939</v>
      </c>
      <c r="I11" s="197">
        <f t="shared" si="2"/>
        <v>0.85483333333333322</v>
      </c>
      <c r="J11" s="200">
        <v>0.88719999999999988</v>
      </c>
      <c r="K11" s="206">
        <f t="shared" si="3"/>
        <v>3.15E-2</v>
      </c>
      <c r="L11" s="200">
        <v>3.3199999999999993E-2</v>
      </c>
      <c r="M11" s="200">
        <v>3.3199999999999993E-2</v>
      </c>
      <c r="N11" s="197">
        <f t="shared" si="4"/>
        <v>4.5979415484724978E-3</v>
      </c>
      <c r="O11" s="197">
        <f t="shared" si="5"/>
        <v>0.10775</v>
      </c>
      <c r="P11" s="200"/>
      <c r="Q11" s="245">
        <f t="shared" si="6"/>
        <v>0.20399999999999999</v>
      </c>
      <c r="R11" s="200">
        <v>0.2014</v>
      </c>
      <c r="S11" s="212">
        <f t="shared" si="7"/>
        <v>0.67099999999999993</v>
      </c>
      <c r="T11" s="200">
        <v>0.70630000000000004</v>
      </c>
      <c r="U11" s="200">
        <f t="shared" si="13"/>
        <v>1</v>
      </c>
      <c r="V11" s="197">
        <f t="shared" si="14"/>
        <v>0.2</v>
      </c>
      <c r="W11" s="200">
        <v>0.29810000000000009</v>
      </c>
      <c r="X11" s="197">
        <f t="shared" si="16"/>
        <v>0.35</v>
      </c>
      <c r="Y11" s="200">
        <v>0.06</v>
      </c>
      <c r="Z11" s="213">
        <f t="shared" si="17"/>
        <v>0.66249999999999953</v>
      </c>
      <c r="AA11" s="200">
        <v>0.98</v>
      </c>
      <c r="AB11" s="213">
        <f t="shared" si="18"/>
        <v>0.86999999999999966</v>
      </c>
      <c r="AC11" s="200">
        <v>0.98</v>
      </c>
      <c r="AD11" s="212">
        <f t="shared" si="8"/>
        <v>0.77300000000000013</v>
      </c>
      <c r="AE11" s="200">
        <v>0.77300000000000013</v>
      </c>
      <c r="AF11" s="203">
        <v>3.1989999999999998</v>
      </c>
      <c r="AG11" s="200">
        <v>2.3905871407560904</v>
      </c>
      <c r="AH11" s="200">
        <f t="shared" si="13"/>
        <v>0.47249564084254275</v>
      </c>
      <c r="AI11" s="200">
        <v>1</v>
      </c>
      <c r="AJ11" s="200">
        <v>1</v>
      </c>
      <c r="AK11" s="201"/>
      <c r="AL11" s="203">
        <f>AL10+$AM$14/4</f>
        <v>0.19674999999999998</v>
      </c>
      <c r="AN11" s="178">
        <f t="shared" si="9"/>
        <v>0.11214749999999998</v>
      </c>
      <c r="AO11" s="203">
        <f t="shared" si="10"/>
        <v>7.082999999999999E-2</v>
      </c>
      <c r="AP11" s="204">
        <f t="shared" si="11"/>
        <v>0.21499999999999997</v>
      </c>
      <c r="AR11" s="203">
        <f t="shared" si="22"/>
        <v>0.85483333333333322</v>
      </c>
      <c r="AV11" s="203">
        <f>AV10+$AW$14/4</f>
        <v>0.10775</v>
      </c>
      <c r="AX11" s="203">
        <f t="shared" si="15"/>
        <v>0.20399999999999999</v>
      </c>
    </row>
    <row r="12" spans="1:65" x14ac:dyDescent="0.2">
      <c r="A12" s="196">
        <v>2005</v>
      </c>
      <c r="B12" s="197">
        <f t="shared" si="12"/>
        <v>0.10801499999999997</v>
      </c>
      <c r="C12" s="198">
        <v>7.8400000000000011E-2</v>
      </c>
      <c r="D12" s="199">
        <f t="shared" si="0"/>
        <v>6.8219999999999989E-2</v>
      </c>
      <c r="E12" s="200">
        <v>9.4400000000000012E-2</v>
      </c>
      <c r="F12" s="206">
        <f>'LE EIAData'!Z6</f>
        <v>4.7895224463255183E-3</v>
      </c>
      <c r="G12" s="197">
        <f t="shared" si="1"/>
        <v>0.22499999999999998</v>
      </c>
      <c r="H12" s="200">
        <v>0.1301589121501944</v>
      </c>
      <c r="I12" s="197">
        <f t="shared" si="2"/>
        <v>0.85099999999999998</v>
      </c>
      <c r="J12" s="200">
        <v>0.88779999999999992</v>
      </c>
      <c r="K12" s="206">
        <f t="shared" si="3"/>
        <v>3.2000000000000001E-2</v>
      </c>
      <c r="L12" s="200">
        <v>3.3799999999999997E-2</v>
      </c>
      <c r="M12" s="200">
        <v>3.3799999999999997E-2</v>
      </c>
      <c r="N12" s="197">
        <f t="shared" si="4"/>
        <v>4.7895224463255183E-3</v>
      </c>
      <c r="O12" s="197">
        <f t="shared" si="5"/>
        <v>0.1125</v>
      </c>
      <c r="P12" s="200"/>
      <c r="Q12" s="245">
        <f t="shared" si="6"/>
        <v>0.20399999999999999</v>
      </c>
      <c r="R12" s="200">
        <v>0.2024</v>
      </c>
      <c r="S12" s="212">
        <f t="shared" si="7"/>
        <v>0.68499999999999994</v>
      </c>
      <c r="T12" s="200">
        <v>0.70830000000000004</v>
      </c>
      <c r="U12" s="206">
        <v>1</v>
      </c>
      <c r="V12" s="213">
        <f>'LE EIAData'!AU6-'LE Shares'!U12</f>
        <v>0.20141064079756799</v>
      </c>
      <c r="W12" s="200">
        <v>0.29830000000000007</v>
      </c>
      <c r="X12" s="197">
        <f t="shared" si="16"/>
        <v>0.35</v>
      </c>
      <c r="Y12" s="200">
        <v>0.06</v>
      </c>
      <c r="Z12" s="213">
        <f t="shared" si="17"/>
        <v>0.66499999999999948</v>
      </c>
      <c r="AA12" s="200">
        <v>0.98</v>
      </c>
      <c r="AB12" s="213">
        <f t="shared" si="18"/>
        <v>0.87333333333333296</v>
      </c>
      <c r="AC12" s="200">
        <v>0.98</v>
      </c>
      <c r="AD12" s="212">
        <f t="shared" si="8"/>
        <v>0.77450000000000008</v>
      </c>
      <c r="AE12" s="200">
        <v>0.77450000000000008</v>
      </c>
      <c r="AF12" s="197">
        <f>'LE EIAData'!AY6</f>
        <v>3.2130096330146123</v>
      </c>
      <c r="AG12" s="200">
        <v>2.4478643451466082</v>
      </c>
      <c r="AH12" s="206">
        <f>'LE EIAData'!BA6</f>
        <v>0.4717662925443154</v>
      </c>
      <c r="AI12" s="200">
        <v>1</v>
      </c>
      <c r="AJ12" s="200">
        <v>1</v>
      </c>
      <c r="AK12" s="201"/>
      <c r="AL12" s="203">
        <f t="shared" ref="AL12:AL13" si="24">AL11+$AM$14/4</f>
        <v>0.18949999999999997</v>
      </c>
      <c r="AN12" s="178">
        <f t="shared" si="9"/>
        <v>0.10801499999999997</v>
      </c>
      <c r="AO12" s="203">
        <f t="shared" si="10"/>
        <v>6.8219999999999989E-2</v>
      </c>
      <c r="AP12" s="204">
        <f t="shared" si="11"/>
        <v>0.22499999999999998</v>
      </c>
      <c r="AR12" s="203">
        <v>0.85099999999999998</v>
      </c>
      <c r="AS12" s="203">
        <f>AR12-AR6</f>
        <v>-2.300000000000002E-2</v>
      </c>
      <c r="AV12" s="203">
        <f t="shared" ref="AV12:AV13" si="25">AV11+$AW$14/4</f>
        <v>0.1125</v>
      </c>
      <c r="AX12" s="203">
        <f t="shared" si="15"/>
        <v>0.20399999999999999</v>
      </c>
    </row>
    <row r="13" spans="1:65" x14ac:dyDescent="0.2">
      <c r="A13" s="196">
        <v>2006</v>
      </c>
      <c r="B13" s="197">
        <f t="shared" si="12"/>
        <v>0.10388249999999997</v>
      </c>
      <c r="C13" s="198">
        <v>7.9200000000000007E-2</v>
      </c>
      <c r="D13" s="199">
        <f t="shared" si="0"/>
        <v>6.5609999999999988E-2</v>
      </c>
      <c r="E13" s="200">
        <v>9.4700000000000006E-2</v>
      </c>
      <c r="F13" s="206">
        <f>'LE EIAData'!Z7</f>
        <v>5.1685671200163647E-3</v>
      </c>
      <c r="G13" s="197">
        <f t="shared" si="1"/>
        <v>0.23499999999999999</v>
      </c>
      <c r="H13" s="200">
        <v>0.12847029197091125</v>
      </c>
      <c r="I13" s="197">
        <f t="shared" si="2"/>
        <v>0.86019999999999996</v>
      </c>
      <c r="J13" s="200">
        <v>0.88839999999999997</v>
      </c>
      <c r="K13" s="206">
        <f>K14-0.05%</f>
        <v>3.2500000000000001E-2</v>
      </c>
      <c r="L13" s="200">
        <v>3.44E-2</v>
      </c>
      <c r="M13" s="200">
        <v>3.44E-2</v>
      </c>
      <c r="N13" s="197">
        <f t="shared" si="4"/>
        <v>5.1685671200163647E-3</v>
      </c>
      <c r="O13" s="197">
        <f t="shared" si="5"/>
        <v>0.11725000000000001</v>
      </c>
      <c r="P13" s="200"/>
      <c r="Q13" s="245">
        <f t="shared" si="6"/>
        <v>0.20399999999999999</v>
      </c>
      <c r="R13" s="200">
        <v>0.2034</v>
      </c>
      <c r="S13" s="212">
        <f>S14-1.4%</f>
        <v>0.69899999999999995</v>
      </c>
      <c r="T13" s="200">
        <v>0.71030000000000004</v>
      </c>
      <c r="U13" s="206">
        <v>1</v>
      </c>
      <c r="V13" s="213">
        <f>'LE EIAData'!AU7-'LE Shares'!U13</f>
        <v>0.19987374998720631</v>
      </c>
      <c r="W13" s="200">
        <v>0.29850000000000004</v>
      </c>
      <c r="X13" s="197">
        <f t="shared" si="16"/>
        <v>0.35</v>
      </c>
      <c r="Y13" s="200">
        <v>0.06</v>
      </c>
      <c r="Z13" s="213">
        <f t="shared" si="17"/>
        <v>0.66749999999999943</v>
      </c>
      <c r="AA13" s="200">
        <v>0.98</v>
      </c>
      <c r="AB13" s="213">
        <f t="shared" si="18"/>
        <v>0.87666666666666626</v>
      </c>
      <c r="AC13" s="200">
        <v>0.98</v>
      </c>
      <c r="AD13" s="212">
        <f t="shared" si="8"/>
        <v>0.77600000000000002</v>
      </c>
      <c r="AE13" s="200">
        <v>0.77600000000000002</v>
      </c>
      <c r="AF13" s="197">
        <f>'LE EIAData'!AY7</f>
        <v>3.2430221929301433</v>
      </c>
      <c r="AG13" s="200">
        <v>2.4818021786091178</v>
      </c>
      <c r="AH13" s="206">
        <f>'LE EIAData'!BA7</f>
        <v>0.46978973275158575</v>
      </c>
      <c r="AI13" s="200">
        <v>1</v>
      </c>
      <c r="AJ13" s="200">
        <v>1</v>
      </c>
      <c r="AK13" s="201"/>
      <c r="AL13" s="203">
        <f t="shared" si="24"/>
        <v>0.18224999999999997</v>
      </c>
      <c r="AN13" s="178">
        <f t="shared" si="9"/>
        <v>0.10388249999999997</v>
      </c>
      <c r="AO13" s="203">
        <f t="shared" si="10"/>
        <v>6.5609999999999988E-2</v>
      </c>
      <c r="AP13" s="204">
        <f t="shared" si="11"/>
        <v>0.23499999999999999</v>
      </c>
      <c r="AR13" s="203">
        <f>AR12+$AS$17/5</f>
        <v>0.86019999999999996</v>
      </c>
      <c r="AS13" s="203"/>
      <c r="AT13" s="203"/>
      <c r="AV13" s="203">
        <f t="shared" si="25"/>
        <v>0.11725000000000001</v>
      </c>
      <c r="AX13" s="203">
        <f t="shared" si="15"/>
        <v>0.20399999999999999</v>
      </c>
      <c r="BD13" s="211"/>
      <c r="BE13" s="211"/>
      <c r="BF13" s="211"/>
      <c r="BG13" s="211"/>
      <c r="BH13" s="211"/>
      <c r="BI13" s="211"/>
    </row>
    <row r="14" spans="1:65" x14ac:dyDescent="0.2">
      <c r="A14" s="196">
        <v>2007</v>
      </c>
      <c r="B14" s="197">
        <f t="shared" si="12"/>
        <v>9.9749999999999991E-2</v>
      </c>
      <c r="C14" s="198">
        <v>0.08</v>
      </c>
      <c r="D14" s="199">
        <f t="shared" si="0"/>
        <v>6.3E-2</v>
      </c>
      <c r="E14" s="200">
        <v>9.5000000000000001E-2</v>
      </c>
      <c r="F14" s="206">
        <f>'LE EIAData'!Z8</f>
        <v>6.233051070110027E-3</v>
      </c>
      <c r="G14" s="197">
        <f t="shared" si="1"/>
        <v>0.245</v>
      </c>
      <c r="H14" s="200">
        <v>0.12690371201440123</v>
      </c>
      <c r="I14" s="197">
        <f t="shared" si="2"/>
        <v>0.86939999999999995</v>
      </c>
      <c r="J14" s="200">
        <v>0.88900000000000001</v>
      </c>
      <c r="K14" s="197">
        <f>AT14</f>
        <v>3.3000000000000002E-2</v>
      </c>
      <c r="L14" s="200">
        <v>3.5000000000000003E-2</v>
      </c>
      <c r="M14" s="200">
        <v>3.5000000000000003E-2</v>
      </c>
      <c r="N14" s="197">
        <f t="shared" si="4"/>
        <v>6.233051070110027E-3</v>
      </c>
      <c r="O14" s="197">
        <f t="shared" si="5"/>
        <v>0.122</v>
      </c>
      <c r="P14" s="200"/>
      <c r="Q14" s="245">
        <f t="shared" si="6"/>
        <v>0.20399999999999999</v>
      </c>
      <c r="R14" s="200">
        <v>0.2044</v>
      </c>
      <c r="S14" s="197">
        <f>AZ14</f>
        <v>0.71299999999999997</v>
      </c>
      <c r="T14" s="200">
        <v>0.71230000000000004</v>
      </c>
      <c r="U14" s="206">
        <v>1</v>
      </c>
      <c r="V14" s="213">
        <f>'LE EIAData'!AU8-'LE Shares'!U14</f>
        <v>0.20001036640530767</v>
      </c>
      <c r="W14" s="200">
        <v>0.29870000000000002</v>
      </c>
      <c r="X14" s="197">
        <f>BD14</f>
        <v>0.35</v>
      </c>
      <c r="Y14" s="200">
        <v>0.06</v>
      </c>
      <c r="Z14" s="197">
        <f>BF14</f>
        <v>0.67</v>
      </c>
      <c r="AA14" s="200">
        <v>0.98</v>
      </c>
      <c r="AB14" s="197">
        <f>BH14</f>
        <v>0.88</v>
      </c>
      <c r="AC14" s="200">
        <v>0.98</v>
      </c>
      <c r="AD14" s="197">
        <f>BJ14</f>
        <v>0.77800000000000002</v>
      </c>
      <c r="AE14" s="200">
        <v>0.77749999999999997</v>
      </c>
      <c r="AF14" s="197">
        <f>'LE EIAData'!AY8</f>
        <v>3.4330023223032495</v>
      </c>
      <c r="AG14" s="200">
        <v>2.5160189803562911</v>
      </c>
      <c r="AH14" s="206">
        <f>'LE EIAData'!BA8</f>
        <v>0.46735524728588662</v>
      </c>
      <c r="AI14" s="200">
        <v>1</v>
      </c>
      <c r="AJ14" s="200">
        <v>1</v>
      </c>
      <c r="AK14" s="201"/>
      <c r="AL14" s="203">
        <v>0.17499999999999999</v>
      </c>
      <c r="AM14" s="203">
        <f>AL14-AL10</f>
        <v>-2.8999999999999998E-2</v>
      </c>
      <c r="AN14" s="178">
        <f t="shared" si="9"/>
        <v>9.9749999999999991E-2</v>
      </c>
      <c r="AO14" s="203">
        <f t="shared" si="10"/>
        <v>6.3E-2</v>
      </c>
      <c r="AP14" s="204">
        <v>0.245</v>
      </c>
      <c r="AR14" s="203">
        <f t="shared" ref="AR14:AR16" si="26">AR13+$AS$17/5</f>
        <v>0.86939999999999995</v>
      </c>
      <c r="AS14" s="203"/>
      <c r="AT14" s="203">
        <v>3.3000000000000002E-2</v>
      </c>
      <c r="AV14" s="203">
        <v>0.122</v>
      </c>
      <c r="AW14" s="203">
        <f>AV14-AV10</f>
        <v>1.9000000000000003E-2</v>
      </c>
      <c r="AX14" s="203">
        <v>0.20399999999999999</v>
      </c>
      <c r="AZ14" s="203">
        <v>0.71299999999999997</v>
      </c>
      <c r="BB14" s="211">
        <v>0.92</v>
      </c>
      <c r="BC14" s="211"/>
      <c r="BD14" s="203">
        <v>0.35</v>
      </c>
      <c r="BE14" s="211"/>
      <c r="BF14" s="203">
        <v>0.67</v>
      </c>
      <c r="BG14" s="211"/>
      <c r="BH14" s="203">
        <v>0.88</v>
      </c>
      <c r="BJ14" s="203">
        <v>0.77800000000000002</v>
      </c>
    </row>
    <row r="15" spans="1:65" x14ac:dyDescent="0.2">
      <c r="A15" s="196">
        <v>2008</v>
      </c>
      <c r="B15" s="197">
        <f t="shared" si="12"/>
        <v>0.1125408</v>
      </c>
      <c r="C15" s="198">
        <v>8.09E-2</v>
      </c>
      <c r="D15" s="199">
        <f t="shared" si="0"/>
        <v>7.10784E-2</v>
      </c>
      <c r="E15" s="200">
        <v>9.5399999999999999E-2</v>
      </c>
      <c r="F15" s="206">
        <f>'LE EIAData'!Z9</f>
        <v>7.3903379176677459E-3</v>
      </c>
      <c r="G15" s="197">
        <f t="shared" si="1"/>
        <v>0.24</v>
      </c>
      <c r="H15" s="200">
        <v>0.12547646885374325</v>
      </c>
      <c r="I15" s="197">
        <f t="shared" si="2"/>
        <v>0.87859999999999994</v>
      </c>
      <c r="J15" s="200">
        <v>0.88960000000000006</v>
      </c>
      <c r="K15" s="197">
        <f>AT15</f>
        <v>4.3000000000000003E-2</v>
      </c>
      <c r="L15" s="200">
        <v>3.5400000000000001E-2</v>
      </c>
      <c r="M15" s="200">
        <v>3.5400000000000001E-2</v>
      </c>
      <c r="N15" s="197">
        <f t="shared" si="4"/>
        <v>7.3903379176677459E-3</v>
      </c>
      <c r="O15" s="197">
        <f t="shared" si="5"/>
        <v>0.107</v>
      </c>
      <c r="P15" s="200"/>
      <c r="Q15" s="245">
        <f t="shared" si="6"/>
        <v>0.23099999999999998</v>
      </c>
      <c r="R15" s="200">
        <v>0.2054</v>
      </c>
      <c r="S15" s="197">
        <f>AZ15</f>
        <v>0.70899999999999996</v>
      </c>
      <c r="T15" s="200">
        <v>0.71430000000000005</v>
      </c>
      <c r="U15" s="206">
        <v>1</v>
      </c>
      <c r="V15" s="213">
        <f>'LE EIAData'!AU9-'LE Shares'!U15</f>
        <v>0.19988814331970906</v>
      </c>
      <c r="W15" s="200">
        <v>0.2989</v>
      </c>
      <c r="X15" s="197">
        <f>BD15</f>
        <v>0.35666666666666663</v>
      </c>
      <c r="Y15" s="200">
        <v>0.06</v>
      </c>
      <c r="Z15" s="197">
        <f>BF15</f>
        <v>0.69000000000000006</v>
      </c>
      <c r="AA15" s="200">
        <v>0.98</v>
      </c>
      <c r="AB15" s="197">
        <f>BH15</f>
        <v>0.89666666666666672</v>
      </c>
      <c r="AC15" s="200">
        <v>0.98</v>
      </c>
      <c r="AD15" s="197">
        <f>BJ15</f>
        <v>0.77233333333333332</v>
      </c>
      <c r="AE15" s="200">
        <v>0.77899999999999991</v>
      </c>
      <c r="AF15" s="197">
        <f>'LE EIAData'!AY9</f>
        <v>3.6187536331052601</v>
      </c>
      <c r="AG15" s="200">
        <v>2.5506104301129255</v>
      </c>
      <c r="AH15" s="206">
        <f>'LE EIAData'!BA9</f>
        <v>0.46494331255122562</v>
      </c>
      <c r="AI15" s="200">
        <v>1</v>
      </c>
      <c r="AJ15" s="200">
        <v>1</v>
      </c>
      <c r="AK15" s="201"/>
      <c r="AL15" s="203">
        <f>AL14+$AM$17*0.33</f>
        <v>0.19744</v>
      </c>
      <c r="AN15" s="178">
        <f t="shared" si="9"/>
        <v>0.1125408</v>
      </c>
      <c r="AO15" s="203">
        <f t="shared" si="10"/>
        <v>7.10784E-2</v>
      </c>
      <c r="AP15" s="204">
        <f>AP14+$AQ$17/3</f>
        <v>0.24</v>
      </c>
      <c r="AR15" s="203">
        <f t="shared" si="26"/>
        <v>0.87859999999999994</v>
      </c>
      <c r="AT15" s="210">
        <f>AT14+$AU$17/3</f>
        <v>4.3000000000000003E-2</v>
      </c>
      <c r="AV15" s="210">
        <f>AV14+AW$17/3</f>
        <v>0.107</v>
      </c>
      <c r="AX15" s="203">
        <f>AX14+$AY$17/3</f>
        <v>0.23099999999999998</v>
      </c>
      <c r="AZ15" s="203">
        <f>AZ14+BA$17/3</f>
        <v>0.70899999999999996</v>
      </c>
      <c r="BB15" s="203">
        <f>BB14+BC$17/3</f>
        <v>0.94000000000000006</v>
      </c>
      <c r="BD15" s="203">
        <f>BD14+BE$17/3</f>
        <v>0.35666666666666663</v>
      </c>
      <c r="BF15" s="203">
        <f>BF14+BG$17/3</f>
        <v>0.69000000000000006</v>
      </c>
      <c r="BH15" s="203">
        <f>BH14+BI$17/3</f>
        <v>0.89666666666666672</v>
      </c>
      <c r="BJ15" s="203">
        <f>BJ14+BK$17/3</f>
        <v>0.77233333333333332</v>
      </c>
    </row>
    <row r="16" spans="1:65" x14ac:dyDescent="0.2">
      <c r="A16" s="196">
        <v>2009</v>
      </c>
      <c r="B16" s="197">
        <f t="shared" si="12"/>
        <v>0.12533159999999999</v>
      </c>
      <c r="C16" s="198">
        <v>8.1799999999999998E-2</v>
      </c>
      <c r="D16" s="199">
        <f t="shared" si="0"/>
        <v>7.9156799999999999E-2</v>
      </c>
      <c r="E16" s="200">
        <v>9.5799999999999996E-2</v>
      </c>
      <c r="F16" s="206">
        <f>'LE EIAData'!Z10</f>
        <v>8.7196207872700122E-3</v>
      </c>
      <c r="G16" s="197">
        <f t="shared" si="1"/>
        <v>0.23499999999999999</v>
      </c>
      <c r="H16" s="200">
        <v>0.12411841039029452</v>
      </c>
      <c r="I16" s="197">
        <f t="shared" si="2"/>
        <v>0.88779999999999992</v>
      </c>
      <c r="J16" s="200">
        <v>0.8902000000000001</v>
      </c>
      <c r="K16" s="197">
        <f>AT16</f>
        <v>5.3000000000000005E-2</v>
      </c>
      <c r="L16" s="200">
        <v>3.5799999999999998E-2</v>
      </c>
      <c r="M16" s="200">
        <v>3.5799999999999998E-2</v>
      </c>
      <c r="N16" s="197">
        <f t="shared" si="4"/>
        <v>8.7196207872700122E-3</v>
      </c>
      <c r="O16" s="197">
        <f t="shared" si="5"/>
        <v>9.1999999999999998E-2</v>
      </c>
      <c r="P16" s="200">
        <v>0.12519999999999998</v>
      </c>
      <c r="Q16" s="245">
        <f>AX16</f>
        <v>0.25800000000000001</v>
      </c>
      <c r="R16" s="200">
        <v>0.2064</v>
      </c>
      <c r="S16" s="197">
        <f>AZ16</f>
        <v>0.70499999999999996</v>
      </c>
      <c r="T16" s="200">
        <v>0.71630000000000005</v>
      </c>
      <c r="U16" s="206">
        <v>1</v>
      </c>
      <c r="V16" s="213">
        <f>'LE EIAData'!AU10-'LE Shares'!U16</f>
        <v>0.20000733814452198</v>
      </c>
      <c r="W16" s="200">
        <v>0.29909999999999998</v>
      </c>
      <c r="X16" s="197">
        <f>BD16</f>
        <v>0.36333333333333329</v>
      </c>
      <c r="Y16" s="200">
        <v>0.06</v>
      </c>
      <c r="Z16" s="197">
        <f>BF16</f>
        <v>0.71000000000000008</v>
      </c>
      <c r="AA16" s="200">
        <v>0.98</v>
      </c>
      <c r="AB16" s="197">
        <f>BH16</f>
        <v>0.91333333333333344</v>
      </c>
      <c r="AC16" s="200">
        <v>0.98</v>
      </c>
      <c r="AD16" s="197">
        <f>BJ16</f>
        <v>0.76666666666666661</v>
      </c>
      <c r="AE16" s="200">
        <v>0.78049999999999986</v>
      </c>
      <c r="AF16" s="197">
        <f>'LE EIAData'!AY10</f>
        <v>3.7181906957972188</v>
      </c>
      <c r="AG16" s="200">
        <v>2.5855979656604848</v>
      </c>
      <c r="AH16" s="206">
        <f>'LE EIAData'!BA10</f>
        <v>0.4624161405311123</v>
      </c>
      <c r="AI16" s="200">
        <v>1</v>
      </c>
      <c r="AJ16" s="200">
        <v>1</v>
      </c>
      <c r="AK16" s="201"/>
      <c r="AL16" s="203">
        <f>AL15+$AM$17*0.33</f>
        <v>0.21988000000000002</v>
      </c>
      <c r="AN16" s="178">
        <f t="shared" si="9"/>
        <v>0.12533159999999999</v>
      </c>
      <c r="AO16" s="203">
        <f t="shared" si="10"/>
        <v>7.9156799999999999E-2</v>
      </c>
      <c r="AP16" s="204">
        <f>AP15+$AQ$17/3</f>
        <v>0.23499999999999999</v>
      </c>
      <c r="AR16" s="203">
        <f t="shared" si="26"/>
        <v>0.88779999999999992</v>
      </c>
      <c r="AT16" s="210">
        <f>AT15+$AU$17/3</f>
        <v>5.3000000000000005E-2</v>
      </c>
      <c r="AV16" s="210">
        <f>AV15+AW$17/3</f>
        <v>9.1999999999999998E-2</v>
      </c>
      <c r="AX16" s="203">
        <f>AX15+$AY$17/3</f>
        <v>0.25800000000000001</v>
      </c>
      <c r="AZ16" s="203">
        <f>AZ15+BA$17/3</f>
        <v>0.70499999999999996</v>
      </c>
      <c r="BB16" s="203">
        <f>BB15+BC$17/3</f>
        <v>0.96000000000000008</v>
      </c>
      <c r="BD16" s="203">
        <f>BD15+BE$17/3</f>
        <v>0.36333333333333329</v>
      </c>
      <c r="BF16" s="203">
        <f>BF15+BG$17/3</f>
        <v>0.71000000000000008</v>
      </c>
      <c r="BH16" s="203">
        <f>BH15+BI$17/3</f>
        <v>0.91333333333333344</v>
      </c>
      <c r="BJ16" s="203">
        <f>BJ15+BK$17/3</f>
        <v>0.76666666666666661</v>
      </c>
    </row>
    <row r="17" spans="1:63" x14ac:dyDescent="0.2">
      <c r="A17" s="196">
        <v>2010</v>
      </c>
      <c r="B17" s="197">
        <f t="shared" si="12"/>
        <v>0.13850999999999999</v>
      </c>
      <c r="C17" s="198">
        <v>8.2699999999999996E-2</v>
      </c>
      <c r="D17" s="199">
        <f t="shared" si="0"/>
        <v>8.7479999999999988E-2</v>
      </c>
      <c r="E17" s="200">
        <v>9.6199999999999994E-2</v>
      </c>
      <c r="F17" s="206">
        <f>'LE EIAData'!Z11</f>
        <v>1.069902719252684E-2</v>
      </c>
      <c r="G17" s="197">
        <f t="shared" si="1"/>
        <v>0.23</v>
      </c>
      <c r="H17" s="200">
        <v>0.12278490285457273</v>
      </c>
      <c r="I17" s="197">
        <f t="shared" si="2"/>
        <v>0.89700000000000002</v>
      </c>
      <c r="J17" s="200">
        <v>0.89080000000000015</v>
      </c>
      <c r="K17" s="197">
        <f>AT17</f>
        <v>6.3E-2</v>
      </c>
      <c r="L17" s="200">
        <v>3.6199999999999996E-2</v>
      </c>
      <c r="M17" s="200">
        <v>3.6199999999999996E-2</v>
      </c>
      <c r="N17" s="197">
        <f t="shared" si="4"/>
        <v>1.069902719252684E-2</v>
      </c>
      <c r="O17" s="197">
        <f t="shared" si="5"/>
        <v>7.6999999999999999E-2</v>
      </c>
      <c r="P17" s="200">
        <v>0.12379999999999998</v>
      </c>
      <c r="Q17" s="245">
        <f>AX17</f>
        <v>0.28499999999999998</v>
      </c>
      <c r="R17" s="200">
        <v>0.2074</v>
      </c>
      <c r="S17" s="197">
        <f>AZ17</f>
        <v>0.70099999999999996</v>
      </c>
      <c r="T17" s="200">
        <v>0.71830000000000005</v>
      </c>
      <c r="U17" s="206">
        <v>1</v>
      </c>
      <c r="V17" s="213">
        <f>'LE EIAData'!AU11-'LE Shares'!U17</f>
        <v>0.20030003776972305</v>
      </c>
      <c r="W17" s="200">
        <v>0.29929999999999995</v>
      </c>
      <c r="X17" s="197">
        <f>BD17</f>
        <v>0.37</v>
      </c>
      <c r="Y17" s="200">
        <v>0.06</v>
      </c>
      <c r="Z17" s="197">
        <f>BF17</f>
        <v>0.73</v>
      </c>
      <c r="AA17" s="200">
        <v>0.98</v>
      </c>
      <c r="AB17" s="197">
        <f>BH17</f>
        <v>0.93</v>
      </c>
      <c r="AC17" s="200">
        <v>0.98</v>
      </c>
      <c r="AD17" s="197">
        <f>BJ17</f>
        <v>0.76100000000000001</v>
      </c>
      <c r="AE17" s="200">
        <v>0.78199999999999981</v>
      </c>
      <c r="AF17" s="197">
        <f>'LE EIAData'!AY11</f>
        <v>3.7724349085967126</v>
      </c>
      <c r="AG17" s="200">
        <v>2.6210351706170574</v>
      </c>
      <c r="AH17" s="206">
        <f>'LE EIAData'!BA11</f>
        <v>0.45888428126783531</v>
      </c>
      <c r="AI17" s="200">
        <v>1</v>
      </c>
      <c r="AJ17" s="200">
        <v>1</v>
      </c>
      <c r="AK17" s="201"/>
      <c r="AL17" s="203">
        <v>0.24299999999999999</v>
      </c>
      <c r="AM17" s="203">
        <f>AL17-AL14</f>
        <v>6.8000000000000005E-2</v>
      </c>
      <c r="AN17" s="178">
        <f>AL17*0.57</f>
        <v>0.13850999999999999</v>
      </c>
      <c r="AO17" s="203">
        <f>36%*AL17</f>
        <v>8.7479999999999988E-2</v>
      </c>
      <c r="AP17" s="203">
        <v>0.23</v>
      </c>
      <c r="AQ17" s="179">
        <f>AP17-AP14</f>
        <v>-1.4999999999999986E-2</v>
      </c>
      <c r="AR17" s="203">
        <v>0.89700000000000002</v>
      </c>
      <c r="AS17" s="203">
        <f>AR17-AR12</f>
        <v>4.6000000000000041E-2</v>
      </c>
      <c r="AT17" s="203">
        <v>6.3E-2</v>
      </c>
      <c r="AU17" s="203">
        <f>AT17-AT14</f>
        <v>0.03</v>
      </c>
      <c r="AV17" s="203">
        <v>7.6999999999999999E-2</v>
      </c>
      <c r="AW17" s="203">
        <f>AV17-AV14</f>
        <v>-4.4999999999999998E-2</v>
      </c>
      <c r="AX17" s="203">
        <v>0.28499999999999998</v>
      </c>
      <c r="AY17" s="203">
        <f>AX17-AX14</f>
        <v>8.0999999999999989E-2</v>
      </c>
      <c r="AZ17" s="203">
        <v>0.70099999999999996</v>
      </c>
      <c r="BA17" s="203">
        <f>AZ17-AZ14</f>
        <v>-1.2000000000000011E-2</v>
      </c>
      <c r="BB17" s="203">
        <v>0.98</v>
      </c>
      <c r="BC17" s="203">
        <f>BB17-BB14</f>
        <v>5.9999999999999942E-2</v>
      </c>
      <c r="BD17" s="203">
        <v>0.37</v>
      </c>
      <c r="BE17" s="203">
        <f>BD17-BD14</f>
        <v>2.0000000000000018E-2</v>
      </c>
      <c r="BF17" s="203">
        <v>0.73</v>
      </c>
      <c r="BG17" s="203">
        <f>BF17-BF14</f>
        <v>5.9999999999999942E-2</v>
      </c>
      <c r="BH17" s="203">
        <v>0.93</v>
      </c>
      <c r="BI17" s="203">
        <f>BH17-BH14</f>
        <v>5.0000000000000044E-2</v>
      </c>
      <c r="BJ17" s="203">
        <v>0.76100000000000001</v>
      </c>
      <c r="BK17" s="203">
        <f>BJ17-BJ14</f>
        <v>-1.7000000000000015E-2</v>
      </c>
    </row>
    <row r="18" spans="1:63" x14ac:dyDescent="0.2">
      <c r="A18" s="196">
        <v>2011</v>
      </c>
      <c r="B18" s="206">
        <f>(B17+'LE EIAData'!W12/3)</f>
        <v>0.13549148884110335</v>
      </c>
      <c r="C18" s="198">
        <v>8.3599999999999994E-2</v>
      </c>
      <c r="D18" s="206">
        <f>(D17+'LE EIAData'!Y12/4)</f>
        <v>9.5043818952900191E-2</v>
      </c>
      <c r="E18" s="200">
        <v>9.6599999999999991E-2</v>
      </c>
      <c r="F18" s="206">
        <f>'LE EIAData'!Z12</f>
        <v>1.2737804952839712E-2</v>
      </c>
      <c r="G18" s="206">
        <f>(G17+'LE EIAData'!AC12/3)</f>
        <v>0.22498117571602094</v>
      </c>
      <c r="H18" s="200">
        <v>0.12147403950865435</v>
      </c>
      <c r="I18" s="206">
        <f>(I17+'LE EIAData'!AG12)</f>
        <v>0.89700837447182447</v>
      </c>
      <c r="J18" s="200">
        <v>0.89140000000000019</v>
      </c>
      <c r="K18" s="206">
        <f>(K17+'LE EIAData'!AI12/5)</f>
        <v>6.9051055162320157E-2</v>
      </c>
      <c r="L18" s="200">
        <v>3.6599999999999994E-2</v>
      </c>
      <c r="M18" s="200">
        <v>3.6599999999999994E-2</v>
      </c>
      <c r="N18" s="197">
        <f t="shared" si="4"/>
        <v>1.2737804952839712E-2</v>
      </c>
      <c r="O18" s="213">
        <f>O17-0.05%</f>
        <v>7.6499999999999999E-2</v>
      </c>
      <c r="P18" s="200">
        <v>0.12239999999999998</v>
      </c>
      <c r="Q18" s="206">
        <f>(Q17+'LE EIAData'!AP12/3)</f>
        <v>0.28631516526359035</v>
      </c>
      <c r="R18" s="200">
        <v>0.2084</v>
      </c>
      <c r="S18" s="206">
        <f>(S17+'LE EIAData'!AR12)</f>
        <v>0.70282366864245394</v>
      </c>
      <c r="T18" s="200">
        <v>0.72030000000000005</v>
      </c>
      <c r="U18" s="206">
        <v>1</v>
      </c>
      <c r="V18" s="213">
        <f>'LE EIAData'!AU12-'LE Shares'!U18</f>
        <v>0.20070055136446419</v>
      </c>
      <c r="W18" s="200">
        <v>0.29949999999999993</v>
      </c>
      <c r="X18" s="206">
        <f>(X17+'LE EIAData'!AX12)</f>
        <v>0.37078802797375177</v>
      </c>
      <c r="Y18" s="200">
        <v>0.06</v>
      </c>
      <c r="Z18" s="206">
        <f>(Z17+'LE EIAData'!AN12)</f>
        <v>0.73752509676667888</v>
      </c>
      <c r="AA18" s="200">
        <v>0.98</v>
      </c>
      <c r="AB18" s="206">
        <f>(AB17+'LE EIAData'!AL12)</f>
        <v>0.93129849211501392</v>
      </c>
      <c r="AC18" s="200">
        <v>0.98</v>
      </c>
      <c r="AD18" s="206">
        <f>(AD17+'LE EIAData'!AT12)</f>
        <v>0.76397283943768912</v>
      </c>
      <c r="AE18" s="200">
        <v>0.78349999999999975</v>
      </c>
      <c r="AF18" s="197">
        <f>'LE EIAData'!AY12</f>
        <v>3.7540896849627461</v>
      </c>
      <c r="AG18" s="200">
        <v>2.6438468624927269</v>
      </c>
      <c r="AH18" s="206">
        <f>'LE EIAData'!BA12</f>
        <v>0.45539876728207929</v>
      </c>
      <c r="AI18" s="200">
        <v>1</v>
      </c>
      <c r="AJ18" s="200">
        <v>1</v>
      </c>
      <c r="AK18" s="201"/>
    </row>
    <row r="19" spans="1:63" x14ac:dyDescent="0.2">
      <c r="A19" s="196">
        <v>2012</v>
      </c>
      <c r="B19" s="206">
        <f>(B18+'LE EIAData'!W13/3)</f>
        <v>0.13334015574274785</v>
      </c>
      <c r="C19" s="198">
        <v>8.4499999999999992E-2</v>
      </c>
      <c r="D19" s="206">
        <f>(D18+'LE EIAData'!Y13/4)</f>
        <v>0.10026058253991636</v>
      </c>
      <c r="E19" s="200">
        <v>9.6999999999999989E-2</v>
      </c>
      <c r="F19" s="206">
        <f>'LE EIAData'!Z13</f>
        <v>1.4208288026699448E-2</v>
      </c>
      <c r="G19" s="206">
        <f>(G18+'LE EIAData'!AC13/3)</f>
        <v>0.2213120461922414</v>
      </c>
      <c r="H19" s="200">
        <v>0.12016355341179324</v>
      </c>
      <c r="I19" s="206">
        <f>(I18+'LE EIAData'!AG13)</f>
        <v>0.89862364556369778</v>
      </c>
      <c r="J19" s="200">
        <v>0.89200000000000024</v>
      </c>
      <c r="K19" s="206">
        <f>(K18+'LE EIAData'!AI13/5)</f>
        <v>7.3224466031933097E-2</v>
      </c>
      <c r="L19" s="200">
        <v>3.6999999999999991E-2</v>
      </c>
      <c r="M19" s="200">
        <v>3.6999999999999991E-2</v>
      </c>
      <c r="N19" s="197">
        <f t="shared" si="4"/>
        <v>1.4208288026699448E-2</v>
      </c>
      <c r="O19" s="213">
        <f t="shared" ref="O19:O49" si="27">O18-0.05%</f>
        <v>7.5999999999999998E-2</v>
      </c>
      <c r="P19" s="200">
        <v>0.12099999999999998</v>
      </c>
      <c r="Q19" s="206">
        <f>(Q18+'LE EIAData'!AP13/3)</f>
        <v>0.28744493923844422</v>
      </c>
      <c r="R19" s="200">
        <v>0.2094</v>
      </c>
      <c r="S19" s="206">
        <f>(S18+'LE EIAData'!AR13)</f>
        <v>0.70442772659799602</v>
      </c>
      <c r="T19" s="200">
        <v>0.72230000000000005</v>
      </c>
      <c r="U19" s="206">
        <v>1</v>
      </c>
      <c r="V19" s="213">
        <f>'LE EIAData'!AU13-'LE Shares'!U19</f>
        <v>0.20098312261503404</v>
      </c>
      <c r="W19" s="200">
        <v>0.29969999999999991</v>
      </c>
      <c r="X19" s="206">
        <f>(X18+'LE EIAData'!AX13)</f>
        <v>0.37143943942887281</v>
      </c>
      <c r="Y19" s="200">
        <v>0.06</v>
      </c>
      <c r="Z19" s="206">
        <f>(Z18+'LE EIAData'!AN13)</f>
        <v>0.74364190924231499</v>
      </c>
      <c r="AA19" s="200">
        <v>0.98</v>
      </c>
      <c r="AB19" s="206">
        <f>(AB18+'LE EIAData'!AL13)</f>
        <v>0.9322154676665354</v>
      </c>
      <c r="AC19" s="200">
        <v>0.98</v>
      </c>
      <c r="AD19" s="206">
        <f>(AD18+'LE EIAData'!AT13)</f>
        <v>0.76634235231208325</v>
      </c>
      <c r="AE19" s="200">
        <v>0.78500000000000003</v>
      </c>
      <c r="AF19" s="197">
        <f>'LE EIAData'!AY13</f>
        <v>3.7108112717206874</v>
      </c>
      <c r="AG19" s="200">
        <v>2.6668302857397279</v>
      </c>
      <c r="AH19" s="206">
        <f>'LE EIAData'!BA13</f>
        <v>0.45288641151082759</v>
      </c>
      <c r="AI19" s="200">
        <v>1</v>
      </c>
      <c r="AJ19" s="200">
        <v>1</v>
      </c>
      <c r="AK19" s="201"/>
    </row>
    <row r="20" spans="1:63" x14ac:dyDescent="0.2">
      <c r="A20" s="196">
        <v>2013</v>
      </c>
      <c r="B20" s="206">
        <f>(B19+'LE EIAData'!W14/3)</f>
        <v>0.13111224944712874</v>
      </c>
      <c r="C20" s="198">
        <v>8.539999999999999E-2</v>
      </c>
      <c r="D20" s="206">
        <f>(D19+'LE EIAData'!Y14/4)</f>
        <v>0.10564547986234889</v>
      </c>
      <c r="E20" s="200">
        <v>9.7399999999999987E-2</v>
      </c>
      <c r="F20" s="206">
        <f>'LE EIAData'!Z14</f>
        <v>1.572797857242322E-2</v>
      </c>
      <c r="G20" s="206">
        <f>(G19+'LE EIAData'!AC14/3)</f>
        <v>0.21740268015059128</v>
      </c>
      <c r="H20" s="200">
        <v>0.11886615691393025</v>
      </c>
      <c r="I20" s="206">
        <f>(I19+'LE EIAData'!AG14)</f>
        <v>0.89990590061877662</v>
      </c>
      <c r="J20" s="200">
        <v>0.89260000000000028</v>
      </c>
      <c r="K20" s="206">
        <f>(K19+'LE EIAData'!AI14/5)</f>
        <v>7.7532383889879111E-2</v>
      </c>
      <c r="L20" s="200">
        <v>3.7399999999999989E-2</v>
      </c>
      <c r="M20" s="200">
        <v>3.7399999999999989E-2</v>
      </c>
      <c r="N20" s="197">
        <f t="shared" si="4"/>
        <v>1.572797857242322E-2</v>
      </c>
      <c r="O20" s="213">
        <f t="shared" si="27"/>
        <v>7.5499999999999998E-2</v>
      </c>
      <c r="P20" s="200">
        <v>0.11959999999999998</v>
      </c>
      <c r="Q20" s="206">
        <f>(Q19+'LE EIAData'!AP14/3)</f>
        <v>0.28854416997486287</v>
      </c>
      <c r="R20" s="200">
        <v>0.2104</v>
      </c>
      <c r="S20" s="206">
        <f>(S19+'LE EIAData'!AR14)</f>
        <v>0.70605488871346822</v>
      </c>
      <c r="T20" s="200">
        <v>0.72430000000000005</v>
      </c>
      <c r="U20" s="206">
        <v>1</v>
      </c>
      <c r="V20" s="213">
        <f>'LE EIAData'!AU14-'LE Shares'!U20</f>
        <v>0.20124338845658984</v>
      </c>
      <c r="W20" s="200">
        <v>0.29989999999999989</v>
      </c>
      <c r="X20" s="206">
        <f>(X19+'LE EIAData'!AX14)</f>
        <v>0.37204111889528668</v>
      </c>
      <c r="Y20" s="200">
        <v>0.06</v>
      </c>
      <c r="Z20" s="206">
        <f>(Z19+'LE EIAData'!AN14)</f>
        <v>0.7500265877402692</v>
      </c>
      <c r="AA20" s="200">
        <v>0.98</v>
      </c>
      <c r="AB20" s="206">
        <f>(AB19+'LE EIAData'!AL14)</f>
        <v>0.93320550043099526</v>
      </c>
      <c r="AC20" s="200">
        <v>0.98</v>
      </c>
      <c r="AD20" s="206">
        <f>(AD19+'LE EIAData'!AT14)</f>
        <v>0.76873872861512493</v>
      </c>
      <c r="AE20" s="200">
        <v>0.78649999999999964</v>
      </c>
      <c r="AF20" s="197">
        <f>'LE EIAData'!AY14</f>
        <v>3.6523192892257792</v>
      </c>
      <c r="AG20" s="200">
        <v>2.6899885368410881</v>
      </c>
      <c r="AH20" s="206">
        <f>'LE EIAData'!BA14</f>
        <v>0.45022114069521663</v>
      </c>
      <c r="AI20" s="200">
        <v>1</v>
      </c>
      <c r="AJ20" s="200">
        <v>1</v>
      </c>
      <c r="AK20" s="201"/>
    </row>
    <row r="21" spans="1:63" x14ac:dyDescent="0.2">
      <c r="A21" s="196">
        <v>2014</v>
      </c>
      <c r="B21" s="206">
        <f>(B20+'LE EIAData'!W15/3)</f>
        <v>0.12913127678804623</v>
      </c>
      <c r="C21" s="198">
        <v>8.6299999999999988E-2</v>
      </c>
      <c r="D21" s="206">
        <f>(D20+'LE EIAData'!Y15/4)</f>
        <v>0.110498094493283</v>
      </c>
      <c r="E21" s="200">
        <v>9.7799999999999984E-2</v>
      </c>
      <c r="F21" s="206">
        <f>'LE EIAData'!Z15</f>
        <v>1.7104685209836566E-2</v>
      </c>
      <c r="G21" s="206">
        <f>(G20+'LE EIAData'!AC15/3)</f>
        <v>0.21375119585130109</v>
      </c>
      <c r="H21" s="200">
        <v>0.11759383100621768</v>
      </c>
      <c r="I21" s="206">
        <f>(I20+'LE EIAData'!AG15)</f>
        <v>0.90146545265931377</v>
      </c>
      <c r="J21" s="200">
        <v>0.89320000000000033</v>
      </c>
      <c r="K21" s="206">
        <f>(K20+'LE EIAData'!AI15/5)</f>
        <v>8.1414475594626404E-2</v>
      </c>
      <c r="L21" s="200">
        <v>3.7799999999999986E-2</v>
      </c>
      <c r="M21" s="200">
        <v>3.7799999999999986E-2</v>
      </c>
      <c r="N21" s="197">
        <f t="shared" si="4"/>
        <v>1.7104685209836566E-2</v>
      </c>
      <c r="O21" s="213">
        <f t="shared" si="27"/>
        <v>7.4999999999999997E-2</v>
      </c>
      <c r="P21" s="200">
        <v>0.11819999999999999</v>
      </c>
      <c r="Q21" s="206">
        <f>(Q20+'LE EIAData'!AP15/3)</f>
        <v>0.28958301230824129</v>
      </c>
      <c r="R21" s="200">
        <v>0.2114</v>
      </c>
      <c r="S21" s="206">
        <f>(S20+'LE EIAData'!AR15)</f>
        <v>0.70763847363301979</v>
      </c>
      <c r="T21" s="200">
        <v>0.72630000000000006</v>
      </c>
      <c r="U21" s="206">
        <v>1</v>
      </c>
      <c r="V21" s="213">
        <f>'LE EIAData'!AU15-'LE Shares'!U21</f>
        <v>0.20142951602151671</v>
      </c>
      <c r="W21" s="200">
        <v>0.30009999999999987</v>
      </c>
      <c r="X21" s="206">
        <f>(X20+'LE EIAData'!AX15)</f>
        <v>0.3724963808572469</v>
      </c>
      <c r="Y21" s="200">
        <v>0.06</v>
      </c>
      <c r="Z21" s="206">
        <f>(Z20+'LE EIAData'!AN15)</f>
        <v>0.75611426615745714</v>
      </c>
      <c r="AA21" s="200">
        <v>0.98</v>
      </c>
      <c r="AB21" s="206">
        <f>(AB20+'LE EIAData'!AL15)</f>
        <v>0.93412326233275988</v>
      </c>
      <c r="AC21" s="200">
        <v>0.98</v>
      </c>
      <c r="AD21" s="206">
        <f>(AD20+'LE EIAData'!AT15)</f>
        <v>0.77094935062101111</v>
      </c>
      <c r="AE21" s="200">
        <v>0.78799999999999959</v>
      </c>
      <c r="AF21" s="197">
        <f>'LE EIAData'!AY15</f>
        <v>3.5923687844607062</v>
      </c>
      <c r="AG21" s="200">
        <v>2.7133309051619166</v>
      </c>
      <c r="AH21" s="206">
        <f>'LE EIAData'!BA15</f>
        <v>0.44771376316124029</v>
      </c>
      <c r="AI21" s="200">
        <v>1</v>
      </c>
      <c r="AJ21" s="200">
        <v>1</v>
      </c>
      <c r="AK21" s="201"/>
    </row>
    <row r="22" spans="1:63" x14ac:dyDescent="0.2">
      <c r="A22" s="196">
        <v>2015</v>
      </c>
      <c r="B22" s="206">
        <f>(B21+'LE EIAData'!W16/3)</f>
        <v>0.12732775936191343</v>
      </c>
      <c r="C22" s="198">
        <v>8.7199999999999986E-2</v>
      </c>
      <c r="D22" s="206">
        <f>(D21+'LE EIAData'!Y16/4)</f>
        <v>0.11497979346360525</v>
      </c>
      <c r="E22" s="200">
        <v>9.8199999999999982E-2</v>
      </c>
      <c r="F22" s="206">
        <f>'LE EIAData'!Z16</f>
        <v>1.8508759337164706E-2</v>
      </c>
      <c r="G22" s="206">
        <f>(G21+'LE EIAData'!AC16/3)</f>
        <v>0.21007728833812303</v>
      </c>
      <c r="H22" s="200">
        <v>0.1163444391863751</v>
      </c>
      <c r="I22" s="206">
        <f>(I21+'LE EIAData'!AG16)</f>
        <v>0.90321733993897335</v>
      </c>
      <c r="J22" s="200">
        <v>0.89380000000000037</v>
      </c>
      <c r="K22" s="206">
        <f>(K21+'LE EIAData'!AI16/5)</f>
        <v>8.49998347708842E-2</v>
      </c>
      <c r="L22" s="200">
        <v>3.8199999999999984E-2</v>
      </c>
      <c r="M22" s="200">
        <v>3.8199999999999984E-2</v>
      </c>
      <c r="N22" s="197">
        <f t="shared" si="4"/>
        <v>1.8508759337164706E-2</v>
      </c>
      <c r="O22" s="213">
        <f t="shared" si="27"/>
        <v>7.4499999999999997E-2</v>
      </c>
      <c r="P22" s="200">
        <v>0.11679999999999999</v>
      </c>
      <c r="Q22" s="206">
        <f>(Q21+'LE EIAData'!AP16/3)</f>
        <v>0.29051394572818756</v>
      </c>
      <c r="R22" s="200">
        <v>0.21240000000000001</v>
      </c>
      <c r="S22" s="206">
        <f>(S21+'LE EIAData'!AR16)</f>
        <v>0.70918050430746382</v>
      </c>
      <c r="T22" s="200">
        <v>0.72830000000000006</v>
      </c>
      <c r="U22" s="206">
        <v>1</v>
      </c>
      <c r="V22" s="213">
        <f>'LE EIAData'!AU16-'LE Shares'!U22</f>
        <v>0.20153079603314916</v>
      </c>
      <c r="W22" s="200">
        <v>0.30029999999999984</v>
      </c>
      <c r="X22" s="206">
        <f>(X21+'LE EIAData'!AX16)</f>
        <v>0.3729542454560103</v>
      </c>
      <c r="Y22" s="200">
        <v>0.06</v>
      </c>
      <c r="Z22" s="206">
        <f>(Z21+'LE EIAData'!AN16)</f>
        <v>0.76232470776470351</v>
      </c>
      <c r="AA22" s="200">
        <v>0.98</v>
      </c>
      <c r="AB22" s="206">
        <f>(AB21+'LE EIAData'!AL16)</f>
        <v>0.93508636722603777</v>
      </c>
      <c r="AC22" s="200">
        <v>0.98</v>
      </c>
      <c r="AD22" s="206">
        <f>(AD21+'LE EIAData'!AT16)</f>
        <v>0.7731769545988324</v>
      </c>
      <c r="AE22" s="200">
        <v>0.78949999999999954</v>
      </c>
      <c r="AF22" s="197">
        <f>'LE EIAData'!AY16</f>
        <v>3.5405423867385979</v>
      </c>
      <c r="AG22" s="200">
        <v>2.7368456432640906</v>
      </c>
      <c r="AH22" s="206">
        <f>'LE EIAData'!BA16</f>
        <v>0.44520818068244222</v>
      </c>
      <c r="AI22" s="200">
        <v>1</v>
      </c>
      <c r="AJ22" s="200">
        <v>1</v>
      </c>
      <c r="AK22" s="201"/>
    </row>
    <row r="23" spans="1:63" x14ac:dyDescent="0.2">
      <c r="A23" s="196">
        <v>2016</v>
      </c>
      <c r="B23" s="206">
        <f>(B22+'LE EIAData'!W17/3)</f>
        <v>0.1257578551668542</v>
      </c>
      <c r="C23" s="198">
        <v>8.8099999999999984E-2</v>
      </c>
      <c r="D23" s="206">
        <f>(D22+'LE EIAData'!Y17/4)</f>
        <v>0.11911552165955895</v>
      </c>
      <c r="E23" s="200">
        <v>9.8599999999999979E-2</v>
      </c>
      <c r="F23" s="206">
        <f>'LE EIAData'!Z17</f>
        <v>1.989195343553897E-2</v>
      </c>
      <c r="G23" s="206">
        <f>(G22+'LE EIAData'!AC17/3)</f>
        <v>0.20642380432550736</v>
      </c>
      <c r="H23" s="200">
        <v>0.11511821404904395</v>
      </c>
      <c r="I23" s="206">
        <f>(I22+'LE EIAData'!AG17)</f>
        <v>0.90518868047117951</v>
      </c>
      <c r="J23" s="200">
        <v>0.89440000000000042</v>
      </c>
      <c r="K23" s="206">
        <f>(K22+'LE EIAData'!AI17/5)</f>
        <v>8.830841732764716E-2</v>
      </c>
      <c r="L23" s="200">
        <v>3.8599999999999982E-2</v>
      </c>
      <c r="M23" s="200">
        <v>3.8599999999999982E-2</v>
      </c>
      <c r="N23" s="197">
        <f t="shared" si="4"/>
        <v>1.989195343553897E-2</v>
      </c>
      <c r="O23" s="213">
        <f t="shared" si="27"/>
        <v>7.3999999999999996E-2</v>
      </c>
      <c r="P23" s="200">
        <v>0.11539999999999999</v>
      </c>
      <c r="Q23" s="206">
        <f>(Q22+'LE EIAData'!AP17/3)</f>
        <v>0.29140192380405922</v>
      </c>
      <c r="R23" s="200">
        <v>0.21340000000000001</v>
      </c>
      <c r="S23" s="206">
        <f>(S22+'LE EIAData'!AR17)</f>
        <v>0.70987818013982362</v>
      </c>
      <c r="T23" s="200">
        <v>0.73030000000000006</v>
      </c>
      <c r="U23" s="206">
        <v>1</v>
      </c>
      <c r="V23" s="213">
        <f>'LE EIAData'!AU17-'LE Shares'!U23</f>
        <v>0.2015255982320614</v>
      </c>
      <c r="W23" s="200">
        <v>0.30049999999999982</v>
      </c>
      <c r="X23" s="206">
        <f>(X22+'LE EIAData'!AX17)</f>
        <v>0.37335148707862686</v>
      </c>
      <c r="Y23" s="200">
        <v>0.06</v>
      </c>
      <c r="Z23" s="206">
        <f>(Z22+'LE EIAData'!AN17)</f>
        <v>0.76858668391784657</v>
      </c>
      <c r="AA23" s="200">
        <v>0.98</v>
      </c>
      <c r="AB23" s="206">
        <f>(AB22+'LE EIAData'!AL17)</f>
        <v>0.93608080427565332</v>
      </c>
      <c r="AC23" s="200">
        <v>0.98</v>
      </c>
      <c r="AD23" s="206">
        <f>(AD22+'LE EIAData'!AT17)</f>
        <v>0.77537147981336896</v>
      </c>
      <c r="AE23" s="200">
        <v>0.79099999999999948</v>
      </c>
      <c r="AF23" s="197">
        <f>'LE EIAData'!AY17</f>
        <v>3.502217197825948</v>
      </c>
      <c r="AG23" s="200">
        <v>2.7468118327668245</v>
      </c>
      <c r="AH23" s="206">
        <f>'LE EIAData'!BA17</f>
        <v>0.44269185777978121</v>
      </c>
      <c r="AI23" s="200">
        <v>1</v>
      </c>
      <c r="AJ23" s="200">
        <v>1</v>
      </c>
      <c r="AK23" s="201"/>
    </row>
    <row r="24" spans="1:63" x14ac:dyDescent="0.2">
      <c r="A24" s="196">
        <v>2017</v>
      </c>
      <c r="B24" s="206">
        <f>(B23+'LE EIAData'!W18/3)</f>
        <v>0.12439059079156083</v>
      </c>
      <c r="C24" s="198">
        <v>8.8999999999999982E-2</v>
      </c>
      <c r="D24" s="206">
        <f>(D23+'LE EIAData'!Y18/4)</f>
        <v>0.12300892774443466</v>
      </c>
      <c r="E24" s="200">
        <v>9.8999999999999977E-2</v>
      </c>
      <c r="F24" s="206">
        <f>'LE EIAData'!Z18</f>
        <v>2.1014463959570732E-2</v>
      </c>
      <c r="G24" s="206">
        <f>(G23+'LE EIAData'!AC18/3)</f>
        <v>0.20285684373589108</v>
      </c>
      <c r="H24" s="200">
        <v>0.11390777829782768</v>
      </c>
      <c r="I24" s="206">
        <f>(I23+'LE EIAData'!AG18)</f>
        <v>0.90745567007497008</v>
      </c>
      <c r="J24" s="200">
        <v>0.89500000000000002</v>
      </c>
      <c r="K24" s="206">
        <f>(K23+'LE EIAData'!AI18/5)</f>
        <v>9.142314219554773E-2</v>
      </c>
      <c r="L24" s="200">
        <v>3.8999999999999979E-2</v>
      </c>
      <c r="M24" s="200">
        <v>3.8999999999999979E-2</v>
      </c>
      <c r="N24" s="197">
        <f t="shared" si="4"/>
        <v>2.1014463959570732E-2</v>
      </c>
      <c r="O24" s="213">
        <f t="shared" si="27"/>
        <v>7.3499999999999996E-2</v>
      </c>
      <c r="P24" s="200">
        <v>0.11399999999999999</v>
      </c>
      <c r="Q24" s="206">
        <f>(Q23+'LE EIAData'!AP18/3)</f>
        <v>0.29225884502946664</v>
      </c>
      <c r="R24" s="200">
        <v>0.21440000000000001</v>
      </c>
      <c r="S24" s="206">
        <f>(S23+'LE EIAData'!AR18)</f>
        <v>0.71053640584825317</v>
      </c>
      <c r="T24" s="200">
        <v>0.73230000000000006</v>
      </c>
      <c r="U24" s="206">
        <v>1</v>
      </c>
      <c r="V24" s="213">
        <f>'LE EIAData'!AU18-'LE Shares'!U24</f>
        <v>0.20145338578457928</v>
      </c>
      <c r="W24" s="200">
        <v>0.3006999999999998</v>
      </c>
      <c r="X24" s="206">
        <f>(X23+'LE EIAData'!AX18)</f>
        <v>0.37364173684912727</v>
      </c>
      <c r="Y24" s="200">
        <v>0.06</v>
      </c>
      <c r="Z24" s="206">
        <f>(Z23+'LE EIAData'!AN18)</f>
        <v>0.77476624207166567</v>
      </c>
      <c r="AA24" s="200">
        <v>0.98</v>
      </c>
      <c r="AB24" s="206">
        <f>(AB23+'LE EIAData'!AL18)</f>
        <v>0.93706655408987272</v>
      </c>
      <c r="AC24" s="200">
        <v>0.98</v>
      </c>
      <c r="AD24" s="206">
        <f>(AD23+'LE EIAData'!AT18)</f>
        <v>0.77747374675734793</v>
      </c>
      <c r="AE24" s="200">
        <v>0.79249999999999943</v>
      </c>
      <c r="AF24" s="197">
        <f>'LE EIAData'!AY18</f>
        <v>3.4787727593963673</v>
      </c>
      <c r="AG24" s="200">
        <v>2.7567854743232942</v>
      </c>
      <c r="AH24" s="206">
        <f>'LE EIAData'!BA18</f>
        <v>0.44011586589865115</v>
      </c>
      <c r="AI24" s="200">
        <v>1</v>
      </c>
      <c r="AJ24" s="200">
        <v>1</v>
      </c>
      <c r="AK24" s="201"/>
    </row>
    <row r="25" spans="1:63" x14ac:dyDescent="0.2">
      <c r="A25" s="196">
        <v>2018</v>
      </c>
      <c r="B25" s="206">
        <f>(B24+'LE EIAData'!W19/3)</f>
        <v>0.12316058786835582</v>
      </c>
      <c r="C25" s="198">
        <v>8.989999999999998E-2</v>
      </c>
      <c r="D25" s="206">
        <f>(D24+'LE EIAData'!Y19/4)</f>
        <v>0.12668228929867098</v>
      </c>
      <c r="E25" s="200">
        <v>9.9399999999999974E-2</v>
      </c>
      <c r="F25" s="206">
        <f>'LE EIAData'!Z19</f>
        <v>2.2008539311171943E-2</v>
      </c>
      <c r="G25" s="206">
        <f>(G24+'LE EIAData'!AC19/3)</f>
        <v>0.19937016023047172</v>
      </c>
      <c r="H25" s="200">
        <v>0.11270727450804939</v>
      </c>
      <c r="I25" s="206">
        <f>(I24+'LE EIAData'!AG19)</f>
        <v>0.90992749737466228</v>
      </c>
      <c r="J25" s="200">
        <v>0.89560000000000051</v>
      </c>
      <c r="K25" s="206">
        <f>(K24+'LE EIAData'!AI19/5)</f>
        <v>9.4361831438936783E-2</v>
      </c>
      <c r="L25" s="200">
        <v>3.9399999999999977E-2</v>
      </c>
      <c r="M25" s="200">
        <v>3.9399999999999977E-2</v>
      </c>
      <c r="N25" s="197">
        <f t="shared" si="4"/>
        <v>2.2008539311171943E-2</v>
      </c>
      <c r="O25" s="213">
        <f t="shared" si="27"/>
        <v>7.2999999999999995E-2</v>
      </c>
      <c r="P25" s="200">
        <v>0.11259999999999999</v>
      </c>
      <c r="Q25" s="206">
        <f>(Q24+'LE EIAData'!AP19/3)</f>
        <v>0.29303482120952273</v>
      </c>
      <c r="R25" s="200">
        <v>0.21540000000000001</v>
      </c>
      <c r="S25" s="206">
        <f>(S24+'LE EIAData'!AR19)</f>
        <v>0.71120810562993764</v>
      </c>
      <c r="T25" s="200">
        <v>0.73430000000000006</v>
      </c>
      <c r="U25" s="206">
        <v>1</v>
      </c>
      <c r="V25" s="213">
        <f>'LE EIAData'!AU19-'LE Shares'!U25</f>
        <v>0.2013518907053482</v>
      </c>
      <c r="W25" s="200">
        <v>0.30089999999999978</v>
      </c>
      <c r="X25" s="206">
        <f>(X24+'LE EIAData'!AX19)</f>
        <v>0.37386592480661729</v>
      </c>
      <c r="Y25" s="200">
        <v>0.06</v>
      </c>
      <c r="Z25" s="206">
        <f>(Z24+'LE EIAData'!AN19)</f>
        <v>0.78087287654714155</v>
      </c>
      <c r="AA25" s="200">
        <v>0.98</v>
      </c>
      <c r="AB25" s="206">
        <f>(AB24+'LE EIAData'!AL19)</f>
        <v>0.93803998890493878</v>
      </c>
      <c r="AC25" s="200">
        <v>0.98</v>
      </c>
      <c r="AD25" s="206">
        <f>(AD24+'LE EIAData'!AT19)</f>
        <v>0.77949912885768879</v>
      </c>
      <c r="AE25" s="200">
        <v>0.79399999999999937</v>
      </c>
      <c r="AF25" s="197">
        <f>'LE EIAData'!AY19</f>
        <v>3.4687113224618007</v>
      </c>
      <c r="AG25" s="200">
        <v>2.7667795772352863</v>
      </c>
      <c r="AH25" s="206">
        <f>'LE EIAData'!BA19</f>
        <v>0.43762337634807702</v>
      </c>
      <c r="AI25" s="200">
        <v>1</v>
      </c>
      <c r="AJ25" s="200">
        <v>1</v>
      </c>
      <c r="AK25" s="201"/>
    </row>
    <row r="26" spans="1:63" x14ac:dyDescent="0.2">
      <c r="A26" s="196">
        <v>2019</v>
      </c>
      <c r="B26" s="206">
        <f>(B25+'LE EIAData'!W20/3)</f>
        <v>0.12200989891709757</v>
      </c>
      <c r="C26" s="198">
        <v>9.0799999999999978E-2</v>
      </c>
      <c r="D26" s="206">
        <f>(D25+'LE EIAData'!Y20/4)</f>
        <v>0.13017783451865045</v>
      </c>
      <c r="E26" s="200">
        <v>9.9799999999999972E-2</v>
      </c>
      <c r="F26" s="206">
        <f>'LE EIAData'!Z20</f>
        <v>2.2880587219129819E-2</v>
      </c>
      <c r="G26" s="206">
        <f>(G25+'LE EIAData'!AC20/3)</f>
        <v>0.19593788401938883</v>
      </c>
      <c r="H26" s="200">
        <v>0.11151652306138114</v>
      </c>
      <c r="I26" s="206">
        <f>(I25+'LE EIAData'!AG20)</f>
        <v>0.91250887578817363</v>
      </c>
      <c r="J26" s="200">
        <v>0.89620000000000055</v>
      </c>
      <c r="K26" s="206">
        <f>(K25+'LE EIAData'!AI20/5)</f>
        <v>9.7158267614920357E-2</v>
      </c>
      <c r="L26" s="200">
        <v>3.9799999999999974E-2</v>
      </c>
      <c r="M26" s="200">
        <v>3.9799999999999974E-2</v>
      </c>
      <c r="N26" s="197">
        <f t="shared" si="4"/>
        <v>2.2880587219129819E-2</v>
      </c>
      <c r="O26" s="213">
        <f t="shared" si="27"/>
        <v>7.2499999999999995E-2</v>
      </c>
      <c r="P26" s="200">
        <v>0.11119999999999999</v>
      </c>
      <c r="Q26" s="206">
        <f>(Q25+'LE EIAData'!AP20/3)</f>
        <v>0.29373316841933617</v>
      </c>
      <c r="R26" s="200">
        <v>0.21640000000000001</v>
      </c>
      <c r="S26" s="206">
        <f>(S25+'LE EIAData'!AR20)</f>
        <v>0.71179707320510166</v>
      </c>
      <c r="T26" s="200">
        <v>0.73630000000000007</v>
      </c>
      <c r="U26" s="206">
        <v>1</v>
      </c>
      <c r="V26" s="213">
        <f>'LE EIAData'!AU20-'LE Shares'!U26</f>
        <v>0.20124592122942042</v>
      </c>
      <c r="W26" s="200">
        <v>0.30109999999999976</v>
      </c>
      <c r="X26" s="206">
        <f>(X25+'LE EIAData'!AX20)</f>
        <v>0.37403373341520607</v>
      </c>
      <c r="Y26" s="200">
        <v>0.06</v>
      </c>
      <c r="Z26" s="206">
        <f>(Z25+'LE EIAData'!AN20)</f>
        <v>0.78691966784694767</v>
      </c>
      <c r="AA26" s="200">
        <v>0.98</v>
      </c>
      <c r="AB26" s="206">
        <f>(AB25+'LE EIAData'!AL20)</f>
        <v>0.93899921076527748</v>
      </c>
      <c r="AC26" s="200">
        <v>0.98</v>
      </c>
      <c r="AD26" s="206">
        <f>(AD25+'LE EIAData'!AT20)</f>
        <v>0.78145363224548181</v>
      </c>
      <c r="AE26" s="200">
        <v>0.79549999999999932</v>
      </c>
      <c r="AF26" s="197">
        <f>'LE EIAData'!AY20</f>
        <v>3.4685626371199598</v>
      </c>
      <c r="AG26" s="200">
        <v>2.7768228863589357</v>
      </c>
      <c r="AH26" s="206">
        <f>'LE EIAData'!BA20</f>
        <v>0.43537625304166383</v>
      </c>
      <c r="AI26" s="200">
        <v>1</v>
      </c>
      <c r="AJ26" s="200">
        <v>1</v>
      </c>
      <c r="AK26" s="201"/>
    </row>
    <row r="27" spans="1:63" x14ac:dyDescent="0.2">
      <c r="A27" s="196">
        <v>2020</v>
      </c>
      <c r="B27" s="206">
        <f>(B26+'LE EIAData'!W21/3)</f>
        <v>0.12094083621792395</v>
      </c>
      <c r="C27" s="198">
        <v>9.1699999999999976E-2</v>
      </c>
      <c r="D27" s="206">
        <f>(D26+'LE EIAData'!Y21/4)</f>
        <v>0.13350003558597434</v>
      </c>
      <c r="E27" s="200">
        <v>0.10019999999999997</v>
      </c>
      <c r="F27" s="206">
        <f>'LE EIAData'!Z21</f>
        <v>2.3654497279057666E-2</v>
      </c>
      <c r="G27" s="206">
        <f>(G26+'LE EIAData'!AC21/3)</f>
        <v>0.19259897584860183</v>
      </c>
      <c r="H27" s="200">
        <v>0.11033817869660122</v>
      </c>
      <c r="I27" s="206">
        <f>(I26+'LE EIAData'!AG21)</f>
        <v>0.91514688427777391</v>
      </c>
      <c r="J27" s="200">
        <v>0.8968000000000006</v>
      </c>
      <c r="K27" s="206">
        <f>(K26+'LE EIAData'!AI21/5)</f>
        <v>9.9816028468779475E-2</v>
      </c>
      <c r="L27" s="200">
        <v>4.0199999999999972E-2</v>
      </c>
      <c r="M27" s="200">
        <v>4.0199999999999972E-2</v>
      </c>
      <c r="N27" s="197">
        <f t="shared" si="4"/>
        <v>2.3654497279057666E-2</v>
      </c>
      <c r="O27" s="213">
        <f t="shared" si="27"/>
        <v>7.1999999999999995E-2</v>
      </c>
      <c r="P27" s="200">
        <v>0.10979999999999999</v>
      </c>
      <c r="Q27" s="206">
        <f>(Q26+'LE EIAData'!AP21/3)</f>
        <v>0.29437313396667758</v>
      </c>
      <c r="R27" s="200">
        <v>0.21740000000000001</v>
      </c>
      <c r="S27" s="206">
        <f>(S26+'LE EIAData'!AR21)</f>
        <v>0.71236503979410004</v>
      </c>
      <c r="T27" s="200">
        <v>0.73830000000000007</v>
      </c>
      <c r="U27" s="206">
        <v>1</v>
      </c>
      <c r="V27" s="213">
        <f>'LE EIAData'!AU21-'LE Shares'!U27</f>
        <v>0.20113214956108338</v>
      </c>
      <c r="W27" s="200">
        <v>0.30129999999999973</v>
      </c>
      <c r="X27" s="206">
        <f>(X26+'LE EIAData'!AX21)</f>
        <v>0.374128160941121</v>
      </c>
      <c r="Y27" s="200">
        <v>0.06</v>
      </c>
      <c r="Z27" s="206">
        <f>(Z26+'LE EIAData'!AN21)</f>
        <v>0.7928522769715507</v>
      </c>
      <c r="AA27" s="200">
        <v>0.98</v>
      </c>
      <c r="AB27" s="206">
        <f>(AB26+'LE EIAData'!AL21)</f>
        <v>0.93993558703072833</v>
      </c>
      <c r="AC27" s="200">
        <v>0.98</v>
      </c>
      <c r="AD27" s="206">
        <f>(AD26+'LE EIAData'!AT21)</f>
        <v>0.78332215733063715</v>
      </c>
      <c r="AE27" s="200">
        <v>0.79699999999999926</v>
      </c>
      <c r="AF27" s="197">
        <f>'LE EIAData'!AY21</f>
        <v>3.4751111658340057</v>
      </c>
      <c r="AG27" s="200">
        <v>2.7869025971400103</v>
      </c>
      <c r="AH27" s="206">
        <f>'LE EIAData'!BA21</f>
        <v>0.43321679404671792</v>
      </c>
      <c r="AI27" s="200">
        <v>1</v>
      </c>
      <c r="AJ27" s="200">
        <v>1</v>
      </c>
      <c r="AK27" s="201"/>
    </row>
    <row r="28" spans="1:63" x14ac:dyDescent="0.2">
      <c r="A28" s="207">
        <v>2021</v>
      </c>
      <c r="B28" s="206">
        <f>(B27+'LE EIAData'!W22/3)</f>
        <v>0.11999544504125308</v>
      </c>
      <c r="C28" s="198">
        <v>9.2599999999999974E-2</v>
      </c>
      <c r="D28" s="206">
        <f>(D27+'LE EIAData'!Y22/4)</f>
        <v>0.13665389906864306</v>
      </c>
      <c r="E28" s="200">
        <v>0.10059999999999997</v>
      </c>
      <c r="F28" s="206">
        <f>'LE EIAData'!Z22</f>
        <v>2.4333847645794625E-2</v>
      </c>
      <c r="G28" s="206">
        <f>(G27+'LE EIAData'!AC22/3)</f>
        <v>0.18935642383312024</v>
      </c>
      <c r="H28" s="200">
        <v>0.10917162601633612</v>
      </c>
      <c r="I28" s="206">
        <f>(I27+'LE EIAData'!AG22)</f>
        <v>0.91784964942444014</v>
      </c>
      <c r="J28" s="200">
        <v>0.89740000000000064</v>
      </c>
      <c r="K28" s="206">
        <f>(K27+'LE EIAData'!AI22/5)</f>
        <v>0.10233911925491444</v>
      </c>
      <c r="L28" s="200">
        <v>4.0599999999999969E-2</v>
      </c>
      <c r="M28" s="200">
        <v>4.0599999999999969E-2</v>
      </c>
      <c r="N28" s="197">
        <f t="shared" si="4"/>
        <v>2.4333847645794625E-2</v>
      </c>
      <c r="O28" s="213">
        <f t="shared" si="27"/>
        <v>7.1499999999999994E-2</v>
      </c>
      <c r="P28" s="200">
        <v>0.1084</v>
      </c>
      <c r="Q28" s="206">
        <f>(Q27+'LE EIAData'!AP22/3)</f>
        <v>0.29500457820823095</v>
      </c>
      <c r="R28" s="200">
        <v>0.21840000000000001</v>
      </c>
      <c r="S28" s="206">
        <f>(S27+'LE EIAData'!AR22)</f>
        <v>0.71347055087129385</v>
      </c>
      <c r="T28" s="200">
        <v>0.74030000000000007</v>
      </c>
      <c r="U28" s="206">
        <v>1</v>
      </c>
      <c r="V28" s="213">
        <f>'LE EIAData'!AU22-'LE Shares'!U28</f>
        <v>0.20097972585867008</v>
      </c>
      <c r="W28" s="200">
        <v>0.30149999999999971</v>
      </c>
      <c r="X28" s="206">
        <f>(X27+'LE EIAData'!AX22)</f>
        <v>0.37409283709346897</v>
      </c>
      <c r="Y28" s="200">
        <v>0.06</v>
      </c>
      <c r="Z28" s="206">
        <f>(Z27+'LE EIAData'!AN22)</f>
        <v>0.79864353378899722</v>
      </c>
      <c r="AA28" s="200">
        <v>0.98</v>
      </c>
      <c r="AB28" s="206">
        <f>(AB27+'LE EIAData'!AL22)</f>
        <v>0.94085053484778658</v>
      </c>
      <c r="AC28" s="200">
        <v>0.98</v>
      </c>
      <c r="AD28" s="206">
        <f>(AD27+'LE EIAData'!AT22)</f>
        <v>0.78509804602922661</v>
      </c>
      <c r="AE28" s="200">
        <v>0.79849999999999921</v>
      </c>
      <c r="AF28" s="197">
        <f>'LE EIAData'!AY22</f>
        <v>3.482806779168389</v>
      </c>
      <c r="AG28" s="200">
        <v>2.797001884645224</v>
      </c>
      <c r="AH28" s="206">
        <f>'LE EIAData'!BA22</f>
        <v>0.43104164914676046</v>
      </c>
      <c r="AI28" s="200">
        <v>1</v>
      </c>
      <c r="AJ28" s="200">
        <v>1</v>
      </c>
      <c r="AK28" s="201"/>
    </row>
    <row r="29" spans="1:63" x14ac:dyDescent="0.2">
      <c r="A29" s="207">
        <v>2022</v>
      </c>
      <c r="B29" s="206">
        <f>(B28+'LE EIAData'!W23/3)</f>
        <v>0.11914697372790062</v>
      </c>
      <c r="C29" s="198">
        <v>9.3499999999999972E-2</v>
      </c>
      <c r="D29" s="206">
        <f>(D28+'LE EIAData'!Y23/4)</f>
        <v>0.13970963783820156</v>
      </c>
      <c r="E29" s="200">
        <v>0.10099999999999996</v>
      </c>
      <c r="F29" s="206">
        <f>'LE EIAData'!Z23</f>
        <v>2.4950224368575691E-2</v>
      </c>
      <c r="G29" s="206">
        <f>(G28+'LE EIAData'!AC23/3)</f>
        <v>0.18614260805338526</v>
      </c>
      <c r="H29" s="200">
        <v>0.1080113183612387</v>
      </c>
      <c r="I29" s="206">
        <f>(I28+'LE EIAData'!AG23)</f>
        <v>0.92056260520673971</v>
      </c>
      <c r="J29" s="200">
        <v>0.89800000000000069</v>
      </c>
      <c r="K29" s="206">
        <f>(K28+'LE EIAData'!AI23/5)</f>
        <v>0.10478371027056124</v>
      </c>
      <c r="L29" s="200">
        <v>4.0999999999999967E-2</v>
      </c>
      <c r="M29" s="200">
        <v>4.0999999999999967E-2</v>
      </c>
      <c r="N29" s="197">
        <f t="shared" si="4"/>
        <v>2.4950224368575691E-2</v>
      </c>
      <c r="O29" s="213">
        <f t="shared" si="27"/>
        <v>7.0999999999999994E-2</v>
      </c>
      <c r="P29" s="200">
        <v>0.107</v>
      </c>
      <c r="Q29" s="206">
        <f>(Q28+'LE EIAData'!AP23/3)</f>
        <v>0.29562828499484428</v>
      </c>
      <c r="R29" s="200">
        <v>0.21940000000000001</v>
      </c>
      <c r="S29" s="206">
        <f>(S28+'LE EIAData'!AR23)</f>
        <v>0.71450763833442898</v>
      </c>
      <c r="T29" s="200">
        <v>0.74230000000000007</v>
      </c>
      <c r="U29" s="206">
        <v>1</v>
      </c>
      <c r="V29" s="213">
        <f>'LE EIAData'!AU23-'LE Shares'!U29</f>
        <v>0.20079323293482565</v>
      </c>
      <c r="W29" s="200">
        <v>0.30169999999999969</v>
      </c>
      <c r="X29" s="206">
        <f>(X28+'LE EIAData'!AX23)</f>
        <v>0.37401388590784213</v>
      </c>
      <c r="Y29" s="200">
        <v>0.06</v>
      </c>
      <c r="Z29" s="206">
        <f>(Z28+'LE EIAData'!AN23)</f>
        <v>0.80444764399603352</v>
      </c>
      <c r="AA29" s="200">
        <v>0.98</v>
      </c>
      <c r="AB29" s="206">
        <f>(AB28+'LE EIAData'!AL23)</f>
        <v>0.94175886180224333</v>
      </c>
      <c r="AC29" s="200">
        <v>0.98</v>
      </c>
      <c r="AD29" s="206">
        <f>(AD28+'LE EIAData'!AT23)</f>
        <v>0.78684221669785004</v>
      </c>
      <c r="AE29" s="200">
        <v>0.79999999999999916</v>
      </c>
      <c r="AF29" s="197">
        <f>'LE EIAData'!AY23</f>
        <v>3.4977545491497799</v>
      </c>
      <c r="AG29" s="200">
        <v>2.8071254664738596</v>
      </c>
      <c r="AH29" s="206">
        <f>'LE EIAData'!BA23</f>
        <v>0.42887707789306356</v>
      </c>
      <c r="AI29" s="200">
        <v>1</v>
      </c>
      <c r="AJ29" s="200">
        <v>1</v>
      </c>
      <c r="AK29" s="201"/>
    </row>
    <row r="30" spans="1:63" x14ac:dyDescent="0.2">
      <c r="A30" s="207">
        <v>2023</v>
      </c>
      <c r="B30" s="206">
        <f>(B29+'LE EIAData'!W24/3)</f>
        <v>0.11834478508767295</v>
      </c>
      <c r="C30" s="198">
        <v>9.439999999999997E-2</v>
      </c>
      <c r="D30" s="206">
        <f>(D29+'LE EIAData'!Y24/4)</f>
        <v>0.14264216041812255</v>
      </c>
      <c r="E30" s="200">
        <v>0.10139999999999996</v>
      </c>
      <c r="F30" s="206">
        <f>'LE EIAData'!Z24</f>
        <v>2.5507582619897468E-2</v>
      </c>
      <c r="G30" s="206">
        <f>(G29+'LE EIAData'!AC24/3)</f>
        <v>0.18299537156238693</v>
      </c>
      <c r="H30" s="200">
        <v>0.10685538189416195</v>
      </c>
      <c r="I30" s="206">
        <f>(I29+'LE EIAData'!AG24)</f>
        <v>0.92325810040509371</v>
      </c>
      <c r="J30" s="200">
        <v>0.89860000000000073</v>
      </c>
      <c r="K30" s="206">
        <f>(K29+'LE EIAData'!AI24/5)</f>
        <v>0.10712972833449803</v>
      </c>
      <c r="L30" s="200">
        <v>4.1399999999999965E-2</v>
      </c>
      <c r="M30" s="200">
        <v>4.1399999999999965E-2</v>
      </c>
      <c r="N30" s="197">
        <f t="shared" si="4"/>
        <v>2.5507582619897468E-2</v>
      </c>
      <c r="O30" s="213">
        <f t="shared" si="27"/>
        <v>7.0499999999999993E-2</v>
      </c>
      <c r="P30" s="200">
        <v>0.1056</v>
      </c>
      <c r="Q30" s="206">
        <f>(Q29+'LE EIAData'!AP24/3)</f>
        <v>0.29624741175673525</v>
      </c>
      <c r="R30" s="200">
        <v>0.22040000000000001</v>
      </c>
      <c r="S30" s="206">
        <f>(S29+'LE EIAData'!AR24)</f>
        <v>0.71552753543909675</v>
      </c>
      <c r="T30" s="200">
        <v>0.74430000000000007</v>
      </c>
      <c r="U30" s="206">
        <v>1</v>
      </c>
      <c r="V30" s="213">
        <f>'LE EIAData'!AU24-'LE Shares'!U30</f>
        <v>0.20060945837034594</v>
      </c>
      <c r="W30" s="200">
        <v>0.30189999999999967</v>
      </c>
      <c r="X30" s="206">
        <f>(X29+'LE EIAData'!AX24)</f>
        <v>0.37387993961859356</v>
      </c>
      <c r="Y30" s="200">
        <v>0.06</v>
      </c>
      <c r="Z30" s="206">
        <f>(Z29+'LE EIAData'!AN24)</f>
        <v>0.81016920717259167</v>
      </c>
      <c r="AA30" s="200">
        <v>0.98</v>
      </c>
      <c r="AB30" s="206">
        <f>(AB29+'LE EIAData'!AL24)</f>
        <v>0.94262958399052221</v>
      </c>
      <c r="AC30" s="200">
        <v>0.98</v>
      </c>
      <c r="AD30" s="206">
        <f>(AD29+'LE EIAData'!AT24)</f>
        <v>0.78852298935853471</v>
      </c>
      <c r="AE30" s="200">
        <v>0.8014999999999991</v>
      </c>
      <c r="AF30" s="197">
        <f>'LE EIAData'!AY24</f>
        <v>3.5133328718879504</v>
      </c>
      <c r="AG30" s="200">
        <v>2.8172717489246715</v>
      </c>
      <c r="AH30" s="206">
        <f>'LE EIAData'!BA24</f>
        <v>0.42684528191079441</v>
      </c>
      <c r="AI30" s="200">
        <v>1</v>
      </c>
      <c r="AJ30" s="200">
        <v>1</v>
      </c>
      <c r="AK30" s="201"/>
    </row>
    <row r="31" spans="1:63" x14ac:dyDescent="0.2">
      <c r="A31" s="207">
        <v>2024</v>
      </c>
      <c r="B31" s="206">
        <f>(B30+'LE EIAData'!W25/3)</f>
        <v>0.11756270057785112</v>
      </c>
      <c r="C31" s="198">
        <v>9.5299999999999968E-2</v>
      </c>
      <c r="D31" s="206">
        <f>(D30+'LE EIAData'!Y25/4)</f>
        <v>0.14548018989115619</v>
      </c>
      <c r="E31" s="200">
        <v>0.10179999999999996</v>
      </c>
      <c r="F31" s="206">
        <f>'LE EIAData'!Z25</f>
        <v>2.6020427567496757E-2</v>
      </c>
      <c r="G31" s="206">
        <f>(G30+'LE EIAData'!AC25/3)</f>
        <v>0.17989322309840125</v>
      </c>
      <c r="H31" s="200">
        <v>0.1057095969109746</v>
      </c>
      <c r="I31" s="206">
        <f>(I30+'LE EIAData'!AG25)</f>
        <v>0.9259035706407599</v>
      </c>
      <c r="J31" s="200">
        <v>0.89920000000000078</v>
      </c>
      <c r="K31" s="206">
        <f>(K30+'LE EIAData'!AI25/5)</f>
        <v>0.10940015191292495</v>
      </c>
      <c r="L31" s="200">
        <v>4.1799999999999962E-2</v>
      </c>
      <c r="M31" s="200">
        <v>4.1799999999999962E-2</v>
      </c>
      <c r="N31" s="197">
        <f t="shared" si="4"/>
        <v>2.6020427567496757E-2</v>
      </c>
      <c r="O31" s="213">
        <f t="shared" si="27"/>
        <v>6.9999999999999993E-2</v>
      </c>
      <c r="P31" s="200">
        <v>0.1042</v>
      </c>
      <c r="Q31" s="206">
        <f>(Q30+'LE EIAData'!AP25/3)</f>
        <v>0.29685045028693557</v>
      </c>
      <c r="R31" s="200">
        <v>0.22140000000000001</v>
      </c>
      <c r="S31" s="206">
        <f>(S30+'LE EIAData'!AR25)</f>
        <v>0.71658611931536453</v>
      </c>
      <c r="T31" s="200">
        <v>0.74630000000000007</v>
      </c>
      <c r="U31" s="206">
        <v>1</v>
      </c>
      <c r="V31" s="213">
        <f>'LE EIAData'!AU25-'LE Shares'!U31</f>
        <v>0.20043801767731062</v>
      </c>
      <c r="W31" s="200">
        <v>0.30209999999999965</v>
      </c>
      <c r="X31" s="206">
        <f>(X30+'LE EIAData'!AX25)</f>
        <v>0.37371470716677524</v>
      </c>
      <c r="Y31" s="200">
        <v>0.06</v>
      </c>
      <c r="Z31" s="206">
        <f>(Z30+'LE EIAData'!AN25)</f>
        <v>0.81584355241599416</v>
      </c>
      <c r="AA31" s="200">
        <v>0.98</v>
      </c>
      <c r="AB31" s="206">
        <f>(AB30+'LE EIAData'!AL25)</f>
        <v>0.94347056674575891</v>
      </c>
      <c r="AC31" s="200">
        <v>0.98</v>
      </c>
      <c r="AD31" s="206">
        <f>(AD30+'LE EIAData'!AT25)</f>
        <v>0.79015639250983172</v>
      </c>
      <c r="AE31" s="200">
        <v>0.80299999999999905</v>
      </c>
      <c r="AF31" s="197">
        <f>'LE EIAData'!AY25</f>
        <v>3.5289343724186826</v>
      </c>
      <c r="AG31" s="200">
        <v>2.827431523151712</v>
      </c>
      <c r="AH31" s="206">
        <f>'LE EIAData'!BA25</f>
        <v>0.42486931681323187</v>
      </c>
      <c r="AI31" s="200">
        <v>1</v>
      </c>
      <c r="AJ31" s="200">
        <v>1</v>
      </c>
      <c r="AK31" s="201"/>
    </row>
    <row r="32" spans="1:63" x14ac:dyDescent="0.2">
      <c r="A32" s="207">
        <v>2025</v>
      </c>
      <c r="B32" s="206">
        <f>(B31+'LE EIAData'!W26/3)</f>
        <v>0.11677805161116055</v>
      </c>
      <c r="C32" s="198">
        <v>9.6199999999999966E-2</v>
      </c>
      <c r="D32" s="206">
        <f>(D31+'LE EIAData'!Y26/4)</f>
        <v>0.1482853526814521</v>
      </c>
      <c r="E32" s="200">
        <v>0.10219999999999996</v>
      </c>
      <c r="F32" s="206">
        <f>'LE EIAData'!Z26</f>
        <v>2.6506718466155911E-2</v>
      </c>
      <c r="G32" s="206">
        <f>(G31+'LE EIAData'!AC26/3)</f>
        <v>0.17677094072374885</v>
      </c>
      <c r="H32" s="200">
        <v>0.10457624145705723</v>
      </c>
      <c r="I32" s="206">
        <f>(I31+'LE EIAData'!AG26)</f>
        <v>0.92845403923272563</v>
      </c>
      <c r="J32" s="200">
        <v>0.89980000000000082</v>
      </c>
      <c r="K32" s="206">
        <f>(K31+'LE EIAData'!AI26/5)</f>
        <v>0.11164428214516167</v>
      </c>
      <c r="L32" s="200">
        <v>4.219999999999996E-2</v>
      </c>
      <c r="M32" s="200">
        <v>4.219999999999996E-2</v>
      </c>
      <c r="N32" s="197">
        <f t="shared" si="4"/>
        <v>2.6506718466155911E-2</v>
      </c>
      <c r="O32" s="213">
        <f t="shared" si="27"/>
        <v>6.9499999999999992E-2</v>
      </c>
      <c r="P32" s="200">
        <v>0.1028</v>
      </c>
      <c r="Q32" s="206">
        <f>(Q31+'LE EIAData'!AP26/3)</f>
        <v>0.29742520788487542</v>
      </c>
      <c r="R32" s="200">
        <v>0.22240000000000001</v>
      </c>
      <c r="S32" s="206">
        <f>(S31+'LE EIAData'!AR26)</f>
        <v>0.7175851059322601</v>
      </c>
      <c r="T32" s="200">
        <v>0.74830000000000008</v>
      </c>
      <c r="U32" s="206">
        <v>1</v>
      </c>
      <c r="V32" s="213">
        <f>'LE EIAData'!AU26-'LE Shares'!U32</f>
        <v>0.20027779697496251</v>
      </c>
      <c r="W32" s="200">
        <v>0.30229999999999962</v>
      </c>
      <c r="X32" s="206">
        <f>(X31+'LE EIAData'!AX26)</f>
        <v>0.37355478327413028</v>
      </c>
      <c r="Y32" s="200">
        <v>0.06</v>
      </c>
      <c r="Z32" s="206">
        <f>(Z31+'LE EIAData'!AN26)</f>
        <v>0.82158678828272014</v>
      </c>
      <c r="AA32" s="200">
        <v>0.98</v>
      </c>
      <c r="AB32" s="206">
        <f>(AB31+'LE EIAData'!AL26)</f>
        <v>0.94430818334534583</v>
      </c>
      <c r="AC32" s="200">
        <v>0.98</v>
      </c>
      <c r="AD32" s="206">
        <f>(AD31+'LE EIAData'!AT26)</f>
        <v>0.79178446482430542</v>
      </c>
      <c r="AE32" s="200">
        <v>0.80449999999999899</v>
      </c>
      <c r="AF32" s="197">
        <f>'LE EIAData'!AY26</f>
        <v>3.5445559937998579</v>
      </c>
      <c r="AG32" s="200">
        <v>2.8376092015137693</v>
      </c>
      <c r="AH32" s="206">
        <f>'LE EIAData'!BA26</f>
        <v>0.42293558960587629</v>
      </c>
      <c r="AI32" s="200">
        <v>1</v>
      </c>
      <c r="AJ32" s="200">
        <v>1</v>
      </c>
      <c r="AK32" s="201"/>
    </row>
    <row r="33" spans="1:37" x14ac:dyDescent="0.2">
      <c r="A33" s="208">
        <f t="shared" ref="A33:A49" si="28">A32+1</f>
        <v>2026</v>
      </c>
      <c r="B33" s="206">
        <f>(B32+'LE EIAData'!W27/3)</f>
        <v>0.11605750991632743</v>
      </c>
      <c r="C33" s="198">
        <v>9.7099999999999964E-2</v>
      </c>
      <c r="D33" s="206">
        <f>(D32+'LE EIAData'!Y27/4)</f>
        <v>0.15100502407848448</v>
      </c>
      <c r="E33" s="200">
        <v>0.10259999999999996</v>
      </c>
      <c r="F33" s="206">
        <f>'LE EIAData'!Z27</f>
        <v>2.6955902417552469E-2</v>
      </c>
      <c r="G33" s="206">
        <f>(G32+'LE EIAData'!AC27/3)</f>
        <v>0.17368489181125052</v>
      </c>
      <c r="H33" s="200">
        <v>0.10346087918760237</v>
      </c>
      <c r="I33" s="206">
        <f>(I32+'LE EIAData'!AG27)</f>
        <v>0.93097822351123982</v>
      </c>
      <c r="J33" s="200">
        <v>0.90040000000000087</v>
      </c>
      <c r="K33" s="206">
        <f>(K32+'LE EIAData'!AI27/5)</f>
        <v>0.11382001926278758</v>
      </c>
      <c r="L33" s="200">
        <v>4.2599999999999957E-2</v>
      </c>
      <c r="M33" s="200">
        <v>4.2599999999999957E-2</v>
      </c>
      <c r="N33" s="197">
        <f t="shared" si="4"/>
        <v>2.6955902417552469E-2</v>
      </c>
      <c r="O33" s="213">
        <f t="shared" si="27"/>
        <v>6.8999999999999992E-2</v>
      </c>
      <c r="P33" s="200">
        <v>0.1014</v>
      </c>
      <c r="Q33" s="206">
        <f>(Q32+'LE EIAData'!AP27/3)</f>
        <v>0.29797988487170468</v>
      </c>
      <c r="R33" s="200">
        <v>0.22340000000000002</v>
      </c>
      <c r="S33" s="206">
        <f>(S32+'LE EIAData'!AR27)</f>
        <v>0.71857025340946878</v>
      </c>
      <c r="T33" s="200">
        <v>0.75030000000000008</v>
      </c>
      <c r="U33" s="206">
        <v>1</v>
      </c>
      <c r="V33" s="213">
        <f>'LE EIAData'!AU27-'LE Shares'!U33</f>
        <v>0.20010031368552683</v>
      </c>
      <c r="W33" s="200">
        <v>0.30249999999999999</v>
      </c>
      <c r="X33" s="206">
        <f>(X32+'LE EIAData'!AX27)</f>
        <v>0.37337833448152091</v>
      </c>
      <c r="Y33" s="200">
        <v>0.06</v>
      </c>
      <c r="Z33" s="206">
        <f>(Z32+'LE EIAData'!AN27)</f>
        <v>0.82734025230227259</v>
      </c>
      <c r="AA33" s="200">
        <v>0.98</v>
      </c>
      <c r="AB33" s="206">
        <f>(AB32+'LE EIAData'!AL27)</f>
        <v>0.94513092224070772</v>
      </c>
      <c r="AC33" s="200">
        <v>0.98</v>
      </c>
      <c r="AD33" s="206">
        <f>(AD32+'LE EIAData'!AT27)</f>
        <v>0.79338875014544119</v>
      </c>
      <c r="AE33" s="200">
        <v>0.80599999999999894</v>
      </c>
      <c r="AF33" s="197">
        <f>'LE EIAData'!AY27</f>
        <v>3.5604498405838338</v>
      </c>
      <c r="AG33" s="200">
        <v>2.8376092015137693</v>
      </c>
      <c r="AH33" s="206">
        <f>'LE EIAData'!BA27</f>
        <v>0.42101124429899411</v>
      </c>
      <c r="AI33" s="200">
        <v>1</v>
      </c>
      <c r="AJ33" s="200">
        <v>1</v>
      </c>
      <c r="AK33" s="201"/>
    </row>
    <row r="34" spans="1:37" x14ac:dyDescent="0.2">
      <c r="A34" s="208">
        <f t="shared" si="28"/>
        <v>2027</v>
      </c>
      <c r="B34" s="206">
        <f>(B33+'LE EIAData'!W28/3)</f>
        <v>0.11545895365067231</v>
      </c>
      <c r="C34" s="198">
        <v>9.7999999999999962E-2</v>
      </c>
      <c r="D34" s="206">
        <f>(D33+'LE EIAData'!Y28/4)</f>
        <v>0.15356549043003725</v>
      </c>
      <c r="E34" s="200">
        <v>0.10299999999999995</v>
      </c>
      <c r="F34" s="206">
        <f>'LE EIAData'!Z28</f>
        <v>2.7354471427156052E-2</v>
      </c>
      <c r="G34" s="206">
        <f>(G33+'LE EIAData'!AC28/3)</f>
        <v>0.17071781666604699</v>
      </c>
      <c r="H34" s="200">
        <v>0.10236010562965715</v>
      </c>
      <c r="I34" s="206">
        <f>(I33+'LE EIAData'!AG28)</f>
        <v>0.93355467873521647</v>
      </c>
      <c r="J34" s="200">
        <v>0.90100000000000091</v>
      </c>
      <c r="K34" s="206">
        <f>(K33+'LE EIAData'!AI28/5)</f>
        <v>0.11586839234402979</v>
      </c>
      <c r="L34" s="200">
        <v>4.2999999999999955E-2</v>
      </c>
      <c r="M34" s="200">
        <v>4.2999999999999955E-2</v>
      </c>
      <c r="N34" s="197">
        <f t="shared" si="4"/>
        <v>2.7354471427156052E-2</v>
      </c>
      <c r="O34" s="213">
        <f t="shared" si="27"/>
        <v>6.8499999999999991E-2</v>
      </c>
      <c r="P34" s="200">
        <v>0.1</v>
      </c>
      <c r="Q34" s="206">
        <f>(Q33+'LE EIAData'!AP28/3)</f>
        <v>0.29853243141919067</v>
      </c>
      <c r="R34" s="200">
        <v>0.22440000000000002</v>
      </c>
      <c r="S34" s="206">
        <f>(S33+'LE EIAData'!AR28)</f>
        <v>0.71958773607642879</v>
      </c>
      <c r="T34" s="200">
        <v>0.75230000000000008</v>
      </c>
      <c r="U34" s="206">
        <v>1</v>
      </c>
      <c r="V34" s="213">
        <f>'LE EIAData'!AU28-'LE Shares'!U34</f>
        <v>0.19988807039247658</v>
      </c>
      <c r="W34" s="200">
        <v>0.30269999999999958</v>
      </c>
      <c r="X34" s="206">
        <f>(X33+'LE EIAData'!AX28)</f>
        <v>0.37315477613056869</v>
      </c>
      <c r="Y34" s="200">
        <v>0.06</v>
      </c>
      <c r="Z34" s="206">
        <f>(Z33+'LE EIAData'!AN28)</f>
        <v>0.83288549266770429</v>
      </c>
      <c r="AA34" s="200">
        <v>0.98</v>
      </c>
      <c r="AB34" s="206">
        <f>(AB33+'LE EIAData'!AL28)</f>
        <v>0.9459214967804207</v>
      </c>
      <c r="AC34" s="200">
        <v>0.98</v>
      </c>
      <c r="AD34" s="206">
        <f>(AD33+'LE EIAData'!AT28)</f>
        <v>0.79493547782374729</v>
      </c>
      <c r="AE34" s="200">
        <v>0.80749999999999889</v>
      </c>
      <c r="AF34" s="197">
        <f>'LE EIAData'!AY28</f>
        <v>3.5762501585344864</v>
      </c>
      <c r="AG34" s="200">
        <v>2.8376092015137693</v>
      </c>
      <c r="AH34" s="206">
        <f>'LE EIAData'!BA28</f>
        <v>0.4191200258815917</v>
      </c>
      <c r="AI34" s="200">
        <v>1</v>
      </c>
      <c r="AJ34" s="200">
        <v>1</v>
      </c>
      <c r="AK34" s="201"/>
    </row>
    <row r="35" spans="1:37" x14ac:dyDescent="0.2">
      <c r="A35" s="208">
        <f t="shared" si="28"/>
        <v>2028</v>
      </c>
      <c r="B35" s="206">
        <f>(B34+'LE EIAData'!W29/3)</f>
        <v>0.11497015307869615</v>
      </c>
      <c r="C35" s="198">
        <v>9.889999999999996E-2</v>
      </c>
      <c r="D35" s="206">
        <f>(D34+'LE EIAData'!Y29/4)</f>
        <v>0.15595971106032813</v>
      </c>
      <c r="E35" s="200">
        <v>0.10339999999999995</v>
      </c>
      <c r="F35" s="206">
        <f>'LE EIAData'!Z29</f>
        <v>2.7703479459295036E-2</v>
      </c>
      <c r="G35" s="206">
        <f>(G34+'LE EIAData'!AC29/3)</f>
        <v>0.16788939371950171</v>
      </c>
      <c r="H35" s="200">
        <v>0.10126686985927078</v>
      </c>
      <c r="I35" s="206">
        <f>(I34+'LE EIAData'!AG29)</f>
        <v>0.93618147856065859</v>
      </c>
      <c r="J35" s="200">
        <v>0.90160000000000096</v>
      </c>
      <c r="K35" s="206">
        <f>(K34+'LE EIAData'!AI29/5)</f>
        <v>0.1177837688482625</v>
      </c>
      <c r="L35" s="200">
        <v>4.3399999999999953E-2</v>
      </c>
      <c r="M35" s="200">
        <v>4.3399999999999953E-2</v>
      </c>
      <c r="N35" s="197">
        <f t="shared" si="4"/>
        <v>2.7703479459295036E-2</v>
      </c>
      <c r="O35" s="213">
        <f t="shared" si="27"/>
        <v>6.7999999999999991E-2</v>
      </c>
      <c r="P35" s="200">
        <v>9.8600000000000007E-2</v>
      </c>
      <c r="Q35" s="206">
        <f>(Q34+'LE EIAData'!AP29/3)</f>
        <v>0.29907856683682343</v>
      </c>
      <c r="R35" s="200">
        <v>0.22540000000000002</v>
      </c>
      <c r="S35" s="206">
        <f>(S34+'LE EIAData'!AR29)</f>
        <v>0.72055141451817784</v>
      </c>
      <c r="T35" s="200">
        <v>0.75430000000000008</v>
      </c>
      <c r="U35" s="206">
        <v>1</v>
      </c>
      <c r="V35" s="213">
        <f>'LE EIAData'!AU29-'LE Shares'!U35</f>
        <v>0.19964695616100192</v>
      </c>
      <c r="W35" s="200">
        <v>0.30289999999999956</v>
      </c>
      <c r="X35" s="206">
        <f>(X34+'LE EIAData'!AX29)</f>
        <v>0.37284247601359255</v>
      </c>
      <c r="Y35" s="200">
        <v>0.06</v>
      </c>
      <c r="Z35" s="206">
        <f>(Z34+'LE EIAData'!AN29)</f>
        <v>0.83815500539262877</v>
      </c>
      <c r="AA35" s="200">
        <v>0.98</v>
      </c>
      <c r="AB35" s="206">
        <f>(AB34+'LE EIAData'!AL29)</f>
        <v>0.94666419761724396</v>
      </c>
      <c r="AC35" s="200">
        <v>0.98</v>
      </c>
      <c r="AD35" s="206">
        <f>(AD34+'LE EIAData'!AT29)</f>
        <v>0.79639773785474521</v>
      </c>
      <c r="AE35" s="200">
        <v>0.80899999999999883</v>
      </c>
      <c r="AF35" s="197">
        <f>'LE EIAData'!AY29</f>
        <v>3.5919593328330164</v>
      </c>
      <c r="AG35" s="200">
        <v>2.8376092015137693</v>
      </c>
      <c r="AH35" s="206">
        <f>'LE EIAData'!BA29</f>
        <v>0.41726794382502863</v>
      </c>
      <c r="AI35" s="200">
        <v>1</v>
      </c>
      <c r="AJ35" s="200">
        <v>1</v>
      </c>
      <c r="AK35" s="201"/>
    </row>
    <row r="36" spans="1:37" x14ac:dyDescent="0.2">
      <c r="A36" s="208">
        <f t="shared" si="28"/>
        <v>2029</v>
      </c>
      <c r="B36" s="206">
        <f>(B35+'LE EIAData'!W30/3)</f>
        <v>0.1145261842552824</v>
      </c>
      <c r="C36" s="198">
        <v>9.9799999999999958E-2</v>
      </c>
      <c r="D36" s="206">
        <f>(D35+'LE EIAData'!Y30/4)</f>
        <v>0.15823018771747976</v>
      </c>
      <c r="E36" s="200">
        <v>0.10379999999999995</v>
      </c>
      <c r="F36" s="206">
        <f>'LE EIAData'!Z30</f>
        <v>2.8017833979229759E-2</v>
      </c>
      <c r="G36" s="206">
        <f>(G35+'LE EIAData'!AC30/3)</f>
        <v>0.16515974483075896</v>
      </c>
      <c r="H36" s="200">
        <v>0.10018263437835348</v>
      </c>
      <c r="I36" s="206">
        <f>(I35+'LE EIAData'!AG30)</f>
        <v>0.93880219383718644</v>
      </c>
      <c r="J36" s="200">
        <v>0.902200000000001</v>
      </c>
      <c r="K36" s="206">
        <f>(K35+'LE EIAData'!AI30/5)</f>
        <v>0.1196001501739838</v>
      </c>
      <c r="L36" s="200">
        <v>4.379999999999995E-2</v>
      </c>
      <c r="M36" s="200">
        <v>4.379999999999995E-2</v>
      </c>
      <c r="N36" s="197">
        <f t="shared" si="4"/>
        <v>2.8017833979229759E-2</v>
      </c>
      <c r="O36" s="213">
        <f t="shared" si="27"/>
        <v>6.7499999999999991E-2</v>
      </c>
      <c r="P36" s="200">
        <v>9.7200000000000009E-2</v>
      </c>
      <c r="Q36" s="206">
        <f>(Q35+'LE EIAData'!AP30/3)</f>
        <v>0.29961154613458296</v>
      </c>
      <c r="R36" s="200">
        <v>0.22640000000000002</v>
      </c>
      <c r="S36" s="206">
        <f>(S35+'LE EIAData'!AR30)</f>
        <v>0.72156065407091441</v>
      </c>
      <c r="T36" s="200">
        <v>0.75630000000000008</v>
      </c>
      <c r="U36" s="206">
        <v>1</v>
      </c>
      <c r="V36" s="213">
        <f>'LE EIAData'!AU30-'LE Shares'!U36</f>
        <v>0.19940784244463483</v>
      </c>
      <c r="W36" s="200">
        <v>0.30309999999999954</v>
      </c>
      <c r="X36" s="206">
        <f>(X35+'LE EIAData'!AX30)</f>
        <v>0.37248357553914269</v>
      </c>
      <c r="Y36" s="200">
        <v>0.06</v>
      </c>
      <c r="Z36" s="206">
        <f>(Z35+'LE EIAData'!AN30)</f>
        <v>0.84321192651732169</v>
      </c>
      <c r="AA36" s="200">
        <v>0.98</v>
      </c>
      <c r="AB36" s="206">
        <f>(AB35+'LE EIAData'!AL30)</f>
        <v>0.94736471624442087</v>
      </c>
      <c r="AC36" s="200">
        <v>0.98</v>
      </c>
      <c r="AD36" s="206">
        <f>(AD35+'LE EIAData'!AT30)</f>
        <v>0.79779088268071419</v>
      </c>
      <c r="AE36" s="200">
        <v>0.81049999999999878</v>
      </c>
      <c r="AF36" s="197">
        <f>'LE EIAData'!AY30</f>
        <v>3.6079874181548255</v>
      </c>
      <c r="AG36" s="200">
        <v>2.8376092015137693</v>
      </c>
      <c r="AH36" s="206">
        <f>'LE EIAData'!BA30</f>
        <v>0.41546996584622009</v>
      </c>
      <c r="AI36" s="200">
        <v>1</v>
      </c>
      <c r="AJ36" s="200">
        <v>1</v>
      </c>
      <c r="AK36" s="201"/>
    </row>
    <row r="37" spans="1:37" x14ac:dyDescent="0.2">
      <c r="A37" s="208">
        <f t="shared" si="28"/>
        <v>2030</v>
      </c>
      <c r="B37" s="206">
        <f>(B36+'LE EIAData'!W31/3)</f>
        <v>0.11407014433778601</v>
      </c>
      <c r="C37" s="198">
        <v>0.10069999999999996</v>
      </c>
      <c r="D37" s="206">
        <f>(D36+'LE EIAData'!Y31/4)</f>
        <v>0.16046166915428473</v>
      </c>
      <c r="E37" s="200">
        <v>0.10419999999999995</v>
      </c>
      <c r="F37" s="206">
        <f>'LE EIAData'!Z31</f>
        <v>2.8318541971068152E-2</v>
      </c>
      <c r="G37" s="206">
        <f>(G36+'LE EIAData'!AC31/3)</f>
        <v>0.16244054066751981</v>
      </c>
      <c r="H37" s="200">
        <v>9.9105781170130788E-2</v>
      </c>
      <c r="I37" s="206">
        <f>(I36+'LE EIAData'!AG31)</f>
        <v>0.94133511386551705</v>
      </c>
      <c r="J37" s="200">
        <v>0.90280000000000105</v>
      </c>
      <c r="K37" s="206">
        <f>(K36+'LE EIAData'!AI31/5)</f>
        <v>0.12138533532342777</v>
      </c>
      <c r="L37" s="200">
        <v>4.4199999999999948E-2</v>
      </c>
      <c r="M37" s="200">
        <v>4.4199999999999948E-2</v>
      </c>
      <c r="N37" s="197">
        <f t="shared" si="4"/>
        <v>2.8318541971068152E-2</v>
      </c>
      <c r="O37" s="213">
        <f t="shared" si="27"/>
        <v>6.699999999999999E-2</v>
      </c>
      <c r="P37" s="200">
        <v>9.580000000000001E-2</v>
      </c>
      <c r="Q37" s="206">
        <f>(Q36+'LE EIAData'!AP31/3)</f>
        <v>0.30009205751979851</v>
      </c>
      <c r="R37" s="200">
        <v>0.22740000000000002</v>
      </c>
      <c r="S37" s="206">
        <f>(S36+'LE EIAData'!AR31)</f>
        <v>0.72251916819209006</v>
      </c>
      <c r="T37" s="200">
        <v>0.75830000000000009</v>
      </c>
      <c r="U37" s="206">
        <v>1</v>
      </c>
      <c r="V37" s="213">
        <f>'LE EIAData'!AU31-'LE Shares'!U37</f>
        <v>0.19918339918605277</v>
      </c>
      <c r="W37" s="200">
        <v>0.30329999999999951</v>
      </c>
      <c r="X37" s="206">
        <f>(X36+'LE EIAData'!AX31)</f>
        <v>0.37211449759084225</v>
      </c>
      <c r="Y37" s="200">
        <v>0.06</v>
      </c>
      <c r="Z37" s="206">
        <f>(Z36+'LE EIAData'!AN31)</f>
        <v>0.84819059617610582</v>
      </c>
      <c r="AA37" s="200">
        <v>0.98</v>
      </c>
      <c r="AB37" s="206">
        <f>(AB36+'LE EIAData'!AL31)</f>
        <v>0.94804946921216315</v>
      </c>
      <c r="AC37" s="200">
        <v>0.98</v>
      </c>
      <c r="AD37" s="206">
        <f>(AD36+'LE EIAData'!AT31)</f>
        <v>0.79915759555740495</v>
      </c>
      <c r="AE37" s="200">
        <v>0.81199999999999872</v>
      </c>
      <c r="AF37" s="197">
        <f>'LE EIAData'!AY31</f>
        <v>3.624044960258872</v>
      </c>
      <c r="AG37" s="200">
        <v>2.8376092015137693</v>
      </c>
      <c r="AH37" s="206">
        <f>'LE EIAData'!BA31</f>
        <v>0.41369823421638452</v>
      </c>
      <c r="AI37" s="200">
        <v>1</v>
      </c>
      <c r="AJ37" s="200">
        <v>1</v>
      </c>
      <c r="AK37" s="201"/>
    </row>
    <row r="38" spans="1:37" x14ac:dyDescent="0.2">
      <c r="A38" s="208">
        <f t="shared" si="28"/>
        <v>2031</v>
      </c>
      <c r="B38" s="206">
        <f>(B37+'LE EIAData'!W32/3)</f>
        <v>0.11363993632274792</v>
      </c>
      <c r="C38" s="198">
        <v>0.10159999999999995</v>
      </c>
      <c r="D38" s="206">
        <f>(D37+'LE EIAData'!Y32/4)</f>
        <v>0.16261582070338443</v>
      </c>
      <c r="E38" s="200">
        <v>0.10459999999999994</v>
      </c>
      <c r="F38" s="206">
        <f>'LE EIAData'!Z32</f>
        <v>2.859827358224256E-2</v>
      </c>
      <c r="G38" s="206">
        <f>(G37+'LE EIAData'!AC32/3)</f>
        <v>0.15977558762841559</v>
      </c>
      <c r="H38" s="200">
        <v>9.8605781170130788E-2</v>
      </c>
      <c r="I38" s="206">
        <f>(I37+'LE EIAData'!AG32)</f>
        <v>0.94383025933579678</v>
      </c>
      <c r="J38" s="200">
        <v>0.90340000000000109</v>
      </c>
      <c r="K38" s="206">
        <f>(K37+'LE EIAData'!AI32/5)</f>
        <v>0.12310865656270753</v>
      </c>
      <c r="L38" s="200">
        <v>4.4599999999999945E-2</v>
      </c>
      <c r="M38" s="200">
        <v>4.4599999999999945E-2</v>
      </c>
      <c r="N38" s="197">
        <f t="shared" si="4"/>
        <v>2.859827358224256E-2</v>
      </c>
      <c r="O38" s="213">
        <f t="shared" si="27"/>
        <v>6.649999999999999E-2</v>
      </c>
      <c r="P38" s="200">
        <v>9.4400000000000012E-2</v>
      </c>
      <c r="Q38" s="206">
        <f>(Q37+'LE EIAData'!AP32/3)</f>
        <v>0.30056789546641854</v>
      </c>
      <c r="R38" s="200">
        <v>0.22840000000000002</v>
      </c>
      <c r="S38" s="206">
        <f>(S37+'LE EIAData'!AR32)</f>
        <v>0.72327477809758378</v>
      </c>
      <c r="T38" s="200">
        <v>0.76030000000000009</v>
      </c>
      <c r="U38" s="206">
        <v>1</v>
      </c>
      <c r="V38" s="213">
        <f>'LE EIAData'!AU32-'LE Shares'!U38</f>
        <v>0.19896284190351676</v>
      </c>
      <c r="W38" s="200">
        <v>0.30349999999999949</v>
      </c>
      <c r="X38" s="206">
        <f>(X37+'LE EIAData'!AX32)</f>
        <v>0.37172241792536498</v>
      </c>
      <c r="Y38" s="200">
        <v>0.06</v>
      </c>
      <c r="Z38" s="206">
        <f>(Z37+'LE EIAData'!AN32)</f>
        <v>0.85303719662154931</v>
      </c>
      <c r="AA38" s="200">
        <v>0.98</v>
      </c>
      <c r="AB38" s="206">
        <f>(AB37+'LE EIAData'!AL32)</f>
        <v>0.9487092718729685</v>
      </c>
      <c r="AC38" s="200">
        <v>0.98</v>
      </c>
      <c r="AD38" s="206">
        <f>(AD37+'LE EIAData'!AT32)</f>
        <v>0.80048577958517286</v>
      </c>
      <c r="AE38" s="200">
        <v>0.81349999999999867</v>
      </c>
      <c r="AF38" s="197">
        <f>'LE EIAData'!AY32</f>
        <v>3.6401037633529945</v>
      </c>
      <c r="AG38" s="200">
        <v>2.8376092015137693</v>
      </c>
      <c r="AH38" s="206">
        <f>'LE EIAData'!BA32</f>
        <v>0.41196772995379383</v>
      </c>
      <c r="AI38" s="200">
        <v>1</v>
      </c>
      <c r="AJ38" s="200">
        <v>1</v>
      </c>
      <c r="AK38" s="201"/>
    </row>
    <row r="39" spans="1:37" x14ac:dyDescent="0.2">
      <c r="A39" s="208">
        <f t="shared" si="28"/>
        <v>2032</v>
      </c>
      <c r="B39" s="206">
        <f>(B38+'LE EIAData'!W33/3)</f>
        <v>0.11328836111329238</v>
      </c>
      <c r="C39" s="198">
        <v>0.10249999999999999</v>
      </c>
      <c r="D39" s="206">
        <f>(D38+'LE EIAData'!Y33/4)</f>
        <v>0.1646329629826056</v>
      </c>
      <c r="E39" s="200">
        <v>0.105</v>
      </c>
      <c r="F39" s="206">
        <f>'LE EIAData'!Z33</f>
        <v>2.8844301782731445E-2</v>
      </c>
      <c r="G39" s="206">
        <f>(G38+'LE EIAData'!AC33/3)</f>
        <v>0.15723610095392071</v>
      </c>
      <c r="H39" s="200">
        <v>9.8105781170130787E-2</v>
      </c>
      <c r="I39" s="206">
        <f>(I38+'LE EIAData'!AG33)</f>
        <v>0.9463579518209142</v>
      </c>
      <c r="J39" s="200">
        <v>0.90400000000000114</v>
      </c>
      <c r="K39" s="206">
        <f>(K38+'LE EIAData'!AI33/5)</f>
        <v>0.12472237038608447</v>
      </c>
      <c r="L39" s="200">
        <v>4.4999999999999943E-2</v>
      </c>
      <c r="M39" s="200">
        <v>4.4999999999999943E-2</v>
      </c>
      <c r="N39" s="197">
        <f t="shared" si="4"/>
        <v>2.8844301782731445E-2</v>
      </c>
      <c r="O39" s="213">
        <f t="shared" si="27"/>
        <v>6.5999999999999989E-2</v>
      </c>
      <c r="P39" s="200">
        <v>9.3000000000000013E-2</v>
      </c>
      <c r="Q39" s="206">
        <f>(Q38+'LE EIAData'!AP33/3)</f>
        <v>0.30104783537478164</v>
      </c>
      <c r="R39" s="200">
        <v>0.22940000000000002</v>
      </c>
      <c r="S39" s="206">
        <f>(S38+'LE EIAData'!AR33)</f>
        <v>0.72422497830565968</v>
      </c>
      <c r="T39" s="200">
        <v>0.76230000000000009</v>
      </c>
      <c r="U39" s="206">
        <v>1</v>
      </c>
      <c r="V39" s="213">
        <f>'LE EIAData'!AU33-'LE Shares'!U39</f>
        <v>0.19872659168058648</v>
      </c>
      <c r="W39" s="200">
        <v>0.30369999999999947</v>
      </c>
      <c r="X39" s="206">
        <f>(X38+'LE EIAData'!AX33)</f>
        <v>0.37127436911284717</v>
      </c>
      <c r="Y39" s="200">
        <v>0.06</v>
      </c>
      <c r="Z39" s="206">
        <f>(Z38+'LE EIAData'!AN33)</f>
        <v>0.85766558535937865</v>
      </c>
      <c r="AA39" s="200">
        <v>0.98</v>
      </c>
      <c r="AB39" s="206">
        <f>(AB38+'LE EIAData'!AL33)</f>
        <v>0.94932701171595701</v>
      </c>
      <c r="AC39" s="200">
        <v>0.98</v>
      </c>
      <c r="AD39" s="206">
        <f>(AD38+'LE EIAData'!AT33)</f>
        <v>0.80175006673501803</v>
      </c>
      <c r="AE39" s="200">
        <v>0.81499999999999861</v>
      </c>
      <c r="AF39" s="197">
        <f>'LE EIAData'!AY33</f>
        <v>3.6564327895074826</v>
      </c>
      <c r="AG39" s="200">
        <v>2.8376092015137693</v>
      </c>
      <c r="AH39" s="206">
        <f>'LE EIAData'!BA33</f>
        <v>0.41044491370357666</v>
      </c>
      <c r="AI39" s="200">
        <v>1</v>
      </c>
      <c r="AJ39" s="200">
        <v>1</v>
      </c>
      <c r="AK39" s="201"/>
    </row>
    <row r="40" spans="1:37" x14ac:dyDescent="0.2">
      <c r="A40" s="208">
        <f t="shared" si="28"/>
        <v>2033</v>
      </c>
      <c r="B40" s="206">
        <f>(B39+'LE EIAData'!W34/3)</f>
        <v>0.11294441439087764</v>
      </c>
      <c r="C40" s="198">
        <v>0.10339999999999995</v>
      </c>
      <c r="D40" s="206">
        <f>(D39+'LE EIAData'!Y34/4)</f>
        <v>0.16658388646014755</v>
      </c>
      <c r="E40" s="200">
        <v>0.10539999999999994</v>
      </c>
      <c r="F40" s="206">
        <f>'LE EIAData'!Z34</f>
        <v>2.9075977292114009E-2</v>
      </c>
      <c r="G40" s="206">
        <f>(G39+'LE EIAData'!AC34/3)</f>
        <v>0.15474848681522377</v>
      </c>
      <c r="H40" s="200">
        <v>9.7605781170130787E-2</v>
      </c>
      <c r="I40" s="206">
        <f>(I39+'LE EIAData'!AG34)</f>
        <v>0.94883725778516492</v>
      </c>
      <c r="J40" s="200">
        <v>0.90460000000000118</v>
      </c>
      <c r="K40" s="206">
        <f>(K39+'LE EIAData'!AI34/5)</f>
        <v>0.12628310916811802</v>
      </c>
      <c r="L40" s="200">
        <v>4.539999999999994E-2</v>
      </c>
      <c r="M40" s="200">
        <v>4.539999999999994E-2</v>
      </c>
      <c r="N40" s="197">
        <f t="shared" si="4"/>
        <v>2.9075977292114009E-2</v>
      </c>
      <c r="O40" s="213">
        <f t="shared" si="27"/>
        <v>6.5499999999999989E-2</v>
      </c>
      <c r="P40" s="200">
        <v>9.1600000000000015E-2</v>
      </c>
      <c r="Q40" s="206">
        <f>(Q39+'LE EIAData'!AP34/3)</f>
        <v>0.3015169914322649</v>
      </c>
      <c r="R40" s="200">
        <v>0.23040000000000002</v>
      </c>
      <c r="S40" s="206">
        <f>(S39+'LE EIAData'!AR34)</f>
        <v>0.7251721724525092</v>
      </c>
      <c r="T40" s="200">
        <v>0.76430000000000009</v>
      </c>
      <c r="U40" s="206">
        <v>1</v>
      </c>
      <c r="V40" s="213">
        <f>'LE EIAData'!AU34-'LE Shares'!U40</f>
        <v>0.19849927934817768</v>
      </c>
      <c r="W40" s="200">
        <v>0.30389999999999945</v>
      </c>
      <c r="X40" s="206">
        <f>(X39+'LE EIAData'!AX34)</f>
        <v>0.37078981531740962</v>
      </c>
      <c r="Y40" s="200">
        <v>0.06</v>
      </c>
      <c r="Z40" s="206">
        <f>(Z39+'LE EIAData'!AN34)</f>
        <v>0.86215862685565225</v>
      </c>
      <c r="AA40" s="200">
        <v>0.98</v>
      </c>
      <c r="AB40" s="206">
        <f>(AB39+'LE EIAData'!AL34)</f>
        <v>0.94991658637545273</v>
      </c>
      <c r="AC40" s="200">
        <v>0.98</v>
      </c>
      <c r="AD40" s="206">
        <f>(AD39+'LE EIAData'!AT34)</f>
        <v>0.80297077583353837</v>
      </c>
      <c r="AE40" s="200">
        <v>0.81649999999999856</v>
      </c>
      <c r="AF40" s="197">
        <f>'LE EIAData'!AY34</f>
        <v>3.6730932729358474</v>
      </c>
      <c r="AG40" s="200">
        <v>2.8376092015137693</v>
      </c>
      <c r="AH40" s="206">
        <f>'LE EIAData'!BA34</f>
        <v>0.40899926464099773</v>
      </c>
      <c r="AI40" s="200">
        <v>1</v>
      </c>
      <c r="AJ40" s="200">
        <v>1</v>
      </c>
      <c r="AK40" s="201"/>
    </row>
    <row r="41" spans="1:37" x14ac:dyDescent="0.2">
      <c r="A41" s="208">
        <f t="shared" si="28"/>
        <v>2034</v>
      </c>
      <c r="B41" s="206">
        <f>(B40+'LE EIAData'!W35/3)</f>
        <v>0.11257123828358938</v>
      </c>
      <c r="C41" s="198">
        <v>0.10429999999999995</v>
      </c>
      <c r="D41" s="206">
        <f>(D40+'LE EIAData'!Y35/4)</f>
        <v>0.16851284865402999</v>
      </c>
      <c r="E41" s="200">
        <v>0.10579999999999994</v>
      </c>
      <c r="F41" s="206">
        <f>'LE EIAData'!Z35</f>
        <v>2.929887217186742E-2</v>
      </c>
      <c r="G41" s="206">
        <f>(G40+'LE EIAData'!AC35/3)</f>
        <v>0.15226260750948933</v>
      </c>
      <c r="H41" s="200">
        <v>9.7105781170130787E-2</v>
      </c>
      <c r="I41" s="206">
        <f>(I40+'LE EIAData'!AG35)</f>
        <v>0.95122168374627769</v>
      </c>
      <c r="J41" s="200">
        <v>0.90520000000000123</v>
      </c>
      <c r="K41" s="206">
        <f>(K40+'LE EIAData'!AI35/5)</f>
        <v>0.12782627892322398</v>
      </c>
      <c r="L41" s="200">
        <v>4.5799999999999938E-2</v>
      </c>
      <c r="M41" s="200">
        <v>4.5799999999999938E-2</v>
      </c>
      <c r="N41" s="197">
        <f t="shared" si="4"/>
        <v>2.929887217186742E-2</v>
      </c>
      <c r="O41" s="213">
        <f t="shared" si="27"/>
        <v>6.4999999999999988E-2</v>
      </c>
      <c r="P41" s="200">
        <v>9.0200000000000016E-2</v>
      </c>
      <c r="Q41" s="206">
        <f>(Q40+'LE EIAData'!AP35/3)</f>
        <v>0.30197682726410219</v>
      </c>
      <c r="R41" s="200">
        <v>0.23140000000000002</v>
      </c>
      <c r="S41" s="206">
        <f>(S40+'LE EIAData'!AR35)</f>
        <v>0.72612222358647849</v>
      </c>
      <c r="T41" s="200">
        <v>0.76630000000000009</v>
      </c>
      <c r="U41" s="206">
        <v>1</v>
      </c>
      <c r="V41" s="213">
        <f>'LE EIAData'!AU35-'LE Shares'!U41</f>
        <v>0.19829242130078972</v>
      </c>
      <c r="W41" s="200">
        <v>0.30409999999999943</v>
      </c>
      <c r="X41" s="206">
        <f>(X40+'LE EIAData'!AX35)</f>
        <v>0.37029080185109065</v>
      </c>
      <c r="Y41" s="200">
        <v>0.06</v>
      </c>
      <c r="Z41" s="206">
        <f>(Z40+'LE EIAData'!AN35)</f>
        <v>0.86657609161974358</v>
      </c>
      <c r="AA41" s="200">
        <v>0.98</v>
      </c>
      <c r="AB41" s="206">
        <f>(AB40+'LE EIAData'!AL35)</f>
        <v>0.95049189319374461</v>
      </c>
      <c r="AC41" s="200">
        <v>0.98</v>
      </c>
      <c r="AD41" s="206">
        <f>(AD40+'LE EIAData'!AT35)</f>
        <v>0.80417122735532531</v>
      </c>
      <c r="AE41" s="200">
        <v>0.81799999999999851</v>
      </c>
      <c r="AF41" s="197">
        <f>'LE EIAData'!AY35</f>
        <v>3.6897892451603829</v>
      </c>
      <c r="AG41" s="200">
        <v>2.8376092015137693</v>
      </c>
      <c r="AH41" s="206">
        <f>'LE EIAData'!BA35</f>
        <v>0.40748550682128709</v>
      </c>
      <c r="AI41" s="200">
        <v>1</v>
      </c>
      <c r="AJ41" s="200">
        <v>1</v>
      </c>
      <c r="AK41" s="201"/>
    </row>
    <row r="42" spans="1:37" x14ac:dyDescent="0.2">
      <c r="A42" s="208">
        <f t="shared" si="28"/>
        <v>2035</v>
      </c>
      <c r="B42" s="206">
        <f>(B41+'LE EIAData'!W36/3)</f>
        <v>0.11216808539417621</v>
      </c>
      <c r="C42" s="198">
        <v>0.10519999999999995</v>
      </c>
      <c r="D42" s="206">
        <f>(D41+'LE EIAData'!Y36/4)</f>
        <v>0.1704233453004646</v>
      </c>
      <c r="E42" s="200">
        <v>0.10619999999999993</v>
      </c>
      <c r="F42" s="206">
        <f>'LE EIAData'!Z36</f>
        <v>2.9518080994352137E-2</v>
      </c>
      <c r="G42" s="206">
        <f>(G41+'LE EIAData'!AC36/3)</f>
        <v>0.14977543517867004</v>
      </c>
      <c r="H42" s="200">
        <v>9.6605781170130786E-2</v>
      </c>
      <c r="I42" s="206">
        <f>(I41+'LE EIAData'!AG36)</f>
        <v>0.95351049703847468</v>
      </c>
      <c r="J42" s="200">
        <v>0.90580000000000127</v>
      </c>
      <c r="K42" s="206">
        <f>(K41+'LE EIAData'!AI36/5)</f>
        <v>0.12935467624037167</v>
      </c>
      <c r="L42" s="200">
        <v>4.6199999999999936E-2</v>
      </c>
      <c r="M42" s="200">
        <v>4.6199999999999936E-2</v>
      </c>
      <c r="N42" s="197">
        <f t="shared" si="4"/>
        <v>2.9518080994352137E-2</v>
      </c>
      <c r="O42" s="213">
        <f t="shared" si="27"/>
        <v>6.4499999999999988E-2</v>
      </c>
      <c r="P42" s="200">
        <v>8.8800000000000018E-2</v>
      </c>
      <c r="Q42" s="206">
        <f>(Q41+'LE EIAData'!AP36/3)</f>
        <v>0.30243682441730879</v>
      </c>
      <c r="R42" s="200">
        <v>0.23240000000000002</v>
      </c>
      <c r="S42" s="206">
        <f>(S41+'LE EIAData'!AR36)</f>
        <v>0.72707297941231841</v>
      </c>
      <c r="T42" s="200">
        <v>0.76830000000000009</v>
      </c>
      <c r="U42" s="206">
        <v>1</v>
      </c>
      <c r="V42" s="213">
        <f>'LE EIAData'!AU36-'LE Shares'!U42</f>
        <v>0.1981055930443083</v>
      </c>
      <c r="W42" s="200">
        <v>0.3042999999999994</v>
      </c>
      <c r="X42" s="206">
        <f>(X41+'LE EIAData'!AX36)</f>
        <v>0.36978255642855362</v>
      </c>
      <c r="Y42" s="200">
        <v>0.06</v>
      </c>
      <c r="Z42" s="206">
        <f>(Z41+'LE EIAData'!AN36)</f>
        <v>0.87093743116847144</v>
      </c>
      <c r="AA42" s="200">
        <v>0.98</v>
      </c>
      <c r="AB42" s="206">
        <f>(AB41+'LE EIAData'!AL36)</f>
        <v>0.95105266763704444</v>
      </c>
      <c r="AC42" s="200">
        <v>0.98</v>
      </c>
      <c r="AD42" s="206">
        <f>(AD41+'LE EIAData'!AT36)</f>
        <v>0.80535540728427202</v>
      </c>
      <c r="AE42" s="200">
        <v>0.81949999999999845</v>
      </c>
      <c r="AF42" s="197">
        <f>'LE EIAData'!AY36</f>
        <v>3.7065297244685431</v>
      </c>
      <c r="AG42" s="200">
        <v>2.8376092015137693</v>
      </c>
      <c r="AH42" s="206">
        <f>'LE EIAData'!BA36</f>
        <v>0.40601138988903784</v>
      </c>
      <c r="AI42" s="200">
        <v>1</v>
      </c>
      <c r="AJ42" s="200">
        <v>1</v>
      </c>
      <c r="AK42" s="201"/>
    </row>
    <row r="43" spans="1:37" x14ac:dyDescent="0.2">
      <c r="A43" s="208">
        <f t="shared" si="28"/>
        <v>2036</v>
      </c>
      <c r="B43" s="206">
        <f>(B42+'LE EIAData'!W42/3)</f>
        <v>0.11176493250476303</v>
      </c>
      <c r="C43" s="198">
        <v>0.10609999999999994</v>
      </c>
      <c r="D43" s="206">
        <f>(D42+'LE EIAData'!Y37/4)</f>
        <v>0.17233384194689921</v>
      </c>
      <c r="E43" s="200">
        <v>0.10659999999999993</v>
      </c>
      <c r="F43" s="206">
        <f>'LE EIAData'!Z37</f>
        <v>2.9738929897300471E-2</v>
      </c>
      <c r="G43" s="206">
        <f>(G42+'LE EIAData'!AC37/3)</f>
        <v>0.14728826284785074</v>
      </c>
      <c r="H43" s="200">
        <v>9.6105781170130786E-2</v>
      </c>
      <c r="I43" s="206">
        <f>(I42+'LE EIAData'!AG37)</f>
        <v>0.95579931033067167</v>
      </c>
      <c r="J43" s="200">
        <v>0.90640000000000132</v>
      </c>
      <c r="K43" s="206">
        <f>(K42+'LE EIAData'!AI37/5)</f>
        <v>0.13088307355751935</v>
      </c>
      <c r="L43" s="200">
        <v>4.6599999999999933E-2</v>
      </c>
      <c r="M43" s="200">
        <v>4.6599999999999933E-2</v>
      </c>
      <c r="N43" s="222">
        <f>N42</f>
        <v>2.9518080994352137E-2</v>
      </c>
      <c r="O43" s="213">
        <f t="shared" si="27"/>
        <v>6.3999999999999987E-2</v>
      </c>
      <c r="P43" s="200">
        <v>8.7400000000000019E-2</v>
      </c>
      <c r="Q43" s="206">
        <f>(Q42+'LE EIAData'!AP37/3)</f>
        <v>0.3028968215705154</v>
      </c>
      <c r="R43" s="200">
        <v>0.23340000000000002</v>
      </c>
      <c r="S43" s="206">
        <f>(S42+'LE EIAData'!AR37)</f>
        <v>0.72802373523815833</v>
      </c>
      <c r="T43" s="200">
        <v>0.7703000000000001</v>
      </c>
      <c r="U43" s="206">
        <v>1</v>
      </c>
      <c r="V43" s="213">
        <f>'LE EIAData'!AU37-'LE Shares'!U43</f>
        <v>0.19791879391660783</v>
      </c>
      <c r="W43" s="200">
        <v>0.30449999999999938</v>
      </c>
      <c r="X43" s="206">
        <f>(X42+'LE EIAData'!AX37)</f>
        <v>0.3692743110060166</v>
      </c>
      <c r="Y43" s="222">
        <f t="shared" ref="Y43:Y49" si="29">Y42</f>
        <v>0.06</v>
      </c>
      <c r="Z43" s="206">
        <f>(Z42+'LE EIAData'!AN37)</f>
        <v>0.8752987707171993</v>
      </c>
      <c r="AA43" s="222">
        <f t="shared" ref="AA43:AJ49" si="30">AA42</f>
        <v>0.98</v>
      </c>
      <c r="AB43" s="206">
        <f>(AB42+'LE EIAData'!AL37)</f>
        <v>0.95161344208034426</v>
      </c>
      <c r="AC43" s="222">
        <f t="shared" si="30"/>
        <v>0.98</v>
      </c>
      <c r="AD43" s="206">
        <f>(AD42+'LE EIAData'!AT37)</f>
        <v>0.80653958721321872</v>
      </c>
      <c r="AE43" s="222">
        <f t="shared" ref="AE43:AE49" si="31">AE42</f>
        <v>0.81949999999999845</v>
      </c>
      <c r="AF43" s="197">
        <f>'LE EIAData'!AY37</f>
        <v>3.7233461549025932</v>
      </c>
      <c r="AG43" s="200">
        <v>2.8376092015137693</v>
      </c>
      <c r="AH43" s="206">
        <f>'LE EIAData'!BA37</f>
        <v>0.40454260571266226</v>
      </c>
      <c r="AI43" s="222">
        <f t="shared" si="30"/>
        <v>1</v>
      </c>
      <c r="AJ43" s="222">
        <f t="shared" si="30"/>
        <v>1</v>
      </c>
    </row>
    <row r="44" spans="1:37" x14ac:dyDescent="0.2">
      <c r="A44" s="208">
        <f t="shared" si="28"/>
        <v>2037</v>
      </c>
      <c r="B44" s="206">
        <f>(B43+'LE EIAData'!W43/3)</f>
        <v>0.1113617796153499</v>
      </c>
      <c r="C44" s="198">
        <v>0.10699999999999994</v>
      </c>
      <c r="D44" s="206">
        <f>(D43+'LE EIAData'!Y38/4)</f>
        <v>0.17424433859333383</v>
      </c>
      <c r="E44" s="200">
        <v>0.10699999999999993</v>
      </c>
      <c r="F44" s="206">
        <f>'LE EIAData'!Z38</f>
        <v>2.9961431151495584E-2</v>
      </c>
      <c r="G44" s="206">
        <f>(G43+'LE EIAData'!AC38/3)</f>
        <v>0.14480109051703144</v>
      </c>
      <c r="H44" s="200">
        <v>9.5605781170130785E-2</v>
      </c>
      <c r="I44" s="206">
        <f>(I43+'LE EIAData'!AG38)</f>
        <v>0.95808812362286866</v>
      </c>
      <c r="J44" s="200">
        <v>0.90700000000000136</v>
      </c>
      <c r="K44" s="206">
        <f>(K43+'LE EIAData'!AI38/5)</f>
        <v>0.13241147087466704</v>
      </c>
      <c r="L44" s="200">
        <v>4.6999999999999931E-2</v>
      </c>
      <c r="M44" s="200">
        <v>4.6999999999999931E-2</v>
      </c>
      <c r="N44" s="222">
        <f t="shared" ref="N44:N48" si="32">N43</f>
        <v>2.9518080994352137E-2</v>
      </c>
      <c r="O44" s="213">
        <f t="shared" si="27"/>
        <v>6.3499999999999987E-2</v>
      </c>
      <c r="P44" s="200">
        <v>8.6000000000000021E-2</v>
      </c>
      <c r="Q44" s="206">
        <f>(Q43+'LE EIAData'!AP38/3)</f>
        <v>0.303356818723722</v>
      </c>
      <c r="R44" s="200">
        <v>0.23440000000000003</v>
      </c>
      <c r="S44" s="206">
        <f>(S43+'LE EIAData'!AR38)</f>
        <v>0.72897449106399825</v>
      </c>
      <c r="T44" s="200">
        <v>0.7723000000000001</v>
      </c>
      <c r="U44" s="206">
        <v>1</v>
      </c>
      <c r="V44" s="213">
        <f>'LE EIAData'!AU38-'LE Shares'!U44</f>
        <v>0.19773202391314681</v>
      </c>
      <c r="W44" s="200">
        <v>0.30469999999999936</v>
      </c>
      <c r="X44" s="206">
        <f>(X43+'LE EIAData'!AX38)</f>
        <v>0.36876606558347957</v>
      </c>
      <c r="Y44" s="222">
        <f t="shared" si="29"/>
        <v>0.06</v>
      </c>
      <c r="Z44" s="206">
        <f>(Z43+'LE EIAData'!AN38)</f>
        <v>0.87966011026592716</v>
      </c>
      <c r="AA44" s="222">
        <f t="shared" si="30"/>
        <v>0.98</v>
      </c>
      <c r="AB44" s="206">
        <f>(AB43+'LE EIAData'!AL38)</f>
        <v>0.95217421652364409</v>
      </c>
      <c r="AC44" s="222">
        <f t="shared" si="30"/>
        <v>0.98</v>
      </c>
      <c r="AD44" s="206">
        <f>(AD43+'LE EIAData'!AT38)</f>
        <v>0.80772376714216543</v>
      </c>
      <c r="AE44" s="222">
        <f t="shared" si="31"/>
        <v>0.81949999999999845</v>
      </c>
      <c r="AF44" s="197">
        <f>'LE EIAData'!AY38</f>
        <v>3.7402388810508467</v>
      </c>
      <c r="AG44" s="200">
        <v>2.8376092015137693</v>
      </c>
      <c r="AH44" s="206">
        <f>'LE EIAData'!BA38</f>
        <v>0.4030791350004172</v>
      </c>
      <c r="AI44" s="222">
        <f t="shared" si="30"/>
        <v>1</v>
      </c>
      <c r="AJ44" s="222">
        <f t="shared" si="30"/>
        <v>1</v>
      </c>
    </row>
    <row r="45" spans="1:37" x14ac:dyDescent="0.2">
      <c r="A45" s="208">
        <f t="shared" si="28"/>
        <v>2038</v>
      </c>
      <c r="B45" s="206">
        <f>(B44+'LE EIAData'!W44/3)</f>
        <v>0.1113617796153499</v>
      </c>
      <c r="C45" s="198">
        <v>0.10789999999999994</v>
      </c>
      <c r="D45" s="206">
        <f>(D44+'LE EIAData'!Y39/4)</f>
        <v>0.17615483523976844</v>
      </c>
      <c r="E45" s="200">
        <v>0.10739999999999993</v>
      </c>
      <c r="F45" s="206">
        <f>'LE EIAData'!Z39</f>
        <v>3.0185597119528396E-2</v>
      </c>
      <c r="G45" s="206">
        <f>(G44+'LE EIAData'!AC39/3)</f>
        <v>0.14231391818621214</v>
      </c>
      <c r="H45" s="200">
        <v>9.5605781170130785E-2</v>
      </c>
      <c r="I45" s="206">
        <f>(I44+'LE EIAData'!AG39)</f>
        <v>0.96037693691506565</v>
      </c>
      <c r="J45" s="200">
        <v>0.90760000000000141</v>
      </c>
      <c r="K45" s="206">
        <f>(K44+'LE EIAData'!AI39/5)</f>
        <v>0.13393986819181472</v>
      </c>
      <c r="L45" s="200">
        <v>4.6999999999999931E-2</v>
      </c>
      <c r="M45" s="200">
        <v>4.6999999999999931E-2</v>
      </c>
      <c r="N45" s="222">
        <f t="shared" si="32"/>
        <v>2.9518080994352137E-2</v>
      </c>
      <c r="O45" s="213">
        <f t="shared" si="27"/>
        <v>6.2999999999999987E-2</v>
      </c>
      <c r="P45" s="200">
        <v>8.6000000000000021E-2</v>
      </c>
      <c r="Q45" s="206">
        <f>(Q44+'LE EIAData'!AP39/3)</f>
        <v>0.3038168158769286</v>
      </c>
      <c r="R45" s="200">
        <v>0.23440000000000003</v>
      </c>
      <c r="S45" s="206">
        <f>(S44+'LE EIAData'!AR39)</f>
        <v>0.72992524688983818</v>
      </c>
      <c r="T45" s="200">
        <v>0.7723000000000001</v>
      </c>
      <c r="U45" s="206">
        <v>1</v>
      </c>
      <c r="V45" s="213">
        <f>'LE EIAData'!AU39-'LE Shares'!U45</f>
        <v>0.19754528302938423</v>
      </c>
      <c r="W45" s="200">
        <v>0.30469999999999936</v>
      </c>
      <c r="X45" s="206">
        <f>(X44+'LE EIAData'!AX39)</f>
        <v>0.36825782016094255</v>
      </c>
      <c r="Y45" s="222">
        <f t="shared" si="29"/>
        <v>0.06</v>
      </c>
      <c r="Z45" s="206">
        <f>(Z44+'LE EIAData'!AN39)</f>
        <v>0.88402144981465502</v>
      </c>
      <c r="AA45" s="222">
        <f t="shared" si="30"/>
        <v>0.98</v>
      </c>
      <c r="AB45" s="206">
        <f>(AB44+'LE EIAData'!AL39)</f>
        <v>0.95273499096694392</v>
      </c>
      <c r="AC45" s="222">
        <f t="shared" si="30"/>
        <v>0.98</v>
      </c>
      <c r="AD45" s="206">
        <f>(AD44+'LE EIAData'!AT39)</f>
        <v>0.80890794707111213</v>
      </c>
      <c r="AE45" s="222">
        <f t="shared" si="31"/>
        <v>0.81949999999999845</v>
      </c>
      <c r="AF45" s="197">
        <f>'LE EIAData'!AY39</f>
        <v>3.7572082490650045</v>
      </c>
      <c r="AG45" s="200">
        <v>2.8376092015137693</v>
      </c>
      <c r="AH45" s="206">
        <f>'LE EIAData'!BA39</f>
        <v>0.40162095853034924</v>
      </c>
      <c r="AI45" s="222">
        <f t="shared" si="30"/>
        <v>1</v>
      </c>
      <c r="AJ45" s="222">
        <f t="shared" si="30"/>
        <v>1</v>
      </c>
    </row>
    <row r="46" spans="1:37" x14ac:dyDescent="0.2">
      <c r="A46" s="208">
        <f t="shared" si="28"/>
        <v>2039</v>
      </c>
      <c r="B46" s="206">
        <f>(B45+'LE EIAData'!W45/3)</f>
        <v>0.1113617796153499</v>
      </c>
      <c r="C46" s="198">
        <v>0.10869999999999994</v>
      </c>
      <c r="D46" s="206">
        <f>(D45+'LE EIAData'!Y40/4)</f>
        <v>0.17806533188620305</v>
      </c>
      <c r="E46" s="200">
        <v>0.10780000000000001</v>
      </c>
      <c r="F46" s="206">
        <f>'LE EIAData'!Z40</f>
        <v>3.0411440256484481E-2</v>
      </c>
      <c r="G46" s="206">
        <f>(G45+'LE EIAData'!AC40/3)</f>
        <v>0.13982674585539284</v>
      </c>
      <c r="H46" s="200">
        <v>9.5605781170130785E-2</v>
      </c>
      <c r="I46" s="206">
        <f>(I45+'LE EIAData'!AG40)</f>
        <v>0.96266575020726264</v>
      </c>
      <c r="J46" s="200">
        <v>0.90760000000000141</v>
      </c>
      <c r="K46" s="206">
        <f>(K45+'LE EIAData'!AI40/5)</f>
        <v>0.1354682655089624</v>
      </c>
      <c r="L46" s="200">
        <v>4.6999999999999931E-2</v>
      </c>
      <c r="M46" s="200">
        <v>4.6999999999999931E-2</v>
      </c>
      <c r="N46" s="222">
        <f t="shared" si="32"/>
        <v>2.9518080994352137E-2</v>
      </c>
      <c r="O46" s="213">
        <f t="shared" si="27"/>
        <v>6.2499999999999986E-2</v>
      </c>
      <c r="P46" s="200">
        <v>8.6000000000000021E-2</v>
      </c>
      <c r="Q46" s="206">
        <f>(Q45+'LE EIAData'!AP40/3)</f>
        <v>0.30427681303013521</v>
      </c>
      <c r="R46" s="200">
        <v>0.23440000000000003</v>
      </c>
      <c r="S46" s="206">
        <f>(S45+'LE EIAData'!AR40)</f>
        <v>0.7308760027156781</v>
      </c>
      <c r="T46" s="200">
        <v>0.7723000000000001</v>
      </c>
      <c r="U46" s="206">
        <v>1</v>
      </c>
      <c r="V46" s="213">
        <f>'LE EIAData'!AU40-'LE Shares'!U46</f>
        <v>0.19735857126078016</v>
      </c>
      <c r="W46" s="200">
        <v>0.30469999999999936</v>
      </c>
      <c r="X46" s="206">
        <f>(X45+'LE EIAData'!AX40)</f>
        <v>0.36774957473840553</v>
      </c>
      <c r="Y46" s="222">
        <f t="shared" si="29"/>
        <v>0.06</v>
      </c>
      <c r="Z46" s="206">
        <f>(Z45+'LE EIAData'!AN40)</f>
        <v>0.88838278936338289</v>
      </c>
      <c r="AA46" s="222">
        <f t="shared" si="30"/>
        <v>0.98</v>
      </c>
      <c r="AB46" s="206">
        <f>(AB45+'LE EIAData'!AL40)</f>
        <v>0.95329576541024375</v>
      </c>
      <c r="AC46" s="222">
        <f t="shared" si="30"/>
        <v>0.98</v>
      </c>
      <c r="AD46" s="206">
        <f>(AD45+'LE EIAData'!AT40)</f>
        <v>0.81009212700005884</v>
      </c>
      <c r="AE46" s="222">
        <f t="shared" si="31"/>
        <v>0.81949999999999845</v>
      </c>
      <c r="AF46" s="197">
        <f>'LE EIAData'!AY40</f>
        <v>3.7742546066672493</v>
      </c>
      <c r="AG46" s="200">
        <v>2.8376092015137693</v>
      </c>
      <c r="AH46" s="206">
        <f>'LE EIAData'!BA40</f>
        <v>0.40016805715004217</v>
      </c>
      <c r="AI46" s="222">
        <f t="shared" si="30"/>
        <v>1</v>
      </c>
      <c r="AJ46" s="222">
        <f t="shared" si="30"/>
        <v>1</v>
      </c>
    </row>
    <row r="47" spans="1:37" x14ac:dyDescent="0.2">
      <c r="A47" s="208">
        <f t="shared" si="28"/>
        <v>2040</v>
      </c>
      <c r="B47" s="206">
        <f>(B46+'LE EIAData'!W46/3)</f>
        <v>0.1113617796153499</v>
      </c>
      <c r="C47" s="198">
        <v>0.10949999999999993</v>
      </c>
      <c r="D47" s="206">
        <f>(D46+'LE EIAData'!Y41/4)</f>
        <v>0.17997582853263766</v>
      </c>
      <c r="E47" s="200">
        <v>0.1082</v>
      </c>
      <c r="F47" s="206">
        <f>'LE EIAData'!Z41</f>
        <v>3.0638973110636094E-2</v>
      </c>
      <c r="G47" s="206">
        <f>(G46+'LE EIAData'!AC41/3)</f>
        <v>0.13733957352457354</v>
      </c>
      <c r="H47" s="200">
        <v>9.5605781170130785E-2</v>
      </c>
      <c r="I47" s="206">
        <f>(I46+'LE EIAData'!AG41)</f>
        <v>0.96495456349945963</v>
      </c>
      <c r="J47" s="200">
        <v>0.90760000000000141</v>
      </c>
      <c r="K47" s="206">
        <f>(K46+'LE EIAData'!AI41/5)</f>
        <v>0.13699666282611009</v>
      </c>
      <c r="L47" s="200">
        <v>4.6999999999999931E-2</v>
      </c>
      <c r="M47" s="200">
        <v>4.6999999999999931E-2</v>
      </c>
      <c r="N47" s="222">
        <f t="shared" si="32"/>
        <v>2.9518080994352137E-2</v>
      </c>
      <c r="O47" s="213">
        <f t="shared" si="27"/>
        <v>6.1999999999999986E-2</v>
      </c>
      <c r="P47" s="200">
        <v>8.6000000000000021E-2</v>
      </c>
      <c r="Q47" s="206">
        <f>(Q46+'LE EIAData'!AP41/3)</f>
        <v>0.30473681018334181</v>
      </c>
      <c r="R47" s="200">
        <v>0.23440000000000003</v>
      </c>
      <c r="S47" s="206">
        <f>(S46+'LE EIAData'!AR41)</f>
        <v>0.73182675854151802</v>
      </c>
      <c r="T47" s="200">
        <v>0.7723000000000001</v>
      </c>
      <c r="U47" s="206">
        <v>1</v>
      </c>
      <c r="V47" s="213">
        <f>'LE EIAData'!AU41-'LE Shares'!U47</f>
        <v>0.19717188860279511</v>
      </c>
      <c r="W47" s="200">
        <v>0.30469999999999936</v>
      </c>
      <c r="X47" s="206">
        <f>(X46+'LE EIAData'!AX41)</f>
        <v>0.3672413293158685</v>
      </c>
      <c r="Y47" s="222">
        <f t="shared" si="29"/>
        <v>0.06</v>
      </c>
      <c r="Z47" s="206">
        <f>(Z46+'LE EIAData'!AN41)</f>
        <v>0.89274412891211075</v>
      </c>
      <c r="AA47" s="222">
        <f t="shared" si="30"/>
        <v>0.98</v>
      </c>
      <c r="AB47" s="206">
        <f>(AB46+'LE EIAData'!AL41)</f>
        <v>0.95385653985354357</v>
      </c>
      <c r="AC47" s="222">
        <f t="shared" si="30"/>
        <v>0.98</v>
      </c>
      <c r="AD47" s="206">
        <f>(AD46+'LE EIAData'!AT41)</f>
        <v>0.81127630692900554</v>
      </c>
      <c r="AE47" s="222">
        <f t="shared" si="31"/>
        <v>0.81949999999999845</v>
      </c>
      <c r="AF47" s="197">
        <f>'LE EIAData'!AY41</f>
        <v>3.7913783031573707</v>
      </c>
      <c r="AG47" s="200">
        <v>2.8376092015137693</v>
      </c>
      <c r="AH47" s="206">
        <f>'LE EIAData'!BA41</f>
        <v>0.39872041177636536</v>
      </c>
      <c r="AI47" s="222">
        <f t="shared" si="30"/>
        <v>1</v>
      </c>
      <c r="AJ47" s="222">
        <f t="shared" si="30"/>
        <v>1</v>
      </c>
    </row>
    <row r="48" spans="1:37" x14ac:dyDescent="0.2">
      <c r="A48" s="208">
        <f t="shared" si="28"/>
        <v>2041</v>
      </c>
      <c r="B48" s="206">
        <f>(B47+'LE EIAData'!W47/3)</f>
        <v>0.1113617796153499</v>
      </c>
      <c r="C48" s="198">
        <v>0.11029999999999993</v>
      </c>
      <c r="D48" s="206">
        <f>(D47+'LE EIAData'!Y42/4)</f>
        <v>0.18188632517907227</v>
      </c>
      <c r="E48" s="200">
        <v>0.1082</v>
      </c>
      <c r="F48" s="206">
        <f>'LE EIAData'!Z42</f>
        <v>3.0868208324139376E-2</v>
      </c>
      <c r="G48" s="206">
        <f>(G47+'LE EIAData'!AC42/3)</f>
        <v>0.13485240119375425</v>
      </c>
      <c r="H48" s="200">
        <v>9.5605781170130785E-2</v>
      </c>
      <c r="I48" s="206">
        <f>(I47+'LE EIAData'!AG42)</f>
        <v>0.96724337679165662</v>
      </c>
      <c r="J48" s="200">
        <v>0.90760000000000141</v>
      </c>
      <c r="K48" s="206">
        <f>(K47+'LE EIAData'!AI42/5)</f>
        <v>0.13852506014325777</v>
      </c>
      <c r="L48" s="200">
        <v>4.6999999999999931E-2</v>
      </c>
      <c r="M48" s="200">
        <v>4.6999999999999931E-2</v>
      </c>
      <c r="N48" s="222">
        <f t="shared" si="32"/>
        <v>2.9518080994352137E-2</v>
      </c>
      <c r="O48" s="213">
        <f t="shared" si="27"/>
        <v>6.1499999999999985E-2</v>
      </c>
      <c r="P48" s="200">
        <v>8.6000000000000021E-2</v>
      </c>
      <c r="Q48" s="206">
        <f>(Q47+'LE EIAData'!AP42/3)</f>
        <v>0.30519680733654841</v>
      </c>
      <c r="R48" s="200">
        <v>0.23440000000000003</v>
      </c>
      <c r="S48" s="206">
        <f>(S47+'LE EIAData'!AR42)</f>
        <v>0.73277751436735794</v>
      </c>
      <c r="T48" s="200">
        <v>0.7723000000000001</v>
      </c>
      <c r="U48" s="206">
        <v>1</v>
      </c>
      <c r="V48" s="213">
        <f>'LE EIAData'!AU42-'LE Shares'!U48</f>
        <v>0.19698523505089027</v>
      </c>
      <c r="W48" s="200">
        <v>0.30469999999999936</v>
      </c>
      <c r="X48" s="206">
        <f>(X47+'LE EIAData'!AX42)</f>
        <v>0.36673308389333148</v>
      </c>
      <c r="Y48" s="222">
        <f t="shared" si="29"/>
        <v>0.06</v>
      </c>
      <c r="Z48" s="206">
        <f>(Z47+'LE EIAData'!AN42)</f>
        <v>0.89710546846083861</v>
      </c>
      <c r="AA48" s="222">
        <f t="shared" si="30"/>
        <v>0.98</v>
      </c>
      <c r="AB48" s="206">
        <f>(AB47+'LE EIAData'!AL42)</f>
        <v>0.9544173142968434</v>
      </c>
      <c r="AC48" s="222">
        <f t="shared" si="30"/>
        <v>0.98</v>
      </c>
      <c r="AD48" s="206">
        <f>(AD47+'LE EIAData'!AT42)</f>
        <v>0.81246048685795225</v>
      </c>
      <c r="AE48" s="222">
        <f t="shared" si="31"/>
        <v>0.81949999999999845</v>
      </c>
      <c r="AF48" s="197">
        <f>'LE EIAData'!AY42</f>
        <v>3.8085796894199224</v>
      </c>
      <c r="AG48" s="200">
        <v>2.8376092015137693</v>
      </c>
      <c r="AH48" s="206">
        <f>'LE EIAData'!BA42</f>
        <v>0.39727800339522329</v>
      </c>
      <c r="AI48" s="222">
        <f t="shared" si="30"/>
        <v>1</v>
      </c>
      <c r="AJ48" s="222">
        <f t="shared" si="30"/>
        <v>1</v>
      </c>
    </row>
    <row r="49" spans="1:36" x14ac:dyDescent="0.2">
      <c r="A49" s="208">
        <f t="shared" si="28"/>
        <v>2042</v>
      </c>
      <c r="B49" s="206">
        <f>(B48+'LE EIAData'!W48/3)</f>
        <v>0.1113617796153499</v>
      </c>
      <c r="C49" s="198"/>
      <c r="D49" s="206">
        <f>(D48+'LE EIAData'!Y43/4)</f>
        <v>0.18379682182550688</v>
      </c>
      <c r="F49" s="206">
        <f>'LE EIAData'!Z43</f>
        <v>3.109915863373678E-2</v>
      </c>
      <c r="G49" s="206">
        <f>(G48+'LE EIAData'!AC43/3)</f>
        <v>0.13236522886293492</v>
      </c>
      <c r="I49" s="206">
        <f>(I48+'LE EIAData'!AG43)</f>
        <v>0.96953219008385361</v>
      </c>
      <c r="K49" s="206">
        <f>(K48+'LE EIAData'!AI43/5)</f>
        <v>0.14005345746040546</v>
      </c>
      <c r="N49" s="222">
        <f>N48</f>
        <v>2.9518080994352137E-2</v>
      </c>
      <c r="O49" s="213">
        <f t="shared" si="27"/>
        <v>6.0999999999999985E-2</v>
      </c>
      <c r="Q49" s="206">
        <f>(Q48+'LE EIAData'!AP43/3)</f>
        <v>0.30565680448975502</v>
      </c>
      <c r="S49" s="206">
        <f>(S48+'LE EIAData'!AR43)</f>
        <v>0.73372827019319786</v>
      </c>
      <c r="U49" s="206">
        <v>1</v>
      </c>
      <c r="V49" s="213">
        <f>'LE EIAData'!AU43-'LE Shares'!U49</f>
        <v>0.19679861060052772</v>
      </c>
      <c r="X49" s="206">
        <f>(X48+'LE EIAData'!AX43)</f>
        <v>0.36622483847079446</v>
      </c>
      <c r="Y49" s="222">
        <f t="shared" si="29"/>
        <v>0.06</v>
      </c>
      <c r="Z49" s="206">
        <f>(Z48+'LE EIAData'!AN43)</f>
        <v>0.90146680800956647</v>
      </c>
      <c r="AA49" s="222">
        <f t="shared" si="30"/>
        <v>0.98</v>
      </c>
      <c r="AB49" s="206">
        <f>(AB48+'LE EIAData'!AL43)</f>
        <v>0.95497808874014323</v>
      </c>
      <c r="AC49" s="222">
        <f t="shared" si="30"/>
        <v>0.98</v>
      </c>
      <c r="AD49" s="206">
        <f>(AD48+'LE EIAData'!AT43)</f>
        <v>0.81364466678689895</v>
      </c>
      <c r="AE49" s="222">
        <f t="shared" si="31"/>
        <v>0.81949999999999845</v>
      </c>
      <c r="AF49" s="197">
        <f>'LE EIAData'!AY43</f>
        <v>3.8258591179314121</v>
      </c>
      <c r="AG49" s="212">
        <f>AG48</f>
        <v>2.8376092015137693</v>
      </c>
      <c r="AH49" s="206">
        <f>'LE EIAData'!BA43</f>
        <v>0.39584081306130564</v>
      </c>
      <c r="AI49" s="222">
        <f t="shared" si="30"/>
        <v>1</v>
      </c>
      <c r="AJ49" s="222">
        <f t="shared" si="30"/>
        <v>1</v>
      </c>
    </row>
    <row r="50" spans="1:36" x14ac:dyDescent="0.2">
      <c r="AF50" s="197"/>
    </row>
    <row r="51" spans="1:36" x14ac:dyDescent="0.2">
      <c r="AF51" s="197"/>
    </row>
    <row r="52" spans="1:36" x14ac:dyDescent="0.2">
      <c r="AF52" s="197"/>
    </row>
    <row r="53" spans="1:36" x14ac:dyDescent="0.2">
      <c r="AF53" s="197"/>
    </row>
    <row r="54" spans="1:36" x14ac:dyDescent="0.2">
      <c r="AF54" s="197"/>
    </row>
    <row r="55" spans="1:36" x14ac:dyDescent="0.2">
      <c r="AF55" s="197"/>
    </row>
    <row r="56" spans="1:36" x14ac:dyDescent="0.2">
      <c r="AF56" s="197"/>
    </row>
    <row r="57" spans="1:36" x14ac:dyDescent="0.2">
      <c r="AF57" s="197"/>
    </row>
    <row r="58" spans="1:36" x14ac:dyDescent="0.2">
      <c r="AF58" s="197"/>
    </row>
    <row r="59" spans="1:36" x14ac:dyDescent="0.2">
      <c r="AF59" s="197"/>
    </row>
  </sheetData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31"/>
  <sheetViews>
    <sheetView view="pageBreakPreview" zoomScale="60" zoomScaleNormal="85" workbookViewId="0">
      <selection activeCell="P16" sqref="P4:P16"/>
    </sheetView>
  </sheetViews>
  <sheetFormatPr defaultColWidth="9.140625" defaultRowHeight="12.75" x14ac:dyDescent="0.2"/>
  <cols>
    <col min="1" max="1" width="7.140625" style="14" customWidth="1"/>
    <col min="2" max="2" width="12" style="14" bestFit="1" customWidth="1"/>
    <col min="3" max="4" width="12" style="14" customWidth="1"/>
    <col min="5" max="5" width="12" style="14" bestFit="1" customWidth="1"/>
    <col min="6" max="6" width="12" style="14" customWidth="1"/>
    <col min="7" max="7" width="6.140625" style="14" bestFit="1" customWidth="1"/>
    <col min="8" max="8" width="6.42578125" style="14" bestFit="1" customWidth="1"/>
    <col min="9" max="9" width="8.140625" style="14" bestFit="1" customWidth="1"/>
    <col min="10" max="10" width="7.7109375" style="14" bestFit="1" customWidth="1"/>
    <col min="11" max="12" width="10.28515625" style="14" bestFit="1" customWidth="1"/>
    <col min="13" max="13" width="7.42578125" style="30" bestFit="1" customWidth="1"/>
    <col min="14" max="14" width="7.5703125" style="30" bestFit="1" customWidth="1"/>
    <col min="15" max="16" width="7" style="30" bestFit="1" customWidth="1"/>
    <col min="17" max="17" width="8.5703125" style="30" bestFit="1" customWidth="1"/>
    <col min="18" max="18" width="7" style="30" bestFit="1" customWidth="1"/>
    <col min="19" max="19" width="11.85546875" style="30" bestFit="1" customWidth="1"/>
    <col min="20" max="20" width="12.28515625" style="14" bestFit="1" customWidth="1"/>
    <col min="21" max="21" width="5.28515625" style="60" bestFit="1" customWidth="1"/>
    <col min="22" max="23" width="10.140625" style="60" customWidth="1"/>
    <col min="24" max="24" width="10.28515625" style="60" bestFit="1" customWidth="1"/>
    <col min="25" max="25" width="10.140625" style="60" customWidth="1"/>
    <col min="26" max="29" width="10.28515625" style="60" customWidth="1"/>
    <col min="30" max="30" width="10.28515625" style="60" bestFit="1" customWidth="1"/>
    <col min="31" max="31" width="10.28515625" style="60" customWidth="1"/>
    <col min="32" max="32" width="10.28515625" style="60" bestFit="1" customWidth="1"/>
    <col min="33" max="33" width="10.28515625" style="60" customWidth="1"/>
    <col min="34" max="34" width="10.28515625" style="60" bestFit="1" customWidth="1"/>
    <col min="35" max="36" width="10.28515625" style="60" customWidth="1"/>
    <col min="37" max="37" width="10.28515625" style="60" bestFit="1" customWidth="1"/>
    <col min="38" max="38" width="10.28515625" style="60" customWidth="1"/>
    <col min="39" max="39" width="10.28515625" style="60" bestFit="1" customWidth="1"/>
    <col min="40" max="40" width="10.28515625" style="60" customWidth="1"/>
    <col min="41" max="41" width="10.28515625" style="60" bestFit="1" customWidth="1"/>
    <col min="42" max="42" width="10.28515625" style="60" customWidth="1"/>
    <col min="43" max="43" width="10.28515625" style="60" bestFit="1" customWidth="1"/>
    <col min="44" max="44" width="10.28515625" style="60" customWidth="1"/>
    <col min="45" max="45" width="10.28515625" style="60" bestFit="1" customWidth="1"/>
    <col min="46" max="46" width="10.28515625" style="60" customWidth="1"/>
    <col min="47" max="47" width="10.28515625" style="60" bestFit="1" customWidth="1"/>
    <col min="48" max="48" width="10.28515625" style="60" customWidth="1"/>
    <col min="49" max="49" width="10.28515625" style="60" bestFit="1" customWidth="1"/>
    <col min="50" max="50" width="10.28515625" style="60" customWidth="1"/>
    <col min="51" max="51" width="10.28515625" style="60" bestFit="1" customWidth="1"/>
    <col min="52" max="54" width="10.28515625" style="60" customWidth="1"/>
    <col min="55" max="55" width="11.28515625" style="60" bestFit="1" customWidth="1"/>
    <col min="56" max="56" width="12.5703125" style="60" bestFit="1" customWidth="1"/>
    <col min="57" max="57" width="14.28515625" style="60" bestFit="1" customWidth="1"/>
    <col min="58" max="58" width="11.28515625" style="14" bestFit="1" customWidth="1"/>
    <col min="59" max="59" width="39.42578125" style="14" bestFit="1" customWidth="1"/>
    <col min="60" max="60" width="8.140625" style="14" bestFit="1" customWidth="1"/>
    <col min="61" max="61" width="10.5703125" style="14" bestFit="1" customWidth="1"/>
    <col min="62" max="62" width="11.5703125" style="14" bestFit="1" customWidth="1"/>
    <col min="63" max="63" width="14.7109375" style="14" bestFit="1" customWidth="1"/>
    <col min="64" max="64" width="13.140625" style="14" bestFit="1" customWidth="1"/>
    <col min="65" max="65" width="12.28515625" style="14" bestFit="1" customWidth="1"/>
    <col min="66" max="66" width="5.7109375" style="14" customWidth="1"/>
    <col min="67" max="67" width="6.28515625" style="14" customWidth="1"/>
    <col min="68" max="76" width="6.7109375" style="14" bestFit="1" customWidth="1"/>
    <col min="77" max="77" width="9.140625" style="14"/>
    <col min="78" max="87" width="7.7109375" style="14" customWidth="1"/>
    <col min="88" max="16384" width="9.140625" style="14"/>
  </cols>
  <sheetData>
    <row r="1" spans="1:87" ht="18" x14ac:dyDescent="0.25">
      <c r="A1" s="59" t="s">
        <v>80</v>
      </c>
      <c r="J1" s="30"/>
      <c r="M1" s="14"/>
      <c r="N1" s="14"/>
      <c r="O1" s="14"/>
      <c r="P1" s="14"/>
      <c r="Q1" s="14"/>
      <c r="R1" s="14"/>
      <c r="S1" s="14"/>
    </row>
    <row r="2" spans="1:87" ht="18" x14ac:dyDescent="0.25">
      <c r="A2" s="60"/>
      <c r="B2" s="303" t="s">
        <v>101</v>
      </c>
      <c r="C2" s="303" t="s">
        <v>168</v>
      </c>
      <c r="D2" s="303" t="s">
        <v>114</v>
      </c>
      <c r="E2" s="303" t="s">
        <v>102</v>
      </c>
      <c r="F2" s="303" t="s">
        <v>103</v>
      </c>
      <c r="G2" s="303" t="s">
        <v>102</v>
      </c>
      <c r="H2" s="303" t="s">
        <v>103</v>
      </c>
      <c r="I2" s="303" t="s">
        <v>104</v>
      </c>
      <c r="J2" s="303" t="s">
        <v>114</v>
      </c>
      <c r="K2" s="303" t="s">
        <v>114</v>
      </c>
      <c r="L2" s="303" t="s">
        <v>114</v>
      </c>
      <c r="M2" s="303" t="s">
        <v>114</v>
      </c>
      <c r="N2" s="303" t="s">
        <v>114</v>
      </c>
      <c r="O2" s="303" t="s">
        <v>114</v>
      </c>
      <c r="P2" s="303"/>
      <c r="Q2" s="303"/>
      <c r="R2" s="304" t="s">
        <v>114</v>
      </c>
      <c r="S2" s="304" t="s">
        <v>114</v>
      </c>
      <c r="T2" s="304"/>
      <c r="V2" s="63" t="s">
        <v>48</v>
      </c>
      <c r="W2" s="63"/>
      <c r="Y2" s="63"/>
      <c r="BG2" s="59" t="s">
        <v>152</v>
      </c>
      <c r="BO2" s="59" t="s">
        <v>147</v>
      </c>
      <c r="BZ2" s="59" t="s">
        <v>148</v>
      </c>
    </row>
    <row r="3" spans="1:87" x14ac:dyDescent="0.2">
      <c r="A3" s="64"/>
      <c r="B3" s="8" t="s">
        <v>52</v>
      </c>
      <c r="C3" s="8" t="s">
        <v>169</v>
      </c>
      <c r="D3" s="8" t="s">
        <v>145</v>
      </c>
      <c r="E3" s="8" t="s">
        <v>51</v>
      </c>
      <c r="F3" s="8" t="s">
        <v>170</v>
      </c>
      <c r="G3" s="8" t="s">
        <v>105</v>
      </c>
      <c r="H3" s="8" t="s">
        <v>106</v>
      </c>
      <c r="I3" s="8" t="s">
        <v>5</v>
      </c>
      <c r="J3" s="8" t="s">
        <v>45</v>
      </c>
      <c r="K3" s="8" t="s">
        <v>9</v>
      </c>
      <c r="L3" s="8" t="s">
        <v>43</v>
      </c>
      <c r="M3" s="8" t="s">
        <v>10</v>
      </c>
      <c r="N3" s="8" t="s">
        <v>11</v>
      </c>
      <c r="O3" s="8" t="s">
        <v>12</v>
      </c>
      <c r="P3" s="8"/>
      <c r="Q3" s="8"/>
      <c r="R3" s="23" t="s">
        <v>13</v>
      </c>
      <c r="S3" s="23" t="s">
        <v>14</v>
      </c>
      <c r="T3" s="65"/>
      <c r="BO3" s="64" t="s">
        <v>15</v>
      </c>
      <c r="BP3" s="64" t="s">
        <v>83</v>
      </c>
      <c r="BQ3" s="64" t="s">
        <v>84</v>
      </c>
      <c r="BR3" s="64" t="s">
        <v>85</v>
      </c>
      <c r="BS3" s="64" t="s">
        <v>86</v>
      </c>
      <c r="BT3" s="64" t="s">
        <v>87</v>
      </c>
      <c r="BU3" s="64" t="s">
        <v>88</v>
      </c>
      <c r="BV3" s="64" t="s">
        <v>89</v>
      </c>
      <c r="BW3" s="64" t="s">
        <v>90</v>
      </c>
      <c r="BX3" s="64" t="s">
        <v>91</v>
      </c>
      <c r="BZ3" s="64" t="s">
        <v>15</v>
      </c>
      <c r="CA3" s="64" t="s">
        <v>83</v>
      </c>
      <c r="CB3" s="64" t="s">
        <v>84</v>
      </c>
      <c r="CC3" s="64" t="s">
        <v>85</v>
      </c>
      <c r="CD3" s="64" t="s">
        <v>86</v>
      </c>
      <c r="CE3" s="64" t="s">
        <v>87</v>
      </c>
      <c r="CF3" s="64" t="s">
        <v>88</v>
      </c>
      <c r="CG3" s="64" t="s">
        <v>89</v>
      </c>
      <c r="CH3" s="64" t="s">
        <v>90</v>
      </c>
      <c r="CI3" s="64" t="s">
        <v>91</v>
      </c>
    </row>
    <row r="4" spans="1:87" x14ac:dyDescent="0.2">
      <c r="A4" s="26">
        <v>2005</v>
      </c>
      <c r="B4" s="305">
        <f>B5*(B5/B6)</f>
        <v>7.0640054070868681</v>
      </c>
      <c r="C4" s="141">
        <v>3.3</v>
      </c>
      <c r="D4" s="100">
        <f t="shared" ref="D4:D41" si="0">1000*(AB92/AB48)/ 3.412</f>
        <v>625.46563419179665</v>
      </c>
      <c r="E4" s="305">
        <f t="shared" ref="E4:K4" si="1">E5*(E5/E6)</f>
        <v>11.518837333234069</v>
      </c>
      <c r="F4" s="141">
        <v>13.8</v>
      </c>
      <c r="G4" s="305">
        <f t="shared" si="1"/>
        <v>11.190628991037693</v>
      </c>
      <c r="H4" s="305">
        <f t="shared" si="1"/>
        <v>9.4613123252875919</v>
      </c>
      <c r="I4" s="305">
        <f t="shared" si="1"/>
        <v>0.88272792880960704</v>
      </c>
      <c r="J4" s="306">
        <f t="shared" si="1"/>
        <v>663.67878717866665</v>
      </c>
      <c r="K4" s="306">
        <f t="shared" si="1"/>
        <v>530.58146271893293</v>
      </c>
      <c r="L4" s="100">
        <f t="shared" ref="L4:L41" si="2">1000*(AQ92/AQ48)/ 3.412</f>
        <v>331.40747338337758</v>
      </c>
      <c r="M4" s="100">
        <f t="shared" ref="M4:M41" si="3">1000*(AM92/AM48)/ 3.412</f>
        <v>434.05618224643769</v>
      </c>
      <c r="N4" s="100">
        <f t="shared" ref="N4:N41" si="4">1000*(AK92/AK48)/ 3.412</f>
        <v>110.52562758422165</v>
      </c>
      <c r="O4" s="100">
        <f t="shared" ref="O4:O41" si="5">1000*(AS92/AS48)/ 3.412</f>
        <v>922.49348069682435</v>
      </c>
      <c r="P4" s="100">
        <f t="shared" ref="P4:P15" si="6">1000*(AY92/AY48)/ 3.412</f>
        <v>224.50173851630203</v>
      </c>
      <c r="Q4" s="100">
        <f t="shared" ref="Q4:Q15" si="7">1000*(BA92/BA48)/ 3.412</f>
        <v>482.72570571459363</v>
      </c>
      <c r="R4" s="101">
        <f t="shared" ref="R4:S34" si="8">1000*(BC92/BC48)/ 3.412</f>
        <v>2009.4019042164659</v>
      </c>
      <c r="S4" s="101">
        <f t="shared" si="8"/>
        <v>3922.4950399098643</v>
      </c>
      <c r="T4" s="65"/>
      <c r="U4" s="66"/>
      <c r="V4" s="66" t="s">
        <v>36</v>
      </c>
      <c r="W4" s="66"/>
      <c r="X4" s="66" t="s">
        <v>39</v>
      </c>
      <c r="Y4" s="66"/>
      <c r="Z4" s="66" t="s">
        <v>166</v>
      </c>
      <c r="AA4" s="66"/>
      <c r="AB4" s="66" t="s">
        <v>145</v>
      </c>
      <c r="AC4" s="66"/>
      <c r="AD4" s="66" t="s">
        <v>4</v>
      </c>
      <c r="AE4" s="66"/>
      <c r="AF4" s="66" t="s">
        <v>2</v>
      </c>
      <c r="AG4" s="66"/>
      <c r="AH4" s="66" t="s">
        <v>40</v>
      </c>
      <c r="AI4" s="66"/>
      <c r="AJ4" s="66" t="s">
        <v>167</v>
      </c>
      <c r="AK4" s="66" t="s">
        <v>41</v>
      </c>
      <c r="AL4" s="66"/>
      <c r="AM4" s="66" t="s">
        <v>42</v>
      </c>
      <c r="AN4" s="66"/>
      <c r="AO4" s="66" t="s">
        <v>5</v>
      </c>
      <c r="AP4" s="66"/>
      <c r="AQ4" s="66" t="s">
        <v>43</v>
      </c>
      <c r="AR4" s="66"/>
      <c r="AS4" s="66" t="s">
        <v>44</v>
      </c>
      <c r="AT4" s="66"/>
      <c r="AU4" s="66" t="s">
        <v>45</v>
      </c>
      <c r="AV4" s="66"/>
      <c r="AW4" s="66" t="s">
        <v>9</v>
      </c>
      <c r="AX4" s="66"/>
      <c r="AY4" s="66" t="s">
        <v>100</v>
      </c>
      <c r="AZ4" s="66"/>
      <c r="BA4" s="66" t="s">
        <v>173</v>
      </c>
      <c r="BB4" s="66"/>
      <c r="BC4" s="66" t="s">
        <v>46</v>
      </c>
      <c r="BD4" s="66" t="s">
        <v>14</v>
      </c>
      <c r="BE4" s="90" t="s">
        <v>49</v>
      </c>
      <c r="BI4" s="8" t="s">
        <v>37</v>
      </c>
      <c r="BJ4" s="8" t="s">
        <v>38</v>
      </c>
      <c r="BK4" s="8" t="s">
        <v>35</v>
      </c>
      <c r="BL4" s="8" t="s">
        <v>75</v>
      </c>
      <c r="BM4" s="8" t="s">
        <v>74</v>
      </c>
      <c r="BO4" s="26">
        <v>1990</v>
      </c>
      <c r="BP4" s="29">
        <f t="shared" ref="BP4:BX19" si="9">BP64/BP$79</f>
        <v>1.083921568627451</v>
      </c>
      <c r="BQ4" s="29">
        <f t="shared" si="9"/>
        <v>1.3455696202531646</v>
      </c>
      <c r="BR4" s="29">
        <f t="shared" si="9"/>
        <v>0.94172932330827064</v>
      </c>
      <c r="BS4" s="29">
        <f t="shared" si="9"/>
        <v>0.89227642276422769</v>
      </c>
      <c r="BT4" s="29">
        <f t="shared" si="9"/>
        <v>0.98089552238805966</v>
      </c>
      <c r="BU4" s="29">
        <f t="shared" si="9"/>
        <v>0.94535131298793473</v>
      </c>
      <c r="BV4" s="29">
        <f t="shared" si="9"/>
        <v>0.78425196850393697</v>
      </c>
      <c r="BW4" s="29">
        <f t="shared" si="9"/>
        <v>0.80911854103343472</v>
      </c>
      <c r="BX4" s="29">
        <f t="shared" si="9"/>
        <v>0.89933909506863241</v>
      </c>
      <c r="BZ4" s="26">
        <v>1990</v>
      </c>
      <c r="CA4" s="29">
        <f t="shared" ref="CA4:CI19" si="10">CA64/CA$79</f>
        <v>0.70286885245901642</v>
      </c>
      <c r="CB4" s="29">
        <f t="shared" si="10"/>
        <v>0.71043376318874563</v>
      </c>
      <c r="CC4" s="29">
        <f t="shared" si="10"/>
        <v>0.61081081081081068</v>
      </c>
      <c r="CD4" s="29">
        <f t="shared" si="10"/>
        <v>0.56434316353887404</v>
      </c>
      <c r="CE4" s="29">
        <f t="shared" si="10"/>
        <v>0.59451219512195119</v>
      </c>
      <c r="CF4" s="29">
        <f t="shared" si="10"/>
        <v>0.54462242562929053</v>
      </c>
      <c r="CG4" s="29">
        <f t="shared" si="10"/>
        <v>0.61441213653603033</v>
      </c>
      <c r="CH4" s="29">
        <f t="shared" si="10"/>
        <v>0.65938864628820959</v>
      </c>
      <c r="CI4" s="29">
        <f t="shared" si="10"/>
        <v>0.67162162162162153</v>
      </c>
    </row>
    <row r="5" spans="1:87" x14ac:dyDescent="0.2">
      <c r="A5" s="26">
        <v>2006</v>
      </c>
      <c r="B5" s="307">
        <v>7.1509267544549466</v>
      </c>
      <c r="C5" s="141">
        <v>3.3015590000000001</v>
      </c>
      <c r="D5" s="100">
        <f t="shared" si="0"/>
        <v>533.99408257472101</v>
      </c>
      <c r="E5" s="307">
        <v>11.725685088053469</v>
      </c>
      <c r="F5" s="141">
        <v>13.886512</v>
      </c>
      <c r="G5" s="307">
        <v>11.401529818829824</v>
      </c>
      <c r="H5" s="307">
        <v>9.5224392825295894</v>
      </c>
      <c r="I5" s="307">
        <v>0.88500750520619786</v>
      </c>
      <c r="J5" s="308">
        <v>647.46748751540326</v>
      </c>
      <c r="K5" s="308">
        <v>518.47639290197708</v>
      </c>
      <c r="L5" s="100">
        <f t="shared" si="2"/>
        <v>331.11625407322299</v>
      </c>
      <c r="M5" s="100">
        <f t="shared" si="3"/>
        <v>423.37992276068093</v>
      </c>
      <c r="N5" s="100">
        <f t="shared" si="4"/>
        <v>111.56086903465723</v>
      </c>
      <c r="O5" s="100">
        <f t="shared" si="5"/>
        <v>914.64909668103485</v>
      </c>
      <c r="P5" s="100">
        <f t="shared" si="6"/>
        <v>238.02623391176812</v>
      </c>
      <c r="Q5" s="100">
        <f t="shared" si="7"/>
        <v>464.08170876190866</v>
      </c>
      <c r="R5" s="101">
        <f t="shared" si="8"/>
        <v>1994.2060049955637</v>
      </c>
      <c r="S5" s="101">
        <f t="shared" si="8"/>
        <v>4189.9485003693344</v>
      </c>
      <c r="T5" s="65"/>
      <c r="U5" s="66" t="s">
        <v>15</v>
      </c>
      <c r="V5" s="67" t="s">
        <v>48</v>
      </c>
      <c r="W5" s="67"/>
      <c r="X5" s="67" t="s">
        <v>48</v>
      </c>
      <c r="Y5" s="67"/>
      <c r="Z5" s="67" t="s">
        <v>48</v>
      </c>
      <c r="AA5" s="67"/>
      <c r="AB5" s="67" t="s">
        <v>48</v>
      </c>
      <c r="AC5" s="67"/>
      <c r="AD5" s="67" t="s">
        <v>48</v>
      </c>
      <c r="AE5" s="67"/>
      <c r="AF5" s="67" t="s">
        <v>48</v>
      </c>
      <c r="AG5" s="67"/>
      <c r="AH5" s="67" t="s">
        <v>48</v>
      </c>
      <c r="AI5" s="67"/>
      <c r="AJ5" s="67" t="s">
        <v>48</v>
      </c>
      <c r="AK5" s="67" t="s">
        <v>48</v>
      </c>
      <c r="AL5" s="67"/>
      <c r="AM5" s="67" t="s">
        <v>48</v>
      </c>
      <c r="AN5" s="67"/>
      <c r="AO5" s="67" t="s">
        <v>48</v>
      </c>
      <c r="AP5" s="67"/>
      <c r="AQ5" s="67" t="s">
        <v>48</v>
      </c>
      <c r="AR5" s="67"/>
      <c r="AS5" s="67" t="s">
        <v>48</v>
      </c>
      <c r="AT5" s="67"/>
      <c r="AU5" s="67" t="s">
        <v>48</v>
      </c>
      <c r="AV5" s="67"/>
      <c r="AW5" s="67" t="s">
        <v>48</v>
      </c>
      <c r="AX5" s="67"/>
      <c r="AY5" s="67" t="s">
        <v>48</v>
      </c>
      <c r="AZ5" s="67"/>
      <c r="BA5" s="67" t="s">
        <v>48</v>
      </c>
      <c r="BB5" s="67"/>
      <c r="BC5" s="67" t="s">
        <v>48</v>
      </c>
      <c r="BD5" s="67" t="s">
        <v>48</v>
      </c>
      <c r="BE5" s="67" t="s">
        <v>48</v>
      </c>
      <c r="BG5" s="14" t="s">
        <v>115</v>
      </c>
      <c r="BH5" s="26" t="s">
        <v>0</v>
      </c>
      <c r="BI5" s="27">
        <f>V48</f>
        <v>2334318</v>
      </c>
      <c r="BJ5" s="27">
        <f>V92</f>
        <v>20494125</v>
      </c>
      <c r="BK5" s="27">
        <f t="shared" ref="BK5:BK13" si="11">1000*(BJ5/BI5)/3.412</f>
        <v>2573.1217711505083</v>
      </c>
      <c r="BL5" s="27">
        <f>$BK$5*V6</f>
        <v>871.42011256872252</v>
      </c>
      <c r="BM5" s="27">
        <f>BL5*$BL$28</f>
        <v>919.42622512873572</v>
      </c>
      <c r="BO5" s="26">
        <f t="shared" ref="BO5:BO13" si="12">BO6-1</f>
        <v>1991</v>
      </c>
      <c r="BP5" s="29">
        <f t="shared" si="9"/>
        <v>1.0207843137254902</v>
      </c>
      <c r="BQ5" s="29">
        <f t="shared" si="9"/>
        <v>1.1109704641350211</v>
      </c>
      <c r="BR5" s="29">
        <f t="shared" si="9"/>
        <v>1.0588972431077692</v>
      </c>
      <c r="BS5" s="29">
        <f t="shared" si="9"/>
        <v>1.0338753387533874</v>
      </c>
      <c r="BT5" s="29">
        <f t="shared" si="9"/>
        <v>1.0208955223880598</v>
      </c>
      <c r="BU5" s="29">
        <f t="shared" si="9"/>
        <v>1.1171043293115686</v>
      </c>
      <c r="BV5" s="29">
        <f t="shared" si="9"/>
        <v>0.81207349081364832</v>
      </c>
      <c r="BW5" s="29">
        <f t="shared" si="9"/>
        <v>0.87537993920972645</v>
      </c>
      <c r="BX5" s="29">
        <f t="shared" si="9"/>
        <v>0.9217081850533807</v>
      </c>
      <c r="BZ5" s="26">
        <f t="shared" ref="BZ5:BZ13" si="13">BZ6-1</f>
        <v>1991</v>
      </c>
      <c r="CA5" s="29">
        <f t="shared" si="10"/>
        <v>0.70081967213114749</v>
      </c>
      <c r="CB5" s="29">
        <f t="shared" si="10"/>
        <v>0.69167643610785468</v>
      </c>
      <c r="CC5" s="29">
        <f t="shared" si="10"/>
        <v>0.58648648648648649</v>
      </c>
      <c r="CD5" s="29">
        <f t="shared" si="10"/>
        <v>0.53351206434316356</v>
      </c>
      <c r="CE5" s="29">
        <f t="shared" si="10"/>
        <v>0.56707317073170738</v>
      </c>
      <c r="CF5" s="29">
        <f t="shared" si="10"/>
        <v>0.53432494279176201</v>
      </c>
      <c r="CG5" s="29">
        <f t="shared" si="10"/>
        <v>0.5802781289506953</v>
      </c>
      <c r="CH5" s="29">
        <f t="shared" si="10"/>
        <v>0.63755458515283836</v>
      </c>
      <c r="CI5" s="29">
        <f t="shared" si="10"/>
        <v>0.69324324324324316</v>
      </c>
    </row>
    <row r="6" spans="1:87" x14ac:dyDescent="0.2">
      <c r="A6" s="26">
        <v>2007</v>
      </c>
      <c r="B6" s="307">
        <v>7.2389176537546671</v>
      </c>
      <c r="C6" s="142">
        <v>3.30253</v>
      </c>
      <c r="D6" s="100">
        <f t="shared" si="0"/>
        <v>524.35472023884597</v>
      </c>
      <c r="E6" s="307">
        <v>11.93624727970673</v>
      </c>
      <c r="F6" s="142">
        <v>13.954171000000001</v>
      </c>
      <c r="G6" s="307">
        <v>11.616405325721676</v>
      </c>
      <c r="H6" s="307">
        <v>9.5839611643627212</v>
      </c>
      <c r="I6" s="307">
        <v>0.88729296843198968</v>
      </c>
      <c r="J6" s="308">
        <v>631.65217193638227</v>
      </c>
      <c r="K6" s="308">
        <v>506.64749691612809</v>
      </c>
      <c r="L6" s="100">
        <f t="shared" si="2"/>
        <v>330.9257571682009</v>
      </c>
      <c r="M6" s="100">
        <f t="shared" si="3"/>
        <v>413.03471971289258</v>
      </c>
      <c r="N6" s="100">
        <f t="shared" si="4"/>
        <v>108.5825264486451</v>
      </c>
      <c r="O6" s="100">
        <f t="shared" si="5"/>
        <v>898.17649270519473</v>
      </c>
      <c r="P6" s="100">
        <f t="shared" si="6"/>
        <v>236.32921889368103</v>
      </c>
      <c r="Q6" s="100">
        <f t="shared" si="7"/>
        <v>471.51121405312273</v>
      </c>
      <c r="R6" s="101">
        <f t="shared" si="8"/>
        <v>1962.1164142451546</v>
      </c>
      <c r="S6" s="101">
        <f t="shared" si="8"/>
        <v>4512.1743147094294</v>
      </c>
      <c r="T6" s="65"/>
      <c r="U6" s="8">
        <v>2005</v>
      </c>
      <c r="V6" s="53">
        <f t="shared" ref="V6:BD20" si="14">V48/$BC48</f>
        <v>0.33866260133467696</v>
      </c>
      <c r="W6" s="53"/>
      <c r="X6" s="53">
        <f t="shared" si="14"/>
        <v>0.14585055552541118</v>
      </c>
      <c r="Y6" s="53"/>
      <c r="Z6" s="53">
        <f t="shared" si="14"/>
        <v>4.7895224463255183E-3</v>
      </c>
      <c r="AA6" s="53"/>
      <c r="AB6" s="53">
        <f t="shared" ref="AB6:AB32" si="15">AB48/$BC48</f>
        <v>0.15045539127031082</v>
      </c>
      <c r="AC6" s="53"/>
      <c r="AD6" s="53">
        <f t="shared" si="14"/>
        <v>0.43823339698471758</v>
      </c>
      <c r="AE6" s="53"/>
      <c r="AF6" s="53">
        <f t="shared" si="14"/>
        <v>0.60157638006521053</v>
      </c>
      <c r="AG6" s="53"/>
      <c r="AH6" s="53">
        <f t="shared" si="14"/>
        <v>0.14585055552541118</v>
      </c>
      <c r="AI6" s="53"/>
      <c r="AJ6" s="53">
        <f t="shared" si="14"/>
        <v>4.7895224463255183E-3</v>
      </c>
      <c r="AK6" s="53">
        <f t="shared" si="14"/>
        <v>0.89918050172688591</v>
      </c>
      <c r="AL6" s="53"/>
      <c r="AM6" s="53">
        <f t="shared" si="14"/>
        <v>0.59041219228192388</v>
      </c>
      <c r="AN6" s="53"/>
      <c r="AO6" s="53">
        <f t="shared" si="14"/>
        <v>0.68160970201460835</v>
      </c>
      <c r="AP6" s="53"/>
      <c r="AQ6" s="53">
        <f t="shared" si="14"/>
        <v>1.6512366464841195</v>
      </c>
      <c r="AR6" s="53"/>
      <c r="AS6" s="53">
        <f t="shared" si="14"/>
        <v>0.8214036073244454</v>
      </c>
      <c r="AT6" s="53"/>
      <c r="AU6" s="53">
        <f t="shared" si="14"/>
        <v>1.201410640797568</v>
      </c>
      <c r="AV6" s="53"/>
      <c r="AW6" s="53">
        <f t="shared" si="14"/>
        <v>0.45856518308937183</v>
      </c>
      <c r="AX6" s="53"/>
      <c r="AY6" s="53">
        <f t="shared" si="14"/>
        <v>3.2130096330146123</v>
      </c>
      <c r="AZ6" s="53"/>
      <c r="BA6" s="53">
        <f t="shared" ref="BA6:BA36" si="16">BA48/$BC48</f>
        <v>0.4717662925443154</v>
      </c>
      <c r="BB6" s="53"/>
      <c r="BC6" s="53">
        <f t="shared" si="14"/>
        <v>1</v>
      </c>
      <c r="BD6" s="53">
        <f t="shared" si="14"/>
        <v>1</v>
      </c>
      <c r="BE6" s="105">
        <f t="shared" ref="BE6:BE31" si="17">AU6-1</f>
        <v>0.20141064079756799</v>
      </c>
      <c r="BG6" s="14" t="s">
        <v>20</v>
      </c>
      <c r="BH6" s="26" t="s">
        <v>1</v>
      </c>
      <c r="BI6" s="27">
        <f>X48</f>
        <v>1005312</v>
      </c>
      <c r="BJ6" s="27">
        <f>X92</f>
        <v>9340069</v>
      </c>
      <c r="BK6" s="27">
        <f t="shared" si="11"/>
        <v>2722.9533155983272</v>
      </c>
      <c r="BL6" s="27">
        <f>$BK$6*X6</f>
        <v>397.14425374977628</v>
      </c>
      <c r="BM6" s="27">
        <f t="shared" ref="BM6:BM24" si="18">BL6*$BL$28</f>
        <v>419.02273861957627</v>
      </c>
      <c r="BO6" s="26">
        <f t="shared" si="12"/>
        <v>1992</v>
      </c>
      <c r="BP6" s="29">
        <f t="shared" si="9"/>
        <v>1.044313725490196</v>
      </c>
      <c r="BQ6" s="29">
        <f t="shared" si="9"/>
        <v>1.0637130801687764</v>
      </c>
      <c r="BR6" s="29">
        <f t="shared" si="9"/>
        <v>1.1265664160401003</v>
      </c>
      <c r="BS6" s="29">
        <f t="shared" si="9"/>
        <v>1.1029810298102982</v>
      </c>
      <c r="BT6" s="29">
        <f t="shared" si="9"/>
        <v>1.04</v>
      </c>
      <c r="BU6" s="29">
        <f t="shared" si="9"/>
        <v>1.170333569907736</v>
      </c>
      <c r="BV6" s="29">
        <f t="shared" si="9"/>
        <v>0.83779527559055122</v>
      </c>
      <c r="BW6" s="29">
        <f t="shared" si="9"/>
        <v>0.95805471124620067</v>
      </c>
      <c r="BX6" s="29">
        <f t="shared" si="9"/>
        <v>0.9440772750381291</v>
      </c>
      <c r="BZ6" s="26">
        <f t="shared" si="13"/>
        <v>1992</v>
      </c>
      <c r="CA6" s="29">
        <f t="shared" si="10"/>
        <v>0.68032786885245899</v>
      </c>
      <c r="CB6" s="29">
        <f t="shared" si="10"/>
        <v>0.6846424384525206</v>
      </c>
      <c r="CC6" s="29">
        <f t="shared" si="10"/>
        <v>0.57837837837837835</v>
      </c>
      <c r="CD6" s="29">
        <f t="shared" si="10"/>
        <v>0.54691689008042899</v>
      </c>
      <c r="CE6" s="29">
        <f t="shared" si="10"/>
        <v>0.55589430894308944</v>
      </c>
      <c r="CF6" s="29">
        <f t="shared" si="10"/>
        <v>0.52517162471395873</v>
      </c>
      <c r="CG6" s="29">
        <f t="shared" si="10"/>
        <v>0.5752212389380531</v>
      </c>
      <c r="CH6" s="29">
        <f t="shared" si="10"/>
        <v>0.61572052401746735</v>
      </c>
      <c r="CI6" s="29">
        <f t="shared" si="10"/>
        <v>0.64999999999999991</v>
      </c>
    </row>
    <row r="7" spans="1:87" x14ac:dyDescent="0.2">
      <c r="A7" s="26">
        <v>2008</v>
      </c>
      <c r="B7" s="307">
        <v>7.302377720492446</v>
      </c>
      <c r="C7" s="142">
        <v>3.3036409999999998</v>
      </c>
      <c r="D7" s="100">
        <f t="shared" si="0"/>
        <v>576.73452951309423</v>
      </c>
      <c r="E7" s="307">
        <v>12.08833891284468</v>
      </c>
      <c r="F7" s="142">
        <v>13.997324000000001</v>
      </c>
      <c r="G7" s="307">
        <v>11.802056259305916</v>
      </c>
      <c r="H7" s="307">
        <v>9.6531179818082791</v>
      </c>
      <c r="I7" s="307">
        <v>0.88925478972545646</v>
      </c>
      <c r="J7" s="308">
        <v>617.91187523118072</v>
      </c>
      <c r="K7" s="308">
        <v>497.00853788104638</v>
      </c>
      <c r="L7" s="100">
        <f t="shared" si="2"/>
        <v>331.30107414508501</v>
      </c>
      <c r="M7" s="100">
        <f t="shared" si="3"/>
        <v>404.74184677448062</v>
      </c>
      <c r="N7" s="100">
        <f t="shared" si="4"/>
        <v>106.04839760643169</v>
      </c>
      <c r="O7" s="100">
        <f t="shared" si="5"/>
        <v>881.15789548844009</v>
      </c>
      <c r="P7" s="100">
        <f t="shared" si="6"/>
        <v>231.20677139892041</v>
      </c>
      <c r="Q7" s="100">
        <f t="shared" si="7"/>
        <v>543.6798645182464</v>
      </c>
      <c r="R7" s="101">
        <f t="shared" si="8"/>
        <v>1932.8784015467093</v>
      </c>
      <c r="S7" s="101">
        <f t="shared" si="8"/>
        <v>4735.3504576439354</v>
      </c>
      <c r="T7" s="65"/>
      <c r="U7" s="8">
        <v>2006</v>
      </c>
      <c r="V7" s="53">
        <f t="shared" si="14"/>
        <v>0.33591282377513487</v>
      </c>
      <c r="W7" s="53"/>
      <c r="X7" s="53">
        <f t="shared" si="14"/>
        <v>0.14906821061292955</v>
      </c>
      <c r="Y7" s="53"/>
      <c r="Z7" s="53">
        <f t="shared" si="14"/>
        <v>5.1685671200163647E-3</v>
      </c>
      <c r="AA7" s="53"/>
      <c r="AB7" s="53">
        <f t="shared" si="15"/>
        <v>0.15893259203615842</v>
      </c>
      <c r="AC7" s="53"/>
      <c r="AD7" s="53">
        <f t="shared" si="14"/>
        <v>0.43284625161578538</v>
      </c>
      <c r="AE7" s="53"/>
      <c r="AF7" s="53">
        <f t="shared" si="14"/>
        <v>0.60126330738995037</v>
      </c>
      <c r="AG7" s="53"/>
      <c r="AH7" s="53">
        <f t="shared" si="14"/>
        <v>0.14906821061292955</v>
      </c>
      <c r="AI7" s="53"/>
      <c r="AJ7" s="53">
        <f t="shared" si="14"/>
        <v>5.1685671200163647E-3</v>
      </c>
      <c r="AK7" s="53">
        <f t="shared" si="14"/>
        <v>0.8983249169060703</v>
      </c>
      <c r="AL7" s="53"/>
      <c r="AM7" s="53">
        <f t="shared" si="14"/>
        <v>0.59206599828255002</v>
      </c>
      <c r="AN7" s="53"/>
      <c r="AO7" s="53">
        <f t="shared" si="14"/>
        <v>0.68276102060406552</v>
      </c>
      <c r="AP7" s="53"/>
      <c r="AQ7" s="53">
        <f t="shared" si="14"/>
        <v>1.6491071321743069</v>
      </c>
      <c r="AR7" s="53"/>
      <c r="AS7" s="53">
        <f t="shared" si="14"/>
        <v>0.82147631212151484</v>
      </c>
      <c r="AT7" s="53"/>
      <c r="AU7" s="53">
        <f t="shared" si="14"/>
        <v>1.1998737499872063</v>
      </c>
      <c r="AV7" s="53"/>
      <c r="AW7" s="53">
        <f t="shared" si="14"/>
        <v>0.45792269284156084</v>
      </c>
      <c r="AX7" s="53"/>
      <c r="AY7" s="53">
        <f t="shared" si="14"/>
        <v>3.2430221929301433</v>
      </c>
      <c r="AZ7" s="53"/>
      <c r="BA7" s="53">
        <f t="shared" si="16"/>
        <v>0.46978973275158575</v>
      </c>
      <c r="BB7" s="53"/>
      <c r="BC7" s="53">
        <f t="shared" si="14"/>
        <v>1</v>
      </c>
      <c r="BD7" s="53">
        <f t="shared" si="14"/>
        <v>1</v>
      </c>
      <c r="BE7" s="105">
        <f t="shared" si="17"/>
        <v>0.19987374998720631</v>
      </c>
      <c r="BG7" s="309" t="s">
        <v>162</v>
      </c>
      <c r="BH7" s="26" t="s">
        <v>163</v>
      </c>
      <c r="BI7" s="27">
        <f>Z48</f>
        <v>33013</v>
      </c>
      <c r="BJ7" s="27">
        <f>Z92</f>
        <v>208675</v>
      </c>
      <c r="BK7" s="27">
        <f>1000*(BJ7/BI7)/3.412</f>
        <v>1852.5775966119993</v>
      </c>
      <c r="BL7" s="27">
        <f>$BK$7*Z6</f>
        <v>8.8729619825329529</v>
      </c>
      <c r="BM7" s="27">
        <f t="shared" si="18"/>
        <v>9.3617691669558436</v>
      </c>
      <c r="BO7" s="26">
        <f t="shared" si="12"/>
        <v>1993</v>
      </c>
      <c r="BP7" s="29">
        <f t="shared" si="9"/>
        <v>1.0949019607843138</v>
      </c>
      <c r="BQ7" s="29">
        <f t="shared" si="9"/>
        <v>1.0502109704641351</v>
      </c>
      <c r="BR7" s="29">
        <f t="shared" si="9"/>
        <v>1.1409774436090225</v>
      </c>
      <c r="BS7" s="29">
        <f t="shared" si="9"/>
        <v>1.1165311653116532</v>
      </c>
      <c r="BT7" s="29">
        <f t="shared" si="9"/>
        <v>1.0358208955223882</v>
      </c>
      <c r="BU7" s="29">
        <f t="shared" si="9"/>
        <v>1.1724627395315828</v>
      </c>
      <c r="BV7" s="29">
        <f t="shared" si="9"/>
        <v>0.88083989501312343</v>
      </c>
      <c r="BW7" s="29">
        <f t="shared" si="9"/>
        <v>0.9659574468085107</v>
      </c>
      <c r="BX7" s="29">
        <f t="shared" si="9"/>
        <v>0.94611082867310614</v>
      </c>
      <c r="BZ7" s="26">
        <f t="shared" si="13"/>
        <v>1993</v>
      </c>
      <c r="CA7" s="29">
        <f t="shared" si="10"/>
        <v>0.7018442622950819</v>
      </c>
      <c r="CB7" s="29">
        <f t="shared" si="10"/>
        <v>0.70457209847596725</v>
      </c>
      <c r="CC7" s="29">
        <f t="shared" si="10"/>
        <v>0.60270270270270265</v>
      </c>
      <c r="CD7" s="29">
        <f t="shared" si="10"/>
        <v>0.56702412868632712</v>
      </c>
      <c r="CE7" s="29">
        <f t="shared" si="10"/>
        <v>0.58536585365853655</v>
      </c>
      <c r="CF7" s="29">
        <f t="shared" si="10"/>
        <v>0.53775743707093826</v>
      </c>
      <c r="CG7" s="29">
        <f t="shared" si="10"/>
        <v>0.57901390644753481</v>
      </c>
      <c r="CH7" s="29">
        <f t="shared" si="10"/>
        <v>0.60553129548762741</v>
      </c>
      <c r="CI7" s="29">
        <f t="shared" si="10"/>
        <v>0.66486486486486485</v>
      </c>
    </row>
    <row r="8" spans="1:87" x14ac:dyDescent="0.2">
      <c r="A8" s="26">
        <v>2009</v>
      </c>
      <c r="B8" s="307">
        <v>7.4469618234936279</v>
      </c>
      <c r="C8" s="142">
        <v>3.3131979999999999</v>
      </c>
      <c r="D8" s="100">
        <f t="shared" si="0"/>
        <v>551.93627430015886</v>
      </c>
      <c r="E8" s="307">
        <v>12.357536678854581</v>
      </c>
      <c r="F8" s="142">
        <v>14.100529</v>
      </c>
      <c r="G8" s="307">
        <v>12.111568890511583</v>
      </c>
      <c r="H8" s="307">
        <v>9.7274060500263637</v>
      </c>
      <c r="I8" s="307">
        <v>0.8924520000414683</v>
      </c>
      <c r="J8" s="308">
        <v>604.50392112234965</v>
      </c>
      <c r="K8" s="308">
        <v>487.85587729521859</v>
      </c>
      <c r="L8" s="100">
        <f t="shared" si="2"/>
        <v>330.07754356289564</v>
      </c>
      <c r="M8" s="100">
        <f t="shared" si="3"/>
        <v>394.81578406430697</v>
      </c>
      <c r="N8" s="100">
        <f t="shared" si="4"/>
        <v>102.90101727769803</v>
      </c>
      <c r="O8" s="100">
        <f t="shared" si="5"/>
        <v>860.53722213716173</v>
      </c>
      <c r="P8" s="100">
        <f t="shared" si="6"/>
        <v>224.88733800744711</v>
      </c>
      <c r="Q8" s="100">
        <f t="shared" si="7"/>
        <v>548.28425822233271</v>
      </c>
      <c r="R8" s="101">
        <f t="shared" si="8"/>
        <v>1889.2139181923412</v>
      </c>
      <c r="S8" s="101">
        <f t="shared" si="8"/>
        <v>4693.5828928706769</v>
      </c>
      <c r="T8" s="65"/>
      <c r="U8" s="8">
        <v>2007</v>
      </c>
      <c r="V8" s="53">
        <f t="shared" si="14"/>
        <v>0.33336803080564387</v>
      </c>
      <c r="W8" s="53"/>
      <c r="X8" s="53">
        <f t="shared" si="14"/>
        <v>0.1534350069223599</v>
      </c>
      <c r="Y8" s="53"/>
      <c r="Z8" s="53">
        <f t="shared" si="14"/>
        <v>6.233051070110027E-3</v>
      </c>
      <c r="AA8" s="53"/>
      <c r="AB8" s="53">
        <f t="shared" si="15"/>
        <v>0.1568982573016047</v>
      </c>
      <c r="AC8" s="53"/>
      <c r="AD8" s="53">
        <f t="shared" si="14"/>
        <v>0.42628457753043097</v>
      </c>
      <c r="AE8" s="53"/>
      <c r="AF8" s="53">
        <f t="shared" si="14"/>
        <v>0.60290556347552726</v>
      </c>
      <c r="AG8" s="53"/>
      <c r="AH8" s="53">
        <f t="shared" si="14"/>
        <v>0.1534350069223599</v>
      </c>
      <c r="AI8" s="53"/>
      <c r="AJ8" s="53">
        <f t="shared" si="14"/>
        <v>6.233051070110027E-3</v>
      </c>
      <c r="AK8" s="53">
        <f t="shared" si="14"/>
        <v>0.89919042087034395</v>
      </c>
      <c r="AL8" s="53"/>
      <c r="AM8" s="53">
        <f t="shared" si="14"/>
        <v>0.59576887885184782</v>
      </c>
      <c r="AN8" s="53"/>
      <c r="AO8" s="53">
        <f t="shared" si="14"/>
        <v>0.68524894793837043</v>
      </c>
      <c r="AP8" s="53"/>
      <c r="AQ8" s="53">
        <f t="shared" si="14"/>
        <v>1.6499143557864533</v>
      </c>
      <c r="AR8" s="53"/>
      <c r="AS8" s="53">
        <f t="shared" si="14"/>
        <v>0.8236340333369887</v>
      </c>
      <c r="AT8" s="53"/>
      <c r="AU8" s="53">
        <f t="shared" si="14"/>
        <v>1.2000103664053077</v>
      </c>
      <c r="AV8" s="53"/>
      <c r="AW8" s="53">
        <f t="shared" si="14"/>
        <v>0.45794909095478303</v>
      </c>
      <c r="AX8" s="53"/>
      <c r="AY8" s="53">
        <f t="shared" si="14"/>
        <v>3.4330023223032495</v>
      </c>
      <c r="AZ8" s="53"/>
      <c r="BA8" s="53">
        <f t="shared" si="16"/>
        <v>0.46735524728588662</v>
      </c>
      <c r="BB8" s="53"/>
      <c r="BC8" s="53">
        <f t="shared" si="14"/>
        <v>1</v>
      </c>
      <c r="BD8" s="53">
        <f t="shared" si="14"/>
        <v>1</v>
      </c>
      <c r="BE8" s="105">
        <f t="shared" si="17"/>
        <v>0.20001036640530767</v>
      </c>
      <c r="BG8" s="14" t="s">
        <v>146</v>
      </c>
      <c r="BH8" s="26" t="s">
        <v>145</v>
      </c>
      <c r="BI8" s="27">
        <f>AB48</f>
        <v>1037052</v>
      </c>
      <c r="BJ8" s="27">
        <f>AB92</f>
        <v>2213161</v>
      </c>
      <c r="BK8" s="27">
        <f>1000*(BJ8/BI8)/3.412</f>
        <v>625.46563419179665</v>
      </c>
      <c r="BL8" s="27">
        <f>BK8*AB6</f>
        <v>94.104676718459871</v>
      </c>
      <c r="BM8" s="27">
        <f t="shared" si="18"/>
        <v>99.288857847414221</v>
      </c>
      <c r="BO8" s="26">
        <f t="shared" si="12"/>
        <v>1994</v>
      </c>
      <c r="BP8" s="29">
        <f t="shared" si="9"/>
        <v>1.1411764705882355</v>
      </c>
      <c r="BQ8" s="29">
        <f t="shared" si="9"/>
        <v>1.0696202531645571</v>
      </c>
      <c r="BR8" s="29">
        <f t="shared" si="9"/>
        <v>1.1604010025062657</v>
      </c>
      <c r="BS8" s="29">
        <f t="shared" si="9"/>
        <v>1.1510840108401084</v>
      </c>
      <c r="BT8" s="29">
        <f t="shared" si="9"/>
        <v>1.0602985074626867</v>
      </c>
      <c r="BU8" s="29">
        <f t="shared" si="9"/>
        <v>1.2072391767210788</v>
      </c>
      <c r="BV8" s="29">
        <f t="shared" si="9"/>
        <v>0.90603674540682422</v>
      </c>
      <c r="BW8" s="29">
        <f t="shared" si="9"/>
        <v>1.0249240121580547</v>
      </c>
      <c r="BX8" s="29">
        <f t="shared" si="9"/>
        <v>0.97661413319776302</v>
      </c>
      <c r="BZ8" s="26">
        <f t="shared" si="13"/>
        <v>1994</v>
      </c>
      <c r="CA8" s="29">
        <f t="shared" si="10"/>
        <v>0.73975409836065575</v>
      </c>
      <c r="CB8" s="29">
        <f t="shared" si="10"/>
        <v>0.73388042203985937</v>
      </c>
      <c r="CC8" s="29">
        <f t="shared" si="10"/>
        <v>0.5972972972972973</v>
      </c>
      <c r="CD8" s="29">
        <f t="shared" si="10"/>
        <v>0.55495978552278813</v>
      </c>
      <c r="CE8" s="29">
        <f t="shared" si="10"/>
        <v>0.59247967479674801</v>
      </c>
      <c r="CF8" s="29">
        <f t="shared" si="10"/>
        <v>0.55491990846681916</v>
      </c>
      <c r="CG8" s="29">
        <f t="shared" si="10"/>
        <v>0.58786346396965872</v>
      </c>
      <c r="CH8" s="29">
        <f t="shared" si="10"/>
        <v>0.62736535662299853</v>
      </c>
      <c r="CI8" s="29">
        <f t="shared" si="10"/>
        <v>0.67162162162162153</v>
      </c>
    </row>
    <row r="9" spans="1:87" x14ac:dyDescent="0.2">
      <c r="A9" s="26">
        <v>2010</v>
      </c>
      <c r="B9" s="307">
        <v>7.5579488575039955</v>
      </c>
      <c r="C9" s="142">
        <v>3.3880159999999999</v>
      </c>
      <c r="D9" s="100">
        <f t="shared" si="0"/>
        <v>572.04681954559237</v>
      </c>
      <c r="E9" s="307">
        <v>12.614787706568169</v>
      </c>
      <c r="F9" s="142">
        <v>14.824436</v>
      </c>
      <c r="G9" s="307">
        <v>12.378665525149154</v>
      </c>
      <c r="H9" s="307">
        <v>9.8066675844966884</v>
      </c>
      <c r="I9" s="307">
        <v>0.89494059863781383</v>
      </c>
      <c r="J9" s="308">
        <v>591.85248951264384</v>
      </c>
      <c r="K9" s="308">
        <v>479.45148196275602</v>
      </c>
      <c r="L9" s="100">
        <f t="shared" si="2"/>
        <v>330.26058639828216</v>
      </c>
      <c r="M9" s="100">
        <f t="shared" si="3"/>
        <v>386.25915595615032</v>
      </c>
      <c r="N9" s="100">
        <f t="shared" si="4"/>
        <v>99.956659292987666</v>
      </c>
      <c r="O9" s="100">
        <f t="shared" si="5"/>
        <v>847.20701431345481</v>
      </c>
      <c r="P9" s="100">
        <f t="shared" si="6"/>
        <v>222.40175882138698</v>
      </c>
      <c r="Q9" s="100">
        <f t="shared" si="7"/>
        <v>599.35760958541834</v>
      </c>
      <c r="R9" s="101">
        <f t="shared" si="8"/>
        <v>1865.6788210078303</v>
      </c>
      <c r="S9" s="101">
        <f t="shared" si="8"/>
        <v>4831.6574697068691</v>
      </c>
      <c r="T9" s="65"/>
      <c r="U9" s="8">
        <v>2008</v>
      </c>
      <c r="V9" s="53">
        <f t="shared" si="14"/>
        <v>0.33199889279497263</v>
      </c>
      <c r="W9" s="53"/>
      <c r="X9" s="53">
        <f t="shared" si="14"/>
        <v>0.15638305260516283</v>
      </c>
      <c r="Y9" s="53"/>
      <c r="Z9" s="53">
        <f t="shared" si="14"/>
        <v>7.3903379176677459E-3</v>
      </c>
      <c r="AA9" s="53"/>
      <c r="AB9" s="53">
        <f t="shared" si="15"/>
        <v>0.15549640804567094</v>
      </c>
      <c r="AC9" s="53"/>
      <c r="AD9" s="53">
        <f t="shared" si="14"/>
        <v>0.42155823059092734</v>
      </c>
      <c r="AE9" s="53"/>
      <c r="AF9" s="53">
        <f t="shared" si="14"/>
        <v>0.60482253403668407</v>
      </c>
      <c r="AG9" s="53"/>
      <c r="AH9" s="53">
        <f t="shared" si="14"/>
        <v>0.15638305260516283</v>
      </c>
      <c r="AI9" s="53"/>
      <c r="AJ9" s="53">
        <f t="shared" si="14"/>
        <v>7.3903379176677459E-3</v>
      </c>
      <c r="AK9" s="53">
        <f t="shared" si="14"/>
        <v>0.89966458618354128</v>
      </c>
      <c r="AL9" s="53"/>
      <c r="AM9" s="53">
        <f t="shared" si="14"/>
        <v>0.59856716648537533</v>
      </c>
      <c r="AN9" s="53"/>
      <c r="AO9" s="53">
        <f t="shared" si="14"/>
        <v>0.68833925352850589</v>
      </c>
      <c r="AP9" s="53"/>
      <c r="AQ9" s="53">
        <f t="shared" si="14"/>
        <v>1.6507428541887954</v>
      </c>
      <c r="AR9" s="53"/>
      <c r="AS9" s="53">
        <f t="shared" si="14"/>
        <v>0.82509668515937662</v>
      </c>
      <c r="AT9" s="53"/>
      <c r="AU9" s="53">
        <f t="shared" si="14"/>
        <v>1.1998881433197091</v>
      </c>
      <c r="AV9" s="53"/>
      <c r="AW9" s="53">
        <f t="shared" si="14"/>
        <v>0.45765189309194104</v>
      </c>
      <c r="AX9" s="53"/>
      <c r="AY9" s="53">
        <f t="shared" si="14"/>
        <v>3.6187536331052601</v>
      </c>
      <c r="AZ9" s="53"/>
      <c r="BA9" s="53">
        <f t="shared" si="16"/>
        <v>0.46494331255122562</v>
      </c>
      <c r="BB9" s="53"/>
      <c r="BC9" s="53">
        <f t="shared" si="14"/>
        <v>1</v>
      </c>
      <c r="BD9" s="53">
        <f t="shared" si="14"/>
        <v>1</v>
      </c>
      <c r="BE9" s="105">
        <f t="shared" si="17"/>
        <v>0.19988814331970906</v>
      </c>
      <c r="BG9" s="14" t="s">
        <v>21</v>
      </c>
      <c r="BH9" s="26" t="s">
        <v>2</v>
      </c>
      <c r="BI9" s="27">
        <f>AF48</f>
        <v>4146518</v>
      </c>
      <c r="BJ9" s="27">
        <f>AF92</f>
        <v>63913651</v>
      </c>
      <c r="BK9" s="27">
        <f t="shared" si="11"/>
        <v>4517.5300424541238</v>
      </c>
      <c r="BL9" s="27">
        <f>$BK$9*AF6</f>
        <v>2717.6393697753888</v>
      </c>
      <c r="BM9" s="27">
        <f t="shared" si="18"/>
        <v>2867.3528083353372</v>
      </c>
      <c r="BO9" s="26">
        <f t="shared" si="12"/>
        <v>1995</v>
      </c>
      <c r="BP9" s="29">
        <f t="shared" si="9"/>
        <v>1.0721568627450981</v>
      </c>
      <c r="BQ9" s="29">
        <f t="shared" si="9"/>
        <v>1.1578059071729958</v>
      </c>
      <c r="BR9" s="29">
        <f t="shared" si="9"/>
        <v>1.2355889724310776</v>
      </c>
      <c r="BS9" s="29">
        <f t="shared" si="9"/>
        <v>1.1592140921409213</v>
      </c>
      <c r="BT9" s="29">
        <f t="shared" si="9"/>
        <v>1.0949253731343283</v>
      </c>
      <c r="BU9" s="29">
        <f t="shared" si="9"/>
        <v>1.0298083747338538</v>
      </c>
      <c r="BV9" s="29">
        <f t="shared" si="9"/>
        <v>0.92545931758530176</v>
      </c>
      <c r="BW9" s="29">
        <f t="shared" si="9"/>
        <v>1.0996960486322189</v>
      </c>
      <c r="BX9" s="29">
        <f t="shared" si="9"/>
        <v>1.0660904931367563</v>
      </c>
      <c r="BZ9" s="26">
        <f t="shared" si="13"/>
        <v>1995</v>
      </c>
      <c r="CA9" s="29">
        <f t="shared" si="10"/>
        <v>0.71721311475409832</v>
      </c>
      <c r="CB9" s="29">
        <f t="shared" si="10"/>
        <v>0.70339976553341155</v>
      </c>
      <c r="CC9" s="29">
        <f t="shared" si="10"/>
        <v>0.52702702702702697</v>
      </c>
      <c r="CD9" s="29">
        <f t="shared" si="10"/>
        <v>0.51474530831099197</v>
      </c>
      <c r="CE9" s="29">
        <f t="shared" si="10"/>
        <v>0.54166666666666663</v>
      </c>
      <c r="CF9" s="29">
        <f t="shared" si="10"/>
        <v>0.50800915331807783</v>
      </c>
      <c r="CG9" s="29">
        <f t="shared" si="10"/>
        <v>0.5689001264222503</v>
      </c>
      <c r="CH9" s="29">
        <f t="shared" si="10"/>
        <v>0.59970887918486171</v>
      </c>
      <c r="CI9" s="29">
        <f t="shared" si="10"/>
        <v>0.66081081081081072</v>
      </c>
    </row>
    <row r="10" spans="1:87" x14ac:dyDescent="0.2">
      <c r="A10" s="26">
        <v>2011</v>
      </c>
      <c r="B10" s="307">
        <v>7.5714163701222743</v>
      </c>
      <c r="C10" s="142">
        <v>3.4313090000000002</v>
      </c>
      <c r="D10" s="100">
        <f t="shared" si="0"/>
        <v>521.58822756453208</v>
      </c>
      <c r="E10" s="307">
        <v>12.680915008767705</v>
      </c>
      <c r="F10" s="142">
        <v>15.217358000000001</v>
      </c>
      <c r="G10" s="307">
        <v>12.463080238937028</v>
      </c>
      <c r="H10" s="307">
        <v>9.8741992696547687</v>
      </c>
      <c r="I10" s="307">
        <v>0.89628488788144389</v>
      </c>
      <c r="J10" s="308">
        <v>581.11669764603766</v>
      </c>
      <c r="K10" s="308">
        <v>472.68560384871955</v>
      </c>
      <c r="L10" s="100">
        <f t="shared" si="2"/>
        <v>329.85134261423076</v>
      </c>
      <c r="M10" s="100">
        <f t="shared" si="3"/>
        <v>378.4903821942803</v>
      </c>
      <c r="N10" s="100">
        <f t="shared" si="4"/>
        <v>97.105744953638549</v>
      </c>
      <c r="O10" s="100">
        <f t="shared" si="5"/>
        <v>829.562427622462</v>
      </c>
      <c r="P10" s="100">
        <f t="shared" si="6"/>
        <v>220.89605967052012</v>
      </c>
      <c r="Q10" s="100">
        <f t="shared" si="7"/>
        <v>570.69273141665576</v>
      </c>
      <c r="R10" s="101">
        <f t="shared" si="8"/>
        <v>1818.8624107485023</v>
      </c>
      <c r="S10" s="101">
        <f t="shared" si="8"/>
        <v>4727.7771386018567</v>
      </c>
      <c r="T10" s="65"/>
      <c r="U10" s="8">
        <v>2009</v>
      </c>
      <c r="V10" s="53">
        <f t="shared" si="14"/>
        <v>0.33023738897528454</v>
      </c>
      <c r="W10" s="53"/>
      <c r="X10" s="53">
        <f t="shared" si="14"/>
        <v>0.15971358657458237</v>
      </c>
      <c r="Y10" s="53"/>
      <c r="Z10" s="53">
        <f t="shared" si="14"/>
        <v>8.7196207872700122E-3</v>
      </c>
      <c r="AA10" s="53"/>
      <c r="AB10" s="53">
        <f t="shared" si="15"/>
        <v>0.15397727433088823</v>
      </c>
      <c r="AC10" s="53"/>
      <c r="AD10" s="53">
        <f t="shared" si="14"/>
        <v>0.41649953572124082</v>
      </c>
      <c r="AE10" s="53"/>
      <c r="AF10" s="53">
        <f t="shared" si="14"/>
        <v>0.60629358787286947</v>
      </c>
      <c r="AG10" s="53"/>
      <c r="AH10" s="53">
        <f t="shared" si="14"/>
        <v>0.15971358657458237</v>
      </c>
      <c r="AI10" s="53"/>
      <c r="AJ10" s="53">
        <f t="shared" si="14"/>
        <v>8.7196207872700122E-3</v>
      </c>
      <c r="AK10" s="53">
        <f t="shared" si="14"/>
        <v>0.90033148656696194</v>
      </c>
      <c r="AL10" s="53"/>
      <c r="AM10" s="53">
        <f t="shared" si="14"/>
        <v>0.60182776245861713</v>
      </c>
      <c r="AN10" s="53"/>
      <c r="AO10" s="53">
        <f t="shared" si="14"/>
        <v>0.69112451420072085</v>
      </c>
      <c r="AP10" s="53"/>
      <c r="AQ10" s="53">
        <f t="shared" si="14"/>
        <v>1.6514921834649026</v>
      </c>
      <c r="AR10" s="53"/>
      <c r="AS10" s="53">
        <f t="shared" si="14"/>
        <v>0.82691617298829001</v>
      </c>
      <c r="AT10" s="53"/>
      <c r="AU10" s="53">
        <f t="shared" si="14"/>
        <v>1.200007338144522</v>
      </c>
      <c r="AV10" s="53"/>
      <c r="AW10" s="53">
        <f t="shared" si="14"/>
        <v>0.45774385924309863</v>
      </c>
      <c r="AX10" s="53"/>
      <c r="AY10" s="53">
        <f t="shared" si="14"/>
        <v>3.7181906957972188</v>
      </c>
      <c r="AZ10" s="53"/>
      <c r="BA10" s="53">
        <f t="shared" si="16"/>
        <v>0.4624161405311123</v>
      </c>
      <c r="BB10" s="53"/>
      <c r="BC10" s="53">
        <f t="shared" si="14"/>
        <v>1</v>
      </c>
      <c r="BD10" s="53">
        <f t="shared" si="14"/>
        <v>1</v>
      </c>
      <c r="BE10" s="105">
        <f t="shared" si="17"/>
        <v>0.20000733814452198</v>
      </c>
      <c r="BG10" s="14" t="s">
        <v>22</v>
      </c>
      <c r="BH10" s="26" t="s">
        <v>3</v>
      </c>
      <c r="BI10" s="27">
        <f>AH48</f>
        <v>1005312</v>
      </c>
      <c r="BJ10" s="27">
        <f>AH92</f>
        <v>14816839</v>
      </c>
      <c r="BK10" s="27">
        <f t="shared" si="11"/>
        <v>4319.6212877802727</v>
      </c>
      <c r="BL10" s="27">
        <f>$BK$10*AH6</f>
        <v>630.01916448214479</v>
      </c>
      <c r="BM10" s="27">
        <f t="shared" si="18"/>
        <v>664.72661555983632</v>
      </c>
      <c r="BO10" s="26">
        <f t="shared" si="12"/>
        <v>1996</v>
      </c>
      <c r="BP10" s="29">
        <f t="shared" si="9"/>
        <v>1.0588235294117647</v>
      </c>
      <c r="BQ10" s="29">
        <f t="shared" si="9"/>
        <v>1.1413502109704643</v>
      </c>
      <c r="BR10" s="29">
        <f t="shared" si="9"/>
        <v>1.2124060150375939</v>
      </c>
      <c r="BS10" s="29">
        <f t="shared" si="9"/>
        <v>1.1212737127371275</v>
      </c>
      <c r="BT10" s="29">
        <f t="shared" si="9"/>
        <v>1.0698507462686568</v>
      </c>
      <c r="BU10" s="29">
        <f t="shared" si="9"/>
        <v>1.0028388928317957</v>
      </c>
      <c r="BV10" s="29">
        <f t="shared" si="9"/>
        <v>0.91706036745406816</v>
      </c>
      <c r="BW10" s="29">
        <f t="shared" si="9"/>
        <v>1.0680851063829788</v>
      </c>
      <c r="BX10" s="29">
        <f t="shared" si="9"/>
        <v>1.0284697508896796</v>
      </c>
      <c r="BZ10" s="26">
        <f t="shared" si="13"/>
        <v>1996</v>
      </c>
      <c r="CA10" s="29">
        <f t="shared" si="10"/>
        <v>0.7018442622950819</v>
      </c>
      <c r="CB10" s="29">
        <f t="shared" si="10"/>
        <v>0.71160609613130132</v>
      </c>
      <c r="CC10" s="29">
        <f t="shared" si="10"/>
        <v>0.55810810810810807</v>
      </c>
      <c r="CD10" s="29">
        <f t="shared" si="10"/>
        <v>0.5630026809651475</v>
      </c>
      <c r="CE10" s="29">
        <f t="shared" si="10"/>
        <v>0.5792682926829269</v>
      </c>
      <c r="CF10" s="29">
        <f t="shared" si="10"/>
        <v>0.5389016018306636</v>
      </c>
      <c r="CG10" s="29">
        <f t="shared" si="10"/>
        <v>0.572692793931732</v>
      </c>
      <c r="CH10" s="29">
        <f t="shared" si="10"/>
        <v>0.54148471615720528</v>
      </c>
      <c r="CI10" s="29">
        <f t="shared" si="10"/>
        <v>0.64324324324324322</v>
      </c>
    </row>
    <row r="11" spans="1:87" x14ac:dyDescent="0.2">
      <c r="A11" s="26">
        <v>2012</v>
      </c>
      <c r="B11" s="307">
        <v>7.6178553973680234</v>
      </c>
      <c r="C11" s="142">
        <v>3.4590559999999999</v>
      </c>
      <c r="D11" s="100">
        <f t="shared" si="0"/>
        <v>499.45843221443903</v>
      </c>
      <c r="E11" s="307">
        <v>12.790951865091673</v>
      </c>
      <c r="F11" s="142">
        <v>15.475415999999999</v>
      </c>
      <c r="G11" s="307">
        <v>12.610954691482007</v>
      </c>
      <c r="H11" s="307">
        <v>9.9418246440066174</v>
      </c>
      <c r="I11" s="307">
        <v>0.8979712989076909</v>
      </c>
      <c r="J11" s="308">
        <v>572.006354242724</v>
      </c>
      <c r="K11" s="308">
        <v>467.14811296909187</v>
      </c>
      <c r="L11" s="100">
        <f t="shared" si="2"/>
        <v>331.36141135862437</v>
      </c>
      <c r="M11" s="100">
        <f t="shared" si="3"/>
        <v>372.63790918317289</v>
      </c>
      <c r="N11" s="100">
        <f t="shared" si="4"/>
        <v>94.708031475446276</v>
      </c>
      <c r="O11" s="100">
        <f t="shared" si="5"/>
        <v>827.67190167455692</v>
      </c>
      <c r="P11" s="100">
        <f t="shared" si="6"/>
        <v>222.47443148021304</v>
      </c>
      <c r="Q11" s="100">
        <f t="shared" si="7"/>
        <v>568.39907987496463</v>
      </c>
      <c r="R11" s="101">
        <f t="shared" si="8"/>
        <v>1797.2757481829826</v>
      </c>
      <c r="S11" s="101">
        <f t="shared" si="8"/>
        <v>4824.3600022852979</v>
      </c>
      <c r="T11" s="65"/>
      <c r="U11" s="8">
        <v>2010</v>
      </c>
      <c r="V11" s="53">
        <f t="shared" si="14"/>
        <v>0.32750296941433499</v>
      </c>
      <c r="W11" s="53"/>
      <c r="X11" s="53">
        <f t="shared" si="14"/>
        <v>0.16452710298414286</v>
      </c>
      <c r="Y11" s="53"/>
      <c r="Z11" s="53">
        <f t="shared" si="14"/>
        <v>1.069902719252684E-2</v>
      </c>
      <c r="AA11" s="53"/>
      <c r="AB11" s="53">
        <f t="shared" si="15"/>
        <v>0.15177222011770541</v>
      </c>
      <c r="AC11" s="53"/>
      <c r="AD11" s="53">
        <f t="shared" si="14"/>
        <v>0.40939339147006792</v>
      </c>
      <c r="AE11" s="53"/>
      <c r="AF11" s="53">
        <f t="shared" si="14"/>
        <v>0.60661145889878665</v>
      </c>
      <c r="AG11" s="53"/>
      <c r="AH11" s="53">
        <f t="shared" si="14"/>
        <v>0.16452710298414286</v>
      </c>
      <c r="AI11" s="53"/>
      <c r="AJ11" s="53">
        <f t="shared" si="14"/>
        <v>1.069902719252684E-2</v>
      </c>
      <c r="AK11" s="53">
        <f t="shared" si="14"/>
        <v>0.90149313143361487</v>
      </c>
      <c r="AL11" s="53"/>
      <c r="AM11" s="53">
        <f t="shared" si="14"/>
        <v>0.60628913308722576</v>
      </c>
      <c r="AN11" s="53"/>
      <c r="AO11" s="53">
        <f t="shared" si="14"/>
        <v>0.69398016447961186</v>
      </c>
      <c r="AP11" s="53"/>
      <c r="AQ11" s="53">
        <f t="shared" si="14"/>
        <v>1.6525793596553526</v>
      </c>
      <c r="AR11" s="53"/>
      <c r="AS11" s="53">
        <f t="shared" si="14"/>
        <v>0.82945352176166465</v>
      </c>
      <c r="AT11" s="53"/>
      <c r="AU11" s="53">
        <f t="shared" si="14"/>
        <v>1.200300037769723</v>
      </c>
      <c r="AV11" s="53"/>
      <c r="AW11" s="53">
        <f t="shared" si="14"/>
        <v>0.45816919496931835</v>
      </c>
      <c r="AX11" s="53"/>
      <c r="AY11" s="53">
        <f t="shared" si="14"/>
        <v>3.7724349085967126</v>
      </c>
      <c r="AZ11" s="53"/>
      <c r="BA11" s="53">
        <f t="shared" si="16"/>
        <v>0.45888428126783531</v>
      </c>
      <c r="BB11" s="53"/>
      <c r="BC11" s="53">
        <f t="shared" si="14"/>
        <v>1</v>
      </c>
      <c r="BD11" s="53">
        <f t="shared" si="14"/>
        <v>1</v>
      </c>
      <c r="BE11" s="105">
        <f t="shared" si="17"/>
        <v>0.20030003776972305</v>
      </c>
      <c r="BG11" s="131" t="s">
        <v>164</v>
      </c>
      <c r="BH11" s="26" t="s">
        <v>165</v>
      </c>
      <c r="BI11" s="27">
        <f>AJ48</f>
        <v>33013</v>
      </c>
      <c r="BJ11" s="27">
        <f>AJ92</f>
        <v>369877</v>
      </c>
      <c r="BK11" s="27">
        <f>1000*(BJ11/BI11)/3.412</f>
        <v>3283.698783764497</v>
      </c>
      <c r="BL11" s="27">
        <f>$BK$11*AJ6</f>
        <v>15.727349031811862</v>
      </c>
      <c r="BM11" s="27">
        <f t="shared" si="18"/>
        <v>16.593761083819938</v>
      </c>
      <c r="BO11" s="26">
        <f t="shared" si="12"/>
        <v>1997</v>
      </c>
      <c r="BP11" s="29">
        <f t="shared" si="9"/>
        <v>1.0615686274509804</v>
      </c>
      <c r="BQ11" s="29">
        <f t="shared" si="9"/>
        <v>1.1337552742616035</v>
      </c>
      <c r="BR11" s="29">
        <f t="shared" si="9"/>
        <v>1.2030075187969924</v>
      </c>
      <c r="BS11" s="29">
        <f t="shared" si="9"/>
        <v>1.1050135501355012</v>
      </c>
      <c r="BT11" s="29">
        <f t="shared" si="9"/>
        <v>1.0602985074626867</v>
      </c>
      <c r="BU11" s="29">
        <f t="shared" si="9"/>
        <v>0.99929027679205107</v>
      </c>
      <c r="BV11" s="29">
        <f t="shared" si="9"/>
        <v>0.90183727034120731</v>
      </c>
      <c r="BW11" s="29">
        <f t="shared" si="9"/>
        <v>1.0395136778115504</v>
      </c>
      <c r="BX11" s="29">
        <f t="shared" si="9"/>
        <v>1.0228774783934926</v>
      </c>
      <c r="BZ11" s="26">
        <f t="shared" si="13"/>
        <v>1997</v>
      </c>
      <c r="CA11" s="29">
        <f t="shared" si="10"/>
        <v>0.73053278688524592</v>
      </c>
      <c r="CB11" s="29">
        <f t="shared" si="10"/>
        <v>0.77373974208675267</v>
      </c>
      <c r="CC11" s="29">
        <f t="shared" si="10"/>
        <v>0.60810810810810811</v>
      </c>
      <c r="CD11" s="29">
        <f t="shared" si="10"/>
        <v>0.61260053619302957</v>
      </c>
      <c r="CE11" s="29">
        <f t="shared" si="10"/>
        <v>0.6239837398373983</v>
      </c>
      <c r="CF11" s="29">
        <f t="shared" si="10"/>
        <v>0.597254004576659</v>
      </c>
      <c r="CG11" s="29">
        <f t="shared" si="10"/>
        <v>0.60809102402022752</v>
      </c>
      <c r="CH11" s="29">
        <f t="shared" si="10"/>
        <v>0.58951965065502177</v>
      </c>
      <c r="CI11" s="29">
        <f t="shared" si="10"/>
        <v>0.66351351351351351</v>
      </c>
    </row>
    <row r="12" spans="1:87" x14ac:dyDescent="0.2">
      <c r="A12" s="26">
        <v>2013</v>
      </c>
      <c r="B12" s="307">
        <v>7.6654421259684886</v>
      </c>
      <c r="C12" s="142">
        <v>3.4801530000000001</v>
      </c>
      <c r="D12" s="100">
        <f t="shared" si="0"/>
        <v>488.51412650213001</v>
      </c>
      <c r="E12" s="307">
        <v>12.901668223589098</v>
      </c>
      <c r="F12" s="142">
        <v>15.677279</v>
      </c>
      <c r="G12" s="307">
        <v>12.751851183406297</v>
      </c>
      <c r="H12" s="307">
        <v>10.005839215101393</v>
      </c>
      <c r="I12" s="307">
        <v>0.89972220862440766</v>
      </c>
      <c r="J12" s="308">
        <v>563.91505667829995</v>
      </c>
      <c r="K12" s="308">
        <v>462.02771229636926</v>
      </c>
      <c r="L12" s="100">
        <f t="shared" si="2"/>
        <v>330.64722634540823</v>
      </c>
      <c r="M12" s="100">
        <f t="shared" si="3"/>
        <v>363.84300670541199</v>
      </c>
      <c r="N12" s="100">
        <f t="shared" si="4"/>
        <v>91.878092906421344</v>
      </c>
      <c r="O12" s="100">
        <f t="shared" si="5"/>
        <v>815.86445548581162</v>
      </c>
      <c r="P12" s="100">
        <f t="shared" si="6"/>
        <v>221.84023210125414</v>
      </c>
      <c r="Q12" s="100">
        <f t="shared" si="7"/>
        <v>576.46895799881497</v>
      </c>
      <c r="R12" s="224">
        <f t="shared" si="8"/>
        <v>1573.9481557582549</v>
      </c>
      <c r="S12" s="101">
        <f t="shared" si="8"/>
        <v>4868.6296664538995</v>
      </c>
      <c r="T12" s="65"/>
      <c r="U12" s="8">
        <v>2011</v>
      </c>
      <c r="V12" s="53">
        <f t="shared" si="14"/>
        <v>0.32453725531108812</v>
      </c>
      <c r="W12" s="53">
        <f>V12/V11-1</f>
        <v>-9.0555334766899698E-3</v>
      </c>
      <c r="X12" s="53">
        <f t="shared" si="14"/>
        <v>0.16950491586341176</v>
      </c>
      <c r="Y12" s="53">
        <f>X12/X11-1</f>
        <v>3.0255275811600812E-2</v>
      </c>
      <c r="Z12" s="53">
        <f t="shared" si="14"/>
        <v>1.2737804952839712E-2</v>
      </c>
      <c r="AA12" s="53"/>
      <c r="AB12" s="53">
        <f t="shared" si="15"/>
        <v>0.14948706580582494</v>
      </c>
      <c r="AC12" s="53">
        <f>AB12/AB11-1</f>
        <v>-1.505647285193723E-2</v>
      </c>
      <c r="AD12" s="53">
        <f t="shared" si="14"/>
        <v>0.40230490660210949</v>
      </c>
      <c r="AE12" s="53">
        <f>AD12/AD11-1</f>
        <v>-1.7314605012320294E-2</v>
      </c>
      <c r="AF12" s="53">
        <f t="shared" si="14"/>
        <v>0.60661653894935763</v>
      </c>
      <c r="AG12" s="53">
        <f>AF12/AF11-1</f>
        <v>8.3744718244460614E-6</v>
      </c>
      <c r="AH12" s="53">
        <f t="shared" si="14"/>
        <v>0.16950491586341176</v>
      </c>
      <c r="AI12" s="53">
        <f>AH12/AH11-1</f>
        <v>3.0255275811600812E-2</v>
      </c>
      <c r="AJ12" s="53">
        <f t="shared" si="14"/>
        <v>1.2737804952839712E-2</v>
      </c>
      <c r="AK12" s="53">
        <f t="shared" si="14"/>
        <v>0.90266371315652061</v>
      </c>
      <c r="AL12" s="53">
        <f>AK12/AK11-1</f>
        <v>1.2984921150138717E-3</v>
      </c>
      <c r="AM12" s="53">
        <f t="shared" si="14"/>
        <v>0.61085151748229294</v>
      </c>
      <c r="AN12" s="53">
        <f>AM12/AM11-1</f>
        <v>7.5250967666788959E-3</v>
      </c>
      <c r="AO12" s="53">
        <f t="shared" si="14"/>
        <v>0.69671826029744488</v>
      </c>
      <c r="AP12" s="53">
        <f>AO12/AO11-1</f>
        <v>3.9454957907711918E-3</v>
      </c>
      <c r="AQ12" s="53">
        <f t="shared" si="14"/>
        <v>1.6555931168127229</v>
      </c>
      <c r="AR12" s="53">
        <f>AQ12/AQ11-1</f>
        <v>1.8236686424539794E-3</v>
      </c>
      <c r="AS12" s="53">
        <f t="shared" si="14"/>
        <v>0.83191935390288785</v>
      </c>
      <c r="AT12" s="53">
        <f>AS12/AS11-1</f>
        <v>2.9728394376891121E-3</v>
      </c>
      <c r="AU12" s="53">
        <f t="shared" si="14"/>
        <v>1.2007005513644642</v>
      </c>
      <c r="AV12" s="53"/>
      <c r="AW12" s="53">
        <f t="shared" si="14"/>
        <v>0.45853024511166551</v>
      </c>
      <c r="AX12" s="53">
        <f>AW12/AW11-1</f>
        <v>7.8802797375177036E-4</v>
      </c>
      <c r="AY12" s="53">
        <f t="shared" si="14"/>
        <v>3.7540896849627461</v>
      </c>
      <c r="AZ12" s="53"/>
      <c r="BA12" s="53">
        <f t="shared" si="16"/>
        <v>0.45539876728207929</v>
      </c>
      <c r="BB12" s="53">
        <f>BA12/BA11-1</f>
        <v>-7.595627324880283E-3</v>
      </c>
      <c r="BC12" s="53">
        <f t="shared" si="14"/>
        <v>1</v>
      </c>
      <c r="BD12" s="53">
        <f t="shared" si="14"/>
        <v>1</v>
      </c>
      <c r="BE12" s="105">
        <f t="shared" si="17"/>
        <v>0.20070055136446419</v>
      </c>
      <c r="BG12" s="14" t="s">
        <v>23</v>
      </c>
      <c r="BH12" s="26" t="s">
        <v>4</v>
      </c>
      <c r="BI12" s="27">
        <f>AD48</f>
        <v>3020635</v>
      </c>
      <c r="BJ12" s="27">
        <f>AD92</f>
        <v>9831042</v>
      </c>
      <c r="BK12" s="27">
        <f t="shared" si="11"/>
        <v>953.87678387562005</v>
      </c>
      <c r="BL12" s="27">
        <f>$BK$12*AD6</f>
        <v>418.02066330267024</v>
      </c>
      <c r="BM12" s="27">
        <f t="shared" si="18"/>
        <v>441.04921947836539</v>
      </c>
      <c r="BO12" s="26">
        <f t="shared" si="12"/>
        <v>1998</v>
      </c>
      <c r="BP12" s="29">
        <f t="shared" si="9"/>
        <v>1.0066666666666668</v>
      </c>
      <c r="BQ12" s="29">
        <f t="shared" si="9"/>
        <v>1.0945147679324896</v>
      </c>
      <c r="BR12" s="29">
        <f t="shared" si="9"/>
        <v>1.1835839598997493</v>
      </c>
      <c r="BS12" s="29">
        <f t="shared" si="9"/>
        <v>1.1016260162601628</v>
      </c>
      <c r="BT12" s="29">
        <f t="shared" si="9"/>
        <v>1.0352238805970149</v>
      </c>
      <c r="BU12" s="29">
        <f t="shared" si="9"/>
        <v>1.0163236337828248</v>
      </c>
      <c r="BV12" s="29">
        <f t="shared" si="9"/>
        <v>0.86876640419947504</v>
      </c>
      <c r="BW12" s="29">
        <f t="shared" si="9"/>
        <v>1.0297872340425533</v>
      </c>
      <c r="BX12" s="29">
        <f t="shared" si="9"/>
        <v>0.96136248093543464</v>
      </c>
      <c r="BZ12" s="26">
        <f t="shared" si="13"/>
        <v>1998</v>
      </c>
      <c r="CA12" s="29">
        <f t="shared" si="10"/>
        <v>0.72028688524590168</v>
      </c>
      <c r="CB12" s="29">
        <f t="shared" si="10"/>
        <v>0.74560375146541624</v>
      </c>
      <c r="CC12" s="29">
        <f t="shared" si="10"/>
        <v>0.57432432432432434</v>
      </c>
      <c r="CD12" s="29">
        <f t="shared" si="10"/>
        <v>0.579088471849866</v>
      </c>
      <c r="CE12" s="29">
        <f t="shared" si="10"/>
        <v>0.59857723577235766</v>
      </c>
      <c r="CF12" s="29">
        <f t="shared" si="10"/>
        <v>0.57093821510297482</v>
      </c>
      <c r="CG12" s="29">
        <f t="shared" si="10"/>
        <v>0.5802781289506953</v>
      </c>
      <c r="CH12" s="29">
        <f t="shared" si="10"/>
        <v>0.62299854439592428</v>
      </c>
      <c r="CI12" s="29">
        <f t="shared" si="10"/>
        <v>0.66891891891891886</v>
      </c>
    </row>
    <row r="13" spans="1:87" x14ac:dyDescent="0.2">
      <c r="A13" s="26">
        <v>2014</v>
      </c>
      <c r="B13" s="307">
        <v>7.7059003345348707</v>
      </c>
      <c r="C13" s="142">
        <v>3.495698</v>
      </c>
      <c r="D13" s="100">
        <f t="shared" si="0"/>
        <v>478.76667382776276</v>
      </c>
      <c r="E13" s="307">
        <v>12.996027578247961</v>
      </c>
      <c r="F13" s="142">
        <v>15.826098999999999</v>
      </c>
      <c r="G13" s="307">
        <v>12.878074814699044</v>
      </c>
      <c r="H13" s="307">
        <v>10.211785920877965</v>
      </c>
      <c r="I13" s="307">
        <v>0.90140245620864856</v>
      </c>
      <c r="J13" s="308">
        <v>545.67366719453264</v>
      </c>
      <c r="K13" s="308">
        <v>454.11836854776146</v>
      </c>
      <c r="L13" s="100">
        <f t="shared" si="2"/>
        <v>330.67242878060813</v>
      </c>
      <c r="M13" s="100">
        <f t="shared" si="3"/>
        <v>356.5337535473372</v>
      </c>
      <c r="N13" s="100">
        <f t="shared" si="4"/>
        <v>89.320606806414332</v>
      </c>
      <c r="O13" s="100">
        <f t="shared" si="5"/>
        <v>804.44644550360329</v>
      </c>
      <c r="P13" s="100">
        <f t="shared" si="6"/>
        <v>221.47803551729379</v>
      </c>
      <c r="Q13" s="100">
        <f t="shared" si="7"/>
        <v>585.63411049743127</v>
      </c>
      <c r="R13" s="101">
        <f t="shared" si="8"/>
        <v>1484.1432935859859</v>
      </c>
      <c r="S13" s="101">
        <f t="shared" si="8"/>
        <v>4963.2621415882741</v>
      </c>
      <c r="T13" s="65"/>
      <c r="U13" s="8">
        <v>2012</v>
      </c>
      <c r="V13" s="53">
        <f t="shared" si="14"/>
        <v>0.32244269209408755</v>
      </c>
      <c r="W13" s="53">
        <f t="shared" ref="W13:AA37" si="19">V13/V12-1</f>
        <v>-6.4539992950665148E-3</v>
      </c>
      <c r="X13" s="53">
        <f t="shared" si="14"/>
        <v>0.17304198415499772</v>
      </c>
      <c r="Y13" s="53">
        <f t="shared" si="19"/>
        <v>2.0867054348064684E-2</v>
      </c>
      <c r="Z13" s="53">
        <f t="shared" si="14"/>
        <v>1.4208288026699448E-2</v>
      </c>
      <c r="AA13" s="53"/>
      <c r="AB13" s="53">
        <f t="shared" si="15"/>
        <v>0.14784160358611095</v>
      </c>
      <c r="AC13" s="53">
        <f t="shared" ref="AC13:AE28" si="20">AB13/AB12-1</f>
        <v>-1.100738857133865E-2</v>
      </c>
      <c r="AD13" s="53">
        <f t="shared" si="14"/>
        <v>0.39701603249687406</v>
      </c>
      <c r="AE13" s="53">
        <f t="shared" si="20"/>
        <v>-1.31464320182062E-2</v>
      </c>
      <c r="AF13" s="53">
        <f t="shared" si="14"/>
        <v>0.60759638910857472</v>
      </c>
      <c r="AG13" s="53">
        <f t="shared" ref="AG13:AG43" si="21">AF13/AF12-1</f>
        <v>1.615271091873316E-3</v>
      </c>
      <c r="AH13" s="53">
        <f t="shared" si="14"/>
        <v>0.17304198415499772</v>
      </c>
      <c r="AI13" s="53">
        <f t="shared" ref="AI13:AI43" si="22">AH13/AH12-1</f>
        <v>2.0867054348064684E-2</v>
      </c>
      <c r="AJ13" s="53">
        <f t="shared" si="14"/>
        <v>1.4208288026699448E-2</v>
      </c>
      <c r="AK13" s="53">
        <f t="shared" si="14"/>
        <v>0.90349143371273066</v>
      </c>
      <c r="AL13" s="53">
        <f t="shared" ref="AL13:AL43" si="23">AK13/AK12-1</f>
        <v>9.1697555152148169E-4</v>
      </c>
      <c r="AM13" s="53">
        <f t="shared" si="14"/>
        <v>0.61458798166518991</v>
      </c>
      <c r="AN13" s="53">
        <f t="shared" ref="AN13:AN43" si="24">AM13/AM12-1</f>
        <v>6.1168124756361131E-3</v>
      </c>
      <c r="AO13" s="53">
        <f t="shared" si="14"/>
        <v>0.69907966277231337</v>
      </c>
      <c r="AP13" s="53">
        <f t="shared" ref="AP13:AR36" si="25">AO13/AO12-1</f>
        <v>3.3893219245615391E-3</v>
      </c>
      <c r="AQ13" s="53">
        <f t="shared" si="14"/>
        <v>1.658248784122887</v>
      </c>
      <c r="AR13" s="53">
        <f t="shared" si="25"/>
        <v>1.604057955542082E-3</v>
      </c>
      <c r="AS13" s="53">
        <f t="shared" si="14"/>
        <v>0.83389059752241834</v>
      </c>
      <c r="AT13" s="53">
        <f t="shared" ref="AT13:AT43" si="26">AS13/AS12-1</f>
        <v>2.3695128743941307E-3</v>
      </c>
      <c r="AU13" s="53">
        <f t="shared" si="14"/>
        <v>1.200983122615034</v>
      </c>
      <c r="AV13" s="53"/>
      <c r="AW13" s="53">
        <f t="shared" si="14"/>
        <v>0.4588289369658507</v>
      </c>
      <c r="AX13" s="53">
        <f t="shared" ref="AX13:AX43" si="27">AW13/AW12-1</f>
        <v>6.5141145512104259E-4</v>
      </c>
      <c r="AY13" s="53">
        <f t="shared" si="14"/>
        <v>3.7108112717206874</v>
      </c>
      <c r="AZ13" s="53"/>
      <c r="BA13" s="53">
        <f t="shared" si="16"/>
        <v>0.45288641151082759</v>
      </c>
      <c r="BB13" s="53">
        <f t="shared" ref="BB13:BB43" si="28">BA13/BA12-1</f>
        <v>-5.5168260253447565E-3</v>
      </c>
      <c r="BC13" s="53">
        <f t="shared" si="14"/>
        <v>1</v>
      </c>
      <c r="BD13" s="53">
        <f t="shared" si="14"/>
        <v>1</v>
      </c>
      <c r="BE13" s="105">
        <f t="shared" si="17"/>
        <v>0.20098312261503404</v>
      </c>
      <c r="BG13" s="14" t="s">
        <v>24</v>
      </c>
      <c r="BH13" s="26" t="s">
        <v>5</v>
      </c>
      <c r="BI13" s="27">
        <f>AO48</f>
        <v>4698168</v>
      </c>
      <c r="BJ13" s="27">
        <f>AO92</f>
        <v>47715975</v>
      </c>
      <c r="BK13" s="27">
        <f t="shared" si="11"/>
        <v>2976.6394783383407</v>
      </c>
      <c r="BL13" s="27">
        <f>$BK$13*AO6</f>
        <v>2028.9063478351156</v>
      </c>
      <c r="BM13" s="27">
        <f t="shared" si="18"/>
        <v>2140.6778173055504</v>
      </c>
      <c r="BO13" s="26">
        <f t="shared" si="12"/>
        <v>1999</v>
      </c>
      <c r="BP13" s="29">
        <f t="shared" si="9"/>
        <v>0.95764705882352952</v>
      </c>
      <c r="BQ13" s="29">
        <f t="shared" si="9"/>
        <v>1.0244725738396625</v>
      </c>
      <c r="BR13" s="29">
        <f t="shared" si="9"/>
        <v>1.1328320802005012</v>
      </c>
      <c r="BS13" s="29">
        <f t="shared" si="9"/>
        <v>1.0907859078590787</v>
      </c>
      <c r="BT13" s="29">
        <f t="shared" si="9"/>
        <v>1.008955223880597</v>
      </c>
      <c r="BU13" s="29">
        <f t="shared" si="9"/>
        <v>0.9971611071682045</v>
      </c>
      <c r="BV13" s="29">
        <f t="shared" si="9"/>
        <v>0.84619422572178482</v>
      </c>
      <c r="BW13" s="29">
        <f t="shared" si="9"/>
        <v>0.98905775075987845</v>
      </c>
      <c r="BX13" s="29">
        <f t="shared" si="9"/>
        <v>0.94509405185561757</v>
      </c>
      <c r="BZ13" s="26">
        <f t="shared" si="13"/>
        <v>1999</v>
      </c>
      <c r="CA13" s="29">
        <f t="shared" si="10"/>
        <v>0.70389344262295084</v>
      </c>
      <c r="CB13" s="29">
        <f t="shared" si="10"/>
        <v>0.7198124267291911</v>
      </c>
      <c r="CC13" s="29">
        <f t="shared" si="10"/>
        <v>0.55810810810810807</v>
      </c>
      <c r="CD13" s="29">
        <f t="shared" si="10"/>
        <v>0.57238605898123318</v>
      </c>
      <c r="CE13" s="29">
        <f t="shared" si="10"/>
        <v>0.55081300813008127</v>
      </c>
      <c r="CF13" s="29">
        <f t="shared" si="10"/>
        <v>0.54919908466819223</v>
      </c>
      <c r="CG13" s="29">
        <f t="shared" si="10"/>
        <v>0.5777496839443742</v>
      </c>
      <c r="CH13" s="29">
        <f t="shared" si="10"/>
        <v>0.62008733624454149</v>
      </c>
      <c r="CI13" s="29">
        <f t="shared" si="10"/>
        <v>0.63783783783783776</v>
      </c>
    </row>
    <row r="14" spans="1:87" x14ac:dyDescent="0.2">
      <c r="A14" s="26">
        <v>2015</v>
      </c>
      <c r="B14" s="307">
        <v>7.8387325465471704</v>
      </c>
      <c r="C14" s="142">
        <v>3.50861</v>
      </c>
      <c r="D14" s="100">
        <f t="shared" si="0"/>
        <v>469.20530508386429</v>
      </c>
      <c r="E14" s="307">
        <v>13.247079244027672</v>
      </c>
      <c r="F14" s="142">
        <v>15.950364</v>
      </c>
      <c r="G14" s="307">
        <v>13.138373175403679</v>
      </c>
      <c r="H14" s="307">
        <v>10.324847527955672</v>
      </c>
      <c r="I14" s="307">
        <v>0.91536854940737056</v>
      </c>
      <c r="J14" s="308">
        <v>534.21468321252462</v>
      </c>
      <c r="K14" s="308">
        <v>448.55981214949412</v>
      </c>
      <c r="L14" s="100">
        <f t="shared" si="2"/>
        <v>330.71056486493057</v>
      </c>
      <c r="M14" s="100">
        <f t="shared" si="3"/>
        <v>349.621366750763</v>
      </c>
      <c r="N14" s="100">
        <f t="shared" si="4"/>
        <v>86.671267163192766</v>
      </c>
      <c r="O14" s="100">
        <f t="shared" si="5"/>
        <v>789.97207818690231</v>
      </c>
      <c r="P14" s="100">
        <f t="shared" si="6"/>
        <v>221.23286660026929</v>
      </c>
      <c r="Q14" s="100">
        <f t="shared" si="7"/>
        <v>593.78906159250687</v>
      </c>
      <c r="R14" s="101">
        <f t="shared" si="8"/>
        <v>1432.8602460861189</v>
      </c>
      <c r="S14" s="101">
        <f t="shared" si="8"/>
        <v>5048.8818390060842</v>
      </c>
      <c r="T14" s="65"/>
      <c r="U14" s="8">
        <v>2013</v>
      </c>
      <c r="V14" s="53">
        <f t="shared" si="14"/>
        <v>0.32028757578300915</v>
      </c>
      <c r="W14" s="53">
        <f t="shared" si="19"/>
        <v>-6.6837188868573705E-3</v>
      </c>
      <c r="X14" s="53">
        <f t="shared" si="14"/>
        <v>0.17676923742357634</v>
      </c>
      <c r="Y14" s="53">
        <f t="shared" si="19"/>
        <v>2.1539589289730099E-2</v>
      </c>
      <c r="Z14" s="53">
        <f t="shared" si="14"/>
        <v>1.572797857242322E-2</v>
      </c>
      <c r="AA14" s="53"/>
      <c r="AB14" s="53">
        <f t="shared" si="15"/>
        <v>0.14610770275230303</v>
      </c>
      <c r="AC14" s="53">
        <f t="shared" si="20"/>
        <v>-1.1728098124950348E-2</v>
      </c>
      <c r="AD14" s="53">
        <f t="shared" si="14"/>
        <v>0.39148974077746557</v>
      </c>
      <c r="AE14" s="53">
        <f t="shared" si="20"/>
        <v>-1.3919568146034567E-2</v>
      </c>
      <c r="AF14" s="53">
        <f t="shared" si="14"/>
        <v>0.60837548264995689</v>
      </c>
      <c r="AG14" s="53">
        <f t="shared" si="21"/>
        <v>1.2822550550788403E-3</v>
      </c>
      <c r="AH14" s="53">
        <f t="shared" si="14"/>
        <v>0.17676923742357634</v>
      </c>
      <c r="AI14" s="53">
        <f t="shared" si="22"/>
        <v>2.1539589289730099E-2</v>
      </c>
      <c r="AJ14" s="53">
        <f t="shared" si="14"/>
        <v>1.572797857242322E-2</v>
      </c>
      <c r="AK14" s="53">
        <f t="shared" si="14"/>
        <v>0.904385919834515</v>
      </c>
      <c r="AL14" s="53">
        <f t="shared" si="23"/>
        <v>9.9003276445985833E-4</v>
      </c>
      <c r="AM14" s="53">
        <f t="shared" si="14"/>
        <v>0.61851192833682866</v>
      </c>
      <c r="AN14" s="53">
        <f t="shared" si="24"/>
        <v>6.3846784979542104E-3</v>
      </c>
      <c r="AO14" s="53">
        <f t="shared" si="14"/>
        <v>0.70138501232988693</v>
      </c>
      <c r="AP14" s="53">
        <f t="shared" si="25"/>
        <v>3.2976922092560201E-3</v>
      </c>
      <c r="AQ14" s="53">
        <f t="shared" si="14"/>
        <v>1.6609470237224395</v>
      </c>
      <c r="AR14" s="53">
        <f t="shared" si="25"/>
        <v>1.6271621154722027E-3</v>
      </c>
      <c r="AS14" s="53">
        <f t="shared" si="14"/>
        <v>0.83588891318965031</v>
      </c>
      <c r="AT14" s="53">
        <f t="shared" si="26"/>
        <v>2.3963763030416807E-3</v>
      </c>
      <c r="AU14" s="53">
        <f t="shared" si="14"/>
        <v>1.2012433884565898</v>
      </c>
      <c r="AV14" s="53"/>
      <c r="AW14" s="53">
        <f t="shared" si="14"/>
        <v>0.45910500491581957</v>
      </c>
      <c r="AX14" s="53">
        <f t="shared" si="27"/>
        <v>6.016794664138736E-4</v>
      </c>
      <c r="AY14" s="53">
        <f t="shared" si="14"/>
        <v>3.6523192892257792</v>
      </c>
      <c r="AZ14" s="53"/>
      <c r="BA14" s="53">
        <f t="shared" si="16"/>
        <v>0.45022114069521663</v>
      </c>
      <c r="BB14" s="53">
        <f t="shared" si="28"/>
        <v>-5.8850757008134247E-3</v>
      </c>
      <c r="BC14" s="53">
        <f t="shared" si="14"/>
        <v>1</v>
      </c>
      <c r="BD14" s="53">
        <f t="shared" si="14"/>
        <v>1</v>
      </c>
      <c r="BE14" s="105">
        <f t="shared" si="17"/>
        <v>0.20124338845658984</v>
      </c>
      <c r="BG14" s="14" t="s">
        <v>25</v>
      </c>
      <c r="BH14" s="26" t="s">
        <v>6</v>
      </c>
      <c r="BI14" s="310"/>
      <c r="BJ14" s="310"/>
      <c r="BK14" s="27">
        <f>L4</f>
        <v>331.40747338337758</v>
      </c>
      <c r="BL14" s="27">
        <f>$BK$14*AQ6</f>
        <v>547.23216496934344</v>
      </c>
      <c r="BM14" s="27">
        <f t="shared" si="18"/>
        <v>577.37892028181773</v>
      </c>
      <c r="BO14" s="26">
        <f>BO15-1</f>
        <v>2000</v>
      </c>
      <c r="BP14" s="29">
        <f t="shared" si="9"/>
        <v>0.93803921568627457</v>
      </c>
      <c r="BQ14" s="29">
        <f t="shared" si="9"/>
        <v>1.0291139240506331</v>
      </c>
      <c r="BR14" s="29">
        <f t="shared" si="9"/>
        <v>1.1027568922305764</v>
      </c>
      <c r="BS14" s="29">
        <f t="shared" si="9"/>
        <v>1.0670731707317074</v>
      </c>
      <c r="BT14" s="29">
        <f t="shared" si="9"/>
        <v>0.9850746268656716</v>
      </c>
      <c r="BU14" s="29">
        <f t="shared" si="9"/>
        <v>0.9772888573456352</v>
      </c>
      <c r="BV14" s="29">
        <f t="shared" si="9"/>
        <v>0.87349081364829395</v>
      </c>
      <c r="BW14" s="29">
        <f t="shared" si="9"/>
        <v>0.96534954407294837</v>
      </c>
      <c r="BX14" s="29">
        <f t="shared" si="9"/>
        <v>0.95017793594306044</v>
      </c>
      <c r="BZ14" s="26">
        <f>BZ15-1</f>
        <v>2000</v>
      </c>
      <c r="CA14" s="29">
        <f t="shared" si="10"/>
        <v>0.74590163934426235</v>
      </c>
      <c r="CB14" s="29">
        <f t="shared" si="10"/>
        <v>0.73505275498241496</v>
      </c>
      <c r="CC14" s="29">
        <f t="shared" si="10"/>
        <v>0.6527027027027027</v>
      </c>
      <c r="CD14" s="29">
        <f t="shared" si="10"/>
        <v>0.70911528150134051</v>
      </c>
      <c r="CE14" s="29">
        <f t="shared" si="10"/>
        <v>0.6707317073170731</v>
      </c>
      <c r="CF14" s="29">
        <f t="shared" si="10"/>
        <v>0.63958810068649885</v>
      </c>
      <c r="CG14" s="29">
        <f t="shared" si="10"/>
        <v>0.67888748419721867</v>
      </c>
      <c r="CH14" s="29">
        <f t="shared" si="10"/>
        <v>0.67831149927219803</v>
      </c>
      <c r="CI14" s="29">
        <f t="shared" si="10"/>
        <v>0.7675675675675675</v>
      </c>
    </row>
    <row r="15" spans="1:87" x14ac:dyDescent="0.2">
      <c r="A15" s="26">
        <v>2016</v>
      </c>
      <c r="B15" s="307">
        <v>7.9123995670631304</v>
      </c>
      <c r="C15" s="142">
        <v>3.5193159999999999</v>
      </c>
      <c r="D15" s="100">
        <f t="shared" si="0"/>
        <v>460.80141953108614</v>
      </c>
      <c r="E15" s="307">
        <v>13.392730273524553</v>
      </c>
      <c r="F15" s="142">
        <v>16.053467000000001</v>
      </c>
      <c r="G15" s="307">
        <v>13.311284566269569</v>
      </c>
      <c r="H15" s="307">
        <v>10.422133705949232</v>
      </c>
      <c r="I15" s="307">
        <v>0.92228773719655299</v>
      </c>
      <c r="J15" s="308">
        <v>523.74696086204528</v>
      </c>
      <c r="K15" s="308">
        <v>443.56034491393473</v>
      </c>
      <c r="L15" s="100">
        <f t="shared" si="2"/>
        <v>331.7408410556875</v>
      </c>
      <c r="M15" s="100">
        <f t="shared" si="3"/>
        <v>344.27768549243234</v>
      </c>
      <c r="N15" s="100">
        <f t="shared" si="4"/>
        <v>84.077648389412488</v>
      </c>
      <c r="O15" s="100">
        <f t="shared" si="5"/>
        <v>776.50114529808343</v>
      </c>
      <c r="P15" s="100">
        <f t="shared" si="6"/>
        <v>221.16242480581636</v>
      </c>
      <c r="Q15" s="100">
        <f t="shared" si="7"/>
        <v>603.54902549531459</v>
      </c>
      <c r="R15" s="101">
        <f t="shared" si="8"/>
        <v>1400.0557484766291</v>
      </c>
      <c r="S15" s="101">
        <f t="shared" si="8"/>
        <v>5166.1868630040572</v>
      </c>
      <c r="T15" s="65"/>
      <c r="U15" s="8">
        <v>2014</v>
      </c>
      <c r="V15" s="53">
        <f t="shared" si="14"/>
        <v>0.31838413299099927</v>
      </c>
      <c r="W15" s="53">
        <f t="shared" si="19"/>
        <v>-5.9429179772475527E-3</v>
      </c>
      <c r="X15" s="53">
        <f t="shared" si="14"/>
        <v>0.18020040937485918</v>
      </c>
      <c r="Y15" s="53">
        <f t="shared" si="19"/>
        <v>1.9410458523736462E-2</v>
      </c>
      <c r="Z15" s="53">
        <f t="shared" si="14"/>
        <v>1.7104685209836566E-2</v>
      </c>
      <c r="AA15" s="53"/>
      <c r="AB15" s="53">
        <f t="shared" si="15"/>
        <v>0.14450717280448686</v>
      </c>
      <c r="AC15" s="53">
        <f t="shared" si="20"/>
        <v>-1.0954452897870559E-2</v>
      </c>
      <c r="AD15" s="53">
        <f t="shared" si="14"/>
        <v>0.38633820713184008</v>
      </c>
      <c r="AE15" s="53">
        <f t="shared" si="20"/>
        <v>-1.3158796027183173E-2</v>
      </c>
      <c r="AF15" s="53">
        <f t="shared" si="14"/>
        <v>0.60932427587533644</v>
      </c>
      <c r="AG15" s="53">
        <f t="shared" si="21"/>
        <v>1.5595520405371488E-3</v>
      </c>
      <c r="AH15" s="53">
        <f t="shared" si="14"/>
        <v>0.18020040937485918</v>
      </c>
      <c r="AI15" s="53">
        <f t="shared" si="22"/>
        <v>1.9410458523736462E-2</v>
      </c>
      <c r="AJ15" s="53">
        <f t="shared" si="14"/>
        <v>1.7104685209836566E-2</v>
      </c>
      <c r="AK15" s="53">
        <f t="shared" si="14"/>
        <v>0.90521593077623153</v>
      </c>
      <c r="AL15" s="53">
        <f t="shared" si="23"/>
        <v>9.1776190176462435E-4</v>
      </c>
      <c r="AM15" s="53">
        <f t="shared" si="14"/>
        <v>0.62227723005373803</v>
      </c>
      <c r="AN15" s="53">
        <f t="shared" si="24"/>
        <v>6.0876784171879361E-3</v>
      </c>
      <c r="AO15" s="53">
        <f t="shared" si="14"/>
        <v>0.70357089765830316</v>
      </c>
      <c r="AP15" s="53">
        <f t="shared" si="25"/>
        <v>3.1165270001352052E-3</v>
      </c>
      <c r="AQ15" s="53">
        <f t="shared" si="14"/>
        <v>1.6635772743813806</v>
      </c>
      <c r="AR15" s="53">
        <f t="shared" si="25"/>
        <v>1.5835849195515728E-3</v>
      </c>
      <c r="AS15" s="53">
        <f t="shared" si="14"/>
        <v>0.83773674761562356</v>
      </c>
      <c r="AT15" s="53">
        <f t="shared" si="26"/>
        <v>2.2106220058861759E-3</v>
      </c>
      <c r="AU15" s="53">
        <f t="shared" si="14"/>
        <v>1.2014295160215167</v>
      </c>
      <c r="AV15" s="53"/>
      <c r="AW15" s="53">
        <f t="shared" si="14"/>
        <v>0.45931401796110333</v>
      </c>
      <c r="AX15" s="53">
        <f t="shared" si="27"/>
        <v>4.5526196196021829E-4</v>
      </c>
      <c r="AY15" s="53">
        <f t="shared" si="14"/>
        <v>3.5923687844607062</v>
      </c>
      <c r="AZ15" s="53"/>
      <c r="BA15" s="53">
        <f t="shared" si="16"/>
        <v>0.44771376316124029</v>
      </c>
      <c r="BB15" s="53">
        <f t="shared" si="28"/>
        <v>-5.5692132317566312E-3</v>
      </c>
      <c r="BC15" s="53">
        <f t="shared" si="14"/>
        <v>1</v>
      </c>
      <c r="BD15" s="53">
        <f t="shared" si="14"/>
        <v>1</v>
      </c>
      <c r="BE15" s="105">
        <f t="shared" si="17"/>
        <v>0.20142951602151671</v>
      </c>
      <c r="BG15" s="14" t="s">
        <v>26</v>
      </c>
      <c r="BH15" s="26" t="s">
        <v>7</v>
      </c>
      <c r="BI15" s="310"/>
      <c r="BJ15" s="310"/>
      <c r="BK15" s="27">
        <f>J4</f>
        <v>663.67878717866665</v>
      </c>
      <c r="BL15" s="27">
        <f>$BK$15*1</f>
        <v>663.67878717866665</v>
      </c>
      <c r="BM15" s="27">
        <f t="shared" si="18"/>
        <v>700.24053059204186</v>
      </c>
      <c r="BO15" s="28">
        <v>2001</v>
      </c>
      <c r="BP15" s="29">
        <f t="shared" si="9"/>
        <v>0.98078431372549024</v>
      </c>
      <c r="BQ15" s="29">
        <f t="shared" si="9"/>
        <v>1.0113924050632912</v>
      </c>
      <c r="BR15" s="29">
        <f t="shared" si="9"/>
        <v>1.0664160401002505</v>
      </c>
      <c r="BS15" s="29">
        <f t="shared" si="9"/>
        <v>1.0447154471544715</v>
      </c>
      <c r="BT15" s="29">
        <f t="shared" si="9"/>
        <v>1.0065671641791045</v>
      </c>
      <c r="BU15" s="29">
        <f t="shared" si="9"/>
        <v>0.96664300922640167</v>
      </c>
      <c r="BV15" s="29">
        <f t="shared" si="9"/>
        <v>0.92913385826771644</v>
      </c>
      <c r="BW15" s="29">
        <f t="shared" si="9"/>
        <v>0.99209726443769009</v>
      </c>
      <c r="BX15" s="29">
        <f t="shared" si="9"/>
        <v>1.0676156583629892</v>
      </c>
      <c r="BZ15" s="28">
        <v>2001</v>
      </c>
      <c r="CA15" s="29">
        <f t="shared" si="10"/>
        <v>0.89241803278688536</v>
      </c>
      <c r="CB15" s="29">
        <f t="shared" si="10"/>
        <v>0.86400937866354055</v>
      </c>
      <c r="CC15" s="29">
        <f t="shared" si="10"/>
        <v>0.78648648648648645</v>
      </c>
      <c r="CD15" s="29">
        <f t="shared" si="10"/>
        <v>0.86327077747989278</v>
      </c>
      <c r="CE15" s="29">
        <f t="shared" si="10"/>
        <v>0.80182926829268286</v>
      </c>
      <c r="CF15" s="29">
        <f t="shared" si="10"/>
        <v>0.83180778032036606</v>
      </c>
      <c r="CG15" s="29">
        <f t="shared" si="10"/>
        <v>0.82048040455120097</v>
      </c>
      <c r="CH15" s="29">
        <f t="shared" si="10"/>
        <v>0.85735080058224156</v>
      </c>
      <c r="CI15" s="29">
        <f t="shared" si="10"/>
        <v>0.95270270270270263</v>
      </c>
    </row>
    <row r="16" spans="1:87" x14ac:dyDescent="0.2">
      <c r="A16" s="26">
        <v>2017</v>
      </c>
      <c r="B16" s="307">
        <v>7.9798498222430796</v>
      </c>
      <c r="C16" s="142">
        <v>3.5227819999999999</v>
      </c>
      <c r="D16" s="100">
        <f t="shared" si="0"/>
        <v>448.9680588574933</v>
      </c>
      <c r="E16" s="307">
        <v>13.526187078456436</v>
      </c>
      <c r="F16" s="142">
        <v>16.093312999999998</v>
      </c>
      <c r="G16" s="307">
        <v>13.467351130942429</v>
      </c>
      <c r="H16" s="307">
        <v>10.509140481611231</v>
      </c>
      <c r="I16" s="307">
        <v>0.92886814738333401</v>
      </c>
      <c r="J16" s="308">
        <v>514.24394680031855</v>
      </c>
      <c r="K16" s="308">
        <v>439.13899391397274</v>
      </c>
      <c r="L16" s="100">
        <f t="shared" si="2"/>
        <v>330.71991389870954</v>
      </c>
      <c r="M16" s="100">
        <f t="shared" si="3"/>
        <v>337.58189096149357</v>
      </c>
      <c r="N16" s="100">
        <f t="shared" si="4"/>
        <v>81.013387467327419</v>
      </c>
      <c r="O16" s="100">
        <f t="shared" si="5"/>
        <v>756.07411269173133</v>
      </c>
      <c r="P16" s="100">
        <f t="shared" ref="P16:P41" si="29">1000*(AY104/AY60)/ 3.412</f>
        <v>219.01356061798984</v>
      </c>
      <c r="Q16" s="100">
        <f t="shared" ref="Q16:Q41" si="30">1000*(BA104/BA60)/ 3.412</f>
        <v>609.77760735319009</v>
      </c>
      <c r="R16" s="101">
        <f t="shared" si="8"/>
        <v>1365.1062828763347</v>
      </c>
      <c r="S16" s="101">
        <f t="shared" si="8"/>
        <v>5221.8571740841071</v>
      </c>
      <c r="T16" s="65"/>
      <c r="U16" s="8">
        <v>2015</v>
      </c>
      <c r="V16" s="53">
        <f t="shared" si="14"/>
        <v>0.31666149899483892</v>
      </c>
      <c r="W16" s="53">
        <f t="shared" si="19"/>
        <v>-5.4105522783983728E-3</v>
      </c>
      <c r="X16" s="53">
        <f t="shared" si="14"/>
        <v>0.183430825331447</v>
      </c>
      <c r="Y16" s="53">
        <f t="shared" si="19"/>
        <v>1.7926795881288982E-2</v>
      </c>
      <c r="Z16" s="53">
        <f t="shared" si="14"/>
        <v>1.8508759337164706E-2</v>
      </c>
      <c r="AA16" s="53"/>
      <c r="AB16" s="53">
        <f t="shared" si="15"/>
        <v>0.14291445484086329</v>
      </c>
      <c r="AC16" s="53">
        <f t="shared" si="20"/>
        <v>-1.1021722539534151E-2</v>
      </c>
      <c r="AD16" s="53">
        <f t="shared" si="14"/>
        <v>0.38111655332476974</v>
      </c>
      <c r="AE16" s="53">
        <f t="shared" si="20"/>
        <v>-1.3515758241556597E-2</v>
      </c>
      <c r="AF16" s="53">
        <f t="shared" si="14"/>
        <v>0.61039174332343027</v>
      </c>
      <c r="AG16" s="53">
        <f t="shared" si="21"/>
        <v>1.7518872796595808E-3</v>
      </c>
      <c r="AH16" s="53">
        <f t="shared" si="14"/>
        <v>0.183430825331447</v>
      </c>
      <c r="AI16" s="53">
        <f t="shared" si="22"/>
        <v>1.7926795881288982E-2</v>
      </c>
      <c r="AJ16" s="53">
        <f t="shared" si="14"/>
        <v>1.8508759337164706E-2</v>
      </c>
      <c r="AK16" s="53">
        <f t="shared" si="14"/>
        <v>0.90608774866863517</v>
      </c>
      <c r="AL16" s="53">
        <f t="shared" si="23"/>
        <v>9.6310489327788851E-4</v>
      </c>
      <c r="AM16" s="53">
        <f t="shared" si="14"/>
        <v>0.62614184645450577</v>
      </c>
      <c r="AN16" s="53">
        <f t="shared" si="24"/>
        <v>6.2104416072463753E-3</v>
      </c>
      <c r="AO16" s="53">
        <f t="shared" si="14"/>
        <v>0.70553583064409831</v>
      </c>
      <c r="AP16" s="53">
        <f t="shared" si="25"/>
        <v>2.7928002598387458E-3</v>
      </c>
      <c r="AQ16" s="53">
        <f t="shared" si="14"/>
        <v>1.6661425615677845</v>
      </c>
      <c r="AR16" s="53">
        <f t="shared" si="25"/>
        <v>1.5420306744440282E-3</v>
      </c>
      <c r="AS16" s="53">
        <f t="shared" si="14"/>
        <v>0.83960289332697913</v>
      </c>
      <c r="AT16" s="53">
        <f t="shared" si="26"/>
        <v>2.2276039778212908E-3</v>
      </c>
      <c r="AU16" s="53">
        <f t="shared" si="14"/>
        <v>1.2015307960331492</v>
      </c>
      <c r="AV16" s="53"/>
      <c r="AW16" s="53">
        <f t="shared" si="14"/>
        <v>0.45952432158964346</v>
      </c>
      <c r="AX16" s="53">
        <f t="shared" si="27"/>
        <v>4.5786459876340224E-4</v>
      </c>
      <c r="AY16" s="53">
        <f t="shared" si="14"/>
        <v>3.5405423867385979</v>
      </c>
      <c r="AZ16" s="53"/>
      <c r="BA16" s="53">
        <f t="shared" si="16"/>
        <v>0.44520818068244222</v>
      </c>
      <c r="BB16" s="53">
        <f t="shared" si="28"/>
        <v>-5.5963936893664856E-3</v>
      </c>
      <c r="BC16" s="53">
        <f t="shared" si="14"/>
        <v>1</v>
      </c>
      <c r="BD16" s="53">
        <f t="shared" si="14"/>
        <v>1</v>
      </c>
      <c r="BE16" s="105">
        <f t="shared" si="17"/>
        <v>0.20153079603314916</v>
      </c>
      <c r="BG16" s="14" t="s">
        <v>27</v>
      </c>
      <c r="BH16" s="26" t="s">
        <v>8</v>
      </c>
      <c r="BI16" s="310"/>
      <c r="BJ16" s="310"/>
      <c r="BK16" s="27">
        <f>BK15*0.9</f>
        <v>597.31090846079996</v>
      </c>
      <c r="BL16" s="27">
        <f>$BK$16*BE6</f>
        <v>120.30477282846719</v>
      </c>
      <c r="BM16" s="27">
        <f t="shared" si="18"/>
        <v>126.93230458107493</v>
      </c>
      <c r="BO16" s="28">
        <v>2002</v>
      </c>
      <c r="BP16" s="29">
        <f t="shared" si="9"/>
        <v>0.90313725490196084</v>
      </c>
      <c r="BQ16" s="29">
        <f t="shared" si="9"/>
        <v>0.98438818565400843</v>
      </c>
      <c r="BR16" s="29">
        <f t="shared" si="9"/>
        <v>1.0407268170426065</v>
      </c>
      <c r="BS16" s="29">
        <f t="shared" si="9"/>
        <v>1.0291327913279134</v>
      </c>
      <c r="BT16" s="29">
        <f t="shared" si="9"/>
        <v>0.97194029850746277</v>
      </c>
      <c r="BU16" s="29">
        <f t="shared" si="9"/>
        <v>0.96025550035486151</v>
      </c>
      <c r="BV16" s="29">
        <f t="shared" si="9"/>
        <v>0.83254593175853009</v>
      </c>
      <c r="BW16" s="29">
        <f t="shared" si="9"/>
        <v>0.98601823708206682</v>
      </c>
      <c r="BX16" s="29">
        <f t="shared" si="9"/>
        <v>1.0955770208439246</v>
      </c>
      <c r="BZ16" s="28">
        <v>2002</v>
      </c>
      <c r="CA16" s="29">
        <f t="shared" si="10"/>
        <v>0.73463114754098358</v>
      </c>
      <c r="CB16" s="29">
        <f t="shared" si="10"/>
        <v>0.72567409144196959</v>
      </c>
      <c r="CC16" s="29">
        <f t="shared" si="10"/>
        <v>0.56486486486486476</v>
      </c>
      <c r="CD16" s="29">
        <f t="shared" si="10"/>
        <v>0.64611260053619302</v>
      </c>
      <c r="CE16" s="29">
        <f t="shared" si="10"/>
        <v>0.68089430894308944</v>
      </c>
      <c r="CF16" s="29">
        <f t="shared" si="10"/>
        <v>0.66132723112128144</v>
      </c>
      <c r="CG16" s="29">
        <f t="shared" si="10"/>
        <v>0.66118836915297097</v>
      </c>
      <c r="CH16" s="29">
        <f t="shared" si="10"/>
        <v>0.69723435225618635</v>
      </c>
      <c r="CI16" s="29">
        <f t="shared" si="10"/>
        <v>0.69324324324324316</v>
      </c>
    </row>
    <row r="17" spans="1:87" x14ac:dyDescent="0.2">
      <c r="A17" s="26">
        <v>2018</v>
      </c>
      <c r="B17" s="307">
        <v>8.0406899700096481</v>
      </c>
      <c r="C17" s="142">
        <v>3.5268039999999998</v>
      </c>
      <c r="D17" s="100">
        <f t="shared" si="0"/>
        <v>438.64933343630025</v>
      </c>
      <c r="E17" s="307">
        <v>13.645944257636755</v>
      </c>
      <c r="F17" s="142">
        <v>16.138203000000001</v>
      </c>
      <c r="G17" s="307">
        <v>13.60481137872558</v>
      </c>
      <c r="H17" s="307">
        <v>10.592155525540097</v>
      </c>
      <c r="I17" s="307">
        <v>0.93537774623941372</v>
      </c>
      <c r="J17" s="308">
        <v>505.45953644476799</v>
      </c>
      <c r="K17" s="308">
        <v>435.22116351054132</v>
      </c>
      <c r="L17" s="100">
        <f t="shared" si="2"/>
        <v>330.60680978363189</v>
      </c>
      <c r="M17" s="100">
        <f t="shared" si="3"/>
        <v>332.74292029568323</v>
      </c>
      <c r="N17" s="100">
        <f t="shared" si="4"/>
        <v>78.092325966999098</v>
      </c>
      <c r="O17" s="100">
        <f t="shared" si="5"/>
        <v>738.97511995197067</v>
      </c>
      <c r="P17" s="100">
        <f t="shared" si="29"/>
        <v>217.5062407325257</v>
      </c>
      <c r="Q17" s="100">
        <f t="shared" si="30"/>
        <v>617.5355605659513</v>
      </c>
      <c r="R17" s="101">
        <f t="shared" si="8"/>
        <v>1340.8743680735377</v>
      </c>
      <c r="S17" s="101">
        <f t="shared" si="8"/>
        <v>5287.8620929867147</v>
      </c>
      <c r="T17" s="65"/>
      <c r="U17" s="8">
        <v>2016</v>
      </c>
      <c r="V17" s="53">
        <f t="shared" si="14"/>
        <v>0.31517011434778169</v>
      </c>
      <c r="W17" s="53">
        <f t="shared" si="19"/>
        <v>-4.7097125851777166E-3</v>
      </c>
      <c r="X17" s="53">
        <f t="shared" si="14"/>
        <v>0.18646530547676829</v>
      </c>
      <c r="Y17" s="53">
        <f t="shared" si="19"/>
        <v>1.6542912783814812E-2</v>
      </c>
      <c r="Z17" s="53">
        <f t="shared" si="14"/>
        <v>1.989195343553897E-2</v>
      </c>
      <c r="AA17" s="53"/>
      <c r="AB17" s="53">
        <f t="shared" si="15"/>
        <v>0.14134804781306495</v>
      </c>
      <c r="AC17" s="53">
        <f t="shared" si="20"/>
        <v>-1.0960452037847013E-2</v>
      </c>
      <c r="AD17" s="53">
        <f t="shared" si="14"/>
        <v>0.37587580835199624</v>
      </c>
      <c r="AE17" s="53">
        <f t="shared" si="20"/>
        <v>-1.3751029513293211E-2</v>
      </c>
      <c r="AF17" s="53">
        <f t="shared" si="14"/>
        <v>0.6115950333075677</v>
      </c>
      <c r="AG17" s="53">
        <f t="shared" si="21"/>
        <v>1.9713405322061561E-3</v>
      </c>
      <c r="AH17" s="53">
        <f t="shared" si="14"/>
        <v>0.18646530547676829</v>
      </c>
      <c r="AI17" s="53">
        <f t="shared" si="22"/>
        <v>1.6542912783814812E-2</v>
      </c>
      <c r="AJ17" s="53">
        <f t="shared" si="14"/>
        <v>1.989195343553897E-2</v>
      </c>
      <c r="AK17" s="53">
        <f t="shared" si="14"/>
        <v>0.90698879589611403</v>
      </c>
      <c r="AL17" s="53">
        <f t="shared" si="23"/>
        <v>9.9443704961554857E-4</v>
      </c>
      <c r="AM17" s="53">
        <f t="shared" si="14"/>
        <v>0.63006273176548888</v>
      </c>
      <c r="AN17" s="53">
        <f t="shared" si="24"/>
        <v>6.2619761531430562E-3</v>
      </c>
      <c r="AO17" s="53">
        <f t="shared" si="14"/>
        <v>0.70741533169215987</v>
      </c>
      <c r="AP17" s="53">
        <f t="shared" si="25"/>
        <v>2.6639342276149058E-3</v>
      </c>
      <c r="AQ17" s="53">
        <f t="shared" si="14"/>
        <v>1.6673049889662566</v>
      </c>
      <c r="AR17" s="53">
        <f t="shared" si="25"/>
        <v>6.9767583235980091E-4</v>
      </c>
      <c r="AS17" s="53">
        <f t="shared" si="14"/>
        <v>0.84144542304658299</v>
      </c>
      <c r="AT17" s="53">
        <f t="shared" si="26"/>
        <v>2.1945252145365579E-3</v>
      </c>
      <c r="AU17" s="53">
        <f t="shared" si="14"/>
        <v>1.2015255982320614</v>
      </c>
      <c r="AV17" s="53"/>
      <c r="AW17" s="53">
        <f t="shared" si="14"/>
        <v>0.45970686377678349</v>
      </c>
      <c r="AX17" s="53">
        <f t="shared" si="27"/>
        <v>3.9724162261656204E-4</v>
      </c>
      <c r="AY17" s="53">
        <f t="shared" si="14"/>
        <v>3.502217197825948</v>
      </c>
      <c r="AZ17" s="53"/>
      <c r="BA17" s="53">
        <f t="shared" si="16"/>
        <v>0.44269185777978121</v>
      </c>
      <c r="BB17" s="53">
        <f t="shared" si="28"/>
        <v>-5.6520140730653701E-3</v>
      </c>
      <c r="BC17" s="53">
        <f t="shared" si="14"/>
        <v>1</v>
      </c>
      <c r="BD17" s="53">
        <f t="shared" si="14"/>
        <v>1</v>
      </c>
      <c r="BE17" s="105">
        <f t="shared" si="17"/>
        <v>0.2015255982320614</v>
      </c>
      <c r="BG17" s="14" t="s">
        <v>28</v>
      </c>
      <c r="BH17" s="26" t="s">
        <v>9</v>
      </c>
      <c r="BI17" s="310"/>
      <c r="BJ17" s="310"/>
      <c r="BK17" s="27">
        <f>K4</f>
        <v>530.58146271893293</v>
      </c>
      <c r="BL17" s="27">
        <f>$BK$17*AW6</f>
        <v>243.3061855955342</v>
      </c>
      <c r="BM17" s="27">
        <f t="shared" si="18"/>
        <v>256.70980569080206</v>
      </c>
      <c r="BO17" s="28">
        <v>2003</v>
      </c>
      <c r="BP17" s="29">
        <f t="shared" si="9"/>
        <v>0.92352941176470593</v>
      </c>
      <c r="BQ17" s="29">
        <f t="shared" si="9"/>
        <v>0.98902953586497899</v>
      </c>
      <c r="BR17" s="29">
        <f t="shared" si="9"/>
        <v>1.0294486215538847</v>
      </c>
      <c r="BS17" s="29">
        <f t="shared" si="9"/>
        <v>1.0142276422764229</v>
      </c>
      <c r="BT17" s="29">
        <f t="shared" si="9"/>
        <v>0.97492537313432825</v>
      </c>
      <c r="BU17" s="29">
        <f t="shared" si="9"/>
        <v>0.97019162526614622</v>
      </c>
      <c r="BV17" s="29">
        <f t="shared" si="9"/>
        <v>0.91181102362204725</v>
      </c>
      <c r="BW17" s="29">
        <f t="shared" si="9"/>
        <v>0.98358662613981762</v>
      </c>
      <c r="BX17" s="29">
        <f t="shared" si="9"/>
        <v>1.0371123538383322</v>
      </c>
      <c r="BZ17" s="28">
        <v>2003</v>
      </c>
      <c r="CA17" s="29">
        <f t="shared" si="10"/>
        <v>0.85143442622950827</v>
      </c>
      <c r="CB17" s="29">
        <f t="shared" si="10"/>
        <v>0.87690504103165312</v>
      </c>
      <c r="CC17" s="29">
        <f t="shared" si="10"/>
        <v>0.7743243243243243</v>
      </c>
      <c r="CD17" s="29">
        <f t="shared" si="10"/>
        <v>0.79356568364611257</v>
      </c>
      <c r="CE17" s="29">
        <f t="shared" si="10"/>
        <v>0.78760162601626016</v>
      </c>
      <c r="CF17" s="29">
        <f t="shared" si="10"/>
        <v>0.76659038901601828</v>
      </c>
      <c r="CG17" s="29">
        <f t="shared" si="10"/>
        <v>0.79646017699115046</v>
      </c>
      <c r="CH17" s="29">
        <f t="shared" si="10"/>
        <v>0.75400291120815133</v>
      </c>
      <c r="CI17" s="29">
        <f t="shared" si="10"/>
        <v>0.81216216216216208</v>
      </c>
    </row>
    <row r="18" spans="1:87" x14ac:dyDescent="0.2">
      <c r="A18" s="26">
        <v>2019</v>
      </c>
      <c r="B18" s="307">
        <v>8.097919671547853</v>
      </c>
      <c r="C18" s="142">
        <v>3.5309159999999999</v>
      </c>
      <c r="D18" s="100">
        <f t="shared" si="0"/>
        <v>428.49068464517916</v>
      </c>
      <c r="E18" s="307">
        <v>13.757258943764725</v>
      </c>
      <c r="F18" s="142">
        <v>16.182312</v>
      </c>
      <c r="G18" s="307">
        <v>13.730995849146662</v>
      </c>
      <c r="H18" s="307">
        <v>10.669701489609984</v>
      </c>
      <c r="I18" s="307">
        <v>0.94157686041445254</v>
      </c>
      <c r="J18" s="308">
        <v>497.34026418637325</v>
      </c>
      <c r="K18" s="308">
        <v>431.67782190624621</v>
      </c>
      <c r="L18" s="100">
        <f t="shared" si="2"/>
        <v>330.55294722110727</v>
      </c>
      <c r="M18" s="100">
        <f t="shared" si="3"/>
        <v>328.78692724967812</v>
      </c>
      <c r="N18" s="100">
        <f t="shared" si="4"/>
        <v>75.547186339676443</v>
      </c>
      <c r="O18" s="100">
        <f t="shared" si="5"/>
        <v>724.24061724552689</v>
      </c>
      <c r="P18" s="100">
        <f t="shared" si="29"/>
        <v>216.24502078549645</v>
      </c>
      <c r="Q18" s="100">
        <f t="shared" si="30"/>
        <v>624.34485359478913</v>
      </c>
      <c r="R18" s="101">
        <f t="shared" si="8"/>
        <v>1321.9903250769321</v>
      </c>
      <c r="S18" s="101">
        <f t="shared" si="8"/>
        <v>5356.4103957635853</v>
      </c>
      <c r="T18" s="65"/>
      <c r="U18" s="8">
        <v>2017</v>
      </c>
      <c r="V18" s="53">
        <f t="shared" si="14"/>
        <v>0.31387735173926712</v>
      </c>
      <c r="W18" s="53">
        <f t="shared" si="19"/>
        <v>-4.1017931258801044E-3</v>
      </c>
      <c r="X18" s="53">
        <f t="shared" si="14"/>
        <v>0.1893692460966141</v>
      </c>
      <c r="Y18" s="53">
        <f t="shared" si="19"/>
        <v>1.5573624339502823E-2</v>
      </c>
      <c r="Z18" s="53">
        <f t="shared" si="14"/>
        <v>2.1014463959570732E-2</v>
      </c>
      <c r="AA18" s="53"/>
      <c r="AB18" s="53">
        <f t="shared" si="15"/>
        <v>0.13983549906515974</v>
      </c>
      <c r="AC18" s="53">
        <f t="shared" si="20"/>
        <v>-1.0700881768848869E-2</v>
      </c>
      <c r="AD18" s="53">
        <f t="shared" si="14"/>
        <v>0.37076772829425786</v>
      </c>
      <c r="AE18" s="53">
        <f t="shared" si="20"/>
        <v>-1.3589807974432988E-2</v>
      </c>
      <c r="AF18" s="53">
        <f t="shared" si="14"/>
        <v>0.61298151288980585</v>
      </c>
      <c r="AG18" s="53">
        <f t="shared" si="21"/>
        <v>2.2669896037905701E-3</v>
      </c>
      <c r="AH18" s="53">
        <f t="shared" si="14"/>
        <v>0.1893692460966141</v>
      </c>
      <c r="AI18" s="53">
        <f t="shared" si="22"/>
        <v>1.5573624339502823E-2</v>
      </c>
      <c r="AJ18" s="53">
        <f t="shared" si="14"/>
        <v>2.1014463959570732E-2</v>
      </c>
      <c r="AK18" s="53">
        <f t="shared" si="14"/>
        <v>0.90788285993316775</v>
      </c>
      <c r="AL18" s="53">
        <f t="shared" si="23"/>
        <v>9.8574981421939434E-4</v>
      </c>
      <c r="AM18" s="53">
        <f t="shared" si="14"/>
        <v>0.63395624105698778</v>
      </c>
      <c r="AN18" s="53">
        <f t="shared" si="24"/>
        <v>6.179558153819098E-3</v>
      </c>
      <c r="AO18" s="53">
        <f t="shared" si="14"/>
        <v>0.70923392933087681</v>
      </c>
      <c r="AP18" s="53">
        <f t="shared" si="25"/>
        <v>2.5707636762222208E-3</v>
      </c>
      <c r="AQ18" s="53">
        <f t="shared" si="14"/>
        <v>1.668402451973787</v>
      </c>
      <c r="AR18" s="53">
        <f t="shared" si="25"/>
        <v>6.5822570842954953E-4</v>
      </c>
      <c r="AS18" s="53">
        <f t="shared" si="14"/>
        <v>0.84321436594461618</v>
      </c>
      <c r="AT18" s="53">
        <f t="shared" si="26"/>
        <v>2.1022669439789698E-3</v>
      </c>
      <c r="AU18" s="53">
        <f t="shared" si="14"/>
        <v>1.2014533857845793</v>
      </c>
      <c r="AV18" s="53"/>
      <c r="AW18" s="53">
        <f t="shared" si="14"/>
        <v>0.45984029358849221</v>
      </c>
      <c r="AX18" s="53">
        <f t="shared" si="27"/>
        <v>2.902497705004059E-4</v>
      </c>
      <c r="AY18" s="53">
        <f t="shared" si="14"/>
        <v>3.4787727593963673</v>
      </c>
      <c r="AZ18" s="53"/>
      <c r="BA18" s="53">
        <f t="shared" si="16"/>
        <v>0.44011586589865115</v>
      </c>
      <c r="BB18" s="53">
        <f t="shared" si="28"/>
        <v>-5.8189276262033962E-3</v>
      </c>
      <c r="BC18" s="53">
        <f t="shared" si="14"/>
        <v>1</v>
      </c>
      <c r="BD18" s="53">
        <f t="shared" si="14"/>
        <v>1</v>
      </c>
      <c r="BE18" s="105">
        <f t="shared" si="17"/>
        <v>0.20145338578457928</v>
      </c>
      <c r="BG18" s="14" t="s">
        <v>29</v>
      </c>
      <c r="BH18" s="26" t="s">
        <v>10</v>
      </c>
      <c r="BI18" s="310"/>
      <c r="BJ18" s="310"/>
      <c r="BK18" s="27">
        <f>M4</f>
        <v>434.05618224643769</v>
      </c>
      <c r="BL18" s="27">
        <f>$BK$18*AM6</f>
        <v>256.27206213364155</v>
      </c>
      <c r="BM18" s="27">
        <f t="shared" si="18"/>
        <v>270.38996609675911</v>
      </c>
      <c r="BO18" s="28">
        <v>2004</v>
      </c>
      <c r="BP18" s="29">
        <f t="shared" si="9"/>
        <v>0.915686274509804</v>
      </c>
      <c r="BQ18" s="29">
        <f t="shared" si="9"/>
        <v>0.9776371308016879</v>
      </c>
      <c r="BR18" s="29">
        <f t="shared" si="9"/>
        <v>1.0181704260651629</v>
      </c>
      <c r="BS18" s="29">
        <f t="shared" si="9"/>
        <v>1.0060975609756098</v>
      </c>
      <c r="BT18" s="29">
        <f t="shared" si="9"/>
        <v>0.97552238805970148</v>
      </c>
      <c r="BU18" s="29">
        <f t="shared" si="9"/>
        <v>0.99148332150461327</v>
      </c>
      <c r="BV18" s="29">
        <f t="shared" si="9"/>
        <v>0.93175853018372701</v>
      </c>
      <c r="BW18" s="29">
        <f t="shared" si="9"/>
        <v>0.98237082066869308</v>
      </c>
      <c r="BX18" s="29">
        <f t="shared" si="9"/>
        <v>1.0081342145399084</v>
      </c>
      <c r="BZ18" s="28">
        <v>2004</v>
      </c>
      <c r="CA18" s="29">
        <f t="shared" si="10"/>
        <v>0.94569672131147542</v>
      </c>
      <c r="CB18" s="29">
        <f t="shared" si="10"/>
        <v>0.93200468933177028</v>
      </c>
      <c r="CC18" s="29">
        <f t="shared" si="10"/>
        <v>0.84189189189189195</v>
      </c>
      <c r="CD18" s="29">
        <f t="shared" si="10"/>
        <v>0.88471849865951735</v>
      </c>
      <c r="CE18" s="29">
        <f t="shared" si="10"/>
        <v>0.86788617886178854</v>
      </c>
      <c r="CF18" s="29">
        <f t="shared" si="10"/>
        <v>0.84668192219679639</v>
      </c>
      <c r="CG18" s="29">
        <f t="shared" si="10"/>
        <v>0.87357774968394442</v>
      </c>
      <c r="CH18" s="29">
        <f t="shared" si="10"/>
        <v>0.87190684133915575</v>
      </c>
      <c r="CI18" s="29">
        <f t="shared" si="10"/>
        <v>0.86486486486486491</v>
      </c>
    </row>
    <row r="19" spans="1:87" x14ac:dyDescent="0.2">
      <c r="A19" s="26">
        <v>2020</v>
      </c>
      <c r="B19" s="307">
        <v>8.1442056963501859</v>
      </c>
      <c r="C19" s="142">
        <v>3.5525690000000001</v>
      </c>
      <c r="D19" s="100">
        <f t="shared" si="0"/>
        <v>419.96632373958204</v>
      </c>
      <c r="E19" s="307">
        <v>13.854035504868611</v>
      </c>
      <c r="F19" s="142">
        <v>16.343616000000001</v>
      </c>
      <c r="G19" s="307">
        <v>13.856800920134059</v>
      </c>
      <c r="H19" s="307">
        <v>10.73640826694389</v>
      </c>
      <c r="I19" s="307">
        <v>0.9476431484775153</v>
      </c>
      <c r="J19" s="308">
        <v>489.66660590760102</v>
      </c>
      <c r="K19" s="308">
        <v>428.54515812200174</v>
      </c>
      <c r="L19" s="100">
        <f t="shared" si="2"/>
        <v>331.47817747684871</v>
      </c>
      <c r="M19" s="100">
        <f t="shared" si="3"/>
        <v>326.45875537598249</v>
      </c>
      <c r="N19" s="100">
        <f t="shared" si="4"/>
        <v>73.557104440479094</v>
      </c>
      <c r="O19" s="100">
        <f t="shared" si="5"/>
        <v>714.10506721254205</v>
      </c>
      <c r="P19" s="100">
        <f t="shared" si="29"/>
        <v>215.98241467192588</v>
      </c>
      <c r="Q19" s="100">
        <f t="shared" si="30"/>
        <v>632.1738356474624</v>
      </c>
      <c r="R19" s="101">
        <f t="shared" si="8"/>
        <v>1269.755719250777</v>
      </c>
      <c r="S19" s="101">
        <f t="shared" si="8"/>
        <v>5460.8604459210665</v>
      </c>
      <c r="T19" s="65"/>
      <c r="U19" s="8">
        <v>2018</v>
      </c>
      <c r="V19" s="53">
        <f t="shared" si="14"/>
        <v>0.31271914155876568</v>
      </c>
      <c r="W19" s="53">
        <f t="shared" si="19"/>
        <v>-3.6900087696150052E-3</v>
      </c>
      <c r="X19" s="53">
        <f t="shared" si="14"/>
        <v>0.19215173292927817</v>
      </c>
      <c r="Y19" s="53">
        <f t="shared" si="19"/>
        <v>1.4693446216945238E-2</v>
      </c>
      <c r="Z19" s="53">
        <f t="shared" si="14"/>
        <v>2.2008539311171943E-2</v>
      </c>
      <c r="AA19" s="53"/>
      <c r="AB19" s="53">
        <f t="shared" si="15"/>
        <v>0.13837281268097201</v>
      </c>
      <c r="AC19" s="53">
        <f t="shared" si="20"/>
        <v>-1.046005051625809E-2</v>
      </c>
      <c r="AD19" s="53">
        <f t="shared" si="14"/>
        <v>0.36581692747879901</v>
      </c>
      <c r="AE19" s="53">
        <f t="shared" si="20"/>
        <v>-1.3352836392302336E-2</v>
      </c>
      <c r="AF19" s="53">
        <f t="shared" si="14"/>
        <v>0.6144966973275735</v>
      </c>
      <c r="AG19" s="53">
        <f t="shared" si="21"/>
        <v>2.4718272996921975E-3</v>
      </c>
      <c r="AH19" s="53">
        <f t="shared" si="14"/>
        <v>0.19215173292927817</v>
      </c>
      <c r="AI19" s="53">
        <f t="shared" si="22"/>
        <v>1.4693446216945238E-2</v>
      </c>
      <c r="AJ19" s="53">
        <f t="shared" si="14"/>
        <v>2.2008539311171943E-2</v>
      </c>
      <c r="AK19" s="53">
        <f t="shared" si="14"/>
        <v>0.90876662471702851</v>
      </c>
      <c r="AL19" s="53">
        <f t="shared" si="23"/>
        <v>9.7343481506606544E-4</v>
      </c>
      <c r="AM19" s="53">
        <f t="shared" si="14"/>
        <v>0.63782758009456941</v>
      </c>
      <c r="AN19" s="53">
        <f t="shared" si="24"/>
        <v>6.1066344754758806E-3</v>
      </c>
      <c r="AO19" s="53">
        <f t="shared" si="14"/>
        <v>0.71088497523662186</v>
      </c>
      <c r="AP19" s="53">
        <f t="shared" si="25"/>
        <v>2.3279285401682781E-3</v>
      </c>
      <c r="AQ19" s="53">
        <f t="shared" si="14"/>
        <v>1.6695231175365397</v>
      </c>
      <c r="AR19" s="53">
        <f t="shared" si="25"/>
        <v>6.7169978168446498E-4</v>
      </c>
      <c r="AS19" s="53">
        <f t="shared" si="14"/>
        <v>0.84492219722815065</v>
      </c>
      <c r="AT19" s="53">
        <f t="shared" si="26"/>
        <v>2.0253821003408667E-3</v>
      </c>
      <c r="AU19" s="53">
        <f t="shared" si="14"/>
        <v>1.2013518907053482</v>
      </c>
      <c r="AV19" s="53"/>
      <c r="AW19" s="53">
        <f t="shared" si="14"/>
        <v>0.45994338424468345</v>
      </c>
      <c r="AX19" s="53">
        <f t="shared" si="27"/>
        <v>2.2418795749001852E-4</v>
      </c>
      <c r="AY19" s="53">
        <f t="shared" si="14"/>
        <v>3.4687113224618007</v>
      </c>
      <c r="AZ19" s="53"/>
      <c r="BA19" s="53">
        <f t="shared" si="16"/>
        <v>0.43762337634807702</v>
      </c>
      <c r="BB19" s="53">
        <f t="shared" si="28"/>
        <v>-5.6632576639445986E-3</v>
      </c>
      <c r="BC19" s="53">
        <f t="shared" si="14"/>
        <v>1</v>
      </c>
      <c r="BD19" s="53">
        <f t="shared" si="14"/>
        <v>1</v>
      </c>
      <c r="BE19" s="105">
        <f t="shared" si="17"/>
        <v>0.2013518907053482</v>
      </c>
      <c r="BG19" s="14" t="s">
        <v>30</v>
      </c>
      <c r="BH19" s="26" t="s">
        <v>11</v>
      </c>
      <c r="BI19" s="310"/>
      <c r="BJ19" s="310"/>
      <c r="BK19" s="27">
        <f>N4</f>
        <v>110.52562758422165</v>
      </c>
      <c r="BL19" s="27">
        <f>$BK$19*AK6</f>
        <v>99.382489264859359</v>
      </c>
      <c r="BM19" s="27">
        <f t="shared" si="18"/>
        <v>104.85742253450763</v>
      </c>
      <c r="BO19" s="28">
        <v>2005</v>
      </c>
      <c r="BP19" s="29">
        <f t="shared" si="9"/>
        <v>1</v>
      </c>
      <c r="BQ19" s="29">
        <f t="shared" si="9"/>
        <v>1</v>
      </c>
      <c r="BR19" s="29">
        <f t="shared" si="9"/>
        <v>1</v>
      </c>
      <c r="BS19" s="29">
        <f t="shared" si="9"/>
        <v>1</v>
      </c>
      <c r="BT19" s="29">
        <f t="shared" si="9"/>
        <v>1</v>
      </c>
      <c r="BU19" s="29">
        <f t="shared" si="9"/>
        <v>1</v>
      </c>
      <c r="BV19" s="29">
        <f t="shared" si="9"/>
        <v>1</v>
      </c>
      <c r="BW19" s="29">
        <f t="shared" si="9"/>
        <v>1</v>
      </c>
      <c r="BX19" s="29">
        <f t="shared" si="9"/>
        <v>1</v>
      </c>
      <c r="BZ19" s="28">
        <v>2005</v>
      </c>
      <c r="CA19" s="29">
        <f t="shared" si="10"/>
        <v>1</v>
      </c>
      <c r="CB19" s="29">
        <f t="shared" si="10"/>
        <v>1</v>
      </c>
      <c r="CC19" s="29">
        <f t="shared" si="10"/>
        <v>1</v>
      </c>
      <c r="CD19" s="29">
        <f t="shared" si="10"/>
        <v>1</v>
      </c>
      <c r="CE19" s="29">
        <f t="shared" si="10"/>
        <v>1</v>
      </c>
      <c r="CF19" s="29">
        <f t="shared" si="10"/>
        <v>1</v>
      </c>
      <c r="CG19" s="29">
        <f t="shared" si="10"/>
        <v>1</v>
      </c>
      <c r="CH19" s="29">
        <f t="shared" si="10"/>
        <v>1</v>
      </c>
      <c r="CI19" s="29">
        <f t="shared" si="10"/>
        <v>1</v>
      </c>
    </row>
    <row r="20" spans="1:87" x14ac:dyDescent="0.2">
      <c r="A20" s="26">
        <v>2021</v>
      </c>
      <c r="B20" s="307">
        <v>8.190389842037554</v>
      </c>
      <c r="C20" s="142">
        <v>3.571126</v>
      </c>
      <c r="D20" s="100">
        <f t="shared" si="0"/>
        <v>409.20794973943828</v>
      </c>
      <c r="E20" s="307">
        <v>13.945349522989035</v>
      </c>
      <c r="F20" s="142">
        <v>16.477599999999999</v>
      </c>
      <c r="G20" s="307">
        <v>13.962350937101309</v>
      </c>
      <c r="H20" s="307">
        <v>10.794933364893012</v>
      </c>
      <c r="I20" s="307">
        <v>0.95346645711965128</v>
      </c>
      <c r="J20" s="308">
        <v>482.48162171628343</v>
      </c>
      <c r="K20" s="308">
        <v>425.67586007042604</v>
      </c>
      <c r="L20" s="100">
        <f t="shared" si="2"/>
        <v>330.49955641127411</v>
      </c>
      <c r="M20" s="100">
        <f t="shared" si="3"/>
        <v>323.00687117341255</v>
      </c>
      <c r="N20" s="100">
        <f t="shared" si="4"/>
        <v>71.580049523243872</v>
      </c>
      <c r="O20" s="100">
        <f t="shared" si="5"/>
        <v>702.11188868464501</v>
      </c>
      <c r="P20" s="100">
        <f t="shared" si="29"/>
        <v>214.87369112535382</v>
      </c>
      <c r="Q20" s="100">
        <f t="shared" si="30"/>
        <v>635.68338378535623</v>
      </c>
      <c r="R20" s="101">
        <f t="shared" si="8"/>
        <v>1238.8641198064383</v>
      </c>
      <c r="S20" s="101">
        <f t="shared" si="8"/>
        <v>5539.0529985668145</v>
      </c>
      <c r="T20" s="65"/>
      <c r="U20" s="8">
        <v>2019</v>
      </c>
      <c r="V20" s="53">
        <f t="shared" si="14"/>
        <v>0.31163961417564978</v>
      </c>
      <c r="W20" s="53">
        <f t="shared" si="19"/>
        <v>-3.452066853774749E-3</v>
      </c>
      <c r="X20" s="53">
        <f t="shared" si="14"/>
        <v>0.194838433215485</v>
      </c>
      <c r="Y20" s="53">
        <f t="shared" si="19"/>
        <v>1.3982180879917872E-2</v>
      </c>
      <c r="Z20" s="53">
        <f t="shared" si="14"/>
        <v>2.2880587219129819E-2</v>
      </c>
      <c r="AA20" s="53"/>
      <c r="AB20" s="53">
        <f t="shared" si="15"/>
        <v>0.13694801154129543</v>
      </c>
      <c r="AC20" s="53">
        <f t="shared" si="20"/>
        <v>-1.0296828633248656E-2</v>
      </c>
      <c r="AD20" s="53">
        <f t="shared" si="14"/>
        <v>0.36101866585762021</v>
      </c>
      <c r="AE20" s="53">
        <f t="shared" si="20"/>
        <v>-1.3116565311092399E-2</v>
      </c>
      <c r="AF20" s="53">
        <f t="shared" si="14"/>
        <v>0.61608294583722889</v>
      </c>
      <c r="AG20" s="53">
        <f t="shared" si="21"/>
        <v>2.5813784135113593E-3</v>
      </c>
      <c r="AH20" s="53">
        <f t="shared" si="14"/>
        <v>0.194838433215485</v>
      </c>
      <c r="AI20" s="53">
        <f t="shared" si="22"/>
        <v>1.3982180879917872E-2</v>
      </c>
      <c r="AJ20" s="53">
        <f t="shared" si="14"/>
        <v>2.2880587219129819E-2</v>
      </c>
      <c r="AK20" s="53">
        <f t="shared" si="14"/>
        <v>0.90963833352940326</v>
      </c>
      <c r="AL20" s="53">
        <f t="shared" si="23"/>
        <v>9.5922186033869927E-4</v>
      </c>
      <c r="AM20" s="53">
        <f t="shared" si="14"/>
        <v>0.64168439035666158</v>
      </c>
      <c r="AN20" s="53">
        <f t="shared" si="24"/>
        <v>6.0467912998061202E-3</v>
      </c>
      <c r="AO20" s="53">
        <f t="shared" si="14"/>
        <v>0.71237430885348618</v>
      </c>
      <c r="AP20" s="53">
        <f t="shared" si="25"/>
        <v>2.0950416294402974E-3</v>
      </c>
      <c r="AQ20" s="53">
        <f t="shared" si="14"/>
        <v>1.6705064125187556</v>
      </c>
      <c r="AR20" s="53">
        <f t="shared" si="25"/>
        <v>5.8896757516402332E-4</v>
      </c>
      <c r="AS20" s="53">
        <f t="shared" si="14"/>
        <v>0.84657360052505459</v>
      </c>
      <c r="AT20" s="53">
        <f t="shared" si="26"/>
        <v>1.9545033877930162E-3</v>
      </c>
      <c r="AU20" s="53">
        <f t="shared" si="14"/>
        <v>1.2012459212294204</v>
      </c>
      <c r="AV20" s="53"/>
      <c r="AW20" s="53">
        <f t="shared" si="14"/>
        <v>0.46002056670402314</v>
      </c>
      <c r="AX20" s="53">
        <f t="shared" si="27"/>
        <v>1.6780860858878199E-4</v>
      </c>
      <c r="AY20" s="53">
        <f t="shared" si="14"/>
        <v>3.4685626371199598</v>
      </c>
      <c r="AZ20" s="53"/>
      <c r="BA20" s="53">
        <f t="shared" si="16"/>
        <v>0.43537625304166383</v>
      </c>
      <c r="BB20" s="53">
        <f t="shared" si="28"/>
        <v>-5.1348338042752628E-3</v>
      </c>
      <c r="BC20" s="53">
        <f t="shared" si="14"/>
        <v>1</v>
      </c>
      <c r="BD20" s="53">
        <f t="shared" si="14"/>
        <v>1</v>
      </c>
      <c r="BE20" s="105">
        <f t="shared" si="17"/>
        <v>0.20124592122942042</v>
      </c>
      <c r="BG20" s="14" t="s">
        <v>31</v>
      </c>
      <c r="BH20" s="26" t="s">
        <v>12</v>
      </c>
      <c r="BI20" s="310"/>
      <c r="BJ20" s="310"/>
      <c r="BK20" s="27">
        <f>O4</f>
        <v>922.49348069682435</v>
      </c>
      <c r="BL20" s="27">
        <f>$BK$20*AS6</f>
        <v>757.73947277765512</v>
      </c>
      <c r="BM20" s="27">
        <f t="shared" si="18"/>
        <v>799.48297387048819</v>
      </c>
      <c r="BO20" s="28">
        <v>2006</v>
      </c>
      <c r="BP20" s="29">
        <f t="shared" ref="BP20:BX35" si="31">BP86/BP$79</f>
        <v>1.152156862745098</v>
      </c>
      <c r="BQ20" s="29">
        <f t="shared" si="31"/>
        <v>1.0362869198312237</v>
      </c>
      <c r="BR20" s="29">
        <f t="shared" si="31"/>
        <v>1.0520050125313283</v>
      </c>
      <c r="BS20" s="29">
        <f t="shared" si="31"/>
        <v>1.0108401084010841</v>
      </c>
      <c r="BT20" s="29">
        <f t="shared" si="31"/>
        <v>1.0704477611940297</v>
      </c>
      <c r="BU20" s="29">
        <f t="shared" si="31"/>
        <v>1.0645848119233499</v>
      </c>
      <c r="BV20" s="29">
        <f t="shared" si="31"/>
        <v>1.1076115485564304</v>
      </c>
      <c r="BW20" s="29">
        <f t="shared" si="31"/>
        <v>1.003647416413374</v>
      </c>
      <c r="BX20" s="29">
        <f t="shared" si="31"/>
        <v>1.0859176410777833</v>
      </c>
      <c r="BZ20" s="28">
        <v>2006</v>
      </c>
      <c r="CA20" s="29">
        <f t="shared" ref="CA20:CI35" si="32">CA86/CA$79</f>
        <v>1.0973360655737705</v>
      </c>
      <c r="CB20" s="29">
        <f t="shared" si="32"/>
        <v>1.1113716295427902</v>
      </c>
      <c r="CC20" s="29">
        <f t="shared" si="32"/>
        <v>1.0202702702702702</v>
      </c>
      <c r="CD20" s="29">
        <f t="shared" si="32"/>
        <v>1.0281501340482573</v>
      </c>
      <c r="CE20" s="29">
        <f t="shared" si="32"/>
        <v>1.068089430894309</v>
      </c>
      <c r="CF20" s="29">
        <f t="shared" si="32"/>
        <v>1.0800915331807779</v>
      </c>
      <c r="CG20" s="29">
        <f t="shared" si="32"/>
        <v>1.0379266750948168</v>
      </c>
      <c r="CH20" s="29">
        <f t="shared" si="32"/>
        <v>1.066957787481805</v>
      </c>
      <c r="CI20" s="29">
        <f t="shared" si="32"/>
        <v>0.99054054054054053</v>
      </c>
    </row>
    <row r="21" spans="1:87" x14ac:dyDescent="0.2">
      <c r="A21" s="26">
        <v>2022</v>
      </c>
      <c r="B21" s="307">
        <v>8.2332268822196752</v>
      </c>
      <c r="C21" s="142">
        <v>3.5890789999999999</v>
      </c>
      <c r="D21" s="100">
        <f t="shared" si="0"/>
        <v>399.99777718645038</v>
      </c>
      <c r="E21" s="307">
        <v>14.029313704122087</v>
      </c>
      <c r="F21" s="142">
        <v>16.606939000000001</v>
      </c>
      <c r="G21" s="307">
        <v>14.056521674320575</v>
      </c>
      <c r="H21" s="307">
        <v>10.848665500903758</v>
      </c>
      <c r="I21" s="307">
        <v>0.95919143200787138</v>
      </c>
      <c r="J21" s="308">
        <v>475.9490726916689</v>
      </c>
      <c r="K21" s="308">
        <v>423.01941682911723</v>
      </c>
      <c r="L21" s="100">
        <f t="shared" si="2"/>
        <v>330.49845894926551</v>
      </c>
      <c r="M21" s="100">
        <f t="shared" si="3"/>
        <v>321.08715964599293</v>
      </c>
      <c r="N21" s="100">
        <f t="shared" si="4"/>
        <v>70.269077300066343</v>
      </c>
      <c r="O21" s="100">
        <f t="shared" si="5"/>
        <v>694.36081355544411</v>
      </c>
      <c r="P21" s="100">
        <f t="shared" si="29"/>
        <v>214.64096812911305</v>
      </c>
      <c r="Q21" s="100">
        <f t="shared" si="30"/>
        <v>640.46196297382551</v>
      </c>
      <c r="R21" s="101">
        <f t="shared" si="8"/>
        <v>1219.4333830649186</v>
      </c>
      <c r="S21" s="101">
        <f t="shared" si="8"/>
        <v>5649.0095827592913</v>
      </c>
      <c r="T21" s="65"/>
      <c r="U21" s="8">
        <v>2020</v>
      </c>
      <c r="V21" s="53">
        <f t="shared" ref="V21:BD32" si="33">V63/$BC63</f>
        <v>0.31064012731434965</v>
      </c>
      <c r="W21" s="53">
        <f t="shared" si="19"/>
        <v>-3.2071880975208522E-3</v>
      </c>
      <c r="X21" s="53">
        <f t="shared" si="33"/>
        <v>0.19742760301862181</v>
      </c>
      <c r="Y21" s="53">
        <f t="shared" si="19"/>
        <v>1.3288804269295573E-2</v>
      </c>
      <c r="Z21" s="53">
        <f t="shared" si="33"/>
        <v>2.3654497279057666E-2</v>
      </c>
      <c r="AA21" s="53"/>
      <c r="AB21" s="53">
        <f t="shared" si="15"/>
        <v>0.13557624103717064</v>
      </c>
      <c r="AC21" s="53">
        <f t="shared" si="20"/>
        <v>-1.0016724512361019E-2</v>
      </c>
      <c r="AD21" s="53">
        <f t="shared" si="33"/>
        <v>0.35641887178741555</v>
      </c>
      <c r="AE21" s="53">
        <f t="shared" si="20"/>
        <v>-1.2741153035058739E-2</v>
      </c>
      <c r="AF21" s="53">
        <f t="shared" si="33"/>
        <v>0.6177081778786454</v>
      </c>
      <c r="AG21" s="53">
        <f t="shared" si="21"/>
        <v>2.6380084896002742E-3</v>
      </c>
      <c r="AH21" s="53">
        <f t="shared" si="33"/>
        <v>0.19742760301862181</v>
      </c>
      <c r="AI21" s="53">
        <f t="shared" si="22"/>
        <v>1.3288804269295573E-2</v>
      </c>
      <c r="AJ21" s="53">
        <f t="shared" si="33"/>
        <v>2.3654497279057666E-2</v>
      </c>
      <c r="AK21" s="53">
        <f t="shared" si="33"/>
        <v>0.91049009727506436</v>
      </c>
      <c r="AL21" s="53">
        <f t="shared" si="23"/>
        <v>9.3637626545084451E-4</v>
      </c>
      <c r="AM21" s="53">
        <f t="shared" si="33"/>
        <v>0.64549125302600685</v>
      </c>
      <c r="AN21" s="53">
        <f t="shared" si="24"/>
        <v>5.9326091246030277E-3</v>
      </c>
      <c r="AO21" s="53">
        <f t="shared" si="33"/>
        <v>0.71374199389691828</v>
      </c>
      <c r="AP21" s="53">
        <f t="shared" si="25"/>
        <v>1.9198966420241881E-3</v>
      </c>
      <c r="AQ21" s="53">
        <f t="shared" si="33"/>
        <v>1.6714552043477737</v>
      </c>
      <c r="AR21" s="53">
        <f t="shared" si="25"/>
        <v>5.6796658899838093E-4</v>
      </c>
      <c r="AS21" s="53">
        <f t="shared" si="33"/>
        <v>0.84815544453406599</v>
      </c>
      <c r="AT21" s="53">
        <f t="shared" si="26"/>
        <v>1.868525085155337E-3</v>
      </c>
      <c r="AU21" s="53">
        <f t="shared" si="33"/>
        <v>1.2011321495610834</v>
      </c>
      <c r="AV21" s="53"/>
      <c r="AW21" s="53">
        <f t="shared" si="33"/>
        <v>0.46006400530800701</v>
      </c>
      <c r="AX21" s="53">
        <f t="shared" si="27"/>
        <v>9.4427525914930754E-5</v>
      </c>
      <c r="AY21" s="53">
        <f t="shared" si="33"/>
        <v>3.4751111658340057</v>
      </c>
      <c r="AZ21" s="53"/>
      <c r="BA21" s="53">
        <f t="shared" si="16"/>
        <v>0.43321679404671792</v>
      </c>
      <c r="BB21" s="53">
        <f t="shared" si="28"/>
        <v>-4.9599834163193135E-3</v>
      </c>
      <c r="BC21" s="53">
        <f t="shared" si="33"/>
        <v>1</v>
      </c>
      <c r="BD21" s="53">
        <f t="shared" si="33"/>
        <v>1</v>
      </c>
      <c r="BE21" s="105">
        <f t="shared" si="17"/>
        <v>0.20113214956108338</v>
      </c>
      <c r="BG21" s="14" t="s">
        <v>117</v>
      </c>
      <c r="BH21" s="26" t="s">
        <v>100</v>
      </c>
      <c r="BI21" s="310"/>
      <c r="BJ21" s="310"/>
      <c r="BK21" s="27">
        <f>P4</f>
        <v>224.50173851630203</v>
      </c>
      <c r="BL21" s="27">
        <f>$BK$21*AY6</f>
        <v>721.32624848140597</v>
      </c>
      <c r="BM21" s="27">
        <f t="shared" si="18"/>
        <v>761.06376265813969</v>
      </c>
      <c r="BO21" s="28">
        <v>2007</v>
      </c>
      <c r="BP21" s="29">
        <f t="shared" si="31"/>
        <v>1.1694117647058824</v>
      </c>
      <c r="BQ21" s="29">
        <f t="shared" si="31"/>
        <v>1.0510548523206751</v>
      </c>
      <c r="BR21" s="29">
        <f t="shared" si="31"/>
        <v>1.0895989974937343</v>
      </c>
      <c r="BS21" s="29">
        <f t="shared" si="31"/>
        <v>1.0047425474254743</v>
      </c>
      <c r="BT21" s="29">
        <f t="shared" si="31"/>
        <v>1.0686567164179104</v>
      </c>
      <c r="BU21" s="29">
        <f t="shared" si="31"/>
        <v>1.0589070262597586</v>
      </c>
      <c r="BV21" s="29">
        <f t="shared" si="31"/>
        <v>1.0456692913385828</v>
      </c>
      <c r="BW21" s="29">
        <f t="shared" si="31"/>
        <v>1.0103343465045593</v>
      </c>
      <c r="BX21" s="29">
        <f t="shared" si="31"/>
        <v>1.0732079308591762</v>
      </c>
      <c r="BZ21" s="28">
        <v>2007</v>
      </c>
      <c r="CA21" s="29">
        <f t="shared" si="32"/>
        <v>1.0174180327868851</v>
      </c>
      <c r="CB21" s="29">
        <f t="shared" si="32"/>
        <v>1.0480656506447832</v>
      </c>
      <c r="CC21" s="29">
        <f t="shared" si="32"/>
        <v>0.92837837837837833</v>
      </c>
      <c r="CD21" s="29">
        <f t="shared" si="32"/>
        <v>0.95040214477211793</v>
      </c>
      <c r="CE21" s="29">
        <f t="shared" si="32"/>
        <v>0.97560975609756095</v>
      </c>
      <c r="CF21" s="29">
        <f t="shared" si="32"/>
        <v>0.94393592677345539</v>
      </c>
      <c r="CG21" s="29">
        <f t="shared" si="32"/>
        <v>0.92414664981036654</v>
      </c>
      <c r="CH21" s="29">
        <f t="shared" si="32"/>
        <v>0.94177583697234346</v>
      </c>
      <c r="CI21" s="29">
        <f t="shared" si="32"/>
        <v>0.95810810810810809</v>
      </c>
    </row>
    <row r="22" spans="1:87" x14ac:dyDescent="0.2">
      <c r="A22" s="26">
        <v>2023</v>
      </c>
      <c r="B22" s="307">
        <v>8.2697894035397219</v>
      </c>
      <c r="C22" s="142">
        <v>3.6062970000000001</v>
      </c>
      <c r="D22" s="100">
        <f t="shared" si="0"/>
        <v>390.91180449753591</v>
      </c>
      <c r="E22" s="307">
        <v>14.101060796918411</v>
      </c>
      <c r="F22" s="142">
        <v>16.730574000000001</v>
      </c>
      <c r="G22" s="307">
        <v>14.136098504584176</v>
      </c>
      <c r="H22" s="307">
        <v>10.899056144516432</v>
      </c>
      <c r="I22" s="307">
        <v>0.9646849986418109</v>
      </c>
      <c r="J22" s="308">
        <v>470.13786233879659</v>
      </c>
      <c r="K22" s="308">
        <v>420.62805703977875</v>
      </c>
      <c r="L22" s="100">
        <f t="shared" si="2"/>
        <v>330.55121730146027</v>
      </c>
      <c r="M22" s="100">
        <f t="shared" si="3"/>
        <v>319.55444708637162</v>
      </c>
      <c r="N22" s="100">
        <f t="shared" si="4"/>
        <v>69.492706259570554</v>
      </c>
      <c r="O22" s="100">
        <f t="shared" si="5"/>
        <v>688.81210476729075</v>
      </c>
      <c r="P22" s="100">
        <f t="shared" si="29"/>
        <v>214.80559204893063</v>
      </c>
      <c r="Q22" s="100">
        <f t="shared" si="30"/>
        <v>644.3605745394625</v>
      </c>
      <c r="R22" s="101">
        <f t="shared" si="8"/>
        <v>1205.6044323480062</v>
      </c>
      <c r="S22" s="101">
        <f t="shared" si="8"/>
        <v>5759.1814045754709</v>
      </c>
      <c r="T22" s="65"/>
      <c r="U22" s="8">
        <v>2021</v>
      </c>
      <c r="V22" s="53">
        <f t="shared" si="33"/>
        <v>0.30975909800790091</v>
      </c>
      <c r="W22" s="53">
        <f t="shared" si="19"/>
        <v>-2.8361735300126423E-3</v>
      </c>
      <c r="X22" s="53">
        <f t="shared" si="33"/>
        <v>0.1999182418491468</v>
      </c>
      <c r="Y22" s="53">
        <f t="shared" si="19"/>
        <v>1.2615453930674869E-2</v>
      </c>
      <c r="Z22" s="53">
        <f t="shared" si="33"/>
        <v>2.4333847645794625E-2</v>
      </c>
      <c r="AA22" s="53"/>
      <c r="AB22" s="53">
        <f t="shared" si="15"/>
        <v>0.13425740199629116</v>
      </c>
      <c r="AC22" s="53">
        <f t="shared" si="20"/>
        <v>-9.7276560464447659E-3</v>
      </c>
      <c r="AD22" s="53">
        <f t="shared" si="33"/>
        <v>0.35199500812881301</v>
      </c>
      <c r="AE22" s="53">
        <f t="shared" si="20"/>
        <v>-1.2411979299572939E-2</v>
      </c>
      <c r="AF22" s="53">
        <f t="shared" si="33"/>
        <v>0.61937769801262654</v>
      </c>
      <c r="AG22" s="53">
        <f t="shared" si="21"/>
        <v>2.7027651466662306E-3</v>
      </c>
      <c r="AH22" s="53">
        <f t="shared" si="33"/>
        <v>0.1999182418491468</v>
      </c>
      <c r="AI22" s="53">
        <f t="shared" si="22"/>
        <v>1.2615453930674869E-2</v>
      </c>
      <c r="AJ22" s="53">
        <f t="shared" si="33"/>
        <v>2.4333847645794625E-2</v>
      </c>
      <c r="AK22" s="53">
        <f t="shared" si="33"/>
        <v>0.91132314820201932</v>
      </c>
      <c r="AL22" s="53">
        <f t="shared" si="23"/>
        <v>9.1494781705825368E-4</v>
      </c>
      <c r="AM22" s="53">
        <f t="shared" si="33"/>
        <v>0.64922945864569581</v>
      </c>
      <c r="AN22" s="53">
        <f t="shared" si="24"/>
        <v>5.7912568174465218E-3</v>
      </c>
      <c r="AO22" s="53">
        <f t="shared" si="33"/>
        <v>0.71509405871292142</v>
      </c>
      <c r="AP22" s="53">
        <f t="shared" si="25"/>
        <v>1.8943327246601083E-3</v>
      </c>
      <c r="AQ22" s="53">
        <f t="shared" si="33"/>
        <v>1.6733030165912135</v>
      </c>
      <c r="AR22" s="53">
        <f t="shared" si="25"/>
        <v>1.1055110771938104E-3</v>
      </c>
      <c r="AS22" s="53">
        <f t="shared" si="33"/>
        <v>0.84966167420266114</v>
      </c>
      <c r="AT22" s="53">
        <f t="shared" si="26"/>
        <v>1.7758886985894673E-3</v>
      </c>
      <c r="AU22" s="53">
        <f t="shared" si="33"/>
        <v>1.2009797258586701</v>
      </c>
      <c r="AV22" s="53"/>
      <c r="AW22" s="53">
        <f t="shared" si="33"/>
        <v>0.4600477540771733</v>
      </c>
      <c r="AX22" s="53">
        <f t="shared" si="27"/>
        <v>-3.5323847652035667E-5</v>
      </c>
      <c r="AY22" s="53">
        <f t="shared" si="33"/>
        <v>3.482806779168389</v>
      </c>
      <c r="AZ22" s="53"/>
      <c r="BA22" s="53">
        <f t="shared" si="16"/>
        <v>0.43104164914676046</v>
      </c>
      <c r="BB22" s="53">
        <f t="shared" si="28"/>
        <v>-5.0209154627622876E-3</v>
      </c>
      <c r="BC22" s="53">
        <f t="shared" si="33"/>
        <v>1</v>
      </c>
      <c r="BD22" s="53">
        <f t="shared" si="33"/>
        <v>1</v>
      </c>
      <c r="BE22" s="105">
        <f t="shared" si="17"/>
        <v>0.20097972585867008</v>
      </c>
      <c r="BG22" s="14" t="s">
        <v>174</v>
      </c>
      <c r="BH22" s="26" t="s">
        <v>173</v>
      </c>
      <c r="BI22" s="310"/>
      <c r="BJ22" s="310"/>
      <c r="BK22" s="27">
        <f>Q4</f>
        <v>482.72570571459363</v>
      </c>
      <c r="BL22" s="27">
        <f>BK22*BA6</f>
        <v>227.73371650081208</v>
      </c>
      <c r="BM22" s="27">
        <f t="shared" si="18"/>
        <v>240.27945680490217</v>
      </c>
      <c r="BO22" s="28">
        <v>2008</v>
      </c>
      <c r="BP22" s="29">
        <f t="shared" si="31"/>
        <v>1.2133333333333334</v>
      </c>
      <c r="BQ22" s="29">
        <f t="shared" si="31"/>
        <v>1.0970464135021096</v>
      </c>
      <c r="BR22" s="29">
        <f t="shared" si="31"/>
        <v>1.1372180451127818</v>
      </c>
      <c r="BS22" s="29">
        <f t="shared" si="31"/>
        <v>1.0264227642276422</v>
      </c>
      <c r="BT22" s="29">
        <f t="shared" si="31"/>
        <v>1.1128358208955225</v>
      </c>
      <c r="BU22" s="29">
        <f t="shared" si="31"/>
        <v>1.1554293825408091</v>
      </c>
      <c r="BV22" s="29">
        <f t="shared" si="31"/>
        <v>1.0876640419947505</v>
      </c>
      <c r="BW22" s="29">
        <f t="shared" si="31"/>
        <v>1.0449848024316111</v>
      </c>
      <c r="BX22" s="29">
        <f t="shared" si="31"/>
        <v>1.0259278088459582</v>
      </c>
      <c r="BZ22" s="28">
        <v>2008</v>
      </c>
      <c r="CA22" s="29">
        <f t="shared" si="32"/>
        <v>1.0286885245901638</v>
      </c>
      <c r="CB22" s="29">
        <f t="shared" si="32"/>
        <v>1.1031652989449003</v>
      </c>
      <c r="CC22" s="29">
        <f t="shared" si="32"/>
        <v>0.99729729729729721</v>
      </c>
      <c r="CD22" s="29">
        <f t="shared" si="32"/>
        <v>0.94235924932975879</v>
      </c>
      <c r="CE22" s="29">
        <f t="shared" si="32"/>
        <v>0.99796747967479682</v>
      </c>
      <c r="CF22" s="29">
        <f t="shared" si="32"/>
        <v>0.98970251716247137</v>
      </c>
      <c r="CG22" s="29">
        <f t="shared" si="32"/>
        <v>1.0050568900126422</v>
      </c>
      <c r="CH22" s="29">
        <f t="shared" si="32"/>
        <v>0.95050946142649206</v>
      </c>
      <c r="CI22" s="29">
        <f t="shared" si="32"/>
        <v>1.0013513513513512</v>
      </c>
    </row>
    <row r="23" spans="1:87" x14ac:dyDescent="0.2">
      <c r="A23" s="26">
        <v>2024</v>
      </c>
      <c r="B23" s="307">
        <v>8.3010546150143298</v>
      </c>
      <c r="C23" s="142">
        <v>3.623122</v>
      </c>
      <c r="D23" s="100">
        <f t="shared" si="0"/>
        <v>383.06877552965955</v>
      </c>
      <c r="E23" s="307">
        <v>14.162568346324433</v>
      </c>
      <c r="F23" s="142">
        <v>16.850977</v>
      </c>
      <c r="G23" s="307">
        <v>14.202269064005705</v>
      </c>
      <c r="H23" s="307">
        <v>10.943632750534501</v>
      </c>
      <c r="I23" s="307">
        <v>0.97012409558935375</v>
      </c>
      <c r="J23" s="308">
        <v>465.03036657069157</v>
      </c>
      <c r="K23" s="308">
        <v>418.50725969556311</v>
      </c>
      <c r="L23" s="100">
        <f t="shared" si="2"/>
        <v>331.51235626754573</v>
      </c>
      <c r="M23" s="100">
        <f t="shared" si="3"/>
        <v>319.29192758826025</v>
      </c>
      <c r="N23" s="100">
        <f t="shared" si="4"/>
        <v>69.270346446215157</v>
      </c>
      <c r="O23" s="100">
        <f t="shared" si="5"/>
        <v>686.87307163244111</v>
      </c>
      <c r="P23" s="100">
        <f t="shared" si="29"/>
        <v>215.76662123037423</v>
      </c>
      <c r="Q23" s="100">
        <f t="shared" si="30"/>
        <v>649.73602395822979</v>
      </c>
      <c r="R23" s="101">
        <f t="shared" si="8"/>
        <v>1198.4258865858853</v>
      </c>
      <c r="S23" s="101">
        <f t="shared" si="8"/>
        <v>5889.7412465591842</v>
      </c>
      <c r="T23" s="65"/>
      <c r="U23" s="8">
        <v>2022</v>
      </c>
      <c r="V23" s="53">
        <f t="shared" si="33"/>
        <v>0.30897063288177201</v>
      </c>
      <c r="W23" s="53">
        <f t="shared" si="19"/>
        <v>-2.5454139400573617E-3</v>
      </c>
      <c r="X23" s="53">
        <f t="shared" si="33"/>
        <v>0.20236183353858847</v>
      </c>
      <c r="Y23" s="53">
        <f t="shared" si="19"/>
        <v>1.222295507823401E-2</v>
      </c>
      <c r="Z23" s="53">
        <f t="shared" si="33"/>
        <v>2.4950224368575691E-2</v>
      </c>
      <c r="AA23" s="53"/>
      <c r="AB23" s="53">
        <f t="shared" si="15"/>
        <v>0.13296296632504545</v>
      </c>
      <c r="AC23" s="53">
        <f t="shared" si="20"/>
        <v>-9.6414473392049116E-3</v>
      </c>
      <c r="AD23" s="53">
        <f t="shared" si="33"/>
        <v>0.34763487582316388</v>
      </c>
      <c r="AE23" s="53">
        <f t="shared" si="20"/>
        <v>-1.2386915169130819E-2</v>
      </c>
      <c r="AF23" s="53">
        <f t="shared" si="33"/>
        <v>0.62105804231987727</v>
      </c>
      <c r="AG23" s="53">
        <f t="shared" si="21"/>
        <v>2.7129557822995753E-3</v>
      </c>
      <c r="AH23" s="53">
        <f t="shared" si="33"/>
        <v>0.20236183353858847</v>
      </c>
      <c r="AI23" s="53">
        <f t="shared" si="22"/>
        <v>1.222295507823401E-2</v>
      </c>
      <c r="AJ23" s="53">
        <f t="shared" si="33"/>
        <v>2.4950224368575691E-2</v>
      </c>
      <c r="AK23" s="53">
        <f t="shared" si="33"/>
        <v>0.91215092758175154</v>
      </c>
      <c r="AL23" s="53">
        <f t="shared" si="23"/>
        <v>9.0832695445675071E-4</v>
      </c>
      <c r="AM23" s="53">
        <f t="shared" si="33"/>
        <v>0.65299765797332998</v>
      </c>
      <c r="AN23" s="53">
        <f t="shared" si="24"/>
        <v>5.804110207036306E-3</v>
      </c>
      <c r="AO23" s="53">
        <f t="shared" si="33"/>
        <v>0.71643208576537976</v>
      </c>
      <c r="AP23" s="53">
        <f t="shared" si="25"/>
        <v>1.8711203598400505E-3</v>
      </c>
      <c r="AQ23" s="53">
        <f t="shared" si="33"/>
        <v>1.6750383781717466</v>
      </c>
      <c r="AR23" s="53">
        <f t="shared" si="25"/>
        <v>1.0370874631351334E-3</v>
      </c>
      <c r="AS23" s="53">
        <f t="shared" si="33"/>
        <v>0.85114362917305886</v>
      </c>
      <c r="AT23" s="53">
        <f t="shared" si="26"/>
        <v>1.7441706686234237E-3</v>
      </c>
      <c r="AU23" s="53">
        <f t="shared" si="33"/>
        <v>1.2007932329348256</v>
      </c>
      <c r="AV23" s="53"/>
      <c r="AW23" s="53">
        <f t="shared" si="33"/>
        <v>0.46001143276154394</v>
      </c>
      <c r="AX23" s="53">
        <f t="shared" si="27"/>
        <v>-7.8951185626841003E-5</v>
      </c>
      <c r="AY23" s="53">
        <f t="shared" si="33"/>
        <v>3.4977545491497799</v>
      </c>
      <c r="AZ23" s="53"/>
      <c r="BA23" s="53">
        <f t="shared" si="16"/>
        <v>0.42887707789306356</v>
      </c>
      <c r="BB23" s="53">
        <f t="shared" si="28"/>
        <v>-5.0217218173269629E-3</v>
      </c>
      <c r="BC23" s="53">
        <f t="shared" si="33"/>
        <v>1</v>
      </c>
      <c r="BD23" s="53">
        <f t="shared" si="33"/>
        <v>1</v>
      </c>
      <c r="BE23" s="105">
        <f t="shared" si="17"/>
        <v>0.20079323293482565</v>
      </c>
      <c r="BG23" s="14" t="s">
        <v>32</v>
      </c>
      <c r="BH23" s="26" t="s">
        <v>13</v>
      </c>
      <c r="BI23" s="310"/>
      <c r="BJ23" s="310"/>
      <c r="BK23" s="27">
        <f>R4</f>
        <v>2009.4019042164659</v>
      </c>
      <c r="BL23" s="27">
        <f>$BK$23</f>
        <v>2009.4019042164659</v>
      </c>
      <c r="BM23" s="27">
        <f t="shared" si="18"/>
        <v>2120.0988833208048</v>
      </c>
      <c r="BO23" s="28">
        <v>2009</v>
      </c>
      <c r="BP23" s="29">
        <f t="shared" si="31"/>
        <v>1.1878431372549019</v>
      </c>
      <c r="BQ23" s="29">
        <f t="shared" si="31"/>
        <v>1.0843881856540085</v>
      </c>
      <c r="BR23" s="29">
        <f t="shared" si="31"/>
        <v>1.1854636591478698</v>
      </c>
      <c r="BS23" s="29">
        <f t="shared" si="31"/>
        <v>1.0724932249322494</v>
      </c>
      <c r="BT23" s="29">
        <f t="shared" si="31"/>
        <v>1.1701492537313434</v>
      </c>
      <c r="BU23" s="29">
        <f t="shared" si="31"/>
        <v>1.1809794180269695</v>
      </c>
      <c r="BV23" s="29">
        <f t="shared" si="31"/>
        <v>1.0031496062992125</v>
      </c>
      <c r="BW23" s="29">
        <f t="shared" si="31"/>
        <v>1.0717325227963526</v>
      </c>
      <c r="BX23" s="29">
        <f t="shared" si="31"/>
        <v>1.0691408235892221</v>
      </c>
      <c r="BZ23" s="28">
        <v>2009</v>
      </c>
      <c r="CA23" s="29">
        <f t="shared" si="32"/>
        <v>0.99180327868852458</v>
      </c>
      <c r="CB23" s="29">
        <f t="shared" si="32"/>
        <v>1.0058616647127785</v>
      </c>
      <c r="CC23" s="29">
        <f t="shared" si="32"/>
        <v>0.84729729729729719</v>
      </c>
      <c r="CD23" s="29">
        <f t="shared" si="32"/>
        <v>0.79624664879356577</v>
      </c>
      <c r="CE23" s="29">
        <f t="shared" si="32"/>
        <v>0.88211382113821135</v>
      </c>
      <c r="CF23" s="29">
        <f t="shared" si="32"/>
        <v>0.87185354691075512</v>
      </c>
      <c r="CG23" s="29">
        <f t="shared" si="32"/>
        <v>0.8508217446270544</v>
      </c>
      <c r="CH23" s="29">
        <f t="shared" si="32"/>
        <v>0.8675400291120815</v>
      </c>
      <c r="CI23" s="29">
        <f t="shared" si="32"/>
        <v>0.80675675675675673</v>
      </c>
    </row>
    <row r="24" spans="1:87" x14ac:dyDescent="0.2">
      <c r="A24" s="26">
        <v>2025</v>
      </c>
      <c r="B24" s="307">
        <v>8.3275989943828534</v>
      </c>
      <c r="C24" s="142">
        <v>3.6397010000000001</v>
      </c>
      <c r="D24" s="100">
        <f t="shared" si="0"/>
        <v>372.89261827547023</v>
      </c>
      <c r="E24" s="307">
        <v>14.214877761536375</v>
      </c>
      <c r="F24" s="142">
        <v>16.969263000000002</v>
      </c>
      <c r="G24" s="307">
        <v>14.257660809486611</v>
      </c>
      <c r="H24" s="307">
        <v>10.981582822701254</v>
      </c>
      <c r="I24" s="307">
        <v>0.97538625690068848</v>
      </c>
      <c r="J24" s="308">
        <v>460.59611535548845</v>
      </c>
      <c r="K24" s="308">
        <v>416.42666994176869</v>
      </c>
      <c r="L24" s="100">
        <f t="shared" si="2"/>
        <v>330.5724525297955</v>
      </c>
      <c r="M24" s="100">
        <f t="shared" si="3"/>
        <v>317.48873805314884</v>
      </c>
      <c r="N24" s="100">
        <f t="shared" si="4"/>
        <v>69.088351765119057</v>
      </c>
      <c r="O24" s="100">
        <f t="shared" si="5"/>
        <v>681.83158310216493</v>
      </c>
      <c r="P24" s="100">
        <f t="shared" si="29"/>
        <v>215.3838096456148</v>
      </c>
      <c r="Q24" s="100">
        <f t="shared" si="30"/>
        <v>651.11539399671483</v>
      </c>
      <c r="R24" s="101">
        <f t="shared" si="8"/>
        <v>1185.1242283098265</v>
      </c>
      <c r="S24" s="101">
        <f t="shared" si="8"/>
        <v>5991.41585105992</v>
      </c>
      <c r="T24" s="65"/>
      <c r="U24" s="8">
        <v>2023</v>
      </c>
      <c r="V24" s="53">
        <f t="shared" si="33"/>
        <v>0.30822707468618687</v>
      </c>
      <c r="W24" s="53">
        <f t="shared" si="19"/>
        <v>-2.4065659206830015E-3</v>
      </c>
      <c r="X24" s="53">
        <f t="shared" si="33"/>
        <v>0.20473555612325298</v>
      </c>
      <c r="Y24" s="53">
        <f t="shared" si="19"/>
        <v>1.1730090319683972E-2</v>
      </c>
      <c r="Z24" s="53">
        <f t="shared" si="33"/>
        <v>2.5507582619897468E-2</v>
      </c>
      <c r="AA24" s="53"/>
      <c r="AB24" s="53">
        <f t="shared" si="15"/>
        <v>0.13170756862633676</v>
      </c>
      <c r="AC24" s="53">
        <f t="shared" si="20"/>
        <v>-9.4417094729949413E-3</v>
      </c>
      <c r="AD24" s="53">
        <f t="shared" si="33"/>
        <v>0.34343427263336407</v>
      </c>
      <c r="AE24" s="53">
        <f t="shared" si="20"/>
        <v>-1.2083376789665312E-2</v>
      </c>
      <c r="AF24" s="53">
        <f t="shared" si="33"/>
        <v>0.62273210129084966</v>
      </c>
      <c r="AG24" s="53">
        <f t="shared" si="21"/>
        <v>2.6954951983539921E-3</v>
      </c>
      <c r="AH24" s="53">
        <f t="shared" si="33"/>
        <v>0.20473555612325298</v>
      </c>
      <c r="AI24" s="53">
        <f t="shared" si="22"/>
        <v>1.1730090319683972E-2</v>
      </c>
      <c r="AJ24" s="53">
        <f t="shared" si="33"/>
        <v>2.5507582619897468E-2</v>
      </c>
      <c r="AK24" s="53">
        <f t="shared" si="33"/>
        <v>0.91294515763345607</v>
      </c>
      <c r="AL24" s="53">
        <f t="shared" si="23"/>
        <v>8.7072218827888292E-4</v>
      </c>
      <c r="AM24" s="53">
        <f t="shared" si="33"/>
        <v>0.65673382532756885</v>
      </c>
      <c r="AN24" s="53">
        <f t="shared" si="24"/>
        <v>5.7215631765581421E-3</v>
      </c>
      <c r="AO24" s="53">
        <f t="shared" si="33"/>
        <v>0.71776277259750398</v>
      </c>
      <c r="AP24" s="53">
        <f t="shared" si="25"/>
        <v>1.8573802856729493E-3</v>
      </c>
      <c r="AQ24" s="53">
        <f t="shared" si="33"/>
        <v>1.6767467449638513</v>
      </c>
      <c r="AR24" s="53">
        <f t="shared" si="25"/>
        <v>1.0198971046677663E-3</v>
      </c>
      <c r="AS24" s="53">
        <f t="shared" si="33"/>
        <v>0.85257420811528895</v>
      </c>
      <c r="AT24" s="53">
        <f t="shared" si="26"/>
        <v>1.6807726606846707E-3</v>
      </c>
      <c r="AU24" s="53">
        <f t="shared" si="33"/>
        <v>1.2006094583703459</v>
      </c>
      <c r="AV24" s="53"/>
      <c r="AW24" s="53">
        <f t="shared" si="33"/>
        <v>0.45994981593711359</v>
      </c>
      <c r="AX24" s="53">
        <f t="shared" si="27"/>
        <v>-1.3394628924856544E-4</v>
      </c>
      <c r="AY24" s="53">
        <f t="shared" si="33"/>
        <v>3.5133328718879504</v>
      </c>
      <c r="AZ24" s="53"/>
      <c r="BA24" s="53">
        <f t="shared" si="16"/>
        <v>0.42684528191079441</v>
      </c>
      <c r="BB24" s="53">
        <f t="shared" si="28"/>
        <v>-4.7374786086743503E-3</v>
      </c>
      <c r="BC24" s="53">
        <f t="shared" si="33"/>
        <v>1</v>
      </c>
      <c r="BD24" s="53">
        <f t="shared" si="33"/>
        <v>1</v>
      </c>
      <c r="BE24" s="105">
        <f t="shared" si="17"/>
        <v>0.20060945837034594</v>
      </c>
      <c r="BG24" s="14" t="s">
        <v>33</v>
      </c>
      <c r="BH24" s="26" t="s">
        <v>14</v>
      </c>
      <c r="BI24" s="310"/>
      <c r="BJ24" s="310"/>
      <c r="BK24" s="27">
        <f>S4</f>
        <v>3922.4950399098643</v>
      </c>
      <c r="BL24" s="27">
        <f>$BK$24</f>
        <v>3922.4950399098643</v>
      </c>
      <c r="BM24" s="27">
        <f t="shared" si="18"/>
        <v>4138.583394638028</v>
      </c>
      <c r="BO24" s="28">
        <v>2010</v>
      </c>
      <c r="BP24" s="29">
        <f t="shared" si="31"/>
        <v>1.2219607843137255</v>
      </c>
      <c r="BQ24" s="29">
        <f t="shared" si="31"/>
        <v>1.1118143459915613</v>
      </c>
      <c r="BR24" s="29">
        <f t="shared" si="31"/>
        <v>1.2487468671679196</v>
      </c>
      <c r="BS24" s="29">
        <f t="shared" si="31"/>
        <v>1.1327913279132791</v>
      </c>
      <c r="BT24" s="29">
        <f t="shared" si="31"/>
        <v>1.1808955223880597</v>
      </c>
      <c r="BU24" s="29">
        <f t="shared" si="31"/>
        <v>1.1249112845990064</v>
      </c>
      <c r="BV24" s="29">
        <f t="shared" si="31"/>
        <v>0.96115485564304448</v>
      </c>
      <c r="BW24" s="29">
        <f t="shared" si="31"/>
        <v>0.98419452887538006</v>
      </c>
      <c r="BX24" s="29">
        <f t="shared" si="31"/>
        <v>1.0437214031520081</v>
      </c>
      <c r="BZ24" s="28">
        <v>2010</v>
      </c>
      <c r="CA24" s="29">
        <f t="shared" si="32"/>
        <v>0.89446721311475419</v>
      </c>
      <c r="CB24" s="29">
        <f t="shared" si="32"/>
        <v>0.89331770222743268</v>
      </c>
      <c r="CC24" s="29">
        <f t="shared" si="32"/>
        <v>0.79999999999999993</v>
      </c>
      <c r="CD24" s="29">
        <f t="shared" si="32"/>
        <v>0.78552278820375343</v>
      </c>
      <c r="CE24" s="29">
        <f t="shared" si="32"/>
        <v>0.80081300813008127</v>
      </c>
      <c r="CF24" s="29">
        <f t="shared" si="32"/>
        <v>0.77345537757437066</v>
      </c>
      <c r="CG24" s="29">
        <f t="shared" si="32"/>
        <v>0.76106194690265483</v>
      </c>
      <c r="CH24" s="29">
        <f t="shared" si="32"/>
        <v>0.84133915574963614</v>
      </c>
      <c r="CI24" s="29">
        <f t="shared" si="32"/>
        <v>0.8540540540540541</v>
      </c>
    </row>
    <row r="25" spans="1:87" x14ac:dyDescent="0.2">
      <c r="A25" s="26">
        <f t="shared" ref="A25:A41" si="34">A24+1</f>
        <v>2026</v>
      </c>
      <c r="B25" s="307">
        <v>8.3494125211931092</v>
      </c>
      <c r="C25" s="142">
        <v>3.6560069999999998</v>
      </c>
      <c r="D25" s="100">
        <f t="shared" si="0"/>
        <v>363.40195405575997</v>
      </c>
      <c r="E25" s="307">
        <v>14.258012834356226</v>
      </c>
      <c r="F25" s="142">
        <v>17.085235999999998</v>
      </c>
      <c r="G25" s="307">
        <v>14.30328424720304</v>
      </c>
      <c r="H25" s="307">
        <v>11.012506139039157</v>
      </c>
      <c r="I25" s="307">
        <v>0.98007867816816163</v>
      </c>
      <c r="J25" s="308">
        <v>456.87448998397741</v>
      </c>
      <c r="K25" s="308">
        <v>414.52127371504622</v>
      </c>
      <c r="L25" s="100">
        <f t="shared" si="2"/>
        <v>330.42019434888834</v>
      </c>
      <c r="M25" s="100">
        <f t="shared" si="3"/>
        <v>316.75906844902772</v>
      </c>
      <c r="N25" s="100">
        <f t="shared" si="4"/>
        <v>69.096914198654005</v>
      </c>
      <c r="O25" s="100">
        <f t="shared" si="5"/>
        <v>679.14419471165479</v>
      </c>
      <c r="P25" s="100">
        <f t="shared" si="29"/>
        <v>215.32643186869478</v>
      </c>
      <c r="Q25" s="100">
        <f t="shared" si="30"/>
        <v>653.82267965171081</v>
      </c>
      <c r="R25" s="101">
        <f t="shared" si="8"/>
        <v>1174.6918590547461</v>
      </c>
      <c r="S25" s="101">
        <f t="shared" si="8"/>
        <v>6091.6870853659957</v>
      </c>
      <c r="T25" s="65"/>
      <c r="U25" s="8">
        <v>2024</v>
      </c>
      <c r="V25" s="53">
        <f t="shared" si="33"/>
        <v>0.30750389582432758</v>
      </c>
      <c r="W25" s="53">
        <f t="shared" si="19"/>
        <v>-2.3462535294654918E-3</v>
      </c>
      <c r="X25" s="53">
        <f t="shared" si="33"/>
        <v>0.20705973829307586</v>
      </c>
      <c r="Y25" s="53">
        <f t="shared" si="19"/>
        <v>1.1352117892134528E-2</v>
      </c>
      <c r="Z25" s="53">
        <f t="shared" si="33"/>
        <v>2.6020427567496757E-2</v>
      </c>
      <c r="AA25" s="53"/>
      <c r="AB25" s="53">
        <f t="shared" si="15"/>
        <v>0.13048183933120833</v>
      </c>
      <c r="AC25" s="53">
        <f t="shared" si="20"/>
        <v>-9.3064453919570189E-3</v>
      </c>
      <c r="AD25" s="53">
        <f t="shared" si="33"/>
        <v>0.33936973777852131</v>
      </c>
      <c r="AE25" s="53">
        <f t="shared" si="20"/>
        <v>-1.1834971576007769E-2</v>
      </c>
      <c r="AF25" s="53">
        <f t="shared" si="33"/>
        <v>0.62437952052960843</v>
      </c>
      <c r="AG25" s="53">
        <f t="shared" si="21"/>
        <v>2.6454702356661919E-3</v>
      </c>
      <c r="AH25" s="53">
        <f t="shared" si="33"/>
        <v>0.20705973829307586</v>
      </c>
      <c r="AI25" s="53">
        <f t="shared" si="22"/>
        <v>1.1352117892134528E-2</v>
      </c>
      <c r="AJ25" s="53">
        <f t="shared" si="33"/>
        <v>2.6020427567496757E-2</v>
      </c>
      <c r="AK25" s="53">
        <f t="shared" si="33"/>
        <v>0.91371292876750265</v>
      </c>
      <c r="AL25" s="53">
        <f t="shared" si="23"/>
        <v>8.4098275523669663E-4</v>
      </c>
      <c r="AM25" s="53">
        <f t="shared" si="33"/>
        <v>0.66046035978549789</v>
      </c>
      <c r="AN25" s="53">
        <f t="shared" si="24"/>
        <v>5.6743452434024899E-3</v>
      </c>
      <c r="AO25" s="53">
        <f t="shared" si="33"/>
        <v>0.71906128841976313</v>
      </c>
      <c r="AP25" s="53">
        <f t="shared" si="25"/>
        <v>1.8091155906010403E-3</v>
      </c>
      <c r="AQ25" s="53">
        <f t="shared" si="33"/>
        <v>1.6785217220326545</v>
      </c>
      <c r="AR25" s="53">
        <f t="shared" si="25"/>
        <v>1.0585838762677824E-3</v>
      </c>
      <c r="AS25" s="53">
        <f t="shared" si="33"/>
        <v>0.8539668055135391</v>
      </c>
      <c r="AT25" s="53">
        <f t="shared" si="26"/>
        <v>1.6334031512970082E-3</v>
      </c>
      <c r="AU25" s="53">
        <f t="shared" si="33"/>
        <v>1.2004380176773106</v>
      </c>
      <c r="AV25" s="53"/>
      <c r="AW25" s="53">
        <f t="shared" si="33"/>
        <v>0.45987381730131294</v>
      </c>
      <c r="AX25" s="53">
        <f t="shared" si="27"/>
        <v>-1.6523245181832014E-4</v>
      </c>
      <c r="AY25" s="53">
        <f t="shared" si="33"/>
        <v>3.5289343724186826</v>
      </c>
      <c r="AZ25" s="53"/>
      <c r="BA25" s="53">
        <f t="shared" si="16"/>
        <v>0.42486931681323187</v>
      </c>
      <c r="BB25" s="53">
        <f t="shared" si="28"/>
        <v>-4.6292302651608219E-3</v>
      </c>
      <c r="BC25" s="53">
        <f t="shared" si="33"/>
        <v>1</v>
      </c>
      <c r="BD25" s="53">
        <f t="shared" si="33"/>
        <v>1</v>
      </c>
      <c r="BE25" s="105">
        <f t="shared" si="17"/>
        <v>0.20043801767731062</v>
      </c>
      <c r="BI25" s="310"/>
      <c r="BJ25" s="310"/>
      <c r="BK25" s="310"/>
      <c r="BL25" s="310"/>
      <c r="BM25" s="310"/>
      <c r="BO25" s="28">
        <v>2011</v>
      </c>
      <c r="BP25" s="29">
        <f t="shared" si="31"/>
        <v>1.2937254901960784</v>
      </c>
      <c r="BQ25" s="29">
        <f t="shared" si="31"/>
        <v>1.078902953586498</v>
      </c>
      <c r="BR25" s="29">
        <f t="shared" si="31"/>
        <v>1.1372180451127818</v>
      </c>
      <c r="BS25" s="29">
        <f t="shared" si="31"/>
        <v>1.0210027100271004</v>
      </c>
      <c r="BT25" s="29">
        <f t="shared" si="31"/>
        <v>1.0961194029850745</v>
      </c>
      <c r="BU25" s="29">
        <f t="shared" si="31"/>
        <v>1.0390347764371894</v>
      </c>
      <c r="BV25" s="29">
        <f t="shared" si="31"/>
        <v>0.8671916010498687</v>
      </c>
      <c r="BW25" s="29">
        <f t="shared" si="31"/>
        <v>0.93130699088145907</v>
      </c>
      <c r="BX25" s="29">
        <f t="shared" si="31"/>
        <v>1.0427046263345197</v>
      </c>
      <c r="BZ25" s="28">
        <v>2011</v>
      </c>
      <c r="CA25" s="29">
        <f t="shared" si="32"/>
        <v>0.81147540983606559</v>
      </c>
      <c r="CB25" s="29">
        <f t="shared" si="32"/>
        <v>0.81711606096131306</v>
      </c>
      <c r="CC25" s="29">
        <f t="shared" si="32"/>
        <v>0.73918918918918908</v>
      </c>
      <c r="CD25" s="29">
        <f t="shared" si="32"/>
        <v>0.72788203753351199</v>
      </c>
      <c r="CE25" s="29">
        <f t="shared" si="32"/>
        <v>0.76117886178861793</v>
      </c>
      <c r="CF25" s="29">
        <f t="shared" si="32"/>
        <v>0.72997711670480547</v>
      </c>
      <c r="CG25" s="29">
        <f t="shared" si="32"/>
        <v>0.73830594184576481</v>
      </c>
      <c r="CH25" s="29">
        <f t="shared" si="32"/>
        <v>0.79621542940320233</v>
      </c>
      <c r="CI25" s="29">
        <f t="shared" si="32"/>
        <v>0.79729729729729726</v>
      </c>
    </row>
    <row r="26" spans="1:87" x14ac:dyDescent="0.2">
      <c r="A26" s="26">
        <f t="shared" si="34"/>
        <v>2027</v>
      </c>
      <c r="B26" s="307">
        <v>8.3668992443359684</v>
      </c>
      <c r="C26" s="142">
        <v>3.6720199999999998</v>
      </c>
      <c r="D26" s="100">
        <f t="shared" si="0"/>
        <v>354.01670363087203</v>
      </c>
      <c r="E26" s="307">
        <v>14.292741239117538</v>
      </c>
      <c r="F26" s="142">
        <v>17.198823999999998</v>
      </c>
      <c r="G26" s="307">
        <v>14.33977331883257</v>
      </c>
      <c r="H26" s="307">
        <v>11.0365098007554</v>
      </c>
      <c r="I26" s="307">
        <v>0.98429763655557467</v>
      </c>
      <c r="J26" s="308">
        <v>453.87905072495818</v>
      </c>
      <c r="K26" s="308">
        <v>412.76444890663794</v>
      </c>
      <c r="L26" s="100">
        <f t="shared" si="2"/>
        <v>330.22830310790187</v>
      </c>
      <c r="M26" s="100">
        <f t="shared" si="3"/>
        <v>316.18866387824568</v>
      </c>
      <c r="N26" s="100">
        <f t="shared" si="4"/>
        <v>69.102726492425504</v>
      </c>
      <c r="O26" s="100">
        <f t="shared" si="5"/>
        <v>677.29312871746174</v>
      </c>
      <c r="P26" s="100">
        <f t="shared" si="29"/>
        <v>215.32191801218977</v>
      </c>
      <c r="Q26" s="100">
        <f t="shared" si="30"/>
        <v>656.22281892092496</v>
      </c>
      <c r="R26" s="101">
        <f t="shared" si="8"/>
        <v>1165.1227952647812</v>
      </c>
      <c r="S26" s="101">
        <f t="shared" si="8"/>
        <v>6194.6977557610198</v>
      </c>
      <c r="T26" s="65"/>
      <c r="U26" s="8">
        <v>2025</v>
      </c>
      <c r="V26" s="53">
        <f t="shared" si="33"/>
        <v>0.30678004798199193</v>
      </c>
      <c r="W26" s="53">
        <f t="shared" si="19"/>
        <v>-2.353946900071735E-3</v>
      </c>
      <c r="X26" s="53">
        <f t="shared" si="33"/>
        <v>0.20938308338598846</v>
      </c>
      <c r="Y26" s="53">
        <f t="shared" si="19"/>
        <v>1.1220651161183648E-2</v>
      </c>
      <c r="Z26" s="53">
        <f t="shared" si="33"/>
        <v>2.6506718466155911E-2</v>
      </c>
      <c r="AA26" s="53"/>
      <c r="AB26" s="53">
        <f t="shared" si="15"/>
        <v>0.12925963588974015</v>
      </c>
      <c r="AC26" s="53">
        <f t="shared" si="20"/>
        <v>-9.3668471239571893E-3</v>
      </c>
      <c r="AD26" s="53">
        <f t="shared" si="33"/>
        <v>0.33534772134902457</v>
      </c>
      <c r="AE26" s="53">
        <f t="shared" si="20"/>
        <v>-1.185142922826421E-2</v>
      </c>
      <c r="AF26" s="53">
        <f t="shared" si="33"/>
        <v>0.62597198088618589</v>
      </c>
      <c r="AG26" s="53">
        <f t="shared" si="21"/>
        <v>2.5504685919657266E-3</v>
      </c>
      <c r="AH26" s="53">
        <f t="shared" si="33"/>
        <v>0.20938308338598846</v>
      </c>
      <c r="AI26" s="53">
        <f t="shared" si="22"/>
        <v>1.1220651161183648E-2</v>
      </c>
      <c r="AJ26" s="53">
        <f t="shared" si="33"/>
        <v>2.6506718466155911E-2</v>
      </c>
      <c r="AK26" s="53">
        <f t="shared" si="33"/>
        <v>0.91447826988389547</v>
      </c>
      <c r="AL26" s="53">
        <f t="shared" si="23"/>
        <v>8.3761659958692114E-4</v>
      </c>
      <c r="AM26" s="53">
        <f t="shared" si="33"/>
        <v>0.66425353941236864</v>
      </c>
      <c r="AN26" s="53">
        <f t="shared" si="24"/>
        <v>5.743235866725982E-3</v>
      </c>
      <c r="AO26" s="53">
        <f t="shared" si="33"/>
        <v>0.72030114623647423</v>
      </c>
      <c r="AP26" s="53">
        <f t="shared" si="25"/>
        <v>1.7242727938195923E-3</v>
      </c>
      <c r="AQ26" s="53">
        <f t="shared" si="33"/>
        <v>1.6801985427691335</v>
      </c>
      <c r="AR26" s="53">
        <f t="shared" si="25"/>
        <v>9.9898661689556967E-4</v>
      </c>
      <c r="AS26" s="53">
        <f t="shared" si="33"/>
        <v>0.8553571252270753</v>
      </c>
      <c r="AT26" s="53">
        <f t="shared" si="26"/>
        <v>1.6280723144737053E-3</v>
      </c>
      <c r="AU26" s="53">
        <f t="shared" si="33"/>
        <v>1.2002777969749625</v>
      </c>
      <c r="AV26" s="53"/>
      <c r="AW26" s="53">
        <f t="shared" si="33"/>
        <v>0.45980027249032462</v>
      </c>
      <c r="AX26" s="53">
        <f t="shared" si="27"/>
        <v>-1.5992389264496421E-4</v>
      </c>
      <c r="AY26" s="53">
        <f t="shared" si="33"/>
        <v>3.5445559937998579</v>
      </c>
      <c r="AZ26" s="53"/>
      <c r="BA26" s="53">
        <f t="shared" si="16"/>
        <v>0.42293558960587629</v>
      </c>
      <c r="BB26" s="53">
        <f t="shared" si="28"/>
        <v>-4.5513458629106163E-3</v>
      </c>
      <c r="BC26" s="53">
        <f t="shared" si="33"/>
        <v>1</v>
      </c>
      <c r="BD26" s="53">
        <f t="shared" si="33"/>
        <v>1</v>
      </c>
      <c r="BE26" s="105">
        <f t="shared" si="17"/>
        <v>0.20027779697496251</v>
      </c>
      <c r="BI26" s="310"/>
      <c r="BJ26" s="310"/>
      <c r="BK26" s="310"/>
      <c r="BL26" s="27">
        <f>SUM(BL5:BL24)</f>
        <v>16750.727743303338</v>
      </c>
      <c r="BM26" s="27">
        <f>SUM(BM5:BM24)</f>
        <v>17673.517233594957</v>
      </c>
      <c r="BO26" s="28">
        <v>2012</v>
      </c>
      <c r="BP26" s="29">
        <f t="shared" si="31"/>
        <v>1.3160784313725491</v>
      </c>
      <c r="BQ26" s="29">
        <f t="shared" si="31"/>
        <v>1.1130801687763714</v>
      </c>
      <c r="BR26" s="29">
        <f t="shared" si="31"/>
        <v>1.131578947368421</v>
      </c>
      <c r="BS26" s="29">
        <f t="shared" si="31"/>
        <v>1.0203252032520325</v>
      </c>
      <c r="BT26" s="29">
        <f t="shared" si="31"/>
        <v>1.1002985074626865</v>
      </c>
      <c r="BU26" s="29">
        <f t="shared" si="31"/>
        <v>1.0369056068133429</v>
      </c>
      <c r="BV26" s="29">
        <f t="shared" si="31"/>
        <v>0.87611548556430452</v>
      </c>
      <c r="BW26" s="29">
        <f t="shared" si="31"/>
        <v>0.95987841945288754</v>
      </c>
      <c r="BX26" s="29">
        <f t="shared" si="31"/>
        <v>1.0416878495170308</v>
      </c>
      <c r="BZ26" s="28">
        <v>2012</v>
      </c>
      <c r="CA26" s="29">
        <f t="shared" si="32"/>
        <v>0.81045081967213117</v>
      </c>
      <c r="CB26" s="29">
        <f t="shared" si="32"/>
        <v>0.82297772567409144</v>
      </c>
      <c r="CC26" s="29">
        <f t="shared" si="32"/>
        <v>0.7121621621621621</v>
      </c>
      <c r="CD26" s="29">
        <f t="shared" si="32"/>
        <v>0.71983914209115285</v>
      </c>
      <c r="CE26" s="29">
        <f t="shared" si="32"/>
        <v>0.75406504065040647</v>
      </c>
      <c r="CF26" s="29">
        <f t="shared" si="32"/>
        <v>0.72540045766590389</v>
      </c>
      <c r="CG26" s="29">
        <f t="shared" si="32"/>
        <v>0.72945638432364091</v>
      </c>
      <c r="CH26" s="29">
        <f t="shared" si="32"/>
        <v>0.7889374090247453</v>
      </c>
      <c r="CI26" s="29">
        <f t="shared" si="32"/>
        <v>0.79054054054054046</v>
      </c>
    </row>
    <row r="27" spans="1:87" x14ac:dyDescent="0.2">
      <c r="A27" s="26">
        <f t="shared" si="34"/>
        <v>2028</v>
      </c>
      <c r="B27" s="307">
        <v>8.3820133515158552</v>
      </c>
      <c r="C27" s="142">
        <v>3.6878350000000002</v>
      </c>
      <c r="D27" s="100">
        <f t="shared" si="0"/>
        <v>345.61365104914455</v>
      </c>
      <c r="E27" s="307">
        <v>14.322822084287804</v>
      </c>
      <c r="F27" s="142">
        <v>17.310966000000001</v>
      </c>
      <c r="G27" s="307">
        <v>14.371698710856524</v>
      </c>
      <c r="H27" s="307">
        <v>11.053065298474133</v>
      </c>
      <c r="I27" s="307">
        <v>0.98810952618150916</v>
      </c>
      <c r="J27" s="308">
        <v>451.27329007356576</v>
      </c>
      <c r="K27" s="308">
        <v>411.15410932159227</v>
      </c>
      <c r="L27" s="100">
        <f t="shared" si="2"/>
        <v>330.93029938973899</v>
      </c>
      <c r="M27" s="100">
        <f t="shared" si="3"/>
        <v>316.62927262134241</v>
      </c>
      <c r="N27" s="100">
        <f t="shared" si="4"/>
        <v>69.292832204904883</v>
      </c>
      <c r="O27" s="100">
        <f t="shared" si="5"/>
        <v>677.47048870015078</v>
      </c>
      <c r="P27" s="100">
        <f t="shared" si="29"/>
        <v>215.97685260711106</v>
      </c>
      <c r="Q27" s="100">
        <f t="shared" si="30"/>
        <v>660.42299242267268</v>
      </c>
      <c r="R27" s="101">
        <f t="shared" si="8"/>
        <v>1159.4596184884074</v>
      </c>
      <c r="S27" s="101">
        <f t="shared" si="8"/>
        <v>6317.2391123234102</v>
      </c>
      <c r="T27" s="65"/>
      <c r="U27" s="23">
        <v>2026</v>
      </c>
      <c r="V27" s="53">
        <f t="shared" si="33"/>
        <v>0.30611690453485013</v>
      </c>
      <c r="W27" s="53">
        <f t="shared" si="19"/>
        <v>-2.1616250844993523E-3</v>
      </c>
      <c r="X27" s="53">
        <f t="shared" si="33"/>
        <v>0.21166089611761774</v>
      </c>
      <c r="Y27" s="53">
        <f t="shared" si="19"/>
        <v>1.0878685588129544E-2</v>
      </c>
      <c r="Z27" s="53">
        <f t="shared" si="33"/>
        <v>2.6955902417552469E-2</v>
      </c>
      <c r="AA27" s="53"/>
      <c r="AB27" s="53">
        <f t="shared" si="15"/>
        <v>0.12806293121343776</v>
      </c>
      <c r="AC27" s="53">
        <f t="shared" si="20"/>
        <v>-9.2581467374950321E-3</v>
      </c>
      <c r="AD27" s="53">
        <f t="shared" si="33"/>
        <v>0.33140083049830144</v>
      </c>
      <c r="AE27" s="53">
        <f t="shared" si="20"/>
        <v>-1.1769547247393652E-2</v>
      </c>
      <c r="AF27" s="53">
        <f t="shared" si="33"/>
        <v>0.62755204951912913</v>
      </c>
      <c r="AG27" s="53">
        <f t="shared" si="21"/>
        <v>2.5241842785141966E-3</v>
      </c>
      <c r="AH27" s="53">
        <f t="shared" si="33"/>
        <v>0.21166089611761774</v>
      </c>
      <c r="AI27" s="53">
        <f t="shared" si="22"/>
        <v>1.0878685588129544E-2</v>
      </c>
      <c r="AJ27" s="53">
        <f t="shared" si="33"/>
        <v>2.6955902417552469E-2</v>
      </c>
      <c r="AK27" s="53">
        <f t="shared" si="33"/>
        <v>0.91523064672549215</v>
      </c>
      <c r="AL27" s="53">
        <f t="shared" si="23"/>
        <v>8.2273889536188527E-4</v>
      </c>
      <c r="AM27" s="53">
        <f t="shared" si="33"/>
        <v>0.66807529825123813</v>
      </c>
      <c r="AN27" s="53">
        <f t="shared" si="24"/>
        <v>5.7534640195524567E-3</v>
      </c>
      <c r="AO27" s="53">
        <f t="shared" si="33"/>
        <v>0.72149974964468666</v>
      </c>
      <c r="AP27" s="53">
        <f t="shared" si="25"/>
        <v>1.6640309604878389E-3</v>
      </c>
      <c r="AQ27" s="53">
        <f t="shared" si="33"/>
        <v>1.6818537861247522</v>
      </c>
      <c r="AR27" s="53">
        <f t="shared" si="25"/>
        <v>9.8514747720868101E-4</v>
      </c>
      <c r="AS27" s="53">
        <f t="shared" si="33"/>
        <v>0.85672936210740602</v>
      </c>
      <c r="AT27" s="53">
        <f t="shared" si="26"/>
        <v>1.6042853211357677E-3</v>
      </c>
      <c r="AU27" s="53">
        <f t="shared" si="33"/>
        <v>1.2001003136855268</v>
      </c>
      <c r="AV27" s="53"/>
      <c r="AW27" s="53">
        <f t="shared" si="33"/>
        <v>0.45971914128740227</v>
      </c>
      <c r="AX27" s="53">
        <f t="shared" si="27"/>
        <v>-1.7644879260936275E-4</v>
      </c>
      <c r="AY27" s="53">
        <f t="shared" si="33"/>
        <v>3.5604498405838338</v>
      </c>
      <c r="AZ27" s="53"/>
      <c r="BA27" s="53">
        <f t="shared" si="16"/>
        <v>0.42101124429899411</v>
      </c>
      <c r="BB27" s="53">
        <f t="shared" si="28"/>
        <v>-4.5499725115955014E-3</v>
      </c>
      <c r="BC27" s="53">
        <f t="shared" si="33"/>
        <v>1</v>
      </c>
      <c r="BD27" s="53">
        <f t="shared" si="33"/>
        <v>1</v>
      </c>
      <c r="BE27" s="105">
        <f t="shared" si="17"/>
        <v>0.20010031368552683</v>
      </c>
      <c r="BI27" s="310"/>
      <c r="BJ27" s="310"/>
      <c r="BK27" s="310" t="s">
        <v>151</v>
      </c>
      <c r="BL27" s="27">
        <v>17673.517233594957</v>
      </c>
      <c r="BM27" s="27"/>
      <c r="BO27" s="28">
        <v>2013</v>
      </c>
      <c r="BP27" s="29">
        <f t="shared" si="31"/>
        <v>1.328235294117647</v>
      </c>
      <c r="BQ27" s="29">
        <f t="shared" si="31"/>
        <v>1.1295358649789029</v>
      </c>
      <c r="BR27" s="29">
        <f t="shared" si="31"/>
        <v>1.1409774436090225</v>
      </c>
      <c r="BS27" s="29">
        <f t="shared" si="31"/>
        <v>1.046070460704607</v>
      </c>
      <c r="BT27" s="29">
        <f t="shared" si="31"/>
        <v>1.1062686567164179</v>
      </c>
      <c r="BU27" s="29">
        <f t="shared" si="31"/>
        <v>1.0312278211497516</v>
      </c>
      <c r="BV27" s="29">
        <f t="shared" si="31"/>
        <v>0.87874015748031487</v>
      </c>
      <c r="BW27" s="29">
        <f t="shared" si="31"/>
        <v>0.98723404255319147</v>
      </c>
      <c r="BX27" s="29">
        <f t="shared" si="31"/>
        <v>1.0350788002033553</v>
      </c>
      <c r="BZ27" s="28">
        <v>2013</v>
      </c>
      <c r="CA27" s="29">
        <f t="shared" si="32"/>
        <v>0.82274590163934425</v>
      </c>
      <c r="CB27" s="29">
        <f t="shared" si="32"/>
        <v>0.8429073856975382</v>
      </c>
      <c r="CC27" s="29">
        <f t="shared" si="32"/>
        <v>0.70540540540540531</v>
      </c>
      <c r="CD27" s="29">
        <f t="shared" si="32"/>
        <v>0.71447721179624668</v>
      </c>
      <c r="CE27" s="29">
        <f t="shared" si="32"/>
        <v>0.75508130081300806</v>
      </c>
      <c r="CF27" s="29">
        <f t="shared" si="32"/>
        <v>0.72540045766590389</v>
      </c>
      <c r="CG27" s="29">
        <f t="shared" si="32"/>
        <v>0.72566371681415931</v>
      </c>
      <c r="CH27" s="29">
        <f t="shared" si="32"/>
        <v>0.79184861717612809</v>
      </c>
      <c r="CI27" s="29">
        <f t="shared" si="32"/>
        <v>0.78783783783783778</v>
      </c>
    </row>
    <row r="28" spans="1:87" x14ac:dyDescent="0.2">
      <c r="A28" s="26">
        <f t="shared" si="34"/>
        <v>2029</v>
      </c>
      <c r="B28" s="307">
        <v>8.3945062409389717</v>
      </c>
      <c r="C28" s="142">
        <v>3.7035469999999999</v>
      </c>
      <c r="D28" s="100">
        <f t="shared" si="0"/>
        <v>335.31520701696746</v>
      </c>
      <c r="E28" s="307">
        <v>14.347722981616645</v>
      </c>
      <c r="F28" s="142">
        <v>17.422353999999999</v>
      </c>
      <c r="G28" s="307">
        <v>14.398754962505095</v>
      </c>
      <c r="H28" s="307">
        <v>11.06150710486053</v>
      </c>
      <c r="I28" s="307">
        <v>0.99146862554272841</v>
      </c>
      <c r="J28" s="308">
        <v>448.92414645913277</v>
      </c>
      <c r="K28" s="308">
        <v>409.68696562672051</v>
      </c>
      <c r="L28" s="100">
        <f t="shared" si="2"/>
        <v>329.81921028319863</v>
      </c>
      <c r="M28" s="100">
        <f t="shared" si="3"/>
        <v>315.48431158699367</v>
      </c>
      <c r="N28" s="100">
        <f t="shared" si="4"/>
        <v>69.10064719926315</v>
      </c>
      <c r="O28" s="100">
        <f t="shared" si="5"/>
        <v>674.29231234221595</v>
      </c>
      <c r="P28" s="100">
        <f t="shared" si="29"/>
        <v>215.54449635579306</v>
      </c>
      <c r="Q28" s="100">
        <f t="shared" si="30"/>
        <v>660.41878387762711</v>
      </c>
      <c r="R28" s="101">
        <f t="shared" si="8"/>
        <v>1148.3961477918631</v>
      </c>
      <c r="S28" s="101">
        <f t="shared" si="8"/>
        <v>6396.5913263988132</v>
      </c>
      <c r="T28" s="65"/>
      <c r="U28" s="23">
        <v>2027</v>
      </c>
      <c r="V28" s="53">
        <f t="shared" si="33"/>
        <v>0.30556721996115327</v>
      </c>
      <c r="W28" s="53">
        <f t="shared" si="19"/>
        <v>-1.7956687969653551E-3</v>
      </c>
      <c r="X28" s="53">
        <f t="shared" si="33"/>
        <v>0.2138286985274124</v>
      </c>
      <c r="Y28" s="53">
        <f t="shared" si="19"/>
        <v>1.0241865406211081E-2</v>
      </c>
      <c r="Z28" s="53">
        <f t="shared" si="33"/>
        <v>2.7354471427156052E-2</v>
      </c>
      <c r="AA28" s="53"/>
      <c r="AB28" s="53">
        <f t="shared" si="15"/>
        <v>0.12692301419276186</v>
      </c>
      <c r="AC28" s="53">
        <f t="shared" si="20"/>
        <v>-8.9012254356105602E-3</v>
      </c>
      <c r="AD28" s="53">
        <f t="shared" si="33"/>
        <v>0.32760710419507205</v>
      </c>
      <c r="AE28" s="53">
        <f t="shared" si="20"/>
        <v>-1.1447546155889388E-2</v>
      </c>
      <c r="AF28" s="53">
        <f t="shared" si="33"/>
        <v>0.6291689092754299</v>
      </c>
      <c r="AG28" s="53">
        <f t="shared" si="21"/>
        <v>2.5764552239766481E-3</v>
      </c>
      <c r="AH28" s="53">
        <f t="shared" si="33"/>
        <v>0.2138286985274124</v>
      </c>
      <c r="AI28" s="53">
        <f t="shared" si="22"/>
        <v>1.0241865406211081E-2</v>
      </c>
      <c r="AJ28" s="53">
        <f t="shared" si="33"/>
        <v>2.7354471427156052E-2</v>
      </c>
      <c r="AK28" s="53">
        <f t="shared" si="33"/>
        <v>0.91595420477275835</v>
      </c>
      <c r="AL28" s="53">
        <f t="shared" si="23"/>
        <v>7.9057453971298486E-4</v>
      </c>
      <c r="AM28" s="53">
        <f t="shared" si="33"/>
        <v>0.67177993636224875</v>
      </c>
      <c r="AN28" s="53">
        <f t="shared" si="24"/>
        <v>5.5452403654316917E-3</v>
      </c>
      <c r="AO28" s="53">
        <f t="shared" si="33"/>
        <v>0.72269573623172112</v>
      </c>
      <c r="AP28" s="53">
        <f t="shared" si="25"/>
        <v>1.6576396424579087E-3</v>
      </c>
      <c r="AQ28" s="53">
        <f t="shared" si="33"/>
        <v>1.6835650432004954</v>
      </c>
      <c r="AR28" s="53">
        <f t="shared" si="25"/>
        <v>1.0174826669600012E-3</v>
      </c>
      <c r="AS28" s="53">
        <f t="shared" si="33"/>
        <v>0.85805448912459503</v>
      </c>
      <c r="AT28" s="53">
        <f t="shared" si="26"/>
        <v>1.5467276783061035E-3</v>
      </c>
      <c r="AU28" s="53">
        <f t="shared" si="33"/>
        <v>1.1998880703924766</v>
      </c>
      <c r="AV28" s="53"/>
      <c r="AW28" s="53">
        <f t="shared" si="33"/>
        <v>0.4596163672342749</v>
      </c>
      <c r="AX28" s="53">
        <f t="shared" si="27"/>
        <v>-2.2355835095222432E-4</v>
      </c>
      <c r="AY28" s="53">
        <f t="shared" si="33"/>
        <v>3.5762501585344864</v>
      </c>
      <c r="AZ28" s="53"/>
      <c r="BA28" s="53">
        <f t="shared" si="16"/>
        <v>0.4191200258815917</v>
      </c>
      <c r="BB28" s="53">
        <f t="shared" si="28"/>
        <v>-4.492085289910519E-3</v>
      </c>
      <c r="BC28" s="53">
        <f t="shared" si="33"/>
        <v>1</v>
      </c>
      <c r="BD28" s="53">
        <f t="shared" si="33"/>
        <v>1</v>
      </c>
      <c r="BE28" s="105">
        <f t="shared" si="17"/>
        <v>0.19988807039247658</v>
      </c>
      <c r="BI28" s="309"/>
      <c r="BJ28" s="309"/>
      <c r="BK28" s="309" t="s">
        <v>76</v>
      </c>
      <c r="BL28" s="69">
        <f>BL27/BL26</f>
        <v>1.0550895163740295</v>
      </c>
      <c r="BM28" s="13"/>
      <c r="BO28" s="28">
        <v>2014</v>
      </c>
      <c r="BP28" s="29">
        <f t="shared" si="31"/>
        <v>1.3203921568627452</v>
      </c>
      <c r="BQ28" s="29">
        <f t="shared" si="31"/>
        <v>1.1358649789029538</v>
      </c>
      <c r="BR28" s="29">
        <f t="shared" si="31"/>
        <v>1.1416040100250626</v>
      </c>
      <c r="BS28" s="29">
        <f t="shared" si="31"/>
        <v>1.0420054200542006</v>
      </c>
      <c r="BT28" s="29">
        <f t="shared" si="31"/>
        <v>1.102686567164179</v>
      </c>
      <c r="BU28" s="29">
        <f t="shared" si="31"/>
        <v>1.0198722498225692</v>
      </c>
      <c r="BV28" s="29">
        <f t="shared" si="31"/>
        <v>0.88136482939632543</v>
      </c>
      <c r="BW28" s="29">
        <f t="shared" si="31"/>
        <v>0.99209726443769009</v>
      </c>
      <c r="BX28" s="29">
        <f t="shared" si="31"/>
        <v>1.0366039654295882</v>
      </c>
      <c r="BZ28" s="28">
        <v>2014</v>
      </c>
      <c r="CA28" s="29">
        <f t="shared" si="32"/>
        <v>0.82889344262295084</v>
      </c>
      <c r="CB28" s="29">
        <f t="shared" si="32"/>
        <v>0.85932004689331776</v>
      </c>
      <c r="CC28" s="29">
        <f t="shared" si="32"/>
        <v>0.69729729729729728</v>
      </c>
      <c r="CD28" s="29">
        <f t="shared" si="32"/>
        <v>0.70643431635388731</v>
      </c>
      <c r="CE28" s="29">
        <f t="shared" si="32"/>
        <v>0.74288617886178854</v>
      </c>
      <c r="CF28" s="29">
        <f t="shared" si="32"/>
        <v>0.72311212814645309</v>
      </c>
      <c r="CG28" s="29">
        <f t="shared" si="32"/>
        <v>0.7193426042983565</v>
      </c>
      <c r="CH28" s="29">
        <f t="shared" si="32"/>
        <v>0.7831149927219796</v>
      </c>
      <c r="CI28" s="29">
        <f t="shared" si="32"/>
        <v>0.77567567567567564</v>
      </c>
    </row>
    <row r="29" spans="1:87" x14ac:dyDescent="0.2">
      <c r="A29" s="26">
        <f t="shared" si="34"/>
        <v>2030</v>
      </c>
      <c r="B29" s="307">
        <v>8.405648247040185</v>
      </c>
      <c r="C29" s="142">
        <v>3.7192210000000001</v>
      </c>
      <c r="D29" s="100">
        <f t="shared" si="0"/>
        <v>326.32083832269967</v>
      </c>
      <c r="E29" s="307">
        <v>14.374589757458491</v>
      </c>
      <c r="F29" s="142">
        <v>17.533472</v>
      </c>
      <c r="G29" s="307">
        <v>14.421297347885083</v>
      </c>
      <c r="H29" s="307">
        <v>11.061324610560973</v>
      </c>
      <c r="I29" s="307">
        <v>0.99435966112915053</v>
      </c>
      <c r="J29" s="308">
        <v>446.81914432469313</v>
      </c>
      <c r="K29" s="308">
        <v>408.35116049756937</v>
      </c>
      <c r="L29" s="100">
        <f t="shared" si="2"/>
        <v>329.70775549960115</v>
      </c>
      <c r="M29" s="100">
        <f t="shared" si="3"/>
        <v>315.35039504397855</v>
      </c>
      <c r="N29" s="100">
        <f t="shared" si="4"/>
        <v>69.099013800494049</v>
      </c>
      <c r="O29" s="100">
        <f t="shared" si="5"/>
        <v>674.08999057112578</v>
      </c>
      <c r="P29" s="100">
        <f t="shared" si="29"/>
        <v>216.09082431746859</v>
      </c>
      <c r="Q29" s="100">
        <f t="shared" si="30"/>
        <v>661.87033342277857</v>
      </c>
      <c r="R29" s="101">
        <f t="shared" si="8"/>
        <v>1142.7026533663559</v>
      </c>
      <c r="S29" s="101">
        <f t="shared" si="8"/>
        <v>6512.5928463861974</v>
      </c>
      <c r="T29" s="72">
        <f>S29/5481-1</f>
        <v>0.18821252442733027</v>
      </c>
      <c r="U29" s="23">
        <v>2028</v>
      </c>
      <c r="V29" s="53">
        <f t="shared" si="33"/>
        <v>0.30511913566547072</v>
      </c>
      <c r="W29" s="53">
        <f t="shared" si="19"/>
        <v>-1.4664017159284892E-3</v>
      </c>
      <c r="X29" s="53">
        <f t="shared" si="33"/>
        <v>0.21587651085286272</v>
      </c>
      <c r="Y29" s="53">
        <f t="shared" si="19"/>
        <v>9.57688252116351E-3</v>
      </c>
      <c r="Z29" s="53">
        <f t="shared" si="33"/>
        <v>2.7703479459295036E-2</v>
      </c>
      <c r="AA29" s="53"/>
      <c r="AB29" s="53">
        <f t="shared" si="15"/>
        <v>0.12584603829539937</v>
      </c>
      <c r="AC29" s="53">
        <f t="shared" ref="AC29:AE43" si="35">AB29/AB28-1</f>
        <v>-8.4852688396358511E-3</v>
      </c>
      <c r="AD29" s="53">
        <f t="shared" si="33"/>
        <v>0.32400885572795185</v>
      </c>
      <c r="AE29" s="53">
        <f t="shared" si="35"/>
        <v>-1.0983426247611616E-2</v>
      </c>
      <c r="AF29" s="53">
        <f t="shared" si="33"/>
        <v>0.63082161005648818</v>
      </c>
      <c r="AG29" s="53">
        <f t="shared" si="21"/>
        <v>2.6267998254421165E-3</v>
      </c>
      <c r="AH29" s="53">
        <f t="shared" si="33"/>
        <v>0.21587651085286272</v>
      </c>
      <c r="AI29" s="53">
        <f t="shared" si="22"/>
        <v>9.57688252116351E-3</v>
      </c>
      <c r="AJ29" s="53">
        <f t="shared" si="33"/>
        <v>2.7703479459295036E-2</v>
      </c>
      <c r="AK29" s="53">
        <f t="shared" si="33"/>
        <v>0.91663448472713482</v>
      </c>
      <c r="AL29" s="53">
        <f t="shared" si="23"/>
        <v>7.4270083682326238E-4</v>
      </c>
      <c r="AM29" s="53">
        <f t="shared" si="33"/>
        <v>0.67531988928525855</v>
      </c>
      <c r="AN29" s="53">
        <f t="shared" si="24"/>
        <v>5.2695127249244855E-3</v>
      </c>
      <c r="AO29" s="53">
        <f t="shared" si="33"/>
        <v>0.72387980544490604</v>
      </c>
      <c r="AP29" s="53">
        <f t="shared" si="25"/>
        <v>1.638406252898239E-3</v>
      </c>
      <c r="AQ29" s="53">
        <f t="shared" si="33"/>
        <v>1.6851874585379099</v>
      </c>
      <c r="AR29" s="53">
        <f t="shared" si="25"/>
        <v>9.636784417490496E-4</v>
      </c>
      <c r="AS29" s="53">
        <f t="shared" si="33"/>
        <v>0.85930918790846023</v>
      </c>
      <c r="AT29" s="53">
        <f t="shared" si="26"/>
        <v>1.4622600309979195E-3</v>
      </c>
      <c r="AU29" s="53">
        <f t="shared" si="33"/>
        <v>1.1996469561610019</v>
      </c>
      <c r="AV29" s="53"/>
      <c r="AW29" s="53">
        <f t="shared" si="33"/>
        <v>0.45947282898902347</v>
      </c>
      <c r="AX29" s="53">
        <f t="shared" si="27"/>
        <v>-3.1230011697613858E-4</v>
      </c>
      <c r="AY29" s="53">
        <f t="shared" si="33"/>
        <v>3.5919593328330164</v>
      </c>
      <c r="AZ29" s="53"/>
      <c r="BA29" s="53">
        <f t="shared" si="16"/>
        <v>0.41726794382502863</v>
      </c>
      <c r="BB29" s="53">
        <f t="shared" si="28"/>
        <v>-4.4189777204449721E-3</v>
      </c>
      <c r="BC29" s="53">
        <f t="shared" si="33"/>
        <v>1</v>
      </c>
      <c r="BD29" s="53">
        <f t="shared" si="33"/>
        <v>1</v>
      </c>
      <c r="BE29" s="105">
        <f t="shared" si="17"/>
        <v>0.19964695616100192</v>
      </c>
      <c r="BK29" s="15"/>
      <c r="BL29" s="65"/>
      <c r="BO29" s="28">
        <v>2015</v>
      </c>
      <c r="BP29" s="29">
        <f t="shared" si="31"/>
        <v>1.3094117647058823</v>
      </c>
      <c r="BQ29" s="29">
        <f t="shared" si="31"/>
        <v>1.131223628691983</v>
      </c>
      <c r="BR29" s="29">
        <f t="shared" si="31"/>
        <v>1.1447368421052631</v>
      </c>
      <c r="BS29" s="29">
        <f t="shared" si="31"/>
        <v>1.0392953929539295</v>
      </c>
      <c r="BT29" s="29">
        <f t="shared" si="31"/>
        <v>1.1032835820895524</v>
      </c>
      <c r="BU29" s="29">
        <f t="shared" si="31"/>
        <v>1.0127750177430801</v>
      </c>
      <c r="BV29" s="29">
        <f t="shared" si="31"/>
        <v>0.88713910761154846</v>
      </c>
      <c r="BW29" s="29">
        <f t="shared" si="31"/>
        <v>1.0024316109422491</v>
      </c>
      <c r="BX29" s="29">
        <f t="shared" si="31"/>
        <v>1.0325368581596337</v>
      </c>
      <c r="BZ29" s="28">
        <v>2015</v>
      </c>
      <c r="CA29" s="29">
        <f t="shared" si="32"/>
        <v>0.82172131147540983</v>
      </c>
      <c r="CB29" s="29">
        <f t="shared" si="32"/>
        <v>0.8440797186400939</v>
      </c>
      <c r="CC29" s="29">
        <f t="shared" si="32"/>
        <v>0.70945945945945943</v>
      </c>
      <c r="CD29" s="29">
        <f t="shared" si="32"/>
        <v>0.71715817694369965</v>
      </c>
      <c r="CE29" s="29">
        <f t="shared" si="32"/>
        <v>0.75406504065040647</v>
      </c>
      <c r="CF29" s="29">
        <f t="shared" si="32"/>
        <v>0.73798627002288331</v>
      </c>
      <c r="CG29" s="29">
        <f t="shared" si="32"/>
        <v>0.73072060682680151</v>
      </c>
      <c r="CH29" s="29">
        <f t="shared" si="32"/>
        <v>0.79621542940320233</v>
      </c>
      <c r="CI29" s="29">
        <f t="shared" si="32"/>
        <v>0.78243243243243243</v>
      </c>
    </row>
    <row r="30" spans="1:87" x14ac:dyDescent="0.2">
      <c r="A30" s="26">
        <f t="shared" si="34"/>
        <v>2031</v>
      </c>
      <c r="B30" s="307">
        <v>8.4157941304593287</v>
      </c>
      <c r="C30" s="142">
        <v>3.7342439999999999</v>
      </c>
      <c r="D30" s="100">
        <f t="shared" si="0"/>
        <v>317.27929729435795</v>
      </c>
      <c r="E30" s="307">
        <v>14.396076002539097</v>
      </c>
      <c r="F30" s="142">
        <v>17.640267999999999</v>
      </c>
      <c r="G30" s="307">
        <v>14.442716324292093</v>
      </c>
      <c r="H30" s="307">
        <v>11.061161808558927</v>
      </c>
      <c r="I30" s="307">
        <v>0.99678594057528325</v>
      </c>
      <c r="J30" s="308">
        <v>444.93363732543077</v>
      </c>
      <c r="K30" s="308">
        <v>407.18001880876142</v>
      </c>
      <c r="L30" s="100">
        <f t="shared" si="2"/>
        <v>329.59197692239553</v>
      </c>
      <c r="M30" s="100">
        <f t="shared" si="3"/>
        <v>315.35075649430536</v>
      </c>
      <c r="N30" s="100">
        <f t="shared" si="4"/>
        <v>69.098269733041036</v>
      </c>
      <c r="O30" s="100">
        <f t="shared" si="5"/>
        <v>673.74294545438158</v>
      </c>
      <c r="P30" s="100">
        <f t="shared" si="29"/>
        <v>216.56805681692848</v>
      </c>
      <c r="Q30" s="100">
        <f t="shared" si="30"/>
        <v>662.45367395940343</v>
      </c>
      <c r="R30" s="101">
        <f t="shared" si="8"/>
        <v>1138.2527795901376</v>
      </c>
      <c r="S30" s="101">
        <f t="shared" si="8"/>
        <v>6610.9367706067169</v>
      </c>
      <c r="T30" s="72"/>
      <c r="U30" s="23">
        <v>2029</v>
      </c>
      <c r="V30" s="53">
        <f t="shared" si="33"/>
        <v>0.30471274551448346</v>
      </c>
      <c r="W30" s="53">
        <f t="shared" si="19"/>
        <v>-1.3319064702412842E-3</v>
      </c>
      <c r="X30" s="53">
        <f t="shared" si="33"/>
        <v>0.21783708116773778</v>
      </c>
      <c r="Y30" s="53">
        <f t="shared" si="19"/>
        <v>9.0819066286065286E-3</v>
      </c>
      <c r="Z30" s="53">
        <f t="shared" si="33"/>
        <v>2.8017833979229759E-2</v>
      </c>
      <c r="AA30" s="53"/>
      <c r="AB30" s="53">
        <f t="shared" si="15"/>
        <v>0.12481549179964221</v>
      </c>
      <c r="AC30" s="53">
        <f t="shared" si="35"/>
        <v>-8.1889466662282695E-3</v>
      </c>
      <c r="AD30" s="53">
        <f t="shared" si="33"/>
        <v>0.32058240448525804</v>
      </c>
      <c r="AE30" s="53">
        <f t="shared" si="35"/>
        <v>-1.0575177752458642E-2</v>
      </c>
      <c r="AF30" s="53">
        <f t="shared" si="33"/>
        <v>0.63247481388672711</v>
      </c>
      <c r="AG30" s="53">
        <f t="shared" si="21"/>
        <v>2.6207152765278519E-3</v>
      </c>
      <c r="AH30" s="53">
        <f t="shared" si="33"/>
        <v>0.21783708116773778</v>
      </c>
      <c r="AI30" s="53">
        <f t="shared" si="22"/>
        <v>9.0819066286065286E-3</v>
      </c>
      <c r="AJ30" s="53">
        <f t="shared" si="33"/>
        <v>2.8017833979229759E-2</v>
      </c>
      <c r="AK30" s="53">
        <f t="shared" si="33"/>
        <v>0.91727660425799895</v>
      </c>
      <c r="AL30" s="53">
        <f t="shared" si="23"/>
        <v>7.0051862717690483E-4</v>
      </c>
      <c r="AM30" s="53">
        <f t="shared" si="33"/>
        <v>0.67873492869931051</v>
      </c>
      <c r="AN30" s="53">
        <f t="shared" si="24"/>
        <v>5.0569211246929147E-3</v>
      </c>
      <c r="AO30" s="53">
        <f t="shared" si="33"/>
        <v>0.72503724429601102</v>
      </c>
      <c r="AP30" s="53">
        <f t="shared" si="25"/>
        <v>1.5989378932785847E-3</v>
      </c>
      <c r="AQ30" s="53">
        <f t="shared" si="33"/>
        <v>1.686888216374842</v>
      </c>
      <c r="AR30" s="53">
        <f t="shared" si="25"/>
        <v>1.0092395527365738E-3</v>
      </c>
      <c r="AS30" s="53">
        <f t="shared" si="33"/>
        <v>0.86050633005750243</v>
      </c>
      <c r="AT30" s="53">
        <f t="shared" si="26"/>
        <v>1.3931448259689727E-3</v>
      </c>
      <c r="AU30" s="53">
        <f t="shared" si="33"/>
        <v>1.1994078424446348</v>
      </c>
      <c r="AV30" s="53"/>
      <c r="AW30" s="53">
        <f t="shared" si="33"/>
        <v>0.45930792397270248</v>
      </c>
      <c r="AX30" s="53">
        <f t="shared" si="27"/>
        <v>-3.5890047444986362E-4</v>
      </c>
      <c r="AY30" s="53">
        <f t="shared" si="33"/>
        <v>3.6079874181548255</v>
      </c>
      <c r="AZ30" s="53"/>
      <c r="BA30" s="53">
        <f t="shared" si="16"/>
        <v>0.41546996584622009</v>
      </c>
      <c r="BB30" s="53">
        <f t="shared" si="28"/>
        <v>-4.308929083616575E-3</v>
      </c>
      <c r="BC30" s="53">
        <f t="shared" si="33"/>
        <v>1</v>
      </c>
      <c r="BD30" s="53">
        <f t="shared" si="33"/>
        <v>1</v>
      </c>
      <c r="BE30" s="105">
        <f t="shared" si="17"/>
        <v>0.19940784244463483</v>
      </c>
      <c r="BK30" s="15"/>
      <c r="BL30" s="65"/>
      <c r="BO30" s="28">
        <v>2016</v>
      </c>
      <c r="BP30" s="29">
        <f t="shared" si="31"/>
        <v>1.2788235294117647</v>
      </c>
      <c r="BQ30" s="29">
        <f t="shared" si="31"/>
        <v>1.1172995780590718</v>
      </c>
      <c r="BR30" s="29">
        <f t="shared" si="31"/>
        <v>1.1416040100250626</v>
      </c>
      <c r="BS30" s="29">
        <f t="shared" si="31"/>
        <v>1.0284552845528456</v>
      </c>
      <c r="BT30" s="29">
        <f t="shared" si="31"/>
        <v>1.1020895522388061</v>
      </c>
      <c r="BU30" s="29">
        <f t="shared" si="31"/>
        <v>1.0113555713271825</v>
      </c>
      <c r="BV30" s="29">
        <f t="shared" si="31"/>
        <v>0.89553805774278206</v>
      </c>
      <c r="BW30" s="29">
        <f t="shared" si="31"/>
        <v>1.0012158054711247</v>
      </c>
      <c r="BX30" s="29">
        <f t="shared" si="31"/>
        <v>1.0157600406710727</v>
      </c>
      <c r="BZ30" s="28">
        <v>2016</v>
      </c>
      <c r="CA30" s="29">
        <f t="shared" si="32"/>
        <v>0.81967213114754101</v>
      </c>
      <c r="CB30" s="29">
        <f t="shared" si="32"/>
        <v>0.82297772567409144</v>
      </c>
      <c r="CC30" s="29">
        <f t="shared" si="32"/>
        <v>0.72297297297297292</v>
      </c>
      <c r="CD30" s="29">
        <f t="shared" si="32"/>
        <v>0.73056300268096519</v>
      </c>
      <c r="CE30" s="29">
        <f t="shared" si="32"/>
        <v>0.76219512195121952</v>
      </c>
      <c r="CF30" s="29">
        <f t="shared" si="32"/>
        <v>0.74485125858123569</v>
      </c>
      <c r="CG30" s="29">
        <f t="shared" si="32"/>
        <v>0.73577749683944371</v>
      </c>
      <c r="CH30" s="29">
        <f t="shared" si="32"/>
        <v>0.80640465793304217</v>
      </c>
      <c r="CI30" s="29">
        <f t="shared" si="32"/>
        <v>0.7986486486486486</v>
      </c>
    </row>
    <row r="31" spans="1:87" x14ac:dyDescent="0.2">
      <c r="A31" s="26">
        <f t="shared" si="34"/>
        <v>2032</v>
      </c>
      <c r="B31" s="307">
        <v>8.4249576911533275</v>
      </c>
      <c r="C31" s="142">
        <v>3.7486199999999998</v>
      </c>
      <c r="D31" s="100">
        <f t="shared" si="0"/>
        <v>309.0327885386979</v>
      </c>
      <c r="E31" s="307">
        <v>14.415573627853872</v>
      </c>
      <c r="F31" s="142">
        <v>17.742751999999999</v>
      </c>
      <c r="G31" s="307">
        <v>14.463387768104882</v>
      </c>
      <c r="H31" s="307">
        <v>11.060984269870238</v>
      </c>
      <c r="I31" s="307">
        <v>0.99883765299838911</v>
      </c>
      <c r="J31" s="308">
        <v>443.23224032927942</v>
      </c>
      <c r="K31" s="308">
        <v>406.16617227636692</v>
      </c>
      <c r="L31" s="100">
        <f t="shared" si="2"/>
        <v>330.38425668389834</v>
      </c>
      <c r="M31" s="100">
        <f t="shared" si="3"/>
        <v>316.21501157090557</v>
      </c>
      <c r="N31" s="100">
        <f t="shared" si="4"/>
        <v>69.287929119915759</v>
      </c>
      <c r="O31" s="100">
        <f t="shared" si="5"/>
        <v>676.01698519000036</v>
      </c>
      <c r="P31" s="100">
        <f t="shared" si="29"/>
        <v>217.86563789678891</v>
      </c>
      <c r="Q31" s="100">
        <f t="shared" si="30"/>
        <v>664.09491960269349</v>
      </c>
      <c r="R31" s="101">
        <f t="shared" si="8"/>
        <v>1139.0083511970365</v>
      </c>
      <c r="S31" s="101">
        <f t="shared" si="8"/>
        <v>6731.9791840402013</v>
      </c>
      <c r="T31" s="72"/>
      <c r="U31" s="23">
        <v>2030</v>
      </c>
      <c r="V31" s="53">
        <f t="shared" si="33"/>
        <v>0.30429586198850989</v>
      </c>
      <c r="W31" s="53">
        <f t="shared" si="19"/>
        <v>-1.368119752489183E-3</v>
      </c>
      <c r="X31" s="53">
        <f t="shared" si="33"/>
        <v>0.2197814787792321</v>
      </c>
      <c r="Y31" s="53">
        <f t="shared" si="19"/>
        <v>8.9259257472198428E-3</v>
      </c>
      <c r="Z31" s="53">
        <f t="shared" si="33"/>
        <v>2.8318541971068152E-2</v>
      </c>
      <c r="AA31" s="53"/>
      <c r="AB31" s="53">
        <f t="shared" si="15"/>
        <v>0.12379729538482723</v>
      </c>
      <c r="AC31" s="53">
        <f t="shared" si="35"/>
        <v>-8.1576124897174696E-3</v>
      </c>
      <c r="AD31" s="53">
        <f t="shared" si="33"/>
        <v>0.31723097283527513</v>
      </c>
      <c r="AE31" s="53">
        <f t="shared" si="35"/>
        <v>-1.0454197120906006E-2</v>
      </c>
      <c r="AF31" s="53">
        <f t="shared" si="33"/>
        <v>0.63407682201023552</v>
      </c>
      <c r="AG31" s="53">
        <f t="shared" si="21"/>
        <v>2.5329200283306097E-3</v>
      </c>
      <c r="AH31" s="53">
        <f t="shared" si="33"/>
        <v>0.2197814787792321</v>
      </c>
      <c r="AI31" s="53">
        <f t="shared" si="22"/>
        <v>8.9259257472198428E-3</v>
      </c>
      <c r="AJ31" s="53">
        <f t="shared" si="33"/>
        <v>2.8318541971068152E-2</v>
      </c>
      <c r="AK31" s="53">
        <f t="shared" si="33"/>
        <v>0.91790471213500513</v>
      </c>
      <c r="AL31" s="53">
        <f t="shared" si="23"/>
        <v>6.8475296774228589E-4</v>
      </c>
      <c r="AM31" s="53">
        <f t="shared" si="33"/>
        <v>0.68211412569518282</v>
      </c>
      <c r="AN31" s="53">
        <f t="shared" si="24"/>
        <v>4.9786696587841295E-3</v>
      </c>
      <c r="AO31" s="53">
        <f t="shared" si="33"/>
        <v>0.72608241024777964</v>
      </c>
      <c r="AP31" s="53">
        <f t="shared" si="25"/>
        <v>1.4415341556466288E-3</v>
      </c>
      <c r="AQ31" s="53">
        <f t="shared" si="33"/>
        <v>1.6885051225510821</v>
      </c>
      <c r="AR31" s="53">
        <f t="shared" si="25"/>
        <v>9.5851412117564649E-4</v>
      </c>
      <c r="AS31" s="53">
        <f t="shared" si="33"/>
        <v>0.86168239513926603</v>
      </c>
      <c r="AT31" s="53">
        <f t="shared" si="26"/>
        <v>1.3667128766907677E-3</v>
      </c>
      <c r="AU31" s="53">
        <f t="shared" si="33"/>
        <v>1.1991833991860528</v>
      </c>
      <c r="AV31" s="53"/>
      <c r="AW31" s="53">
        <f t="shared" si="33"/>
        <v>0.4591384035464845</v>
      </c>
      <c r="AX31" s="53">
        <f t="shared" si="27"/>
        <v>-3.6907794830043361E-4</v>
      </c>
      <c r="AY31" s="53">
        <f t="shared" si="33"/>
        <v>3.624044960258872</v>
      </c>
      <c r="AZ31" s="53"/>
      <c r="BA31" s="53">
        <f t="shared" si="16"/>
        <v>0.41369823421638452</v>
      </c>
      <c r="BB31" s="53">
        <f t="shared" si="28"/>
        <v>-4.2644036283753239E-3</v>
      </c>
      <c r="BC31" s="53">
        <f t="shared" si="33"/>
        <v>1</v>
      </c>
      <c r="BD31" s="53">
        <f t="shared" si="33"/>
        <v>1</v>
      </c>
      <c r="BE31" s="105">
        <f t="shared" si="17"/>
        <v>0.19918339918605277</v>
      </c>
      <c r="BH31" s="26"/>
      <c r="BI31" s="70"/>
      <c r="BJ31" s="70"/>
      <c r="BK31" s="15"/>
      <c r="BL31" s="65"/>
      <c r="BO31" s="28">
        <v>2017</v>
      </c>
      <c r="BP31" s="29">
        <f t="shared" si="31"/>
        <v>1.2521568627450981</v>
      </c>
      <c r="BQ31" s="29">
        <f t="shared" si="31"/>
        <v>1.1012658227848102</v>
      </c>
      <c r="BR31" s="29">
        <f t="shared" si="31"/>
        <v>1.1303258145363408</v>
      </c>
      <c r="BS31" s="29">
        <f t="shared" si="31"/>
        <v>1.0230352303523036</v>
      </c>
      <c r="BT31" s="29">
        <f t="shared" si="31"/>
        <v>1.1092537313432835</v>
      </c>
      <c r="BU31" s="29">
        <f t="shared" si="31"/>
        <v>1.0269694819020583</v>
      </c>
      <c r="BV31" s="29">
        <f t="shared" si="31"/>
        <v>0.8971128608923884</v>
      </c>
      <c r="BW31" s="29">
        <f t="shared" si="31"/>
        <v>1.003647416413374</v>
      </c>
      <c r="BX31" s="29">
        <f t="shared" si="31"/>
        <v>1.0035587188612098</v>
      </c>
      <c r="BZ31" s="28">
        <v>2017</v>
      </c>
      <c r="CA31" s="29">
        <f t="shared" si="32"/>
        <v>0.83094262295081966</v>
      </c>
      <c r="CB31" s="29">
        <f t="shared" si="32"/>
        <v>0.82297772567409144</v>
      </c>
      <c r="CC31" s="29">
        <f t="shared" si="32"/>
        <v>0.73648648648648651</v>
      </c>
      <c r="CD31" s="29">
        <f t="shared" si="32"/>
        <v>0.74798927613941024</v>
      </c>
      <c r="CE31" s="29">
        <f t="shared" si="32"/>
        <v>0.77134146341463417</v>
      </c>
      <c r="CF31" s="29">
        <f t="shared" si="32"/>
        <v>0.75171624713958807</v>
      </c>
      <c r="CG31" s="29">
        <f t="shared" si="32"/>
        <v>0.74083438685208602</v>
      </c>
      <c r="CH31" s="29">
        <f t="shared" si="32"/>
        <v>0.81804949053857356</v>
      </c>
      <c r="CI31" s="29">
        <f t="shared" si="32"/>
        <v>0.81756756756756754</v>
      </c>
    </row>
    <row r="32" spans="1:87" x14ac:dyDescent="0.2">
      <c r="A32" s="26">
        <f t="shared" si="34"/>
        <v>2033</v>
      </c>
      <c r="B32" s="307">
        <v>8.4317027270645557</v>
      </c>
      <c r="C32" s="142">
        <v>3.7624629999999999</v>
      </c>
      <c r="D32" s="100">
        <f t="shared" si="0"/>
        <v>299.08207866584496</v>
      </c>
      <c r="E32" s="307">
        <v>14.430632056057418</v>
      </c>
      <c r="F32" s="142">
        <v>17.841685999999999</v>
      </c>
      <c r="G32" s="307">
        <v>14.479360058071141</v>
      </c>
      <c r="H32" s="307">
        <v>11.060819877644116</v>
      </c>
      <c r="I32" s="307">
        <v>1.000515791422204</v>
      </c>
      <c r="J32" s="308">
        <v>441.72625620838903</v>
      </c>
      <c r="K32" s="308">
        <v>405.24884432213236</v>
      </c>
      <c r="L32" s="100">
        <f t="shared" si="2"/>
        <v>329.30082876880681</v>
      </c>
      <c r="M32" s="100">
        <f t="shared" si="3"/>
        <v>315.35133277187407</v>
      </c>
      <c r="N32" s="100">
        <f t="shared" si="4"/>
        <v>69.099841707048881</v>
      </c>
      <c r="O32" s="100">
        <f t="shared" si="5"/>
        <v>674.18015291632946</v>
      </c>
      <c r="P32" s="100">
        <f t="shared" si="29"/>
        <v>217.82135298035433</v>
      </c>
      <c r="Q32" s="100">
        <f t="shared" si="30"/>
        <v>662.19985842912183</v>
      </c>
      <c r="R32" s="101">
        <f t="shared" si="8"/>
        <v>1133.2958452543965</v>
      </c>
      <c r="S32" s="101">
        <f t="shared" si="8"/>
        <v>6806.7880342934886</v>
      </c>
      <c r="T32" s="72"/>
      <c r="U32" s="23">
        <v>2031</v>
      </c>
      <c r="V32" s="53">
        <f>V74/$BC74</f>
        <v>0.30390313043219874</v>
      </c>
      <c r="W32" s="53">
        <f t="shared" si="19"/>
        <v>-1.2906240451142637E-3</v>
      </c>
      <c r="X32" s="53">
        <f>X74/$BC74</f>
        <v>0.22167524923113494</v>
      </c>
      <c r="Y32" s="53">
        <f t="shared" si="19"/>
        <v>8.6166061963988128E-3</v>
      </c>
      <c r="Z32" s="53">
        <f>Z74/$BC74</f>
        <v>2.859827358224256E-2</v>
      </c>
      <c r="AA32" s="53"/>
      <c r="AB32" s="53">
        <f t="shared" si="15"/>
        <v>0.12280755344912118</v>
      </c>
      <c r="AC32" s="53">
        <f t="shared" si="35"/>
        <v>-7.9948591173126804E-3</v>
      </c>
      <c r="AD32" s="53">
        <f t="shared" si="33"/>
        <v>0.31399016447026312</v>
      </c>
      <c r="AE32" s="53">
        <f t="shared" si="35"/>
        <v>-1.0215926698603939E-2</v>
      </c>
      <c r="AF32" s="53">
        <f t="shared" si="33"/>
        <v>0.63565893592048373</v>
      </c>
      <c r="AG32" s="53">
        <f t="shared" si="21"/>
        <v>2.495145470279736E-3</v>
      </c>
      <c r="AH32" s="53">
        <f t="shared" si="33"/>
        <v>0.22167524923113494</v>
      </c>
      <c r="AI32" s="53">
        <f t="shared" si="22"/>
        <v>8.6166061963988128E-3</v>
      </c>
      <c r="AJ32" s="53">
        <f t="shared" si="33"/>
        <v>2.859827358224256E-2</v>
      </c>
      <c r="AK32" s="53">
        <f t="shared" si="33"/>
        <v>0.91851034810643761</v>
      </c>
      <c r="AL32" s="53">
        <f t="shared" si="23"/>
        <v>6.59802660805342E-4</v>
      </c>
      <c r="AM32" s="53">
        <f t="shared" si="33"/>
        <v>0.68542006032062042</v>
      </c>
      <c r="AN32" s="53">
        <f t="shared" si="24"/>
        <v>4.8466004454434941E-3</v>
      </c>
      <c r="AO32" s="53">
        <f t="shared" si="33"/>
        <v>0.72711890293728731</v>
      </c>
      <c r="AP32" s="53">
        <f t="shared" si="25"/>
        <v>1.4275138398600618E-3</v>
      </c>
      <c r="AQ32" s="53">
        <f t="shared" si="33"/>
        <v>1.6897809737471585</v>
      </c>
      <c r="AR32" s="53">
        <f t="shared" si="25"/>
        <v>7.5560990549372598E-4</v>
      </c>
      <c r="AS32" s="53">
        <f t="shared" si="33"/>
        <v>0.86282686793349872</v>
      </c>
      <c r="AT32" s="53">
        <f t="shared" si="26"/>
        <v>1.3281840277679091E-3</v>
      </c>
      <c r="AU32" s="53">
        <f t="shared" si="33"/>
        <v>1.1989628419035168</v>
      </c>
      <c r="AV32" s="53"/>
      <c r="AW32" s="53">
        <f t="shared" si="33"/>
        <v>0.4589583847148142</v>
      </c>
      <c r="AX32" s="53">
        <f t="shared" si="27"/>
        <v>-3.9207966547727402E-4</v>
      </c>
      <c r="AY32" s="53">
        <f t="shared" si="33"/>
        <v>3.6401037633529945</v>
      </c>
      <c r="AZ32" s="53"/>
      <c r="BA32" s="53">
        <f t="shared" si="16"/>
        <v>0.41196772995379383</v>
      </c>
      <c r="BB32" s="53">
        <f t="shared" si="28"/>
        <v>-4.1830109956079164E-3</v>
      </c>
      <c r="BC32" s="53">
        <f t="shared" si="33"/>
        <v>1</v>
      </c>
      <c r="BD32" s="53">
        <f t="shared" si="33"/>
        <v>1</v>
      </c>
      <c r="BE32" s="105">
        <f>AU32-1</f>
        <v>0.19896284190351676</v>
      </c>
      <c r="BK32" s="15"/>
      <c r="BL32" s="65"/>
      <c r="BO32" s="28">
        <v>2018</v>
      </c>
      <c r="BP32" s="29">
        <f t="shared" si="31"/>
        <v>1.2313725490196077</v>
      </c>
      <c r="BQ32" s="29">
        <f t="shared" si="31"/>
        <v>1.0886075949367089</v>
      </c>
      <c r="BR32" s="29">
        <f t="shared" si="31"/>
        <v>1.1177944862155387</v>
      </c>
      <c r="BS32" s="29">
        <f t="shared" si="31"/>
        <v>1.0142276422764229</v>
      </c>
      <c r="BT32" s="29">
        <f t="shared" si="31"/>
        <v>1.1164179104477612</v>
      </c>
      <c r="BU32" s="29">
        <f t="shared" si="31"/>
        <v>1.0262597586941093</v>
      </c>
      <c r="BV32" s="29">
        <f t="shared" si="31"/>
        <v>0.90393700787401565</v>
      </c>
      <c r="BW32" s="29">
        <f t="shared" si="31"/>
        <v>1.0042553191489363</v>
      </c>
      <c r="BX32" s="29">
        <f t="shared" si="31"/>
        <v>0.98678190137264865</v>
      </c>
      <c r="BZ32" s="28">
        <v>2018</v>
      </c>
      <c r="CA32" s="29">
        <f t="shared" si="32"/>
        <v>0.83913934426229508</v>
      </c>
      <c r="CB32" s="29">
        <f t="shared" si="32"/>
        <v>0.82415005861664725</v>
      </c>
      <c r="CC32" s="29">
        <f t="shared" si="32"/>
        <v>0.74729729729729732</v>
      </c>
      <c r="CD32" s="29">
        <f t="shared" si="32"/>
        <v>0.76005361930294901</v>
      </c>
      <c r="CE32" s="29">
        <f t="shared" si="32"/>
        <v>0.77947154471544711</v>
      </c>
      <c r="CF32" s="29">
        <f t="shared" si="32"/>
        <v>0.75858123569794045</v>
      </c>
      <c r="CG32" s="29">
        <f t="shared" si="32"/>
        <v>0.74462705436156762</v>
      </c>
      <c r="CH32" s="29">
        <f t="shared" si="32"/>
        <v>0.8340611353711791</v>
      </c>
      <c r="CI32" s="29">
        <f t="shared" si="32"/>
        <v>0.83513513513513504</v>
      </c>
    </row>
    <row r="33" spans="1:87" x14ac:dyDescent="0.2">
      <c r="A33" s="26">
        <f t="shared" si="34"/>
        <v>2034</v>
      </c>
      <c r="B33" s="307">
        <v>8.436276245805697</v>
      </c>
      <c r="C33" s="142">
        <v>3.7758560000000001</v>
      </c>
      <c r="D33" s="100">
        <f t="shared" si="0"/>
        <v>289.94106646626875</v>
      </c>
      <c r="E33" s="307">
        <v>14.441786791770996</v>
      </c>
      <c r="F33" s="142">
        <v>17.937657999999999</v>
      </c>
      <c r="G33" s="307">
        <v>14.490826281137791</v>
      </c>
      <c r="H33" s="307">
        <v>11.060728336680551</v>
      </c>
      <c r="I33" s="307">
        <v>1.0017630316729063</v>
      </c>
      <c r="J33" s="308">
        <v>440.43760058613827</v>
      </c>
      <c r="K33" s="308">
        <v>404.44344892440404</v>
      </c>
      <c r="L33" s="100">
        <f t="shared" si="2"/>
        <v>329.08521921166783</v>
      </c>
      <c r="M33" s="100">
        <f t="shared" si="3"/>
        <v>315.35172316890521</v>
      </c>
      <c r="N33" s="100">
        <f t="shared" si="4"/>
        <v>69.101084056966499</v>
      </c>
      <c r="O33" s="100">
        <f t="shared" si="5"/>
        <v>674.11916095875756</v>
      </c>
      <c r="P33" s="100">
        <f t="shared" si="29"/>
        <v>218.30877179722594</v>
      </c>
      <c r="Q33" s="100">
        <f t="shared" si="30"/>
        <v>662.10923900502735</v>
      </c>
      <c r="R33" s="101">
        <f t="shared" si="8"/>
        <v>1130.9268049418979</v>
      </c>
      <c r="S33" s="101">
        <f t="shared" si="8"/>
        <v>6899.8315882134048</v>
      </c>
      <c r="T33" s="72"/>
      <c r="U33" s="23">
        <v>2032</v>
      </c>
      <c r="V33" s="53">
        <f t="shared" ref="V33:BD36" si="36">V75/$BC75</f>
        <v>0.30358259601199106</v>
      </c>
      <c r="W33" s="53">
        <f t="shared" si="19"/>
        <v>-1.0547256283666151E-3</v>
      </c>
      <c r="X33" s="53">
        <f t="shared" si="36"/>
        <v>0.22346385130105897</v>
      </c>
      <c r="Y33" s="53">
        <f t="shared" si="19"/>
        <v>8.068569116884694E-3</v>
      </c>
      <c r="Z33" s="53">
        <f t="shared" si="36"/>
        <v>2.8844301782731445E-2</v>
      </c>
      <c r="AA33" s="53"/>
      <c r="AB33" s="53">
        <f t="shared" si="36"/>
        <v>0.12187194901258711</v>
      </c>
      <c r="AC33" s="53">
        <f t="shared" si="35"/>
        <v>-7.6184600234846522E-3</v>
      </c>
      <c r="AD33" s="53">
        <f t="shared" si="36"/>
        <v>0.31092228811005118</v>
      </c>
      <c r="AE33" s="53">
        <f t="shared" si="35"/>
        <v>-9.7706129279170328E-3</v>
      </c>
      <c r="AF33" s="53">
        <f t="shared" si="36"/>
        <v>0.63726568623590762</v>
      </c>
      <c r="AG33" s="53">
        <f t="shared" si="21"/>
        <v>2.5276924851174165E-3</v>
      </c>
      <c r="AH33" s="53">
        <f t="shared" si="36"/>
        <v>0.22346385130105897</v>
      </c>
      <c r="AI33" s="53">
        <f t="shared" si="22"/>
        <v>8.068569116884694E-3</v>
      </c>
      <c r="AJ33" s="53">
        <f t="shared" si="36"/>
        <v>2.8844301782731445E-2</v>
      </c>
      <c r="AK33" s="53">
        <f t="shared" si="36"/>
        <v>0.91907774854466018</v>
      </c>
      <c r="AL33" s="53">
        <f t="shared" si="23"/>
        <v>6.1773984298851836E-4</v>
      </c>
      <c r="AM33" s="53">
        <f t="shared" si="36"/>
        <v>0.68859245080849063</v>
      </c>
      <c r="AN33" s="53">
        <f t="shared" si="24"/>
        <v>4.6283887378293365E-3</v>
      </c>
      <c r="AO33" s="53">
        <f t="shared" si="36"/>
        <v>0.7281658230762218</v>
      </c>
      <c r="AP33" s="53">
        <f t="shared" si="25"/>
        <v>1.4398197250893308E-3</v>
      </c>
      <c r="AQ33" s="53">
        <f t="shared" si="36"/>
        <v>1.6913866039800158</v>
      </c>
      <c r="AR33" s="53">
        <f t="shared" si="25"/>
        <v>9.50200208075902E-4</v>
      </c>
      <c r="AS33" s="53">
        <f t="shared" si="36"/>
        <v>0.86391772885516815</v>
      </c>
      <c r="AT33" s="53">
        <f t="shared" si="26"/>
        <v>1.2642871498451669E-3</v>
      </c>
      <c r="AU33" s="53">
        <f t="shared" si="36"/>
        <v>1.1987265916805865</v>
      </c>
      <c r="AV33" s="53"/>
      <c r="AW33" s="53">
        <f t="shared" si="36"/>
        <v>0.45875274895554763</v>
      </c>
      <c r="AX33" s="53">
        <f t="shared" si="27"/>
        <v>-4.4804881251780948E-4</v>
      </c>
      <c r="AY33" s="53">
        <f t="shared" si="36"/>
        <v>3.6564327895074826</v>
      </c>
      <c r="AZ33" s="53"/>
      <c r="BA33" s="53">
        <f t="shared" si="16"/>
        <v>0.41044491370357666</v>
      </c>
      <c r="BB33" s="53">
        <f t="shared" si="28"/>
        <v>-3.6964454725324503E-3</v>
      </c>
      <c r="BC33" s="53">
        <f t="shared" si="36"/>
        <v>1</v>
      </c>
      <c r="BD33" s="53">
        <f t="shared" si="36"/>
        <v>1</v>
      </c>
      <c r="BE33" s="105">
        <f>AU33-1</f>
        <v>0.19872659168058648</v>
      </c>
      <c r="BO33" s="28">
        <v>2019</v>
      </c>
      <c r="BP33" s="29">
        <f t="shared" si="31"/>
        <v>1.2176470588235295</v>
      </c>
      <c r="BQ33" s="29">
        <f t="shared" si="31"/>
        <v>1.0839662447257385</v>
      </c>
      <c r="BR33" s="29">
        <f t="shared" si="31"/>
        <v>1.1077694235588971</v>
      </c>
      <c r="BS33" s="29">
        <f t="shared" si="31"/>
        <v>1.0060975609756098</v>
      </c>
      <c r="BT33" s="29">
        <f t="shared" si="31"/>
        <v>1.1200000000000001</v>
      </c>
      <c r="BU33" s="29">
        <f t="shared" si="31"/>
        <v>1.0262597586941093</v>
      </c>
      <c r="BV33" s="29">
        <f t="shared" si="31"/>
        <v>0.89606299212598428</v>
      </c>
      <c r="BW33" s="29">
        <f t="shared" si="31"/>
        <v>1.0072948328267477</v>
      </c>
      <c r="BX33" s="29">
        <f t="shared" si="31"/>
        <v>0.97559735638027456</v>
      </c>
      <c r="BZ33" s="28">
        <v>2019</v>
      </c>
      <c r="CA33" s="29">
        <f t="shared" si="32"/>
        <v>0.8473360655737705</v>
      </c>
      <c r="CB33" s="29">
        <f t="shared" si="32"/>
        <v>0.82766705744431424</v>
      </c>
      <c r="CC33" s="29">
        <f t="shared" si="32"/>
        <v>0.75675675675675669</v>
      </c>
      <c r="CD33" s="29">
        <f t="shared" si="32"/>
        <v>0.77077747989276135</v>
      </c>
      <c r="CE33" s="29">
        <f t="shared" si="32"/>
        <v>0.78556910569105698</v>
      </c>
      <c r="CF33" s="29">
        <f t="shared" si="32"/>
        <v>0.76544622425629294</v>
      </c>
      <c r="CG33" s="29">
        <f t="shared" si="32"/>
        <v>0.74968394437420982</v>
      </c>
      <c r="CH33" s="29">
        <f t="shared" si="32"/>
        <v>0.85007278020378452</v>
      </c>
      <c r="CI33" s="29">
        <f t="shared" si="32"/>
        <v>0.85135135135135132</v>
      </c>
    </row>
    <row r="34" spans="1:87" x14ac:dyDescent="0.2">
      <c r="A34" s="26">
        <f t="shared" si="34"/>
        <v>2035</v>
      </c>
      <c r="B34" s="307">
        <v>8.4384683863519196</v>
      </c>
      <c r="C34" s="142">
        <v>3.7888030000000001</v>
      </c>
      <c r="D34" s="100">
        <f t="shared" si="0"/>
        <v>281.05143254228147</v>
      </c>
      <c r="E34" s="307">
        <v>14.448640967099756</v>
      </c>
      <c r="F34" s="142">
        <v>18.030645</v>
      </c>
      <c r="G34" s="307">
        <v>14.497546310944491</v>
      </c>
      <c r="H34" s="307">
        <v>11.060691187179341</v>
      </c>
      <c r="I34" s="307">
        <v>1.0025683368435454</v>
      </c>
      <c r="J34" s="308">
        <v>439.3508566860047</v>
      </c>
      <c r="K34" s="308">
        <v>403.74965954711087</v>
      </c>
      <c r="L34" s="100">
        <f t="shared" si="2"/>
        <v>329.01940173233208</v>
      </c>
      <c r="M34" s="100">
        <f t="shared" si="3"/>
        <v>315.35202464956387</v>
      </c>
      <c r="N34" s="100">
        <f t="shared" si="4"/>
        <v>69.102773757170596</v>
      </c>
      <c r="O34" s="100">
        <f t="shared" si="5"/>
        <v>675.82131711470868</v>
      </c>
      <c r="P34" s="100">
        <f t="shared" si="29"/>
        <v>219.32918139597865</v>
      </c>
      <c r="Q34" s="100">
        <f t="shared" si="30"/>
        <v>661.47069408085599</v>
      </c>
      <c r="R34" s="101">
        <f t="shared" si="8"/>
        <v>1131.8971653838944</v>
      </c>
      <c r="S34" s="101">
        <f t="shared" si="8"/>
        <v>7007.5833776881846</v>
      </c>
      <c r="T34" s="72"/>
      <c r="U34" s="23">
        <v>2033</v>
      </c>
      <c r="V34" s="53">
        <f t="shared" si="36"/>
        <v>0.3032693472953496</v>
      </c>
      <c r="W34" s="53">
        <f t="shared" si="19"/>
        <v>-1.0318401672442246E-3</v>
      </c>
      <c r="X34" s="53">
        <f t="shared" si="36"/>
        <v>0.22520769479659969</v>
      </c>
      <c r="Y34" s="53">
        <f t="shared" si="19"/>
        <v>7.8036939101677749E-3</v>
      </c>
      <c r="Z34" s="53">
        <f t="shared" si="36"/>
        <v>2.9075977292114009E-2</v>
      </c>
      <c r="AA34" s="53"/>
      <c r="AB34" s="53">
        <f t="shared" si="36"/>
        <v>0.1209624378621643</v>
      </c>
      <c r="AC34" s="53">
        <f t="shared" si="35"/>
        <v>-7.4628424160908535E-3</v>
      </c>
      <c r="AD34" s="53">
        <f t="shared" si="36"/>
        <v>0.30796823249110217</v>
      </c>
      <c r="AE34" s="53">
        <f t="shared" si="35"/>
        <v>-9.5009451940718526E-3</v>
      </c>
      <c r="AF34" s="53">
        <f t="shared" si="36"/>
        <v>0.63884566285260469</v>
      </c>
      <c r="AG34" s="53">
        <f t="shared" si="21"/>
        <v>2.479305964250722E-3</v>
      </c>
      <c r="AH34" s="53">
        <f t="shared" si="36"/>
        <v>0.22520769479659969</v>
      </c>
      <c r="AI34" s="53">
        <f t="shared" si="22"/>
        <v>7.8036939101677749E-3</v>
      </c>
      <c r="AJ34" s="53">
        <f t="shared" si="36"/>
        <v>2.9075977292114009E-2</v>
      </c>
      <c r="AK34" s="53">
        <f t="shared" si="36"/>
        <v>0.91961961349530841</v>
      </c>
      <c r="AL34" s="53">
        <f t="shared" si="23"/>
        <v>5.8957465949571741E-4</v>
      </c>
      <c r="AM34" s="53">
        <f t="shared" si="36"/>
        <v>0.69168632526399387</v>
      </c>
      <c r="AN34" s="53">
        <f t="shared" si="24"/>
        <v>4.4930414962736087E-3</v>
      </c>
      <c r="AO34" s="53">
        <f t="shared" si="36"/>
        <v>0.72919069329646735</v>
      </c>
      <c r="AP34" s="53">
        <f t="shared" si="25"/>
        <v>1.407468172449855E-3</v>
      </c>
      <c r="AQ34" s="53">
        <f t="shared" si="36"/>
        <v>1.6929886754713652</v>
      </c>
      <c r="AR34" s="53">
        <f t="shared" si="25"/>
        <v>9.4719414684951708E-4</v>
      </c>
      <c r="AS34" s="53">
        <f t="shared" si="36"/>
        <v>0.86497232108715472</v>
      </c>
      <c r="AT34" s="53">
        <f t="shared" si="26"/>
        <v>1.220709098520345E-3</v>
      </c>
      <c r="AU34" s="53">
        <f t="shared" si="36"/>
        <v>1.1984992793481777</v>
      </c>
      <c r="AV34" s="53"/>
      <c r="AW34" s="53">
        <f t="shared" si="36"/>
        <v>0.45853045856987379</v>
      </c>
      <c r="AX34" s="53">
        <f t="shared" si="27"/>
        <v>-4.8455379543754784E-4</v>
      </c>
      <c r="AY34" s="53">
        <f t="shared" si="36"/>
        <v>3.6730932729358474</v>
      </c>
      <c r="AZ34" s="53"/>
      <c r="BA34" s="53">
        <f t="shared" si="16"/>
        <v>0.40899926464099773</v>
      </c>
      <c r="BB34" s="53">
        <f t="shared" si="28"/>
        <v>-3.5221512420129386E-3</v>
      </c>
      <c r="BC34" s="53">
        <f t="shared" si="36"/>
        <v>1</v>
      </c>
      <c r="BD34" s="53">
        <f t="shared" si="36"/>
        <v>1</v>
      </c>
      <c r="BE34" s="105">
        <f>AU34-1</f>
        <v>0.19849927934817768</v>
      </c>
      <c r="BO34" s="28">
        <v>2020</v>
      </c>
      <c r="BP34" s="29">
        <f t="shared" si="31"/>
        <v>1.2047058823529411</v>
      </c>
      <c r="BQ34" s="29">
        <f t="shared" si="31"/>
        <v>1.0767932489451477</v>
      </c>
      <c r="BR34" s="29">
        <f t="shared" si="31"/>
        <v>1.0971177944862156</v>
      </c>
      <c r="BS34" s="29">
        <f t="shared" si="31"/>
        <v>0.99796747967479682</v>
      </c>
      <c r="BT34" s="29">
        <f t="shared" si="31"/>
        <v>1.1247761194029851</v>
      </c>
      <c r="BU34" s="29">
        <f t="shared" si="31"/>
        <v>1.022001419446416</v>
      </c>
      <c r="BV34" s="29">
        <f t="shared" si="31"/>
        <v>0.90026246719160097</v>
      </c>
      <c r="BW34" s="29">
        <f t="shared" si="31"/>
        <v>1.0072948328267477</v>
      </c>
      <c r="BX34" s="29">
        <f t="shared" si="31"/>
        <v>0.96593797661413316</v>
      </c>
      <c r="BZ34" s="28">
        <v>2020</v>
      </c>
      <c r="CA34" s="29">
        <f t="shared" si="32"/>
        <v>0.85655737704918034</v>
      </c>
      <c r="CB34" s="29">
        <f t="shared" si="32"/>
        <v>0.83235638921453692</v>
      </c>
      <c r="CC34" s="29">
        <f t="shared" si="32"/>
        <v>0.77162162162162162</v>
      </c>
      <c r="CD34" s="29">
        <f t="shared" si="32"/>
        <v>0.78686327077747986</v>
      </c>
      <c r="CE34" s="29">
        <f t="shared" si="32"/>
        <v>0.7967479674796748</v>
      </c>
      <c r="CF34" s="29">
        <f t="shared" si="32"/>
        <v>0.78146453089244849</v>
      </c>
      <c r="CG34" s="29">
        <f t="shared" si="32"/>
        <v>0.76359039190897593</v>
      </c>
      <c r="CH34" s="29">
        <f t="shared" si="32"/>
        <v>0.86462882096069871</v>
      </c>
      <c r="CI34" s="29">
        <f t="shared" si="32"/>
        <v>0.86486486486486491</v>
      </c>
    </row>
    <row r="35" spans="1:87" x14ac:dyDescent="0.2">
      <c r="A35" s="26">
        <f t="shared" si="34"/>
        <v>2036</v>
      </c>
      <c r="B35" s="232">
        <f>(B34+(B34-B33))</f>
        <v>8.4406605268981423</v>
      </c>
      <c r="C35" s="232">
        <f>(C34+(C34-C33))</f>
        <v>3.8017500000000002</v>
      </c>
      <c r="D35" s="100">
        <f t="shared" si="0"/>
        <v>272.43435604613853</v>
      </c>
      <c r="E35" s="232">
        <f t="shared" ref="E35:K41" si="37">(E34+(E34-E33))</f>
        <v>14.455495142428516</v>
      </c>
      <c r="F35" s="232">
        <f t="shared" si="37"/>
        <v>18.123632000000001</v>
      </c>
      <c r="G35" s="232">
        <f t="shared" si="37"/>
        <v>14.504266340751192</v>
      </c>
      <c r="H35" s="232">
        <f t="shared" si="37"/>
        <v>11.06065403767813</v>
      </c>
      <c r="I35" s="232">
        <f t="shared" si="37"/>
        <v>1.0033736420141846</v>
      </c>
      <c r="J35" s="232">
        <f t="shared" si="37"/>
        <v>438.26411278587113</v>
      </c>
      <c r="K35" s="232">
        <f t="shared" si="37"/>
        <v>403.05587016981769</v>
      </c>
      <c r="L35" s="100">
        <f t="shared" si="2"/>
        <v>328.95359741657933</v>
      </c>
      <c r="M35" s="100">
        <f t="shared" si="3"/>
        <v>315.35232613051073</v>
      </c>
      <c r="N35" s="100">
        <f t="shared" si="4"/>
        <v>69.104463498692226</v>
      </c>
      <c r="O35" s="100">
        <f t="shared" si="5"/>
        <v>677.52777122827206</v>
      </c>
      <c r="P35" s="100">
        <f t="shared" si="29"/>
        <v>220.35436054998397</v>
      </c>
      <c r="Q35" s="100">
        <f t="shared" si="30"/>
        <v>660.83276497594238</v>
      </c>
      <c r="R35" s="101">
        <f t="shared" ref="R35:S41" si="38">1000*(BC123/BC79)/ 3.412</f>
        <v>1132.8683584168095</v>
      </c>
      <c r="S35" s="101">
        <f t="shared" si="38"/>
        <v>7117.0178818765871</v>
      </c>
      <c r="T35" s="72"/>
      <c r="U35" s="23">
        <v>2034</v>
      </c>
      <c r="V35" s="53">
        <f t="shared" si="36"/>
        <v>0.30292982867189899</v>
      </c>
      <c r="W35" s="53">
        <f t="shared" si="19"/>
        <v>-1.1195283218647933E-3</v>
      </c>
      <c r="X35" s="53">
        <f t="shared" si="36"/>
        <v>0.22694536331273593</v>
      </c>
      <c r="Y35" s="53">
        <f t="shared" si="19"/>
        <v>7.7158487755297767E-3</v>
      </c>
      <c r="Z35" s="53">
        <f t="shared" si="36"/>
        <v>2.929887217186742E-2</v>
      </c>
      <c r="AA35" s="53"/>
      <c r="AB35" s="53">
        <f t="shared" si="36"/>
        <v>0.12006034379900607</v>
      </c>
      <c r="AC35" s="53">
        <f t="shared" si="35"/>
        <v>-7.4576379172033302E-3</v>
      </c>
      <c r="AD35" s="53">
        <f t="shared" si="36"/>
        <v>0.30508335853707974</v>
      </c>
      <c r="AE35" s="53">
        <f t="shared" si="35"/>
        <v>-9.3674400462904206E-3</v>
      </c>
      <c r="AF35" s="53">
        <f t="shared" si="36"/>
        <v>0.64036894303625469</v>
      </c>
      <c r="AG35" s="53">
        <f t="shared" si="21"/>
        <v>2.3844259611127683E-3</v>
      </c>
      <c r="AH35" s="53">
        <f t="shared" si="36"/>
        <v>0.22694536331273593</v>
      </c>
      <c r="AI35" s="53">
        <f t="shared" si="22"/>
        <v>7.7158487755297767E-3</v>
      </c>
      <c r="AJ35" s="53">
        <f t="shared" si="36"/>
        <v>2.929887217186742E-2</v>
      </c>
      <c r="AK35" s="53">
        <f t="shared" si="36"/>
        <v>0.92014867692918723</v>
      </c>
      <c r="AL35" s="53">
        <f t="shared" si="23"/>
        <v>5.7530681829187635E-4</v>
      </c>
      <c r="AM35" s="53">
        <f t="shared" si="36"/>
        <v>0.69474182523365136</v>
      </c>
      <c r="AN35" s="53">
        <f t="shared" si="24"/>
        <v>4.4174647640913278E-3</v>
      </c>
      <c r="AO35" s="53">
        <f t="shared" si="36"/>
        <v>0.73019661732352725</v>
      </c>
      <c r="AP35" s="53">
        <f t="shared" si="25"/>
        <v>1.3795074955118558E-3</v>
      </c>
      <c r="AQ35" s="53">
        <f t="shared" si="36"/>
        <v>1.694597101282294</v>
      </c>
      <c r="AR35" s="53">
        <f t="shared" si="25"/>
        <v>9.5005113396928742E-4</v>
      </c>
      <c r="AS35" s="53">
        <f t="shared" si="36"/>
        <v>0.8660106784263073</v>
      </c>
      <c r="AT35" s="53">
        <f t="shared" si="26"/>
        <v>1.2004515217869383E-3</v>
      </c>
      <c r="AU35" s="53">
        <f t="shared" si="36"/>
        <v>1.1982924213007897</v>
      </c>
      <c r="AV35" s="53">
        <f t="shared" ref="AV35:AV43" si="39">AU35/AU34-1</f>
        <v>-1.725975567549165E-4</v>
      </c>
      <c r="AW35" s="53">
        <f t="shared" si="36"/>
        <v>0.45830164569633003</v>
      </c>
      <c r="AX35" s="53">
        <f t="shared" si="27"/>
        <v>-4.9901346631897603E-4</v>
      </c>
      <c r="AY35" s="53">
        <f t="shared" si="36"/>
        <v>3.6897892451603829</v>
      </c>
      <c r="AZ35" s="53">
        <f t="shared" ref="AZ35:AZ43" si="40">AY35/AY34-1</f>
        <v>4.5454800583353272E-3</v>
      </c>
      <c r="BA35" s="53">
        <f t="shared" si="16"/>
        <v>0.40748550682128709</v>
      </c>
      <c r="BB35" s="53">
        <f t="shared" si="28"/>
        <v>-3.7011260180122019E-3</v>
      </c>
      <c r="BC35" s="53">
        <f t="shared" si="36"/>
        <v>1</v>
      </c>
      <c r="BD35" s="53">
        <f t="shared" si="36"/>
        <v>1</v>
      </c>
      <c r="BE35" s="105">
        <f>AU35-1</f>
        <v>0.19829242130078972</v>
      </c>
      <c r="BO35" s="26">
        <v>2021</v>
      </c>
      <c r="BP35" s="29">
        <f t="shared" si="31"/>
        <v>1.1945098039215687</v>
      </c>
      <c r="BQ35" s="29">
        <f t="shared" si="31"/>
        <v>1.0713080168776372</v>
      </c>
      <c r="BR35" s="29">
        <f t="shared" si="31"/>
        <v>1.0883458646616542</v>
      </c>
      <c r="BS35" s="29">
        <f t="shared" si="31"/>
        <v>0.99390243902439024</v>
      </c>
      <c r="BT35" s="29">
        <f t="shared" si="31"/>
        <v>1.1247761194029851</v>
      </c>
      <c r="BU35" s="29">
        <f t="shared" si="31"/>
        <v>1.0163236337828248</v>
      </c>
      <c r="BV35" s="29">
        <f t="shared" si="31"/>
        <v>0.89921259842519674</v>
      </c>
      <c r="BW35" s="29">
        <f t="shared" si="31"/>
        <v>1.0121580547112461</v>
      </c>
      <c r="BX35" s="29">
        <f t="shared" si="31"/>
        <v>0.95678698525673611</v>
      </c>
      <c r="BZ35" s="26">
        <v>2021</v>
      </c>
      <c r="CA35" s="29">
        <f t="shared" si="32"/>
        <v>0.86680327868852469</v>
      </c>
      <c r="CB35" s="29">
        <f t="shared" si="32"/>
        <v>0.84056271981242681</v>
      </c>
      <c r="CC35" s="29">
        <f t="shared" si="32"/>
        <v>0.78648648648648645</v>
      </c>
      <c r="CD35" s="29">
        <f t="shared" si="32"/>
        <v>0.80160857908847194</v>
      </c>
      <c r="CE35" s="29">
        <f t="shared" si="32"/>
        <v>0.80894308943089432</v>
      </c>
      <c r="CF35" s="29">
        <f t="shared" si="32"/>
        <v>0.79633867276887871</v>
      </c>
      <c r="CG35" s="29">
        <f t="shared" si="32"/>
        <v>0.77623261694058154</v>
      </c>
      <c r="CH35" s="29">
        <f t="shared" si="32"/>
        <v>0.88355167394468703</v>
      </c>
      <c r="CI35" s="29">
        <f t="shared" si="32"/>
        <v>0.88243243243243241</v>
      </c>
    </row>
    <row r="36" spans="1:87" x14ac:dyDescent="0.2">
      <c r="A36" s="26">
        <f t="shared" si="34"/>
        <v>2037</v>
      </c>
      <c r="B36" s="232">
        <f t="shared" ref="B36:C41" si="41">(B35+(B35-B34))</f>
        <v>8.4428526674443649</v>
      </c>
      <c r="C36" s="232">
        <f t="shared" si="41"/>
        <v>3.8146970000000002</v>
      </c>
      <c r="D36" s="100">
        <f t="shared" si="0"/>
        <v>264.08148032872396</v>
      </c>
      <c r="E36" s="232">
        <f t="shared" si="37"/>
        <v>14.462349317757276</v>
      </c>
      <c r="F36" s="232">
        <f t="shared" si="37"/>
        <v>18.216619000000001</v>
      </c>
      <c r="G36" s="232">
        <f t="shared" si="37"/>
        <v>14.510986370557893</v>
      </c>
      <c r="H36" s="232">
        <f t="shared" si="37"/>
        <v>11.06061688817692</v>
      </c>
      <c r="I36" s="232">
        <f t="shared" si="37"/>
        <v>1.0041789471848237</v>
      </c>
      <c r="J36" s="232">
        <f t="shared" si="37"/>
        <v>437.17736888573756</v>
      </c>
      <c r="K36" s="232">
        <f t="shared" si="37"/>
        <v>402.36208079252452</v>
      </c>
      <c r="L36" s="100">
        <f t="shared" si="2"/>
        <v>328.88780626177669</v>
      </c>
      <c r="M36" s="100">
        <f t="shared" si="3"/>
        <v>315.35262761174585</v>
      </c>
      <c r="N36" s="100">
        <f t="shared" si="4"/>
        <v>69.106153281532414</v>
      </c>
      <c r="O36" s="100">
        <f t="shared" si="5"/>
        <v>679.23853415182384</v>
      </c>
      <c r="P36" s="100">
        <f t="shared" si="29"/>
        <v>221.38433155289479</v>
      </c>
      <c r="Q36" s="100">
        <f t="shared" si="30"/>
        <v>660.19545109638432</v>
      </c>
      <c r="R36" s="101">
        <f t="shared" si="38"/>
        <v>1133.8403847550246</v>
      </c>
      <c r="S36" s="101">
        <f t="shared" si="38"/>
        <v>7228.1613790318224</v>
      </c>
      <c r="T36" s="72"/>
      <c r="U36" s="23">
        <v>2035</v>
      </c>
      <c r="V36" s="53">
        <f t="shared" si="36"/>
        <v>0.30256344756474346</v>
      </c>
      <c r="W36" s="53">
        <f t="shared" si="19"/>
        <v>-1.2094586682395159E-3</v>
      </c>
      <c r="X36" s="53">
        <f t="shared" si="36"/>
        <v>0.22867967673486739</v>
      </c>
      <c r="Y36" s="53">
        <f t="shared" si="19"/>
        <v>7.6419865857384472E-3</v>
      </c>
      <c r="Z36" s="53">
        <f t="shared" si="36"/>
        <v>2.9518080994352137E-2</v>
      </c>
      <c r="AA36" s="53">
        <f t="shared" si="19"/>
        <v>7.4818177709652378E-3</v>
      </c>
      <c r="AB36" s="53">
        <f t="shared" si="36"/>
        <v>0.11916451150362944</v>
      </c>
      <c r="AC36" s="53">
        <f t="shared" si="35"/>
        <v>-7.461516992457895E-3</v>
      </c>
      <c r="AD36" s="53">
        <f t="shared" si="36"/>
        <v>0.3022591686882003</v>
      </c>
      <c r="AE36" s="53">
        <f t="shared" si="35"/>
        <v>-9.2571088191170103E-3</v>
      </c>
      <c r="AF36" s="53">
        <f t="shared" si="36"/>
        <v>0.64183462798498625</v>
      </c>
      <c r="AG36" s="53">
        <f t="shared" si="21"/>
        <v>2.2888132921969895E-3</v>
      </c>
      <c r="AH36" s="53">
        <f t="shared" si="36"/>
        <v>0.22867967673486739</v>
      </c>
      <c r="AI36" s="53">
        <f t="shared" si="22"/>
        <v>7.6419865857384472E-3</v>
      </c>
      <c r="AJ36" s="53">
        <f t="shared" si="36"/>
        <v>2.9518080994352137E-2</v>
      </c>
      <c r="AK36" s="53">
        <f t="shared" si="36"/>
        <v>0.92066467279124531</v>
      </c>
      <c r="AL36" s="53">
        <f t="shared" si="23"/>
        <v>5.607744432998274E-4</v>
      </c>
      <c r="AM36" s="53">
        <f t="shared" si="36"/>
        <v>0.69777183023219824</v>
      </c>
      <c r="AN36" s="53">
        <f t="shared" si="24"/>
        <v>4.3613395487278606E-3</v>
      </c>
      <c r="AO36" s="53">
        <f t="shared" si="36"/>
        <v>0.73120428241927693</v>
      </c>
      <c r="AP36" s="53">
        <f t="shared" si="25"/>
        <v>1.379991459619756E-3</v>
      </c>
      <c r="AQ36" s="53">
        <f t="shared" si="36"/>
        <v>1.6962082493487896</v>
      </c>
      <c r="AR36" s="53">
        <f t="shared" si="25"/>
        <v>9.507558258399218E-4</v>
      </c>
      <c r="AS36" s="53">
        <f t="shared" si="36"/>
        <v>0.86703619088995332</v>
      </c>
      <c r="AT36" s="53">
        <f t="shared" si="26"/>
        <v>1.1841799289467048E-3</v>
      </c>
      <c r="AU36" s="53">
        <f t="shared" si="36"/>
        <v>1.1981055930443083</v>
      </c>
      <c r="AV36" s="53">
        <f t="shared" si="39"/>
        <v>-1.5591207384801908E-4</v>
      </c>
      <c r="AW36" s="53">
        <f t="shared" si="36"/>
        <v>0.45806871598276366</v>
      </c>
      <c r="AX36" s="53">
        <f t="shared" si="27"/>
        <v>-5.0824542253702365E-4</v>
      </c>
      <c r="AY36" s="53">
        <f t="shared" si="36"/>
        <v>3.7065297244685431</v>
      </c>
      <c r="AZ36" s="53">
        <f t="shared" si="40"/>
        <v>4.5369743895582459E-3</v>
      </c>
      <c r="BA36" s="53">
        <f t="shared" si="16"/>
        <v>0.40601138988903784</v>
      </c>
      <c r="BB36" s="53">
        <f t="shared" si="28"/>
        <v>-3.6175935280460259E-3</v>
      </c>
      <c r="BC36" s="53">
        <f t="shared" si="36"/>
        <v>1</v>
      </c>
      <c r="BD36" s="53">
        <f t="shared" si="36"/>
        <v>1</v>
      </c>
      <c r="BE36" s="105">
        <f>AU36-1</f>
        <v>0.1981055930443083</v>
      </c>
      <c r="BO36" s="26">
        <v>2022</v>
      </c>
      <c r="BP36" s="29">
        <f t="shared" ref="BP36:BX36" si="42">BP102/BP$79</f>
        <v>1.1823529411764706</v>
      </c>
      <c r="BQ36" s="29">
        <f t="shared" si="42"/>
        <v>1.0649789029535865</v>
      </c>
      <c r="BR36" s="29">
        <f t="shared" si="42"/>
        <v>1.0808270676691729</v>
      </c>
      <c r="BS36" s="29">
        <f t="shared" si="42"/>
        <v>0.99119241192411933</v>
      </c>
      <c r="BT36" s="29">
        <f t="shared" si="42"/>
        <v>1.120597014925373</v>
      </c>
      <c r="BU36" s="29">
        <f t="shared" si="42"/>
        <v>1.0056777856635912</v>
      </c>
      <c r="BV36" s="29">
        <f t="shared" si="42"/>
        <v>0.91076115485564313</v>
      </c>
      <c r="BW36" s="29">
        <f t="shared" si="42"/>
        <v>1.0206686930091184</v>
      </c>
      <c r="BX36" s="29">
        <f t="shared" si="42"/>
        <v>0.9527198779867817</v>
      </c>
      <c r="BZ36" s="26">
        <v>2022</v>
      </c>
      <c r="CA36" s="29">
        <f t="shared" ref="CA36:CI36" si="43">CA102/CA$79</f>
        <v>0.88012295081967218</v>
      </c>
      <c r="CB36" s="29">
        <f t="shared" si="43"/>
        <v>0.84994138335287228</v>
      </c>
      <c r="CC36" s="29">
        <f t="shared" si="43"/>
        <v>0.80135135135135127</v>
      </c>
      <c r="CD36" s="29">
        <f t="shared" si="43"/>
        <v>0.8163538873994638</v>
      </c>
      <c r="CE36" s="29">
        <f t="shared" si="43"/>
        <v>0.82113821138211385</v>
      </c>
      <c r="CF36" s="29">
        <f t="shared" si="43"/>
        <v>0.81006864988558347</v>
      </c>
      <c r="CG36" s="29">
        <f t="shared" si="43"/>
        <v>0.78761061946902655</v>
      </c>
      <c r="CH36" s="29">
        <f t="shared" si="43"/>
        <v>0.90393013100436681</v>
      </c>
      <c r="CI36" s="29">
        <f t="shared" si="43"/>
        <v>0.9</v>
      </c>
    </row>
    <row r="37" spans="1:87" x14ac:dyDescent="0.2">
      <c r="A37" s="26">
        <f t="shared" si="34"/>
        <v>2038</v>
      </c>
      <c r="B37" s="232">
        <f t="shared" si="41"/>
        <v>8.4450448079905875</v>
      </c>
      <c r="C37" s="232">
        <f t="shared" si="41"/>
        <v>3.8276440000000003</v>
      </c>
      <c r="D37" s="100">
        <f t="shared" si="0"/>
        <v>255.98470495696014</v>
      </c>
      <c r="E37" s="232">
        <f t="shared" si="37"/>
        <v>14.469203493086036</v>
      </c>
      <c r="F37" s="232">
        <f t="shared" si="37"/>
        <v>18.309606000000002</v>
      </c>
      <c r="G37" s="232">
        <f t="shared" si="37"/>
        <v>14.517706400364593</v>
      </c>
      <c r="H37" s="232">
        <f t="shared" si="37"/>
        <v>11.06057973867571</v>
      </c>
      <c r="I37" s="232">
        <f t="shared" si="37"/>
        <v>1.0049842523554628</v>
      </c>
      <c r="J37" s="232">
        <f t="shared" si="37"/>
        <v>436.09062498560399</v>
      </c>
      <c r="K37" s="232">
        <f t="shared" si="37"/>
        <v>401.66829141523135</v>
      </c>
      <c r="L37" s="100">
        <f t="shared" si="2"/>
        <v>328.8220282652922</v>
      </c>
      <c r="M37" s="100">
        <f t="shared" si="3"/>
        <v>315.35292909326915</v>
      </c>
      <c r="N37" s="100">
        <f t="shared" si="4"/>
        <v>69.107843105692154</v>
      </c>
      <c r="O37" s="100">
        <f t="shared" si="5"/>
        <v>680.95361676514312</v>
      </c>
      <c r="P37" s="100">
        <f t="shared" si="29"/>
        <v>222.41911680256794</v>
      </c>
      <c r="Q37" s="100">
        <f t="shared" si="30"/>
        <v>659.55875184885201</v>
      </c>
      <c r="R37" s="101">
        <f t="shared" si="38"/>
        <v>1134.813245113535</v>
      </c>
      <c r="S37" s="101">
        <f t="shared" si="38"/>
        <v>7341.0405577836091</v>
      </c>
      <c r="T37" s="72"/>
      <c r="U37" s="23">
        <v>2036</v>
      </c>
      <c r="V37" s="229">
        <f>V36*(1+W36)</f>
        <v>0.30219750958039387</v>
      </c>
      <c r="W37" s="53">
        <f t="shared" si="19"/>
        <v>-1.2094586682394048E-3</v>
      </c>
      <c r="X37" s="229">
        <f>X36*(1+Y36)</f>
        <v>0.23042724375690624</v>
      </c>
      <c r="Y37" s="53">
        <f t="shared" si="19"/>
        <v>7.6419865857384472E-3</v>
      </c>
      <c r="Z37" s="229">
        <f>Z36*(1+AA36)</f>
        <v>2.9738929897300471E-2</v>
      </c>
      <c r="AA37" s="53">
        <f t="shared" si="19"/>
        <v>7.4818177709652378E-3</v>
      </c>
      <c r="AB37" s="229">
        <f>AB36*(1+AC36)</f>
        <v>0.11827536347614717</v>
      </c>
      <c r="AC37" s="53">
        <f t="shared" si="35"/>
        <v>-7.461516992457895E-3</v>
      </c>
      <c r="AD37" s="229">
        <f>AD36*(1+AE36)</f>
        <v>0.29946112267207781</v>
      </c>
      <c r="AE37" s="53">
        <f t="shared" si="35"/>
        <v>-9.2571088191168993E-3</v>
      </c>
      <c r="AF37" s="229">
        <f>AF36*(1+AG36)</f>
        <v>0.64330366761291058</v>
      </c>
      <c r="AG37" s="53">
        <f t="shared" si="21"/>
        <v>2.2888132921969895E-3</v>
      </c>
      <c r="AH37" s="229">
        <f>AH36*(1+AI36)</f>
        <v>0.23042724375690624</v>
      </c>
      <c r="AI37" s="53">
        <f t="shared" si="22"/>
        <v>7.6419865857384472E-3</v>
      </c>
      <c r="AJ37" s="229">
        <f>AJ36*(1+AK36)</f>
        <v>5.6694335374442822E-2</v>
      </c>
      <c r="AK37" s="229">
        <f>AK36*(1+AL36)</f>
        <v>0.92118095801059563</v>
      </c>
      <c r="AL37" s="53">
        <f t="shared" si="23"/>
        <v>5.607744432998274E-4</v>
      </c>
      <c r="AM37" s="229">
        <f>AM36*(1+AN36)</f>
        <v>0.70081505011137812</v>
      </c>
      <c r="AN37" s="53">
        <f t="shared" si="24"/>
        <v>4.3613395487278606E-3</v>
      </c>
      <c r="AO37" s="229">
        <f>AO36*(1+AP36)</f>
        <v>0.73221333808425293</v>
      </c>
      <c r="AP37" s="53">
        <f t="shared" ref="AP37:AP43" si="44">AO37/AO36-1</f>
        <v>1.379991459619756E-3</v>
      </c>
      <c r="AQ37" s="229">
        <f>AQ36*(1+AR36)</f>
        <v>1.6978209292236957</v>
      </c>
      <c r="AR37" s="53">
        <f t="shared" ref="AR37:AR43" si="45">AQ37/AQ36-1</f>
        <v>9.507558258399218E-4</v>
      </c>
      <c r="AS37" s="229">
        <f>AS36*(1+AT36)</f>
        <v>0.86806291774487565</v>
      </c>
      <c r="AT37" s="53">
        <f t="shared" si="26"/>
        <v>1.1841799289467048E-3</v>
      </c>
      <c r="AU37" s="229">
        <f>AU36*(1+AV36)</f>
        <v>1.1979187939166078</v>
      </c>
      <c r="AV37" s="53">
        <f t="shared" si="39"/>
        <v>-1.5591207384801908E-4</v>
      </c>
      <c r="AW37" s="229">
        <f>AW36*(1+AX36)</f>
        <v>0.45783590465465801</v>
      </c>
      <c r="AX37" s="53">
        <f t="shared" si="27"/>
        <v>-5.0824542253702365E-4</v>
      </c>
      <c r="AY37" s="229">
        <f>AY36*(1+AZ36)</f>
        <v>3.7233461549025932</v>
      </c>
      <c r="AZ37" s="53">
        <f t="shared" si="40"/>
        <v>4.5369743895582459E-3</v>
      </c>
      <c r="BA37" s="229">
        <f>BA36*(1+BB36)</f>
        <v>0.40454260571266226</v>
      </c>
      <c r="BB37" s="53">
        <f t="shared" si="28"/>
        <v>-3.6175935280461369E-3</v>
      </c>
      <c r="BC37" s="230">
        <f>BC36</f>
        <v>1</v>
      </c>
      <c r="BD37" s="230">
        <f>BD36</f>
        <v>1</v>
      </c>
      <c r="BE37" s="105">
        <f t="shared" ref="BE37:BE43" si="46">AU37-1</f>
        <v>0.19791879391660783</v>
      </c>
      <c r="BO37" s="26"/>
      <c r="BP37" s="29"/>
      <c r="BQ37" s="29"/>
      <c r="BR37" s="29"/>
      <c r="BS37" s="29"/>
      <c r="BT37" s="29"/>
      <c r="BU37" s="29"/>
      <c r="BV37" s="29"/>
      <c r="BW37" s="29"/>
      <c r="BX37" s="29"/>
      <c r="BZ37" s="26"/>
      <c r="CA37" s="29"/>
      <c r="CB37" s="29"/>
      <c r="CC37" s="29"/>
      <c r="CD37" s="29"/>
      <c r="CE37" s="29"/>
      <c r="CF37" s="29"/>
      <c r="CG37" s="29"/>
      <c r="CH37" s="29"/>
      <c r="CI37" s="29"/>
    </row>
    <row r="38" spans="1:87" x14ac:dyDescent="0.2">
      <c r="A38" s="26">
        <f t="shared" si="34"/>
        <v>2039</v>
      </c>
      <c r="B38" s="232">
        <f t="shared" si="41"/>
        <v>8.4472369485368102</v>
      </c>
      <c r="C38" s="232">
        <f t="shared" si="41"/>
        <v>3.8405910000000003</v>
      </c>
      <c r="D38" s="100">
        <f t="shared" si="0"/>
        <v>248.13617785818846</v>
      </c>
      <c r="E38" s="232">
        <f t="shared" si="37"/>
        <v>14.476057668414796</v>
      </c>
      <c r="F38" s="232">
        <f t="shared" si="37"/>
        <v>18.402593000000003</v>
      </c>
      <c r="G38" s="232">
        <f t="shared" si="37"/>
        <v>14.524426430171294</v>
      </c>
      <c r="H38" s="232">
        <f t="shared" si="37"/>
        <v>11.060542589174499</v>
      </c>
      <c r="I38" s="232">
        <f t="shared" si="37"/>
        <v>1.005789557526102</v>
      </c>
      <c r="J38" s="232">
        <f t="shared" si="37"/>
        <v>435.00388108547043</v>
      </c>
      <c r="K38" s="232">
        <f t="shared" si="37"/>
        <v>400.97450203793818</v>
      </c>
      <c r="L38" s="100">
        <f t="shared" si="2"/>
        <v>328.75626342449397</v>
      </c>
      <c r="M38" s="100">
        <f t="shared" si="3"/>
        <v>315.35323057508066</v>
      </c>
      <c r="N38" s="100">
        <f t="shared" si="4"/>
        <v>69.10953297117247</v>
      </c>
      <c r="O38" s="100">
        <f t="shared" si="5"/>
        <v>682.67302997548063</v>
      </c>
      <c r="P38" s="100">
        <f t="shared" si="29"/>
        <v>223.45873880155131</v>
      </c>
      <c r="Q38" s="100">
        <f t="shared" si="30"/>
        <v>658.9226666405882</v>
      </c>
      <c r="R38" s="101">
        <f t="shared" si="38"/>
        <v>1135.7869402079475</v>
      </c>
      <c r="S38" s="101">
        <f t="shared" si="38"/>
        <v>7455.6825235468532</v>
      </c>
      <c r="T38" s="72"/>
      <c r="U38" s="23">
        <v>2037</v>
      </c>
      <c r="V38" s="229">
        <f t="shared" ref="V38:V43" si="47">V37*(1+W37)</f>
        <v>0.3018320141829115</v>
      </c>
      <c r="W38" s="53">
        <f t="shared" ref="W38:W43" si="48">V38/V37-1</f>
        <v>-1.2094586682394048E-3</v>
      </c>
      <c r="X38" s="229">
        <f t="shared" ref="X38:X43" si="49">X37*(1+Y37)</f>
        <v>0.23218816566268519</v>
      </c>
      <c r="Y38" s="53">
        <f t="shared" ref="Y38:AA43" si="50">X38/X37-1</f>
        <v>7.6419865857384472E-3</v>
      </c>
      <c r="Z38" s="229">
        <f t="shared" ref="Z38:AB43" si="51">Z37*(1+AA37)</f>
        <v>2.9961431151495584E-2</v>
      </c>
      <c r="AA38" s="53">
        <f t="shared" si="50"/>
        <v>7.4818177709652378E-3</v>
      </c>
      <c r="AB38" s="229">
        <f t="shared" si="51"/>
        <v>0.11739284984178076</v>
      </c>
      <c r="AC38" s="53">
        <f t="shared" si="35"/>
        <v>-7.461516992457895E-3</v>
      </c>
      <c r="AD38" s="229">
        <f t="shared" ref="AD38:AD43" si="52">AD37*(1+AE37)</f>
        <v>0.29668897847240749</v>
      </c>
      <c r="AE38" s="53">
        <f t="shared" si="35"/>
        <v>-9.2571088191167883E-3</v>
      </c>
      <c r="AF38" s="229">
        <f t="shared" ref="AF38:AF43" si="53">AF37*(1+AG37)</f>
        <v>0.64477606959826206</v>
      </c>
      <c r="AG38" s="53">
        <f t="shared" si="21"/>
        <v>2.2888132921969895E-3</v>
      </c>
      <c r="AH38" s="229">
        <f t="shared" ref="AH38:AH43" si="54">AH37*(1+AI37)</f>
        <v>0.23218816566268519</v>
      </c>
      <c r="AI38" s="53">
        <f t="shared" si="22"/>
        <v>7.6419865857384472E-3</v>
      </c>
      <c r="AJ38" s="229">
        <f t="shared" ref="AJ38:AK43" si="55">AJ37*(1+AK37)</f>
        <v>0.10892007754844606</v>
      </c>
      <c r="AK38" s="229">
        <f t="shared" si="55"/>
        <v>0.92169753274950239</v>
      </c>
      <c r="AL38" s="53">
        <f t="shared" si="23"/>
        <v>5.607744432998274E-4</v>
      </c>
      <c r="AM38" s="229">
        <f t="shared" ref="AM38:AM43" si="56">AM37*(1+AN37)</f>
        <v>0.70387154250577255</v>
      </c>
      <c r="AN38" s="53">
        <f t="shared" si="24"/>
        <v>4.3613395487278606E-3</v>
      </c>
      <c r="AO38" s="229">
        <f t="shared" ref="AO38:AO43" si="57">AO37*(1+AP37)</f>
        <v>0.7332237862374289</v>
      </c>
      <c r="AP38" s="53">
        <f t="shared" si="44"/>
        <v>1.379991459619756E-3</v>
      </c>
      <c r="AQ38" s="229">
        <f t="shared" ref="AQ38:AQ43" si="58">AQ37*(1+AR37)</f>
        <v>1.699435142363388</v>
      </c>
      <c r="AR38" s="53">
        <f t="shared" si="45"/>
        <v>9.507558258399218E-4</v>
      </c>
      <c r="AS38" s="229">
        <f t="shared" ref="AS38:AS43" si="59">AS37*(1+AT37)</f>
        <v>0.86909086042913208</v>
      </c>
      <c r="AT38" s="53">
        <f t="shared" si="26"/>
        <v>1.1841799289467048E-3</v>
      </c>
      <c r="AU38" s="229">
        <f t="shared" ref="AU38:AU43" si="60">AU37*(1+AV37)</f>
        <v>1.1977320239131468</v>
      </c>
      <c r="AV38" s="53">
        <f t="shared" si="39"/>
        <v>-1.5591207384801908E-4</v>
      </c>
      <c r="AW38" s="229">
        <f t="shared" ref="AW38:AW43" si="61">AW37*(1+AX37)</f>
        <v>0.4576032116518442</v>
      </c>
      <c r="AX38" s="53">
        <f t="shared" si="27"/>
        <v>-5.0824542253702365E-4</v>
      </c>
      <c r="AY38" s="229">
        <f t="shared" ref="AY38:BA43" si="62">AY37*(1+AZ37)</f>
        <v>3.7402388810508467</v>
      </c>
      <c r="AZ38" s="53">
        <f t="shared" si="40"/>
        <v>4.5369743895582459E-3</v>
      </c>
      <c r="BA38" s="229">
        <f t="shared" si="62"/>
        <v>0.4030791350004172</v>
      </c>
      <c r="BB38" s="53">
        <f t="shared" si="28"/>
        <v>-3.6175935280461369E-3</v>
      </c>
      <c r="BC38" s="230">
        <f t="shared" ref="BC38:BD43" si="63">BC37</f>
        <v>1</v>
      </c>
      <c r="BD38" s="230">
        <f t="shared" si="63"/>
        <v>1</v>
      </c>
      <c r="BE38" s="105">
        <f t="shared" si="46"/>
        <v>0.19773202391314681</v>
      </c>
      <c r="BO38" s="26"/>
      <c r="BP38" s="29"/>
      <c r="BQ38" s="29"/>
      <c r="BR38" s="29"/>
      <c r="BS38" s="29"/>
      <c r="BT38" s="29"/>
      <c r="BU38" s="29"/>
      <c r="BV38" s="29"/>
      <c r="BW38" s="29"/>
      <c r="BX38" s="29"/>
      <c r="BZ38" s="26"/>
      <c r="CA38" s="29"/>
      <c r="CB38" s="29"/>
      <c r="CC38" s="29"/>
      <c r="CD38" s="29"/>
      <c r="CE38" s="29"/>
      <c r="CF38" s="29"/>
      <c r="CG38" s="29"/>
      <c r="CH38" s="29"/>
      <c r="CI38" s="29"/>
    </row>
    <row r="39" spans="1:87" x14ac:dyDescent="0.2">
      <c r="A39" s="26">
        <f t="shared" si="34"/>
        <v>2040</v>
      </c>
      <c r="B39" s="232">
        <f t="shared" si="41"/>
        <v>8.4494290890830328</v>
      </c>
      <c r="C39" s="232">
        <f t="shared" si="41"/>
        <v>3.8535380000000004</v>
      </c>
      <c r="D39" s="100">
        <f t="shared" si="0"/>
        <v>240.52828770540347</v>
      </c>
      <c r="E39" s="232">
        <f t="shared" si="37"/>
        <v>14.482911843743556</v>
      </c>
      <c r="F39" s="232">
        <f t="shared" si="37"/>
        <v>18.495580000000004</v>
      </c>
      <c r="G39" s="232">
        <f t="shared" si="37"/>
        <v>14.531146459977995</v>
      </c>
      <c r="H39" s="232">
        <f t="shared" si="37"/>
        <v>11.060505439673289</v>
      </c>
      <c r="I39" s="232">
        <f t="shared" si="37"/>
        <v>1.0065948626967411</v>
      </c>
      <c r="J39" s="232">
        <f t="shared" si="37"/>
        <v>433.91713718533686</v>
      </c>
      <c r="K39" s="232">
        <f t="shared" si="37"/>
        <v>400.28071266064501</v>
      </c>
      <c r="L39" s="100">
        <f t="shared" si="2"/>
        <v>328.69051173675098</v>
      </c>
      <c r="M39" s="100">
        <f t="shared" si="3"/>
        <v>315.35353205718042</v>
      </c>
      <c r="N39" s="100">
        <f t="shared" si="4"/>
        <v>69.111222877974356</v>
      </c>
      <c r="O39" s="100">
        <f t="shared" si="5"/>
        <v>684.39678471762738</v>
      </c>
      <c r="P39" s="100">
        <f t="shared" si="29"/>
        <v>224.50322015757334</v>
      </c>
      <c r="Q39" s="100">
        <f t="shared" si="30"/>
        <v>658.28719487940702</v>
      </c>
      <c r="R39" s="101">
        <f t="shared" si="38"/>
        <v>1136.7614707544849</v>
      </c>
      <c r="S39" s="101">
        <f t="shared" si="38"/>
        <v>7572.1148050304091</v>
      </c>
      <c r="T39" s="72"/>
      <c r="U39" s="23">
        <v>2038</v>
      </c>
      <c r="V39" s="229">
        <f t="shared" si="47"/>
        <v>0.3014669608370058</v>
      </c>
      <c r="W39" s="53">
        <f t="shared" si="48"/>
        <v>-1.2094586682394048E-3</v>
      </c>
      <c r="X39" s="229">
        <f t="shared" si="49"/>
        <v>0.23396254451004664</v>
      </c>
      <c r="Y39" s="53">
        <f t="shared" si="50"/>
        <v>7.6419865857384472E-3</v>
      </c>
      <c r="Z39" s="229">
        <f t="shared" si="51"/>
        <v>3.0185597119528396E-2</v>
      </c>
      <c r="AA39" s="53">
        <f t="shared" si="50"/>
        <v>7.4818177709652378E-3</v>
      </c>
      <c r="AB39" s="229">
        <f t="shared" si="51"/>
        <v>0.11651692109789326</v>
      </c>
      <c r="AC39" s="53">
        <f t="shared" si="35"/>
        <v>-7.461516992457895E-3</v>
      </c>
      <c r="AD39" s="229">
        <f t="shared" si="52"/>
        <v>0.29394249631325581</v>
      </c>
      <c r="AE39" s="53">
        <f t="shared" si="35"/>
        <v>-9.2571088191167883E-3</v>
      </c>
      <c r="AF39" s="229">
        <f t="shared" si="53"/>
        <v>0.64625184163684912</v>
      </c>
      <c r="AG39" s="53">
        <f t="shared" si="21"/>
        <v>2.2888132921969895E-3</v>
      </c>
      <c r="AH39" s="229">
        <f t="shared" si="54"/>
        <v>0.23396254451004664</v>
      </c>
      <c r="AI39" s="53">
        <f t="shared" si="22"/>
        <v>7.6419865857384472E-3</v>
      </c>
      <c r="AJ39" s="229">
        <f t="shared" si="55"/>
        <v>0.20931144429173323</v>
      </c>
      <c r="AK39" s="229">
        <f t="shared" si="55"/>
        <v>0.92221439717032083</v>
      </c>
      <c r="AL39" s="53">
        <f t="shared" si="23"/>
        <v>5.607744432998274E-4</v>
      </c>
      <c r="AM39" s="229">
        <f t="shared" si="56"/>
        <v>0.70694136530132701</v>
      </c>
      <c r="AN39" s="53">
        <f t="shared" si="24"/>
        <v>4.3613395487278606E-3</v>
      </c>
      <c r="AO39" s="229">
        <f t="shared" si="57"/>
        <v>0.73423562880042659</v>
      </c>
      <c r="AP39" s="53">
        <f t="shared" si="44"/>
        <v>1.379991459619756E-3</v>
      </c>
      <c r="AQ39" s="229">
        <f t="shared" si="58"/>
        <v>1.7010508902256272</v>
      </c>
      <c r="AR39" s="53">
        <f t="shared" si="45"/>
        <v>9.507558258399218E-4</v>
      </c>
      <c r="AS39" s="229">
        <f t="shared" si="59"/>
        <v>0.87012002038248326</v>
      </c>
      <c r="AT39" s="53">
        <f t="shared" si="26"/>
        <v>1.1841799289467048E-3</v>
      </c>
      <c r="AU39" s="229">
        <f t="shared" si="60"/>
        <v>1.1975452830293842</v>
      </c>
      <c r="AV39" s="53">
        <f t="shared" si="39"/>
        <v>-1.5591207384813011E-4</v>
      </c>
      <c r="AW39" s="229">
        <f t="shared" si="61"/>
        <v>0.45737063691418389</v>
      </c>
      <c r="AX39" s="53">
        <f t="shared" si="27"/>
        <v>-5.0824542253702365E-4</v>
      </c>
      <c r="AY39" s="229">
        <f t="shared" si="62"/>
        <v>3.7572082490650045</v>
      </c>
      <c r="AZ39" s="53">
        <f t="shared" si="40"/>
        <v>4.5369743895582459E-3</v>
      </c>
      <c r="BA39" s="229">
        <f t="shared" si="62"/>
        <v>0.40162095853034924</v>
      </c>
      <c r="BB39" s="53">
        <f t="shared" si="28"/>
        <v>-3.6175935280461369E-3</v>
      </c>
      <c r="BC39" s="230">
        <f t="shared" si="63"/>
        <v>1</v>
      </c>
      <c r="BD39" s="230">
        <f t="shared" si="63"/>
        <v>1</v>
      </c>
      <c r="BE39" s="105">
        <f t="shared" si="46"/>
        <v>0.19754528302938423</v>
      </c>
      <c r="BO39" s="26"/>
      <c r="BP39" s="29"/>
      <c r="BQ39" s="29"/>
      <c r="BR39" s="29"/>
      <c r="BS39" s="29"/>
      <c r="BT39" s="29"/>
      <c r="BU39" s="29"/>
      <c r="BV39" s="29"/>
      <c r="BW39" s="29"/>
      <c r="BX39" s="29"/>
      <c r="BZ39" s="26"/>
      <c r="CA39" s="29"/>
      <c r="CB39" s="29"/>
      <c r="CC39" s="29"/>
      <c r="CD39" s="29"/>
      <c r="CE39" s="29"/>
      <c r="CF39" s="29"/>
      <c r="CG39" s="29"/>
      <c r="CH39" s="29"/>
      <c r="CI39" s="29"/>
    </row>
    <row r="40" spans="1:87" x14ac:dyDescent="0.2">
      <c r="A40" s="26">
        <f t="shared" si="34"/>
        <v>2041</v>
      </c>
      <c r="B40" s="232">
        <f t="shared" si="41"/>
        <v>8.4516212296292554</v>
      </c>
      <c r="C40" s="232">
        <f t="shared" si="41"/>
        <v>3.8664850000000004</v>
      </c>
      <c r="D40" s="100">
        <f t="shared" si="0"/>
        <v>233.15365653595757</v>
      </c>
      <c r="E40" s="232">
        <f t="shared" si="37"/>
        <v>14.489766019072317</v>
      </c>
      <c r="F40" s="232">
        <f t="shared" si="37"/>
        <v>18.588567000000005</v>
      </c>
      <c r="G40" s="232">
        <f t="shared" si="37"/>
        <v>14.537866489784696</v>
      </c>
      <c r="H40" s="232">
        <f t="shared" si="37"/>
        <v>11.060468290172079</v>
      </c>
      <c r="I40" s="232">
        <f t="shared" si="37"/>
        <v>1.0074001678673803</v>
      </c>
      <c r="J40" s="232">
        <f t="shared" si="37"/>
        <v>432.83039328520329</v>
      </c>
      <c r="K40" s="232">
        <f t="shared" si="37"/>
        <v>399.58692328335184</v>
      </c>
      <c r="L40" s="100">
        <f t="shared" si="2"/>
        <v>328.62477319943252</v>
      </c>
      <c r="M40" s="100">
        <f t="shared" si="3"/>
        <v>315.35383353956837</v>
      </c>
      <c r="N40" s="100">
        <f t="shared" si="4"/>
        <v>69.112912826098835</v>
      </c>
      <c r="O40" s="100">
        <f t="shared" si="5"/>
        <v>686.12489195398507</v>
      </c>
      <c r="P40" s="100">
        <f t="shared" si="29"/>
        <v>225.55258358403458</v>
      </c>
      <c r="Q40" s="100">
        <f t="shared" si="30"/>
        <v>657.65233597369388</v>
      </c>
      <c r="R40" s="101">
        <f t="shared" si="38"/>
        <v>1137.7368374699838</v>
      </c>
      <c r="S40" s="101">
        <f t="shared" si="38"/>
        <v>7690.3653608474915</v>
      </c>
      <c r="T40" s="72"/>
      <c r="U40" s="23">
        <v>2039</v>
      </c>
      <c r="V40" s="229">
        <f t="shared" si="47"/>
        <v>0.30110234900803368</v>
      </c>
      <c r="W40" s="53">
        <f t="shared" si="48"/>
        <v>-1.2094586682395159E-3</v>
      </c>
      <c r="X40" s="229">
        <f t="shared" si="49"/>
        <v>0.23575048313675764</v>
      </c>
      <c r="Y40" s="53">
        <f t="shared" si="50"/>
        <v>7.6419865857384472E-3</v>
      </c>
      <c r="Z40" s="229">
        <f t="shared" si="51"/>
        <v>3.0411440256484481E-2</v>
      </c>
      <c r="AA40" s="53">
        <f t="shared" si="50"/>
        <v>7.4818177709652378E-3</v>
      </c>
      <c r="AB40" s="229">
        <f t="shared" si="51"/>
        <v>0.11564752811121246</v>
      </c>
      <c r="AC40" s="53">
        <f t="shared" si="35"/>
        <v>-7.461516992457895E-3</v>
      </c>
      <c r="AD40" s="229">
        <f t="shared" si="52"/>
        <v>0.29122143863832117</v>
      </c>
      <c r="AE40" s="53">
        <f t="shared" si="35"/>
        <v>-9.2571088191167883E-3</v>
      </c>
      <c r="AF40" s="229">
        <f t="shared" si="53"/>
        <v>0.64773099144209434</v>
      </c>
      <c r="AG40" s="53">
        <f t="shared" si="21"/>
        <v>2.2888132921969895E-3</v>
      </c>
      <c r="AH40" s="229">
        <f t="shared" si="54"/>
        <v>0.23575048313675764</v>
      </c>
      <c r="AI40" s="53">
        <f t="shared" si="22"/>
        <v>7.6419865857384472E-3</v>
      </c>
      <c r="AJ40" s="229">
        <f t="shared" si="55"/>
        <v>0.40234147171008322</v>
      </c>
      <c r="AK40" s="229">
        <f t="shared" si="55"/>
        <v>0.92273155143549712</v>
      </c>
      <c r="AL40" s="53">
        <f t="shared" si="23"/>
        <v>5.607744432998274E-4</v>
      </c>
      <c r="AM40" s="229">
        <f t="shared" si="56"/>
        <v>0.71002457663644736</v>
      </c>
      <c r="AN40" s="53">
        <f t="shared" si="24"/>
        <v>4.3613395487278606E-3</v>
      </c>
      <c r="AO40" s="229">
        <f t="shared" si="57"/>
        <v>0.73524886769751974</v>
      </c>
      <c r="AP40" s="53">
        <f t="shared" si="44"/>
        <v>1.379991459619756E-3</v>
      </c>
      <c r="AQ40" s="229">
        <f t="shared" si="58"/>
        <v>1.7026681742695593</v>
      </c>
      <c r="AR40" s="53">
        <f t="shared" si="45"/>
        <v>9.507558258399218E-4</v>
      </c>
      <c r="AS40" s="229">
        <f t="shared" si="59"/>
        <v>0.87115039904639491</v>
      </c>
      <c r="AT40" s="53">
        <f t="shared" si="26"/>
        <v>1.1841799289467048E-3</v>
      </c>
      <c r="AU40" s="229">
        <f t="shared" si="60"/>
        <v>1.1973585712607802</v>
      </c>
      <c r="AV40" s="53">
        <f t="shared" si="39"/>
        <v>-1.5591207384801908E-4</v>
      </c>
      <c r="AW40" s="229">
        <f t="shared" si="61"/>
        <v>0.45713818038156939</v>
      </c>
      <c r="AX40" s="53">
        <f t="shared" si="27"/>
        <v>-5.0824542253702365E-4</v>
      </c>
      <c r="AY40" s="229">
        <f t="shared" si="62"/>
        <v>3.7742546066672493</v>
      </c>
      <c r="AZ40" s="53">
        <f t="shared" si="40"/>
        <v>4.5369743895582459E-3</v>
      </c>
      <c r="BA40" s="229">
        <f t="shared" si="62"/>
        <v>0.40016805715004217</v>
      </c>
      <c r="BB40" s="53">
        <f t="shared" si="28"/>
        <v>-3.6175935280461369E-3</v>
      </c>
      <c r="BC40" s="230">
        <f t="shared" si="63"/>
        <v>1</v>
      </c>
      <c r="BD40" s="230">
        <f t="shared" si="63"/>
        <v>1</v>
      </c>
      <c r="BE40" s="105">
        <f t="shared" si="46"/>
        <v>0.19735857126078016</v>
      </c>
      <c r="BO40" s="26"/>
      <c r="BP40" s="29"/>
      <c r="BQ40" s="29"/>
      <c r="BR40" s="29"/>
      <c r="BS40" s="29"/>
      <c r="BT40" s="29"/>
      <c r="BU40" s="29"/>
      <c r="BV40" s="29"/>
      <c r="BW40" s="29"/>
      <c r="BX40" s="29"/>
      <c r="BZ40" s="26"/>
      <c r="CA40" s="29"/>
      <c r="CB40" s="29"/>
      <c r="CC40" s="29"/>
      <c r="CD40" s="29"/>
      <c r="CE40" s="29"/>
      <c r="CF40" s="29"/>
      <c r="CG40" s="29"/>
      <c r="CH40" s="29"/>
      <c r="CI40" s="29"/>
    </row>
    <row r="41" spans="1:87" x14ac:dyDescent="0.2">
      <c r="A41" s="26">
        <f t="shared" si="34"/>
        <v>2042</v>
      </c>
      <c r="B41" s="232">
        <f t="shared" si="41"/>
        <v>8.4538133701754781</v>
      </c>
      <c r="C41" s="232">
        <f t="shared" si="41"/>
        <v>3.8794320000000004</v>
      </c>
      <c r="D41" s="100">
        <f t="shared" si="0"/>
        <v>226.00513259657671</v>
      </c>
      <c r="E41" s="232">
        <f t="shared" si="37"/>
        <v>14.496620194401077</v>
      </c>
      <c r="F41" s="232">
        <f t="shared" si="37"/>
        <v>18.681554000000006</v>
      </c>
      <c r="G41" s="232">
        <f t="shared" si="37"/>
        <v>14.544586519591396</v>
      </c>
      <c r="H41" s="232">
        <f t="shared" si="37"/>
        <v>11.060431140670868</v>
      </c>
      <c r="I41" s="232">
        <f t="shared" si="37"/>
        <v>1.0082054730380194</v>
      </c>
      <c r="J41" s="232">
        <f t="shared" si="37"/>
        <v>431.74364938506972</v>
      </c>
      <c r="K41" s="232">
        <f t="shared" si="37"/>
        <v>398.89313390605867</v>
      </c>
      <c r="L41" s="100">
        <f t="shared" si="2"/>
        <v>328.55904780990846</v>
      </c>
      <c r="M41" s="100">
        <f t="shared" si="3"/>
        <v>315.35413502224458</v>
      </c>
      <c r="N41" s="100">
        <f t="shared" si="4"/>
        <v>69.114602815546931</v>
      </c>
      <c r="O41" s="100">
        <f t="shared" si="5"/>
        <v>687.85736267463608</v>
      </c>
      <c r="P41" s="100">
        <f t="shared" si="29"/>
        <v>226.60685190050145</v>
      </c>
      <c r="Q41" s="100">
        <f t="shared" si="30"/>
        <v>657.01808933240477</v>
      </c>
      <c r="R41" s="101">
        <f t="shared" si="38"/>
        <v>1138.7130410718958</v>
      </c>
      <c r="S41" s="101">
        <f t="shared" si="38"/>
        <v>7810.4625862292987</v>
      </c>
      <c r="T41" s="72"/>
      <c r="U41" s="23">
        <v>2040</v>
      </c>
      <c r="V41" s="229">
        <f t="shared" si="47"/>
        <v>0.3007381781619986</v>
      </c>
      <c r="W41" s="53">
        <f t="shared" si="48"/>
        <v>-1.2094586682396269E-3</v>
      </c>
      <c r="X41" s="229">
        <f t="shared" si="49"/>
        <v>0.23755208516647011</v>
      </c>
      <c r="Y41" s="53">
        <f t="shared" si="50"/>
        <v>7.6419865857384472E-3</v>
      </c>
      <c r="Z41" s="229">
        <f t="shared" si="51"/>
        <v>3.0638973110636094E-2</v>
      </c>
      <c r="AA41" s="53">
        <f t="shared" si="50"/>
        <v>7.4818177709652378E-3</v>
      </c>
      <c r="AB41" s="229">
        <f t="shared" si="51"/>
        <v>0.1147846221150749</v>
      </c>
      <c r="AC41" s="53">
        <f t="shared" si="35"/>
        <v>-7.461516992457895E-3</v>
      </c>
      <c r="AD41" s="229">
        <f t="shared" si="52"/>
        <v>0.28852557009038649</v>
      </c>
      <c r="AE41" s="53">
        <f t="shared" si="35"/>
        <v>-9.2571088191167883E-3</v>
      </c>
      <c r="AF41" s="229">
        <f t="shared" si="53"/>
        <v>0.64921352674507493</v>
      </c>
      <c r="AG41" s="53">
        <f t="shared" si="21"/>
        <v>2.2888132921969895E-3</v>
      </c>
      <c r="AH41" s="229">
        <f t="shared" si="54"/>
        <v>0.23755208516647011</v>
      </c>
      <c r="AI41" s="53">
        <f t="shared" si="22"/>
        <v>7.6419865857384472E-3</v>
      </c>
      <c r="AJ41" s="229">
        <f t="shared" si="55"/>
        <v>0.77359464210796947</v>
      </c>
      <c r="AK41" s="229">
        <f t="shared" si="55"/>
        <v>0.92324899570756858</v>
      </c>
      <c r="AL41" s="53">
        <f t="shared" si="23"/>
        <v>5.607744432998274E-4</v>
      </c>
      <c r="AM41" s="229">
        <f t="shared" si="56"/>
        <v>0.71312123490310064</v>
      </c>
      <c r="AN41" s="53">
        <f t="shared" si="24"/>
        <v>4.3613395487278606E-3</v>
      </c>
      <c r="AO41" s="229">
        <f t="shared" si="57"/>
        <v>0.73626350485563741</v>
      </c>
      <c r="AP41" s="53">
        <f t="shared" si="44"/>
        <v>1.379991459619756E-3</v>
      </c>
      <c r="AQ41" s="229">
        <f t="shared" si="58"/>
        <v>1.7042869959557183</v>
      </c>
      <c r="AR41" s="53">
        <f t="shared" si="45"/>
        <v>9.507558258399218E-4</v>
      </c>
      <c r="AS41" s="229">
        <f t="shared" si="59"/>
        <v>0.8721819978640396</v>
      </c>
      <c r="AT41" s="53">
        <f t="shared" si="26"/>
        <v>1.1841799289467048E-3</v>
      </c>
      <c r="AU41" s="229">
        <f t="shared" si="60"/>
        <v>1.1971718886027951</v>
      </c>
      <c r="AV41" s="53">
        <f t="shared" si="39"/>
        <v>-1.5591207384813011E-4</v>
      </c>
      <c r="AW41" s="229">
        <f t="shared" si="61"/>
        <v>0.45690584199392353</v>
      </c>
      <c r="AX41" s="53">
        <f t="shared" si="27"/>
        <v>-5.0824542253702365E-4</v>
      </c>
      <c r="AY41" s="229">
        <f t="shared" si="62"/>
        <v>3.7913783031573707</v>
      </c>
      <c r="AZ41" s="53">
        <f t="shared" si="40"/>
        <v>4.5369743895582459E-3</v>
      </c>
      <c r="BA41" s="229">
        <f t="shared" si="62"/>
        <v>0.39872041177636536</v>
      </c>
      <c r="BB41" s="53">
        <f t="shared" si="28"/>
        <v>-3.6175935280461369E-3</v>
      </c>
      <c r="BC41" s="230">
        <f t="shared" si="63"/>
        <v>1</v>
      </c>
      <c r="BD41" s="230">
        <f t="shared" si="63"/>
        <v>1</v>
      </c>
      <c r="BE41" s="105">
        <f t="shared" si="46"/>
        <v>0.19717188860279511</v>
      </c>
      <c r="BO41" s="26"/>
      <c r="BP41" s="29"/>
      <c r="BQ41" s="29"/>
      <c r="BR41" s="29"/>
      <c r="BS41" s="29"/>
      <c r="BT41" s="29"/>
      <c r="BU41" s="29"/>
      <c r="BV41" s="29"/>
      <c r="BW41" s="29"/>
      <c r="BX41" s="29"/>
      <c r="BZ41" s="26"/>
      <c r="CA41" s="29"/>
      <c r="CB41" s="29"/>
      <c r="CC41" s="29"/>
      <c r="CD41" s="29"/>
      <c r="CE41" s="29"/>
      <c r="CF41" s="29"/>
      <c r="CG41" s="29"/>
      <c r="CH41" s="29"/>
      <c r="CI41" s="29"/>
    </row>
    <row r="42" spans="1:87" x14ac:dyDescent="0.2">
      <c r="R42" s="73"/>
      <c r="S42" s="73"/>
      <c r="T42" s="72"/>
      <c r="U42" s="23">
        <v>2041</v>
      </c>
      <c r="V42" s="229">
        <f t="shared" si="47"/>
        <v>0.30037444776555</v>
      </c>
      <c r="W42" s="53">
        <f t="shared" si="48"/>
        <v>-1.2094586682395159E-3</v>
      </c>
      <c r="X42" s="229">
        <f t="shared" si="49"/>
        <v>0.23936745501472648</v>
      </c>
      <c r="Y42" s="53">
        <f t="shared" si="50"/>
        <v>7.6419865857384472E-3</v>
      </c>
      <c r="Z42" s="229">
        <f t="shared" si="51"/>
        <v>3.0868208324139376E-2</v>
      </c>
      <c r="AA42" s="53">
        <f t="shared" si="50"/>
        <v>7.4818177709652378E-3</v>
      </c>
      <c r="AB42" s="229">
        <f t="shared" si="51"/>
        <v>0.1139281547066904</v>
      </c>
      <c r="AC42" s="53">
        <f t="shared" si="35"/>
        <v>-7.461516992457895E-3</v>
      </c>
      <c r="AD42" s="229">
        <f t="shared" si="52"/>
        <v>0.28585465749096206</v>
      </c>
      <c r="AE42" s="53">
        <f t="shared" si="35"/>
        <v>-9.2571088191167883E-3</v>
      </c>
      <c r="AF42" s="229">
        <f t="shared" si="53"/>
        <v>0.65069945529456319</v>
      </c>
      <c r="AG42" s="53">
        <f t="shared" si="21"/>
        <v>2.2888132921969895E-3</v>
      </c>
      <c r="AH42" s="229">
        <f t="shared" si="54"/>
        <v>0.23936745501472648</v>
      </c>
      <c r="AI42" s="53">
        <f t="shared" si="22"/>
        <v>7.6419865857384472E-3</v>
      </c>
      <c r="AJ42" s="229">
        <f t="shared" si="55"/>
        <v>1.4878151185189081</v>
      </c>
      <c r="AK42" s="229">
        <f t="shared" si="55"/>
        <v>0.92376673014916366</v>
      </c>
      <c r="AL42" s="53">
        <f t="shared" si="23"/>
        <v>5.607744432998274E-4</v>
      </c>
      <c r="AM42" s="229">
        <f t="shared" si="56"/>
        <v>0.71623139874792119</v>
      </c>
      <c r="AN42" s="53">
        <f t="shared" si="24"/>
        <v>4.3613395487278606E-3</v>
      </c>
      <c r="AO42" s="229">
        <f t="shared" si="57"/>
        <v>0.73727954220436787</v>
      </c>
      <c r="AP42" s="53">
        <f t="shared" si="44"/>
        <v>1.379991459619756E-3</v>
      </c>
      <c r="AQ42" s="229">
        <f t="shared" si="58"/>
        <v>1.7059073567460263</v>
      </c>
      <c r="AR42" s="53">
        <f t="shared" si="45"/>
        <v>9.507558258399218E-4</v>
      </c>
      <c r="AS42" s="229">
        <f t="shared" si="59"/>
        <v>0.87321481828029879</v>
      </c>
      <c r="AT42" s="53">
        <f t="shared" si="26"/>
        <v>1.1841799289467048E-3</v>
      </c>
      <c r="AU42" s="229">
        <f t="shared" si="60"/>
        <v>1.1969852350508903</v>
      </c>
      <c r="AV42" s="53">
        <f t="shared" si="39"/>
        <v>-1.5591207384824113E-4</v>
      </c>
      <c r="AW42" s="229">
        <f t="shared" si="61"/>
        <v>0.45667362169119968</v>
      </c>
      <c r="AX42" s="53">
        <f t="shared" si="27"/>
        <v>-5.0824542253702365E-4</v>
      </c>
      <c r="AY42" s="229">
        <f t="shared" si="62"/>
        <v>3.8085796894199224</v>
      </c>
      <c r="AZ42" s="53">
        <f t="shared" si="40"/>
        <v>4.5369743895582459E-3</v>
      </c>
      <c r="BA42" s="229">
        <f t="shared" si="62"/>
        <v>0.39727800339522329</v>
      </c>
      <c r="BB42" s="53">
        <f t="shared" si="28"/>
        <v>-3.6175935280461369E-3</v>
      </c>
      <c r="BC42" s="230">
        <f t="shared" si="63"/>
        <v>1</v>
      </c>
      <c r="BD42" s="230">
        <f t="shared" si="63"/>
        <v>1</v>
      </c>
      <c r="BE42" s="105">
        <f t="shared" si="46"/>
        <v>0.19698523505089027</v>
      </c>
      <c r="BO42" s="26">
        <v>2023</v>
      </c>
      <c r="BP42" s="29">
        <f t="shared" ref="BP42:BX54" si="64">BP103/BP$79</f>
        <v>1.1741176470588235</v>
      </c>
      <c r="BQ42" s="29">
        <f t="shared" si="64"/>
        <v>1.0565400843881856</v>
      </c>
      <c r="BR42" s="29">
        <f t="shared" si="64"/>
        <v>1.0739348370927317</v>
      </c>
      <c r="BS42" s="29">
        <f t="shared" si="64"/>
        <v>0.99119241192411933</v>
      </c>
      <c r="BT42" s="29">
        <f t="shared" si="64"/>
        <v>1.1194029850746268</v>
      </c>
      <c r="BU42" s="29">
        <f t="shared" si="64"/>
        <v>0.99361249112845995</v>
      </c>
      <c r="BV42" s="29">
        <f t="shared" si="64"/>
        <v>0.92073490813648284</v>
      </c>
      <c r="BW42" s="29">
        <f t="shared" si="64"/>
        <v>1.0279635258358664</v>
      </c>
      <c r="BX42" s="29">
        <f t="shared" si="64"/>
        <v>0.9527198779867817</v>
      </c>
      <c r="BZ42" s="26">
        <v>2023</v>
      </c>
      <c r="CA42" s="29">
        <f t="shared" ref="CA42:CI54" si="65">CA103/CA$79</f>
        <v>0.89446721311475419</v>
      </c>
      <c r="CB42" s="29">
        <f t="shared" si="65"/>
        <v>0.86283704572098485</v>
      </c>
      <c r="CC42" s="29">
        <f t="shared" si="65"/>
        <v>0.81756756756756754</v>
      </c>
      <c r="CD42" s="29">
        <f t="shared" si="65"/>
        <v>0.83243967828418231</v>
      </c>
      <c r="CE42" s="29">
        <f t="shared" si="65"/>
        <v>0.83536585365853666</v>
      </c>
      <c r="CF42" s="29">
        <f t="shared" si="65"/>
        <v>0.82723112128146459</v>
      </c>
      <c r="CG42" s="29">
        <f t="shared" si="65"/>
        <v>0.80278128950695316</v>
      </c>
      <c r="CH42" s="29">
        <f t="shared" si="65"/>
        <v>0.91994177583697234</v>
      </c>
      <c r="CI42" s="29">
        <f t="shared" si="65"/>
        <v>0.91486486486486474</v>
      </c>
    </row>
    <row r="43" spans="1:87" x14ac:dyDescent="0.2">
      <c r="A43" s="74" t="s">
        <v>126</v>
      </c>
      <c r="B43" s="309" t="s">
        <v>127</v>
      </c>
      <c r="C43" s="309"/>
      <c r="D43" s="309"/>
      <c r="E43" s="309"/>
      <c r="F43" s="309"/>
      <c r="S43" s="311"/>
      <c r="T43" s="72"/>
      <c r="U43" s="23">
        <v>2042</v>
      </c>
      <c r="V43" s="229">
        <f t="shared" si="47"/>
        <v>0.30001115728598232</v>
      </c>
      <c r="W43" s="53">
        <f t="shared" si="48"/>
        <v>-1.2094586682394048E-3</v>
      </c>
      <c r="X43" s="229">
        <f t="shared" si="49"/>
        <v>0.24119669789501136</v>
      </c>
      <c r="Y43" s="53">
        <f t="shared" si="50"/>
        <v>7.6419865857384472E-3</v>
      </c>
      <c r="Z43" s="229">
        <f t="shared" si="51"/>
        <v>3.109915863373678E-2</v>
      </c>
      <c r="AA43" s="53">
        <f t="shared" si="50"/>
        <v>7.4818177709652378E-3</v>
      </c>
      <c r="AB43" s="229">
        <f t="shared" si="51"/>
        <v>0.11307807784442706</v>
      </c>
      <c r="AC43" s="53">
        <f t="shared" si="35"/>
        <v>-7.461516992458006E-3</v>
      </c>
      <c r="AD43" s="229">
        <f t="shared" si="52"/>
        <v>0.28320846982011688</v>
      </c>
      <c r="AE43" s="53">
        <f t="shared" si="35"/>
        <v>-9.2571088191167883E-3</v>
      </c>
      <c r="AF43" s="229">
        <f t="shared" si="53"/>
        <v>0.65218878485706677</v>
      </c>
      <c r="AG43" s="53">
        <f t="shared" si="21"/>
        <v>2.2888132921969895E-3</v>
      </c>
      <c r="AH43" s="229">
        <f t="shared" si="54"/>
        <v>0.24119669789501136</v>
      </c>
      <c r="AI43" s="53">
        <f t="shared" si="22"/>
        <v>7.6419865857384472E-3</v>
      </c>
      <c r="AJ43" s="229">
        <f t="shared" si="55"/>
        <v>2.8622092256196101</v>
      </c>
      <c r="AK43" s="229">
        <f t="shared" si="55"/>
        <v>0.92428475492300199</v>
      </c>
      <c r="AL43" s="53">
        <f t="shared" si="23"/>
        <v>5.607744432998274E-4</v>
      </c>
      <c r="AM43" s="229">
        <f t="shared" si="56"/>
        <v>0.71935512707332117</v>
      </c>
      <c r="AN43" s="53">
        <f t="shared" si="24"/>
        <v>4.3613395487278606E-3</v>
      </c>
      <c r="AO43" s="229">
        <f t="shared" si="57"/>
        <v>0.73829698167596225</v>
      </c>
      <c r="AP43" s="53">
        <f t="shared" si="44"/>
        <v>1.379991459619756E-3</v>
      </c>
      <c r="AQ43" s="229">
        <f t="shared" si="58"/>
        <v>1.7075292581037957</v>
      </c>
      <c r="AR43" s="53">
        <f t="shared" si="45"/>
        <v>9.507558258399218E-4</v>
      </c>
      <c r="AS43" s="229">
        <f t="shared" si="59"/>
        <v>0.87424886174176519</v>
      </c>
      <c r="AT43" s="53">
        <f t="shared" si="26"/>
        <v>1.1841799289467048E-3</v>
      </c>
      <c r="AU43" s="229">
        <f t="shared" si="60"/>
        <v>1.1967986106005277</v>
      </c>
      <c r="AV43" s="53">
        <f t="shared" si="39"/>
        <v>-1.5591207384824113E-4</v>
      </c>
      <c r="AW43" s="229">
        <f t="shared" si="61"/>
        <v>0.45644151941338174</v>
      </c>
      <c r="AX43" s="53">
        <f t="shared" si="27"/>
        <v>-5.0824542253702365E-4</v>
      </c>
      <c r="AY43" s="229">
        <f t="shared" si="62"/>
        <v>3.8258591179314121</v>
      </c>
      <c r="AZ43" s="53">
        <f t="shared" si="40"/>
        <v>4.5369743895582459E-3</v>
      </c>
      <c r="BA43" s="229">
        <f t="shared" si="62"/>
        <v>0.39584081306130564</v>
      </c>
      <c r="BB43" s="53">
        <f t="shared" si="28"/>
        <v>-3.6175935280461369E-3</v>
      </c>
      <c r="BC43" s="230">
        <f t="shared" si="63"/>
        <v>1</v>
      </c>
      <c r="BD43" s="230">
        <f t="shared" si="63"/>
        <v>1</v>
      </c>
      <c r="BE43" s="105">
        <f t="shared" si="46"/>
        <v>0.19679861060052772</v>
      </c>
      <c r="BO43" s="26">
        <v>2024</v>
      </c>
      <c r="BP43" s="29">
        <f t="shared" si="64"/>
        <v>1.1592156862745098</v>
      </c>
      <c r="BQ43" s="29">
        <f t="shared" si="64"/>
        <v>1.0510548523206751</v>
      </c>
      <c r="BR43" s="29">
        <f t="shared" si="64"/>
        <v>1.0689223057644108</v>
      </c>
      <c r="BS43" s="29">
        <f t="shared" si="64"/>
        <v>0.98644986449864502</v>
      </c>
      <c r="BT43" s="29">
        <f t="shared" si="64"/>
        <v>1.1170149253731343</v>
      </c>
      <c r="BU43" s="29">
        <f t="shared" si="64"/>
        <v>0.98367636621717525</v>
      </c>
      <c r="BV43" s="29">
        <f t="shared" si="64"/>
        <v>0.92965879265091866</v>
      </c>
      <c r="BW43" s="29">
        <f t="shared" si="64"/>
        <v>1.0358662613981764</v>
      </c>
      <c r="BX43" s="29">
        <f t="shared" si="64"/>
        <v>0.9527198779867817</v>
      </c>
      <c r="BZ43" s="26">
        <v>2024</v>
      </c>
      <c r="CA43" s="29">
        <f t="shared" si="65"/>
        <v>0.90573770491803274</v>
      </c>
      <c r="CB43" s="29">
        <f t="shared" si="65"/>
        <v>0.87221570926143033</v>
      </c>
      <c r="CC43" s="29">
        <f t="shared" si="65"/>
        <v>0.83378378378378371</v>
      </c>
      <c r="CD43" s="29">
        <f t="shared" si="65"/>
        <v>0.84584450402144762</v>
      </c>
      <c r="CE43" s="29">
        <f t="shared" si="65"/>
        <v>0.84857723577235766</v>
      </c>
      <c r="CF43" s="29">
        <f t="shared" si="65"/>
        <v>0.84324942791762014</v>
      </c>
      <c r="CG43" s="29">
        <f t="shared" si="65"/>
        <v>0.81668773704171937</v>
      </c>
      <c r="CH43" s="29">
        <f t="shared" si="65"/>
        <v>0.93595342066957787</v>
      </c>
      <c r="CI43" s="29">
        <f t="shared" si="65"/>
        <v>0.92837837837837833</v>
      </c>
    </row>
    <row r="44" spans="1:87" x14ac:dyDescent="0.2">
      <c r="A44" s="74"/>
      <c r="B44" s="312" t="s">
        <v>128</v>
      </c>
      <c r="C44" s="312"/>
      <c r="D44" s="312"/>
      <c r="E44" s="312"/>
      <c r="F44" s="312"/>
      <c r="S44" s="311"/>
      <c r="T44" s="30"/>
      <c r="BO44" s="26">
        <v>2025</v>
      </c>
      <c r="BP44" s="29">
        <f t="shared" si="64"/>
        <v>1.1439215686274511</v>
      </c>
      <c r="BQ44" s="29">
        <f t="shared" si="64"/>
        <v>1.0464135021097047</v>
      </c>
      <c r="BR44" s="29">
        <f t="shared" si="64"/>
        <v>1.0670426065162908</v>
      </c>
      <c r="BS44" s="29">
        <f t="shared" si="64"/>
        <v>0.98170731707317072</v>
      </c>
      <c r="BT44" s="29">
        <f t="shared" si="64"/>
        <v>1.1200000000000001</v>
      </c>
      <c r="BU44" s="29">
        <f t="shared" si="64"/>
        <v>0.98225691980127749</v>
      </c>
      <c r="BV44" s="29">
        <f t="shared" si="64"/>
        <v>0.93910761154855638</v>
      </c>
      <c r="BW44" s="29">
        <f t="shared" si="64"/>
        <v>1.0486322188449848</v>
      </c>
      <c r="BX44" s="29">
        <f t="shared" si="64"/>
        <v>0.9537366548042705</v>
      </c>
      <c r="BZ44" s="26">
        <v>2025</v>
      </c>
      <c r="CA44" s="29">
        <f t="shared" si="65"/>
        <v>0.91905737704918045</v>
      </c>
      <c r="CB44" s="29">
        <f t="shared" si="65"/>
        <v>0.88511137162954279</v>
      </c>
      <c r="CC44" s="29">
        <f t="shared" si="65"/>
        <v>0.84864864864864864</v>
      </c>
      <c r="CD44" s="29">
        <f t="shared" si="65"/>
        <v>0.85924932975871315</v>
      </c>
      <c r="CE44" s="29">
        <f t="shared" si="65"/>
        <v>0.86178861788617889</v>
      </c>
      <c r="CF44" s="29">
        <f t="shared" si="65"/>
        <v>0.85812356979405036</v>
      </c>
      <c r="CG44" s="29">
        <f t="shared" si="65"/>
        <v>0.82932996207332488</v>
      </c>
      <c r="CH44" s="29">
        <f t="shared" si="65"/>
        <v>0.95050946142649206</v>
      </c>
      <c r="CI44" s="29">
        <f t="shared" si="65"/>
        <v>0.94189189189189182</v>
      </c>
    </row>
    <row r="45" spans="1:87" x14ac:dyDescent="0.2">
      <c r="A45" s="309" t="s">
        <v>171</v>
      </c>
      <c r="B45" s="313" t="s">
        <v>172</v>
      </c>
      <c r="C45" s="314"/>
      <c r="D45" s="314"/>
      <c r="E45" s="315"/>
      <c r="F45" s="315"/>
      <c r="S45" s="311"/>
      <c r="T45" s="30"/>
      <c r="U45" s="8"/>
      <c r="V45" s="76" t="s">
        <v>78</v>
      </c>
      <c r="W45" s="76"/>
      <c r="X45" s="8"/>
      <c r="Y45" s="76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O45" s="26">
        <v>2026</v>
      </c>
      <c r="BP45" s="29">
        <f t="shared" si="64"/>
        <v>1.1199999999999999</v>
      </c>
      <c r="BQ45" s="29">
        <f t="shared" si="64"/>
        <v>1.0400843881856541</v>
      </c>
      <c r="BR45" s="29">
        <f t="shared" si="64"/>
        <v>1.0651629072681703</v>
      </c>
      <c r="BS45" s="29">
        <f t="shared" si="64"/>
        <v>0.98306233062330628</v>
      </c>
      <c r="BT45" s="29">
        <f t="shared" si="64"/>
        <v>1.1241791044776119</v>
      </c>
      <c r="BU45" s="29">
        <f t="shared" si="64"/>
        <v>0.98509581263307322</v>
      </c>
      <c r="BV45" s="29">
        <f t="shared" si="64"/>
        <v>0.94803149606299197</v>
      </c>
      <c r="BW45" s="29">
        <f t="shared" si="64"/>
        <v>1.0595744680851065</v>
      </c>
      <c r="BX45" s="29">
        <f t="shared" si="64"/>
        <v>0.94661921708185048</v>
      </c>
      <c r="BZ45" s="26">
        <v>2026</v>
      </c>
      <c r="CA45" s="29">
        <f t="shared" si="65"/>
        <v>0.92930327868852469</v>
      </c>
      <c r="CB45" s="29">
        <f t="shared" si="65"/>
        <v>0.89449003516998837</v>
      </c>
      <c r="CC45" s="29">
        <f t="shared" si="65"/>
        <v>0.86081081081081079</v>
      </c>
      <c r="CD45" s="29">
        <f t="shared" si="65"/>
        <v>0.87131367292225204</v>
      </c>
      <c r="CE45" s="29">
        <f t="shared" si="65"/>
        <v>0.87296747967479671</v>
      </c>
      <c r="CF45" s="29">
        <f t="shared" si="65"/>
        <v>0.86956521739130432</v>
      </c>
      <c r="CG45" s="29">
        <f t="shared" si="65"/>
        <v>0.83944374209860928</v>
      </c>
      <c r="CH45" s="29">
        <f t="shared" si="65"/>
        <v>0.96797671033478894</v>
      </c>
      <c r="CI45" s="29">
        <f t="shared" si="65"/>
        <v>0.95405405405405397</v>
      </c>
    </row>
    <row r="46" spans="1:87" x14ac:dyDescent="0.2">
      <c r="A46" s="74" t="s">
        <v>129</v>
      </c>
      <c r="B46" s="314" t="s">
        <v>130</v>
      </c>
      <c r="C46" s="74"/>
      <c r="D46" s="74"/>
      <c r="E46" s="315"/>
      <c r="F46" s="315"/>
      <c r="G46" s="30"/>
      <c r="H46" s="30"/>
      <c r="I46" s="30"/>
      <c r="J46" s="30"/>
      <c r="K46" s="30"/>
      <c r="L46" s="30"/>
      <c r="S46" s="311"/>
      <c r="T46" s="30"/>
      <c r="U46" s="8"/>
      <c r="V46" s="8" t="s">
        <v>36</v>
      </c>
      <c r="W46" s="8"/>
      <c r="X46" s="8" t="s">
        <v>39</v>
      </c>
      <c r="Y46" s="8"/>
      <c r="Z46" s="66" t="s">
        <v>166</v>
      </c>
      <c r="AA46" s="66"/>
      <c r="AB46" s="66" t="s">
        <v>145</v>
      </c>
      <c r="AC46" s="66"/>
      <c r="AD46" s="8" t="s">
        <v>4</v>
      </c>
      <c r="AE46" s="66"/>
      <c r="AF46" s="8" t="s">
        <v>2</v>
      </c>
      <c r="AG46" s="66"/>
      <c r="AH46" s="8" t="s">
        <v>40</v>
      </c>
      <c r="AI46" s="66"/>
      <c r="AJ46" s="66" t="s">
        <v>167</v>
      </c>
      <c r="AK46" s="8" t="s">
        <v>41</v>
      </c>
      <c r="AL46" s="66"/>
      <c r="AM46" s="8" t="s">
        <v>42</v>
      </c>
      <c r="AN46" s="66"/>
      <c r="AO46" s="8" t="s">
        <v>5</v>
      </c>
      <c r="AP46" s="66"/>
      <c r="AQ46" s="8" t="s">
        <v>43</v>
      </c>
      <c r="AR46" s="66"/>
      <c r="AS46" s="8" t="s">
        <v>44</v>
      </c>
      <c r="AT46" s="66"/>
      <c r="AU46" s="8" t="s">
        <v>45</v>
      </c>
      <c r="AV46" s="8"/>
      <c r="AW46" s="8" t="s">
        <v>9</v>
      </c>
      <c r="AX46" s="66"/>
      <c r="AY46" s="66" t="s">
        <v>100</v>
      </c>
      <c r="AZ46" s="66"/>
      <c r="BA46" s="66" t="s">
        <v>173</v>
      </c>
      <c r="BB46" s="66"/>
      <c r="BC46" s="8" t="s">
        <v>46</v>
      </c>
      <c r="BD46" s="8" t="s">
        <v>14</v>
      </c>
      <c r="BE46" s="111"/>
      <c r="BO46" s="26">
        <v>2027</v>
      </c>
      <c r="BP46" s="29">
        <f t="shared" si="64"/>
        <v>1.0992156862745099</v>
      </c>
      <c r="BQ46" s="29">
        <f t="shared" si="64"/>
        <v>1.0350210970464135</v>
      </c>
      <c r="BR46" s="29">
        <f t="shared" si="64"/>
        <v>1.0639097744360901</v>
      </c>
      <c r="BS46" s="29">
        <f t="shared" si="64"/>
        <v>0.97831978319783197</v>
      </c>
      <c r="BT46" s="29">
        <f t="shared" si="64"/>
        <v>1.1259701492537313</v>
      </c>
      <c r="BU46" s="29">
        <f t="shared" si="64"/>
        <v>0.98509581263307322</v>
      </c>
      <c r="BV46" s="29">
        <f t="shared" si="64"/>
        <v>0.95800524934383202</v>
      </c>
      <c r="BW46" s="29">
        <f t="shared" si="64"/>
        <v>1.0711246200607905</v>
      </c>
      <c r="BX46" s="29">
        <f t="shared" si="64"/>
        <v>0.93085917641077764</v>
      </c>
      <c r="BZ46" s="26">
        <v>2027</v>
      </c>
      <c r="CA46" s="29">
        <f t="shared" si="65"/>
        <v>0.94057377049180324</v>
      </c>
      <c r="CB46" s="29">
        <f t="shared" si="65"/>
        <v>0.90504103165298944</v>
      </c>
      <c r="CC46" s="29">
        <f t="shared" si="65"/>
        <v>0.8716216216216216</v>
      </c>
      <c r="CD46" s="29">
        <f t="shared" si="65"/>
        <v>0.88203753351206438</v>
      </c>
      <c r="CE46" s="29">
        <f t="shared" si="65"/>
        <v>0.88516260162601634</v>
      </c>
      <c r="CF46" s="29">
        <f t="shared" si="65"/>
        <v>0.88215102974828374</v>
      </c>
      <c r="CG46" s="29">
        <f t="shared" si="65"/>
        <v>0.84829329962073319</v>
      </c>
      <c r="CH46" s="29">
        <f t="shared" si="65"/>
        <v>0.98398835516739447</v>
      </c>
      <c r="CI46" s="29">
        <f t="shared" si="65"/>
        <v>0.96486486486486478</v>
      </c>
    </row>
    <row r="47" spans="1:87" x14ac:dyDescent="0.2">
      <c r="A47" s="309"/>
      <c r="B47" s="74" t="s">
        <v>131</v>
      </c>
      <c r="C47" s="314"/>
      <c r="D47" s="314"/>
      <c r="E47" s="315"/>
      <c r="F47" s="315"/>
      <c r="G47" s="30"/>
      <c r="H47" s="77"/>
      <c r="I47" s="30"/>
      <c r="J47" s="23"/>
      <c r="K47" s="30"/>
      <c r="L47" s="77"/>
      <c r="N47" s="23"/>
      <c r="P47" s="77"/>
      <c r="Q47" s="77"/>
      <c r="R47" s="77"/>
      <c r="S47" s="311"/>
      <c r="T47" s="20"/>
      <c r="U47" s="8" t="s">
        <v>15</v>
      </c>
      <c r="V47" s="78" t="s">
        <v>47</v>
      </c>
      <c r="W47" s="78"/>
      <c r="X47" s="78" t="s">
        <v>47</v>
      </c>
      <c r="Y47" s="78"/>
      <c r="Z47" s="78" t="s">
        <v>47</v>
      </c>
      <c r="AA47" s="78"/>
      <c r="AB47" s="78" t="s">
        <v>47</v>
      </c>
      <c r="AC47" s="78"/>
      <c r="AD47" s="78" t="s">
        <v>47</v>
      </c>
      <c r="AE47" s="78"/>
      <c r="AF47" s="78" t="s">
        <v>47</v>
      </c>
      <c r="AG47" s="78"/>
      <c r="AH47" s="78" t="s">
        <v>47</v>
      </c>
      <c r="AI47" s="78"/>
      <c r="AJ47" s="78" t="s">
        <v>47</v>
      </c>
      <c r="AK47" s="78" t="s">
        <v>47</v>
      </c>
      <c r="AL47" s="78"/>
      <c r="AM47" s="78" t="s">
        <v>47</v>
      </c>
      <c r="AN47" s="78"/>
      <c r="AO47" s="78" t="s">
        <v>47</v>
      </c>
      <c r="AP47" s="78"/>
      <c r="AQ47" s="78" t="s">
        <v>47</v>
      </c>
      <c r="AR47" s="78"/>
      <c r="AS47" s="78" t="s">
        <v>47</v>
      </c>
      <c r="AT47" s="78"/>
      <c r="AU47" s="78" t="s">
        <v>47</v>
      </c>
      <c r="AV47" s="78"/>
      <c r="AW47" s="78" t="s">
        <v>47</v>
      </c>
      <c r="AX47" s="78"/>
      <c r="AY47" s="78" t="s">
        <v>47</v>
      </c>
      <c r="AZ47" s="78"/>
      <c r="BA47" s="78" t="s">
        <v>47</v>
      </c>
      <c r="BB47" s="78"/>
      <c r="BC47" s="78" t="s">
        <v>47</v>
      </c>
      <c r="BD47" s="78" t="s">
        <v>47</v>
      </c>
      <c r="BE47" s="47"/>
      <c r="BO47" s="26">
        <v>2028</v>
      </c>
      <c r="BP47" s="29">
        <f t="shared" si="64"/>
        <v>1.083921568627451</v>
      </c>
      <c r="BQ47" s="29">
        <f t="shared" si="64"/>
        <v>1.029957805907173</v>
      </c>
      <c r="BR47" s="29">
        <f t="shared" si="64"/>
        <v>1.068295739348371</v>
      </c>
      <c r="BS47" s="29">
        <f t="shared" si="64"/>
        <v>0.9789972899728997</v>
      </c>
      <c r="BT47" s="29">
        <f t="shared" si="64"/>
        <v>1.1253731343283584</v>
      </c>
      <c r="BU47" s="29">
        <f t="shared" si="64"/>
        <v>0.98651525904897097</v>
      </c>
      <c r="BV47" s="29">
        <f t="shared" si="64"/>
        <v>0.96902887139107607</v>
      </c>
      <c r="BW47" s="29">
        <f t="shared" si="64"/>
        <v>1.0784194528875379</v>
      </c>
      <c r="BX47" s="29">
        <f t="shared" si="64"/>
        <v>0.91814946619217064</v>
      </c>
      <c r="BZ47" s="26">
        <v>2028</v>
      </c>
      <c r="CA47" s="29">
        <f t="shared" si="65"/>
        <v>0.95081967213114749</v>
      </c>
      <c r="CB47" s="29">
        <f t="shared" si="65"/>
        <v>0.91441969519343502</v>
      </c>
      <c r="CC47" s="29">
        <f t="shared" si="65"/>
        <v>0.88108108108108096</v>
      </c>
      <c r="CD47" s="29">
        <f t="shared" si="65"/>
        <v>0.89142091152815017</v>
      </c>
      <c r="CE47" s="29">
        <f t="shared" si="65"/>
        <v>0.89329268292682917</v>
      </c>
      <c r="CF47" s="29">
        <f t="shared" si="65"/>
        <v>0.88901601830663612</v>
      </c>
      <c r="CG47" s="29">
        <f t="shared" si="65"/>
        <v>0.85208596713021489</v>
      </c>
      <c r="CH47" s="29">
        <f t="shared" si="65"/>
        <v>0.99854439592430866</v>
      </c>
      <c r="CI47" s="29">
        <f t="shared" si="65"/>
        <v>0.97702702702702704</v>
      </c>
    </row>
    <row r="48" spans="1:87" x14ac:dyDescent="0.2">
      <c r="A48" s="74" t="s">
        <v>132</v>
      </c>
      <c r="B48" s="314" t="s">
        <v>133</v>
      </c>
      <c r="C48" s="74"/>
      <c r="D48" s="74"/>
      <c r="E48" s="315"/>
      <c r="F48" s="315"/>
      <c r="G48" s="30"/>
      <c r="H48" s="30"/>
      <c r="I48" s="30"/>
      <c r="J48" s="79"/>
      <c r="K48" s="30"/>
      <c r="L48" s="30"/>
      <c r="N48" s="79"/>
      <c r="S48" s="311"/>
      <c r="T48" s="20"/>
      <c r="U48" s="23">
        <v>2005</v>
      </c>
      <c r="V48" s="39">
        <v>2334318</v>
      </c>
      <c r="W48" s="39"/>
      <c r="X48" s="145">
        <v>1005312</v>
      </c>
      <c r="Y48" s="39"/>
      <c r="Z48" s="145">
        <v>33013</v>
      </c>
      <c r="AA48" s="145"/>
      <c r="AB48" s="39">
        <v>1037052</v>
      </c>
      <c r="AC48" s="39"/>
      <c r="AD48" s="39">
        <v>3020635</v>
      </c>
      <c r="AE48" s="39"/>
      <c r="AF48" s="39">
        <v>4146518</v>
      </c>
      <c r="AG48" s="39"/>
      <c r="AH48" s="39">
        <f>X48</f>
        <v>1005312</v>
      </c>
      <c r="AI48" s="39"/>
      <c r="AJ48" s="39">
        <f>Z48</f>
        <v>33013</v>
      </c>
      <c r="AK48" s="39">
        <v>6197830</v>
      </c>
      <c r="AL48" s="39"/>
      <c r="AM48" s="39">
        <v>4069566</v>
      </c>
      <c r="AN48" s="39"/>
      <c r="AO48" s="39">
        <v>4698168</v>
      </c>
      <c r="AP48" s="39"/>
      <c r="AQ48" s="39">
        <v>11381568</v>
      </c>
      <c r="AR48" s="39"/>
      <c r="AS48" s="39">
        <v>5661733</v>
      </c>
      <c r="AT48" s="39"/>
      <c r="AU48" s="39">
        <v>8281028</v>
      </c>
      <c r="AV48" s="39"/>
      <c r="AW48" s="39">
        <v>3160777</v>
      </c>
      <c r="AX48" s="39"/>
      <c r="AY48" s="39">
        <v>22146485</v>
      </c>
      <c r="AZ48" s="39"/>
      <c r="BA48" s="133">
        <v>3251769</v>
      </c>
      <c r="BB48" s="133"/>
      <c r="BC48" s="55">
        <f>'LE StructuralVars'!I12</f>
        <v>6892754</v>
      </c>
      <c r="BD48" s="55">
        <f>BC48</f>
        <v>6892754</v>
      </c>
      <c r="BE48" s="47"/>
      <c r="BO48" s="26">
        <v>2029</v>
      </c>
      <c r="BP48" s="29">
        <f t="shared" si="64"/>
        <v>1.0725490196078431</v>
      </c>
      <c r="BQ48" s="29">
        <f t="shared" si="64"/>
        <v>1.0274261603375527</v>
      </c>
      <c r="BR48" s="29">
        <f t="shared" si="64"/>
        <v>1.0733082706766917</v>
      </c>
      <c r="BS48" s="29">
        <f t="shared" si="64"/>
        <v>0.98238482384823844</v>
      </c>
      <c r="BT48" s="29">
        <f t="shared" si="64"/>
        <v>1.1247761194029851</v>
      </c>
      <c r="BU48" s="29">
        <f t="shared" si="64"/>
        <v>0.98793470546486872</v>
      </c>
      <c r="BV48" s="29">
        <f t="shared" si="64"/>
        <v>0.97742782152230978</v>
      </c>
      <c r="BW48" s="29">
        <f t="shared" si="64"/>
        <v>1.0881458966565349</v>
      </c>
      <c r="BX48" s="29">
        <f t="shared" si="64"/>
        <v>0.91560752414844937</v>
      </c>
      <c r="BZ48" s="26">
        <v>2029</v>
      </c>
      <c r="CA48" s="29">
        <f t="shared" si="65"/>
        <v>0.96413934426229508</v>
      </c>
      <c r="CB48" s="29">
        <f t="shared" si="65"/>
        <v>0.92497069167643609</v>
      </c>
      <c r="CC48" s="29">
        <f t="shared" si="65"/>
        <v>0.88918918918918921</v>
      </c>
      <c r="CD48" s="29">
        <f t="shared" si="65"/>
        <v>0.90080428954423586</v>
      </c>
      <c r="CE48" s="29">
        <f t="shared" si="65"/>
        <v>0.90142276422764223</v>
      </c>
      <c r="CF48" s="29">
        <f t="shared" si="65"/>
        <v>0.89473684210526316</v>
      </c>
      <c r="CG48" s="29">
        <f t="shared" si="65"/>
        <v>0.85461441213653599</v>
      </c>
      <c r="CH48" s="29">
        <f t="shared" si="65"/>
        <v>1.0116448326055314</v>
      </c>
      <c r="CI48" s="29">
        <f t="shared" si="65"/>
        <v>0.98918918918918919</v>
      </c>
    </row>
    <row r="49" spans="1:87" x14ac:dyDescent="0.2">
      <c r="A49" s="309"/>
      <c r="B49" s="74" t="s">
        <v>134</v>
      </c>
      <c r="C49" s="314"/>
      <c r="D49" s="314"/>
      <c r="E49" s="315"/>
      <c r="F49" s="315"/>
      <c r="G49" s="30"/>
      <c r="H49" s="72"/>
      <c r="I49" s="30"/>
      <c r="J49" s="80"/>
      <c r="K49" s="72"/>
      <c r="L49" s="72"/>
      <c r="N49" s="80"/>
      <c r="O49" s="72"/>
      <c r="P49" s="72"/>
      <c r="Q49" s="72"/>
      <c r="R49" s="72"/>
      <c r="S49" s="311"/>
      <c r="T49" s="20"/>
      <c r="U49" s="23">
        <v>2006</v>
      </c>
      <c r="V49" s="39">
        <v>2330237</v>
      </c>
      <c r="W49" s="39"/>
      <c r="X49" s="145">
        <v>1034090.5</v>
      </c>
      <c r="Y49" s="39"/>
      <c r="Z49" s="145">
        <v>35854.5</v>
      </c>
      <c r="AA49" s="145"/>
      <c r="AB49" s="39">
        <v>1102520</v>
      </c>
      <c r="AC49" s="39"/>
      <c r="AD49" s="39">
        <v>3002667</v>
      </c>
      <c r="AE49" s="39"/>
      <c r="AF49" s="39">
        <v>4170981</v>
      </c>
      <c r="AG49" s="39"/>
      <c r="AH49" s="39">
        <f t="shared" ref="AH49:AH78" si="66">X49</f>
        <v>1034090.5</v>
      </c>
      <c r="AI49" s="39"/>
      <c r="AJ49" s="39">
        <f t="shared" ref="AJ49:AJ78" si="67">Z49</f>
        <v>35854.5</v>
      </c>
      <c r="AK49" s="39">
        <v>6231706</v>
      </c>
      <c r="AL49" s="39"/>
      <c r="AM49" s="39">
        <v>4107179</v>
      </c>
      <c r="AN49" s="39"/>
      <c r="AO49" s="39">
        <v>4736333</v>
      </c>
      <c r="AP49" s="39"/>
      <c r="AQ49" s="39">
        <v>11439904</v>
      </c>
      <c r="AR49" s="39"/>
      <c r="AS49" s="39">
        <v>5698605</v>
      </c>
      <c r="AT49" s="39"/>
      <c r="AU49" s="39">
        <v>8323559</v>
      </c>
      <c r="AV49" s="39"/>
      <c r="AW49" s="39">
        <v>3176623</v>
      </c>
      <c r="AX49" s="39"/>
      <c r="AY49" s="39">
        <v>22496939</v>
      </c>
      <c r="AZ49" s="39"/>
      <c r="BA49" s="133">
        <v>3258945</v>
      </c>
      <c r="BB49" s="133"/>
      <c r="BC49" s="55">
        <f>'LE StructuralVars'!I13</f>
        <v>6937029</v>
      </c>
      <c r="BD49" s="55">
        <f t="shared" ref="BD49:BD73" si="68">BC49</f>
        <v>6937029</v>
      </c>
      <c r="BE49" s="89"/>
      <c r="BO49" s="26">
        <v>2030</v>
      </c>
      <c r="BP49" s="29">
        <f t="shared" si="64"/>
        <v>1.0631372549019609</v>
      </c>
      <c r="BQ49" s="29">
        <f t="shared" si="64"/>
        <v>1.0244725738396625</v>
      </c>
      <c r="BR49" s="29">
        <f t="shared" si="64"/>
        <v>1.0739348370927317</v>
      </c>
      <c r="BS49" s="29">
        <f t="shared" si="64"/>
        <v>0.98102981029810299</v>
      </c>
      <c r="BT49" s="29">
        <f t="shared" si="64"/>
        <v>1.1217910447761195</v>
      </c>
      <c r="BU49" s="29">
        <f t="shared" si="64"/>
        <v>0.98083747338537974</v>
      </c>
      <c r="BV49" s="29">
        <f t="shared" si="64"/>
        <v>0.97322834645669287</v>
      </c>
      <c r="BW49" s="29">
        <f t="shared" si="64"/>
        <v>1.0960486322188452</v>
      </c>
      <c r="BX49" s="29">
        <f t="shared" si="64"/>
        <v>0.9105236400610065</v>
      </c>
      <c r="BZ49" s="26">
        <v>2030</v>
      </c>
      <c r="CA49" s="29">
        <f t="shared" si="65"/>
        <v>0.97745901639344257</v>
      </c>
      <c r="CB49" s="29">
        <f t="shared" si="65"/>
        <v>0.93786635404454877</v>
      </c>
      <c r="CC49" s="29">
        <f t="shared" si="65"/>
        <v>0.89729729729729724</v>
      </c>
      <c r="CD49" s="29">
        <f t="shared" si="65"/>
        <v>0.91018766756032177</v>
      </c>
      <c r="CE49" s="29">
        <f t="shared" si="65"/>
        <v>0.90955284552845528</v>
      </c>
      <c r="CF49" s="29">
        <f t="shared" si="65"/>
        <v>0.90389016018306634</v>
      </c>
      <c r="CG49" s="29">
        <f t="shared" si="65"/>
        <v>0.8596713021491782</v>
      </c>
      <c r="CH49" s="29">
        <f t="shared" si="65"/>
        <v>1.0232896652110626</v>
      </c>
      <c r="CI49" s="29">
        <f t="shared" si="65"/>
        <v>1</v>
      </c>
    </row>
    <row r="50" spans="1:87" x14ac:dyDescent="0.2">
      <c r="A50" s="74" t="s">
        <v>135</v>
      </c>
      <c r="B50" s="314" t="s">
        <v>136</v>
      </c>
      <c r="C50" s="74"/>
      <c r="D50" s="74"/>
      <c r="E50" s="315"/>
      <c r="F50" s="315"/>
      <c r="G50" s="72"/>
      <c r="H50" s="72"/>
      <c r="I50" s="81"/>
      <c r="J50" s="80"/>
      <c r="K50" s="72"/>
      <c r="L50" s="72"/>
      <c r="M50" s="81"/>
      <c r="N50" s="80"/>
      <c r="O50" s="72"/>
      <c r="P50" s="72"/>
      <c r="Q50" s="72"/>
      <c r="R50" s="72"/>
      <c r="S50" s="311"/>
      <c r="T50" s="20"/>
      <c r="U50" s="23">
        <v>2007</v>
      </c>
      <c r="V50" s="39">
        <v>2334707</v>
      </c>
      <c r="W50" s="39"/>
      <c r="X50" s="145">
        <v>1074565.5</v>
      </c>
      <c r="Y50" s="39"/>
      <c r="Z50" s="145">
        <v>43652.5</v>
      </c>
      <c r="AA50" s="145"/>
      <c r="AB50" s="39">
        <v>1098820</v>
      </c>
      <c r="AC50" s="39"/>
      <c r="AD50" s="39">
        <v>2985438</v>
      </c>
      <c r="AE50" s="39"/>
      <c r="AF50" s="39">
        <v>4222384</v>
      </c>
      <c r="AG50" s="39"/>
      <c r="AH50" s="39">
        <f t="shared" si="66"/>
        <v>1074565.5</v>
      </c>
      <c r="AI50" s="39"/>
      <c r="AJ50" s="39">
        <f t="shared" si="67"/>
        <v>43652.5</v>
      </c>
      <c r="AK50" s="39">
        <v>6297383</v>
      </c>
      <c r="AL50" s="39"/>
      <c r="AM50" s="39">
        <v>4172403</v>
      </c>
      <c r="AN50" s="39"/>
      <c r="AO50" s="39">
        <v>4799067</v>
      </c>
      <c r="AP50" s="39"/>
      <c r="AQ50" s="39">
        <v>11554997</v>
      </c>
      <c r="AR50" s="39"/>
      <c r="AS50" s="39">
        <v>5768232</v>
      </c>
      <c r="AT50" s="39"/>
      <c r="AU50" s="39">
        <v>8404143</v>
      </c>
      <c r="AV50" s="39"/>
      <c r="AW50" s="39">
        <v>3207197</v>
      </c>
      <c r="AX50" s="39"/>
      <c r="AY50" s="39">
        <v>24042661</v>
      </c>
      <c r="AZ50" s="39"/>
      <c r="BA50" s="133">
        <v>3273072</v>
      </c>
      <c r="BB50" s="133"/>
      <c r="BC50" s="55">
        <f>'LE StructuralVars'!I14</f>
        <v>7003392</v>
      </c>
      <c r="BD50" s="55">
        <f t="shared" si="68"/>
        <v>7003392</v>
      </c>
      <c r="BE50" s="89"/>
      <c r="BO50" s="26">
        <v>2031</v>
      </c>
      <c r="BP50" s="29">
        <f t="shared" si="64"/>
        <v>1.0564705882352943</v>
      </c>
      <c r="BQ50" s="29">
        <f t="shared" si="64"/>
        <v>1.0244725738396625</v>
      </c>
      <c r="BR50" s="29">
        <f t="shared" si="64"/>
        <v>1.0789473684210524</v>
      </c>
      <c r="BS50" s="29">
        <f t="shared" si="64"/>
        <v>0.98170731707317072</v>
      </c>
      <c r="BT50" s="29">
        <f t="shared" si="64"/>
        <v>1.1235820895522388</v>
      </c>
      <c r="BU50" s="29">
        <f t="shared" si="64"/>
        <v>0.98296664300922643</v>
      </c>
      <c r="BV50" s="29">
        <f t="shared" si="64"/>
        <v>0.98110236220472447</v>
      </c>
      <c r="BW50" s="29">
        <f t="shared" si="64"/>
        <v>1.103951367781155</v>
      </c>
      <c r="BX50" s="29">
        <f t="shared" si="64"/>
        <v>0.90543975597356363</v>
      </c>
      <c r="BZ50" s="26">
        <v>2031</v>
      </c>
      <c r="CA50" s="29">
        <f t="shared" si="65"/>
        <v>0.99077868852459017</v>
      </c>
      <c r="CB50" s="29">
        <f t="shared" si="65"/>
        <v>0.94958968347010553</v>
      </c>
      <c r="CC50" s="29">
        <f t="shared" si="65"/>
        <v>0.9094594594594595</v>
      </c>
      <c r="CD50" s="29">
        <f t="shared" si="65"/>
        <v>0.92091152815013411</v>
      </c>
      <c r="CE50" s="29">
        <f t="shared" si="65"/>
        <v>0.92073170731707321</v>
      </c>
      <c r="CF50" s="29">
        <f t="shared" si="65"/>
        <v>0.9176201372997711</v>
      </c>
      <c r="CG50" s="29">
        <f t="shared" si="65"/>
        <v>0.8710493046776232</v>
      </c>
      <c r="CH50" s="29">
        <f t="shared" si="65"/>
        <v>1.0378457059679767</v>
      </c>
      <c r="CI50" s="29">
        <f t="shared" si="65"/>
        <v>1.0108108108108109</v>
      </c>
    </row>
    <row r="51" spans="1:87" x14ac:dyDescent="0.2">
      <c r="A51" s="309"/>
      <c r="B51" s="74" t="s">
        <v>137</v>
      </c>
      <c r="C51" s="72"/>
      <c r="D51" s="72"/>
      <c r="E51" s="80"/>
      <c r="F51" s="80"/>
      <c r="G51" s="314"/>
      <c r="H51" s="8"/>
      <c r="I51" s="8"/>
      <c r="J51" s="8"/>
      <c r="K51" s="8"/>
      <c r="L51" s="8"/>
      <c r="M51" s="8"/>
      <c r="N51" s="8"/>
      <c r="O51" s="23"/>
      <c r="P51" s="23"/>
      <c r="Q51" s="23"/>
      <c r="R51" s="72"/>
      <c r="S51" s="311"/>
      <c r="T51" s="20"/>
      <c r="U51" s="23">
        <v>2008</v>
      </c>
      <c r="V51" s="39">
        <v>2337655</v>
      </c>
      <c r="W51" s="39"/>
      <c r="X51" s="145">
        <v>1101117</v>
      </c>
      <c r="Y51" s="39"/>
      <c r="Z51" s="145">
        <v>52036.5</v>
      </c>
      <c r="AA51" s="145"/>
      <c r="AB51" s="39">
        <v>1094874</v>
      </c>
      <c r="AC51" s="39"/>
      <c r="AD51" s="39">
        <v>2968256</v>
      </c>
      <c r="AE51" s="39"/>
      <c r="AF51" s="39">
        <v>4258648</v>
      </c>
      <c r="AG51" s="39"/>
      <c r="AH51" s="39">
        <f t="shared" si="66"/>
        <v>1101117</v>
      </c>
      <c r="AI51" s="39"/>
      <c r="AJ51" s="39">
        <f t="shared" si="67"/>
        <v>52036.5</v>
      </c>
      <c r="AK51" s="39">
        <v>6334676</v>
      </c>
      <c r="AL51" s="39"/>
      <c r="AM51" s="39">
        <v>4214603</v>
      </c>
      <c r="AN51" s="39"/>
      <c r="AO51" s="39">
        <v>4846702</v>
      </c>
      <c r="AP51" s="39"/>
      <c r="AQ51" s="39">
        <v>11623133</v>
      </c>
      <c r="AR51" s="39"/>
      <c r="AS51" s="39">
        <v>5809632</v>
      </c>
      <c r="AT51" s="39"/>
      <c r="AU51" s="39">
        <v>8448596</v>
      </c>
      <c r="AV51" s="39"/>
      <c r="AW51" s="39">
        <v>3222397</v>
      </c>
      <c r="AX51" s="39"/>
      <c r="AY51" s="39">
        <v>25480198</v>
      </c>
      <c r="AZ51" s="39"/>
      <c r="BA51" s="133">
        <v>3273737</v>
      </c>
      <c r="BB51" s="133"/>
      <c r="BC51" s="55">
        <f>'LE StructuralVars'!I15</f>
        <v>7041153</v>
      </c>
      <c r="BD51" s="55">
        <f t="shared" si="68"/>
        <v>7041153</v>
      </c>
      <c r="BE51" s="89"/>
      <c r="BO51" s="26">
        <v>2032</v>
      </c>
      <c r="BP51" s="29">
        <f t="shared" si="64"/>
        <v>1.0572549019607844</v>
      </c>
      <c r="BQ51" s="29">
        <f t="shared" si="64"/>
        <v>1.0295358649789028</v>
      </c>
      <c r="BR51" s="29">
        <f t="shared" si="64"/>
        <v>1.0808270676691729</v>
      </c>
      <c r="BS51" s="29">
        <f t="shared" si="64"/>
        <v>0.98035230352303526</v>
      </c>
      <c r="BT51" s="29">
        <f t="shared" si="64"/>
        <v>1.1253731343283584</v>
      </c>
      <c r="BU51" s="29">
        <f t="shared" si="64"/>
        <v>0.97657913413768627</v>
      </c>
      <c r="BV51" s="29">
        <f t="shared" si="64"/>
        <v>0.98687664041994749</v>
      </c>
      <c r="BW51" s="29">
        <f t="shared" si="64"/>
        <v>1.1100303951367783</v>
      </c>
      <c r="BX51" s="29">
        <f t="shared" si="64"/>
        <v>0.89984748347737664</v>
      </c>
      <c r="BZ51" s="26">
        <v>2032</v>
      </c>
      <c r="CA51" s="29">
        <f t="shared" si="65"/>
        <v>1.0020491803278688</v>
      </c>
      <c r="CB51" s="29">
        <f t="shared" si="65"/>
        <v>0.958968347010551</v>
      </c>
      <c r="CC51" s="29">
        <f t="shared" si="65"/>
        <v>0.92162162162162165</v>
      </c>
      <c r="CD51" s="29">
        <f t="shared" si="65"/>
        <v>0.93297587131367288</v>
      </c>
      <c r="CE51" s="29">
        <f t="shared" si="65"/>
        <v>0.93191056910569103</v>
      </c>
      <c r="CF51" s="29">
        <f t="shared" si="65"/>
        <v>0.93135011441647597</v>
      </c>
      <c r="CG51" s="29">
        <f t="shared" si="65"/>
        <v>0.88242730720606832</v>
      </c>
      <c r="CH51" s="29">
        <f t="shared" si="65"/>
        <v>1.0509461426491993</v>
      </c>
      <c r="CI51" s="29">
        <f t="shared" si="65"/>
        <v>1.0243243243243243</v>
      </c>
    </row>
    <row r="52" spans="1:87" x14ac:dyDescent="0.2">
      <c r="A52" s="83"/>
      <c r="B52" s="72"/>
      <c r="C52" s="312"/>
      <c r="D52" s="312"/>
      <c r="E52" s="312"/>
      <c r="F52" s="312"/>
      <c r="G52" s="26"/>
      <c r="H52" s="309"/>
      <c r="I52" s="309"/>
      <c r="J52" s="312"/>
      <c r="K52" s="312"/>
      <c r="L52" s="309"/>
      <c r="M52" s="312"/>
      <c r="N52" s="312"/>
      <c r="O52" s="312"/>
      <c r="P52" s="312"/>
      <c r="Q52" s="312"/>
      <c r="S52" s="311"/>
      <c r="T52" s="20"/>
      <c r="U52" s="23">
        <v>2009</v>
      </c>
      <c r="V52" s="39">
        <v>2340148</v>
      </c>
      <c r="W52" s="39"/>
      <c r="X52" s="145">
        <v>1131772</v>
      </c>
      <c r="Y52" s="39"/>
      <c r="Z52" s="145">
        <v>61789.5</v>
      </c>
      <c r="AA52" s="145"/>
      <c r="AB52" s="39">
        <v>1091123</v>
      </c>
      <c r="AC52" s="39"/>
      <c r="AD52" s="39">
        <v>2951424</v>
      </c>
      <c r="AE52" s="39"/>
      <c r="AF52" s="39">
        <v>4296354</v>
      </c>
      <c r="AG52" s="39"/>
      <c r="AH52" s="39">
        <f t="shared" si="66"/>
        <v>1131772</v>
      </c>
      <c r="AI52" s="39"/>
      <c r="AJ52" s="39">
        <f t="shared" si="67"/>
        <v>61789.5</v>
      </c>
      <c r="AK52" s="39">
        <v>6379983</v>
      </c>
      <c r="AL52" s="39"/>
      <c r="AM52" s="39">
        <v>4264708</v>
      </c>
      <c r="AN52" s="39"/>
      <c r="AO52" s="39">
        <v>4897488</v>
      </c>
      <c r="AP52" s="39"/>
      <c r="AQ52" s="39">
        <v>11702903</v>
      </c>
      <c r="AR52" s="39"/>
      <c r="AS52" s="39">
        <v>5859743</v>
      </c>
      <c r="AT52" s="39"/>
      <c r="AU52" s="39">
        <v>8503564</v>
      </c>
      <c r="AV52" s="39"/>
      <c r="AW52" s="39">
        <v>3243692</v>
      </c>
      <c r="AX52" s="39"/>
      <c r="AY52" s="39">
        <v>26348066</v>
      </c>
      <c r="AZ52" s="39"/>
      <c r="BA52" s="133">
        <v>3276801</v>
      </c>
      <c r="BB52" s="133"/>
      <c r="BC52" s="55">
        <f>'LE StructuralVars'!I16</f>
        <v>7086260</v>
      </c>
      <c r="BD52" s="55">
        <f t="shared" si="68"/>
        <v>7086260</v>
      </c>
      <c r="BE52" s="223">
        <f>BD52/BD51-1</f>
        <v>6.4061951217364577E-3</v>
      </c>
      <c r="BO52" s="26">
        <v>2033</v>
      </c>
      <c r="BP52" s="29">
        <f t="shared" si="64"/>
        <v>1.0611764705882352</v>
      </c>
      <c r="BQ52" s="29">
        <f t="shared" si="64"/>
        <v>1.0354430379746835</v>
      </c>
      <c r="BR52" s="29">
        <f t="shared" si="64"/>
        <v>1.0852130325814535</v>
      </c>
      <c r="BS52" s="29">
        <f t="shared" si="64"/>
        <v>0.98441734417344173</v>
      </c>
      <c r="BT52" s="29">
        <f t="shared" si="64"/>
        <v>1.1289552238805971</v>
      </c>
      <c r="BU52" s="29">
        <f t="shared" si="64"/>
        <v>0.98012775017743081</v>
      </c>
      <c r="BV52" s="29">
        <f t="shared" si="64"/>
        <v>0.99475065616797897</v>
      </c>
      <c r="BW52" s="29">
        <f t="shared" si="64"/>
        <v>1.1191489361702127</v>
      </c>
      <c r="BX52" s="29">
        <f t="shared" si="64"/>
        <v>0.89476359938993388</v>
      </c>
      <c r="BZ52" s="26">
        <v>2033</v>
      </c>
      <c r="CA52" s="29">
        <f t="shared" si="65"/>
        <v>1.0153688524590165</v>
      </c>
      <c r="CB52" s="29">
        <f t="shared" si="65"/>
        <v>0.97069167643610788</v>
      </c>
      <c r="CC52" s="29">
        <f t="shared" si="65"/>
        <v>0.93513513513513513</v>
      </c>
      <c r="CD52" s="29">
        <f t="shared" si="65"/>
        <v>0.94772117962466496</v>
      </c>
      <c r="CE52" s="29">
        <f t="shared" si="65"/>
        <v>0.94308943089430886</v>
      </c>
      <c r="CF52" s="29">
        <f t="shared" si="65"/>
        <v>0.94393592677345539</v>
      </c>
      <c r="CG52" s="29">
        <f t="shared" si="65"/>
        <v>0.89127686472819212</v>
      </c>
      <c r="CH52" s="29">
        <f t="shared" si="65"/>
        <v>1.0640465793304221</v>
      </c>
      <c r="CI52" s="29">
        <f t="shared" si="65"/>
        <v>1.0391891891891891</v>
      </c>
    </row>
    <row r="53" spans="1:87" x14ac:dyDescent="0.2">
      <c r="A53" s="74"/>
      <c r="B53" s="312"/>
      <c r="C53" s="316"/>
      <c r="D53" s="316"/>
      <c r="E53" s="316"/>
      <c r="F53" s="316"/>
      <c r="G53" s="26"/>
      <c r="H53" s="317"/>
      <c r="I53" s="317"/>
      <c r="J53" s="317"/>
      <c r="K53" s="317"/>
      <c r="L53" s="318"/>
      <c r="M53" s="318"/>
      <c r="N53" s="317"/>
      <c r="O53" s="317"/>
      <c r="P53" s="317"/>
      <c r="Q53" s="317"/>
      <c r="R53" s="72"/>
      <c r="S53" s="311"/>
      <c r="T53" s="20"/>
      <c r="U53" s="23">
        <v>2010</v>
      </c>
      <c r="V53" s="39">
        <v>2348119</v>
      </c>
      <c r="W53" s="39"/>
      <c r="X53" s="145">
        <v>1179620.5</v>
      </c>
      <c r="Y53" s="39"/>
      <c r="Z53" s="145">
        <v>76709.5</v>
      </c>
      <c r="AA53" s="145"/>
      <c r="AB53" s="39">
        <v>1088171</v>
      </c>
      <c r="AC53" s="39"/>
      <c r="AD53" s="39">
        <v>2935254</v>
      </c>
      <c r="AE53" s="39"/>
      <c r="AF53" s="39">
        <v>4349261</v>
      </c>
      <c r="AG53" s="39"/>
      <c r="AH53" s="39">
        <f t="shared" si="66"/>
        <v>1179620.5</v>
      </c>
      <c r="AI53" s="39"/>
      <c r="AJ53" s="39">
        <f t="shared" si="67"/>
        <v>76709.5</v>
      </c>
      <c r="AK53" s="39">
        <v>6463493</v>
      </c>
      <c r="AL53" s="39"/>
      <c r="AM53" s="39">
        <v>4346950</v>
      </c>
      <c r="AN53" s="39"/>
      <c r="AO53" s="39">
        <v>4975674</v>
      </c>
      <c r="AP53" s="39"/>
      <c r="AQ53" s="39">
        <v>11848604</v>
      </c>
      <c r="AR53" s="39"/>
      <c r="AS53" s="39">
        <v>5946986</v>
      </c>
      <c r="AT53" s="39"/>
      <c r="AU53" s="39">
        <v>8605868</v>
      </c>
      <c r="AV53" s="39"/>
      <c r="AW53" s="39">
        <v>3284965</v>
      </c>
      <c r="AX53" s="39"/>
      <c r="AY53" s="39">
        <v>27047468</v>
      </c>
      <c r="AZ53" s="39"/>
      <c r="BA53" s="133">
        <v>3290092</v>
      </c>
      <c r="BB53" s="133"/>
      <c r="BC53" s="55">
        <f>'LE StructuralVars'!I17</f>
        <v>7169764</v>
      </c>
      <c r="BD53" s="55">
        <f t="shared" si="68"/>
        <v>7169764</v>
      </c>
      <c r="BE53" s="223">
        <f t="shared" ref="BE53:BE85" si="69">BD53/BD52-1</f>
        <v>1.1783931156915006E-2</v>
      </c>
      <c r="BH53" s="64"/>
      <c r="BI53" s="82"/>
      <c r="BJ53" s="64"/>
      <c r="BK53" s="64"/>
      <c r="BO53" s="26">
        <v>2034</v>
      </c>
      <c r="BP53" s="29">
        <f t="shared" si="64"/>
        <v>1.0654901960784315</v>
      </c>
      <c r="BQ53" s="29">
        <f t="shared" si="64"/>
        <v>1.0426160337552743</v>
      </c>
      <c r="BR53" s="29">
        <f t="shared" si="64"/>
        <v>1.0939849624060149</v>
      </c>
      <c r="BS53" s="29">
        <f t="shared" si="64"/>
        <v>0.98983739837398377</v>
      </c>
      <c r="BT53" s="29">
        <f t="shared" si="64"/>
        <v>1.1355223880597014</v>
      </c>
      <c r="BU53" s="29">
        <f t="shared" si="64"/>
        <v>0.98296664300922643</v>
      </c>
      <c r="BV53" s="29">
        <f t="shared" si="64"/>
        <v>0.99947506561679778</v>
      </c>
      <c r="BW53" s="29">
        <f t="shared" si="64"/>
        <v>1.1276595744680853</v>
      </c>
      <c r="BX53" s="29">
        <f t="shared" si="64"/>
        <v>0.89578037620742246</v>
      </c>
      <c r="BZ53" s="26">
        <v>2034</v>
      </c>
      <c r="CA53" s="29">
        <f t="shared" si="65"/>
        <v>1.0256147540983607</v>
      </c>
      <c r="CB53" s="29">
        <f t="shared" si="65"/>
        <v>0.97772567409144207</v>
      </c>
      <c r="CC53" s="29">
        <f t="shared" si="65"/>
        <v>0.95</v>
      </c>
      <c r="CD53" s="29">
        <f t="shared" si="65"/>
        <v>0.9651474530831099</v>
      </c>
      <c r="CE53" s="29">
        <f t="shared" si="65"/>
        <v>0.95528455284552849</v>
      </c>
      <c r="CF53" s="29">
        <f t="shared" si="65"/>
        <v>0.95995423340961106</v>
      </c>
      <c r="CG53" s="29">
        <f t="shared" si="65"/>
        <v>0.90391908975979773</v>
      </c>
      <c r="CH53" s="29">
        <f t="shared" si="65"/>
        <v>1.0844250363901018</v>
      </c>
      <c r="CI53" s="29">
        <f t="shared" si="65"/>
        <v>1.0567567567567568</v>
      </c>
    </row>
    <row r="54" spans="1:87" x14ac:dyDescent="0.2">
      <c r="A54" s="26"/>
      <c r="B54" s="316"/>
      <c r="C54" s="316"/>
      <c r="D54" s="316"/>
      <c r="E54" s="319"/>
      <c r="F54" s="319"/>
      <c r="G54" s="26"/>
      <c r="H54" s="317"/>
      <c r="I54" s="317"/>
      <c r="J54" s="317"/>
      <c r="K54" s="317"/>
      <c r="L54" s="318"/>
      <c r="M54" s="318"/>
      <c r="N54" s="317"/>
      <c r="O54" s="317"/>
      <c r="P54" s="317"/>
      <c r="Q54" s="317"/>
      <c r="R54" s="72"/>
      <c r="S54" s="311"/>
      <c r="T54" s="20"/>
      <c r="U54" s="23">
        <v>2011</v>
      </c>
      <c r="V54" s="39">
        <v>2354842</v>
      </c>
      <c r="W54" s="39"/>
      <c r="X54" s="145">
        <v>1229927.5</v>
      </c>
      <c r="Y54" s="39"/>
      <c r="Z54" s="145">
        <v>92425.5</v>
      </c>
      <c r="AA54" s="145"/>
      <c r="AB54" s="39">
        <v>1084678</v>
      </c>
      <c r="AC54" s="39"/>
      <c r="AD54" s="39">
        <v>2919124</v>
      </c>
      <c r="AE54" s="39"/>
      <c r="AF54" s="39">
        <v>4401609</v>
      </c>
      <c r="AG54" s="39"/>
      <c r="AH54" s="39">
        <f t="shared" si="66"/>
        <v>1229927.5</v>
      </c>
      <c r="AI54" s="39"/>
      <c r="AJ54" s="39">
        <f t="shared" si="67"/>
        <v>92425.5</v>
      </c>
      <c r="AK54" s="39">
        <v>6549727</v>
      </c>
      <c r="AL54" s="39"/>
      <c r="AM54" s="39">
        <v>4432338</v>
      </c>
      <c r="AN54" s="39"/>
      <c r="AO54" s="39">
        <v>5055387</v>
      </c>
      <c r="AP54" s="39"/>
      <c r="AQ54" s="39">
        <v>12012982</v>
      </c>
      <c r="AR54" s="39"/>
      <c r="AS54" s="39">
        <v>6036406</v>
      </c>
      <c r="AT54" s="39"/>
      <c r="AU54" s="39">
        <v>8712282</v>
      </c>
      <c r="AV54" s="39"/>
      <c r="AW54" s="39">
        <v>3327095</v>
      </c>
      <c r="AX54" s="39"/>
      <c r="AY54" s="39">
        <v>27239671</v>
      </c>
      <c r="AZ54" s="39"/>
      <c r="BA54" s="133">
        <v>3304373</v>
      </c>
      <c r="BB54" s="133"/>
      <c r="BC54" s="55">
        <f>'LE StructuralVars'!I18</f>
        <v>7255999</v>
      </c>
      <c r="BD54" s="55">
        <f t="shared" si="68"/>
        <v>7255999</v>
      </c>
      <c r="BE54" s="223">
        <f t="shared" si="69"/>
        <v>1.2027592540005516E-2</v>
      </c>
      <c r="BO54" s="26">
        <v>2035</v>
      </c>
      <c r="BP54" s="29">
        <f t="shared" si="64"/>
        <v>1.0698039215686275</v>
      </c>
      <c r="BQ54" s="29">
        <f t="shared" si="64"/>
        <v>1.0468354430379747</v>
      </c>
      <c r="BR54" s="29">
        <f t="shared" si="64"/>
        <v>1.0952380952380951</v>
      </c>
      <c r="BS54" s="29">
        <f t="shared" si="64"/>
        <v>0.99051490514905149</v>
      </c>
      <c r="BT54" s="29">
        <f t="shared" si="64"/>
        <v>1.1385074626865672</v>
      </c>
      <c r="BU54" s="29">
        <f t="shared" si="64"/>
        <v>0.96877217885024847</v>
      </c>
      <c r="BV54" s="29">
        <f t="shared" si="64"/>
        <v>1.0099737532808397</v>
      </c>
      <c r="BW54" s="29">
        <f t="shared" si="64"/>
        <v>1.1355623100303951</v>
      </c>
      <c r="BX54" s="29">
        <f t="shared" si="64"/>
        <v>0.89883070665988807</v>
      </c>
      <c r="BZ54" s="26">
        <v>2035</v>
      </c>
      <c r="CA54" s="29">
        <f t="shared" si="65"/>
        <v>1.0317622950819674</v>
      </c>
      <c r="CB54" s="29">
        <f t="shared" si="65"/>
        <v>0.97889800703399765</v>
      </c>
      <c r="CC54" s="29">
        <f t="shared" si="65"/>
        <v>0.96756756756756757</v>
      </c>
      <c r="CD54" s="29">
        <f t="shared" si="65"/>
        <v>0.98391420911528149</v>
      </c>
      <c r="CE54" s="29">
        <f t="shared" si="65"/>
        <v>0.96951219512195119</v>
      </c>
      <c r="CF54" s="29">
        <f t="shared" si="65"/>
        <v>0.9805491990846682</v>
      </c>
      <c r="CG54" s="29">
        <f t="shared" si="65"/>
        <v>0.92161820480404555</v>
      </c>
      <c r="CH54" s="29">
        <f t="shared" si="65"/>
        <v>1.1048034934497817</v>
      </c>
      <c r="CI54" s="29">
        <f t="shared" si="65"/>
        <v>1.077027027027027</v>
      </c>
    </row>
    <row r="55" spans="1:87" x14ac:dyDescent="0.2">
      <c r="A55" s="26"/>
      <c r="B55" s="316"/>
      <c r="C55" s="316"/>
      <c r="D55" s="316"/>
      <c r="E55" s="319"/>
      <c r="F55" s="319"/>
      <c r="G55" s="26"/>
      <c r="H55" s="317"/>
      <c r="I55" s="317"/>
      <c r="J55" s="317"/>
      <c r="K55" s="317"/>
      <c r="L55" s="318"/>
      <c r="M55" s="318"/>
      <c r="N55" s="317"/>
      <c r="O55" s="317"/>
      <c r="P55" s="317"/>
      <c r="Q55" s="317"/>
      <c r="R55" s="72"/>
      <c r="S55" s="311"/>
      <c r="T55" s="20"/>
      <c r="U55" s="23">
        <v>2012</v>
      </c>
      <c r="V55" s="39">
        <v>2357769</v>
      </c>
      <c r="W55" s="39"/>
      <c r="X55" s="145">
        <v>1265319.5</v>
      </c>
      <c r="Y55" s="39"/>
      <c r="Z55" s="145">
        <v>103894</v>
      </c>
      <c r="AA55" s="145"/>
      <c r="AB55" s="39">
        <v>1081049</v>
      </c>
      <c r="AC55" s="39"/>
      <c r="AD55" s="39">
        <v>2903065</v>
      </c>
      <c r="AE55" s="39"/>
      <c r="AF55" s="39">
        <v>4442873</v>
      </c>
      <c r="AG55" s="39"/>
      <c r="AH55" s="39">
        <f t="shared" si="66"/>
        <v>1265319.5</v>
      </c>
      <c r="AI55" s="39"/>
      <c r="AJ55" s="39">
        <f t="shared" si="67"/>
        <v>103894</v>
      </c>
      <c r="AK55" s="39">
        <v>6606520</v>
      </c>
      <c r="AL55" s="39"/>
      <c r="AM55" s="39">
        <v>4493997</v>
      </c>
      <c r="AN55" s="39"/>
      <c r="AO55" s="39">
        <v>5111818</v>
      </c>
      <c r="AP55" s="39"/>
      <c r="AQ55" s="39">
        <v>12125465</v>
      </c>
      <c r="AR55" s="39"/>
      <c r="AS55" s="39">
        <v>6097584</v>
      </c>
      <c r="AT55" s="39"/>
      <c r="AU55" s="39">
        <v>8781842</v>
      </c>
      <c r="AV55" s="39"/>
      <c r="AW55" s="39">
        <v>3355054</v>
      </c>
      <c r="AX55" s="39"/>
      <c r="AY55" s="39">
        <v>27134235</v>
      </c>
      <c r="AZ55" s="39"/>
      <c r="BA55" s="133">
        <v>3311601</v>
      </c>
      <c r="BB55" s="133"/>
      <c r="BC55" s="55">
        <f>'LE StructuralVars'!I19</f>
        <v>7312211</v>
      </c>
      <c r="BD55" s="55">
        <f t="shared" si="68"/>
        <v>7312211</v>
      </c>
      <c r="BE55" s="223">
        <f t="shared" si="69"/>
        <v>7.746969094124756E-3</v>
      </c>
    </row>
    <row r="56" spans="1:87" x14ac:dyDescent="0.2">
      <c r="A56" s="26"/>
      <c r="B56" s="316"/>
      <c r="C56" s="316"/>
      <c r="D56" s="316"/>
      <c r="E56" s="319"/>
      <c r="F56" s="319"/>
      <c r="G56" s="26"/>
      <c r="H56" s="317"/>
      <c r="I56" s="317"/>
      <c r="J56" s="317"/>
      <c r="K56" s="318"/>
      <c r="L56" s="318"/>
      <c r="M56" s="318"/>
      <c r="N56" s="317"/>
      <c r="O56" s="317"/>
      <c r="P56" s="317"/>
      <c r="Q56" s="317"/>
      <c r="R56" s="72"/>
      <c r="S56" s="311"/>
      <c r="T56" s="20"/>
      <c r="U56" s="23">
        <v>2013</v>
      </c>
      <c r="V56" s="39">
        <v>2362175</v>
      </c>
      <c r="W56" s="39"/>
      <c r="X56" s="145">
        <v>1303703</v>
      </c>
      <c r="Y56" s="39"/>
      <c r="Z56" s="145">
        <v>115996.5</v>
      </c>
      <c r="AA56" s="145"/>
      <c r="AB56" s="39">
        <v>1077569</v>
      </c>
      <c r="AC56" s="39"/>
      <c r="AD56" s="39">
        <v>2887303</v>
      </c>
      <c r="AE56" s="39"/>
      <c r="AF56" s="39">
        <v>4486872</v>
      </c>
      <c r="AG56" s="39"/>
      <c r="AH56" s="39">
        <f t="shared" si="66"/>
        <v>1303703</v>
      </c>
      <c r="AI56" s="39"/>
      <c r="AJ56" s="39">
        <f t="shared" si="67"/>
        <v>115996.5</v>
      </c>
      <c r="AK56" s="39">
        <v>6669999</v>
      </c>
      <c r="AL56" s="39"/>
      <c r="AM56" s="39">
        <v>4561630</v>
      </c>
      <c r="AN56" s="39"/>
      <c r="AO56" s="39">
        <v>5172833</v>
      </c>
      <c r="AP56" s="39"/>
      <c r="AQ56" s="39">
        <v>12249765</v>
      </c>
      <c r="AR56" s="39"/>
      <c r="AS56" s="39">
        <v>6164822</v>
      </c>
      <c r="AT56" s="39"/>
      <c r="AU56" s="39">
        <v>8859373</v>
      </c>
      <c r="AV56" s="39"/>
      <c r="AW56" s="39">
        <v>3385977</v>
      </c>
      <c r="AX56" s="39"/>
      <c r="AY56" s="39">
        <v>26936472</v>
      </c>
      <c r="AZ56" s="39"/>
      <c r="BA56" s="133">
        <v>3320457</v>
      </c>
      <c r="BB56" s="133"/>
      <c r="BC56" s="55">
        <f>'LE StructuralVars'!I20</f>
        <v>7375169</v>
      </c>
      <c r="BD56" s="55">
        <f t="shared" si="68"/>
        <v>7375169</v>
      </c>
      <c r="BE56" s="223">
        <f t="shared" si="69"/>
        <v>8.6099813038764683E-3</v>
      </c>
      <c r="BH56" s="31"/>
      <c r="BI56" s="31"/>
      <c r="BJ56" s="31"/>
      <c r="BK56" s="31"/>
      <c r="BO56" s="26" t="s">
        <v>149</v>
      </c>
      <c r="BP56" s="26"/>
      <c r="BQ56" s="26"/>
      <c r="BR56" s="26"/>
      <c r="BS56" s="26"/>
      <c r="BT56" s="26"/>
      <c r="BU56" s="26"/>
      <c r="BV56" s="26"/>
      <c r="BW56" s="26"/>
      <c r="BX56" s="26"/>
      <c r="BZ56" s="26" t="s">
        <v>150</v>
      </c>
      <c r="CA56" s="26"/>
      <c r="CB56" s="26"/>
      <c r="CC56" s="26"/>
      <c r="CD56" s="26"/>
      <c r="CE56" s="26"/>
      <c r="CF56" s="26"/>
      <c r="CG56" s="26"/>
      <c r="CH56" s="26"/>
      <c r="CI56" s="26"/>
    </row>
    <row r="57" spans="1:87" x14ac:dyDescent="0.2">
      <c r="A57" s="26"/>
      <c r="B57" s="316"/>
      <c r="C57" s="316"/>
      <c r="D57" s="316"/>
      <c r="E57" s="319"/>
      <c r="F57" s="319"/>
      <c r="G57" s="26"/>
      <c r="H57" s="317"/>
      <c r="I57" s="317"/>
      <c r="J57" s="317"/>
      <c r="K57" s="55"/>
      <c r="L57" s="55"/>
      <c r="M57" s="320"/>
      <c r="N57" s="317"/>
      <c r="O57" s="317"/>
      <c r="P57" s="317"/>
      <c r="Q57" s="317"/>
      <c r="R57" s="72"/>
      <c r="S57" s="311"/>
      <c r="T57" s="20"/>
      <c r="U57" s="23">
        <v>2014</v>
      </c>
      <c r="V57" s="39">
        <v>2366640</v>
      </c>
      <c r="W57" s="39"/>
      <c r="X57" s="145">
        <v>1339481</v>
      </c>
      <c r="Y57" s="39"/>
      <c r="Z57" s="145">
        <v>127144</v>
      </c>
      <c r="AA57" s="145"/>
      <c r="AB57" s="39">
        <v>1074163</v>
      </c>
      <c r="AC57" s="39"/>
      <c r="AD57" s="39">
        <v>2871762</v>
      </c>
      <c r="AE57" s="39"/>
      <c r="AF57" s="39">
        <v>4529281</v>
      </c>
      <c r="AG57" s="39"/>
      <c r="AH57" s="39">
        <f t="shared" si="66"/>
        <v>1339481</v>
      </c>
      <c r="AI57" s="39"/>
      <c r="AJ57" s="39">
        <f t="shared" si="67"/>
        <v>127144</v>
      </c>
      <c r="AK57" s="39">
        <v>6728728</v>
      </c>
      <c r="AL57" s="39"/>
      <c r="AM57" s="39">
        <v>4625564</v>
      </c>
      <c r="AN57" s="39"/>
      <c r="AO57" s="39">
        <v>5229843</v>
      </c>
      <c r="AP57" s="39"/>
      <c r="AQ57" s="39">
        <v>12365844</v>
      </c>
      <c r="AR57" s="39"/>
      <c r="AS57" s="39">
        <v>6227136</v>
      </c>
      <c r="AT57" s="39"/>
      <c r="AU57" s="39">
        <v>8930568</v>
      </c>
      <c r="AV57" s="39"/>
      <c r="AW57" s="39">
        <v>3414212</v>
      </c>
      <c r="AX57" s="39"/>
      <c r="AY57" s="39">
        <v>26703101</v>
      </c>
      <c r="AZ57" s="39"/>
      <c r="BA57" s="133">
        <v>3327984</v>
      </c>
      <c r="BB57" s="133"/>
      <c r="BC57" s="55">
        <f>'LE StructuralVars'!I21</f>
        <v>7433285</v>
      </c>
      <c r="BD57" s="55">
        <f t="shared" si="68"/>
        <v>7433285</v>
      </c>
      <c r="BE57" s="223">
        <f t="shared" si="69"/>
        <v>7.8799550220476355E-3</v>
      </c>
      <c r="BH57" s="31"/>
      <c r="BI57" s="31"/>
      <c r="BJ57" s="31"/>
      <c r="BK57" s="31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</row>
    <row r="58" spans="1:87" x14ac:dyDescent="0.2">
      <c r="A58" s="26"/>
      <c r="B58" s="316"/>
      <c r="C58" s="316"/>
      <c r="D58" s="316"/>
      <c r="E58" s="319"/>
      <c r="F58" s="319"/>
      <c r="G58" s="26"/>
      <c r="H58" s="317"/>
      <c r="I58" s="317"/>
      <c r="J58" s="317"/>
      <c r="K58" s="55"/>
      <c r="L58" s="55"/>
      <c r="M58" s="320"/>
      <c r="N58" s="317"/>
      <c r="O58" s="317"/>
      <c r="P58" s="317"/>
      <c r="Q58" s="317"/>
      <c r="R58" s="72"/>
      <c r="S58" s="311"/>
      <c r="T58" s="20"/>
      <c r="U58" s="23">
        <v>2015</v>
      </c>
      <c r="V58" s="39">
        <v>2373478</v>
      </c>
      <c r="W58" s="39"/>
      <c r="X58" s="145">
        <v>1374872</v>
      </c>
      <c r="Y58" s="39"/>
      <c r="Z58" s="145">
        <v>138729</v>
      </c>
      <c r="AA58" s="145"/>
      <c r="AB58" s="39">
        <v>1071189</v>
      </c>
      <c r="AC58" s="39"/>
      <c r="AD58" s="39">
        <v>2856589</v>
      </c>
      <c r="AE58" s="39"/>
      <c r="AF58" s="39">
        <v>4575079</v>
      </c>
      <c r="AG58" s="39"/>
      <c r="AH58" s="39">
        <f t="shared" si="66"/>
        <v>1374872</v>
      </c>
      <c r="AI58" s="39"/>
      <c r="AJ58" s="39">
        <f t="shared" si="67"/>
        <v>138729</v>
      </c>
      <c r="AK58" s="39">
        <v>6791414</v>
      </c>
      <c r="AL58" s="39"/>
      <c r="AM58" s="39">
        <v>4693131</v>
      </c>
      <c r="AN58" s="39"/>
      <c r="AO58" s="39">
        <v>5288214</v>
      </c>
      <c r="AP58" s="39"/>
      <c r="AQ58" s="39">
        <v>12488265</v>
      </c>
      <c r="AR58" s="39"/>
      <c r="AS58" s="39">
        <v>6293089</v>
      </c>
      <c r="AT58" s="39"/>
      <c r="AU58" s="39">
        <v>9005853</v>
      </c>
      <c r="AV58" s="39"/>
      <c r="AW58" s="39">
        <v>3444280</v>
      </c>
      <c r="AX58" s="39"/>
      <c r="AY58" s="39">
        <v>26537484</v>
      </c>
      <c r="AZ58" s="39"/>
      <c r="BA58" s="133">
        <v>3336976</v>
      </c>
      <c r="BB58" s="133"/>
      <c r="BC58" s="55">
        <f>'LE StructuralVars'!I22</f>
        <v>7495316</v>
      </c>
      <c r="BD58" s="55">
        <f t="shared" si="68"/>
        <v>7495316</v>
      </c>
      <c r="BE58" s="223">
        <f t="shared" si="69"/>
        <v>8.3450318398932133E-3</v>
      </c>
      <c r="BH58" s="31"/>
      <c r="BI58" s="31"/>
      <c r="BJ58" s="31"/>
      <c r="BK58" s="31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</row>
    <row r="59" spans="1:87" x14ac:dyDescent="0.2">
      <c r="A59" s="26"/>
      <c r="B59" s="316"/>
      <c r="C59" s="316"/>
      <c r="D59" s="316"/>
      <c r="E59" s="319"/>
      <c r="F59" s="319"/>
      <c r="G59" s="26"/>
      <c r="H59" s="317"/>
      <c r="I59" s="317"/>
      <c r="J59" s="317"/>
      <c r="K59" s="55"/>
      <c r="L59" s="55"/>
      <c r="M59" s="320"/>
      <c r="N59" s="317"/>
      <c r="O59" s="317"/>
      <c r="P59" s="317"/>
      <c r="Q59" s="317"/>
      <c r="R59" s="72"/>
      <c r="S59" s="311"/>
      <c r="T59" s="20"/>
      <c r="U59" s="23">
        <v>2016</v>
      </c>
      <c r="V59" s="39">
        <v>2382826</v>
      </c>
      <c r="W59" s="39"/>
      <c r="X59" s="145">
        <v>1409760.5</v>
      </c>
      <c r="Y59" s="39"/>
      <c r="Z59" s="145">
        <v>150392</v>
      </c>
      <c r="AA59" s="145"/>
      <c r="AB59" s="39">
        <v>1068654</v>
      </c>
      <c r="AC59" s="39"/>
      <c r="AD59" s="39">
        <v>2841788</v>
      </c>
      <c r="AE59" s="39"/>
      <c r="AF59" s="39">
        <v>4623930</v>
      </c>
      <c r="AG59" s="39"/>
      <c r="AH59" s="39">
        <f t="shared" si="66"/>
        <v>1409760.5</v>
      </c>
      <c r="AI59" s="39"/>
      <c r="AJ59" s="39">
        <f t="shared" si="67"/>
        <v>150392</v>
      </c>
      <c r="AK59" s="39">
        <v>6857238</v>
      </c>
      <c r="AL59" s="39"/>
      <c r="AM59" s="39">
        <v>4763554</v>
      </c>
      <c r="AN59" s="39"/>
      <c r="AO59" s="39">
        <v>5348374</v>
      </c>
      <c r="AP59" s="39"/>
      <c r="AQ59" s="39">
        <v>12605566</v>
      </c>
      <c r="AR59" s="39"/>
      <c r="AS59" s="39">
        <v>6361701</v>
      </c>
      <c r="AT59" s="39"/>
      <c r="AU59" s="39">
        <v>9084067</v>
      </c>
      <c r="AV59" s="39"/>
      <c r="AW59" s="39">
        <v>3475588</v>
      </c>
      <c r="AX59" s="39"/>
      <c r="AY59" s="39">
        <v>26478317</v>
      </c>
      <c r="AZ59" s="39"/>
      <c r="BA59" s="133">
        <v>3346947</v>
      </c>
      <c r="BB59" s="133"/>
      <c r="BC59" s="55">
        <f>'LE StructuralVars'!I23</f>
        <v>7560444</v>
      </c>
      <c r="BD59" s="55">
        <f t="shared" si="68"/>
        <v>7560444</v>
      </c>
      <c r="BE59" s="223">
        <f t="shared" si="69"/>
        <v>8.6891600033940364E-3</v>
      </c>
      <c r="BH59" s="31"/>
      <c r="BI59" s="31"/>
      <c r="BJ59" s="31"/>
      <c r="BK59" s="31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</row>
    <row r="60" spans="1:87" x14ac:dyDescent="0.2">
      <c r="A60" s="26"/>
      <c r="B60" s="316"/>
      <c r="C60" s="316"/>
      <c r="D60" s="316"/>
      <c r="E60" s="319"/>
      <c r="F60" s="319"/>
      <c r="G60" s="26"/>
      <c r="H60" s="317"/>
      <c r="I60" s="317"/>
      <c r="J60" s="317"/>
      <c r="K60" s="55"/>
      <c r="L60" s="55"/>
      <c r="M60" s="320"/>
      <c r="N60" s="317"/>
      <c r="O60" s="317"/>
      <c r="P60" s="317"/>
      <c r="Q60" s="317"/>
      <c r="R60" s="72"/>
      <c r="S60" s="311"/>
      <c r="T60" s="20"/>
      <c r="U60" s="23">
        <v>2017</v>
      </c>
      <c r="V60" s="39">
        <v>2393430</v>
      </c>
      <c r="W60" s="39"/>
      <c r="X60" s="145">
        <v>1444010</v>
      </c>
      <c r="Y60" s="39"/>
      <c r="Z60" s="145">
        <v>160243</v>
      </c>
      <c r="AA60" s="145"/>
      <c r="AB60" s="39">
        <v>1066297</v>
      </c>
      <c r="AC60" s="39"/>
      <c r="AD60" s="39">
        <v>2827240</v>
      </c>
      <c r="AE60" s="39"/>
      <c r="AF60" s="39">
        <v>4674209</v>
      </c>
      <c r="AG60" s="39"/>
      <c r="AH60" s="39">
        <f t="shared" si="66"/>
        <v>1444010</v>
      </c>
      <c r="AI60" s="39"/>
      <c r="AJ60" s="39">
        <f t="shared" si="67"/>
        <v>160243</v>
      </c>
      <c r="AK60" s="39">
        <v>6922940</v>
      </c>
      <c r="AL60" s="39"/>
      <c r="AM60" s="39">
        <v>4834149</v>
      </c>
      <c r="AN60" s="39"/>
      <c r="AO60" s="39">
        <v>5408169</v>
      </c>
      <c r="AP60" s="39"/>
      <c r="AQ60" s="39">
        <v>12722181</v>
      </c>
      <c r="AR60" s="39"/>
      <c r="AS60" s="39">
        <v>6429819</v>
      </c>
      <c r="AT60" s="39"/>
      <c r="AU60" s="39">
        <v>9161523</v>
      </c>
      <c r="AV60" s="39"/>
      <c r="AW60" s="39">
        <v>3506451</v>
      </c>
      <c r="AX60" s="39"/>
      <c r="AY60" s="39">
        <v>26526919</v>
      </c>
      <c r="AZ60" s="39"/>
      <c r="BA60" s="133">
        <v>3356045</v>
      </c>
      <c r="BB60" s="133"/>
      <c r="BC60" s="55">
        <f>'LE StructuralVars'!I24</f>
        <v>7625367</v>
      </c>
      <c r="BD60" s="55">
        <f t="shared" si="68"/>
        <v>7625367</v>
      </c>
      <c r="BE60" s="223">
        <f t="shared" si="69"/>
        <v>8.5871940854267415E-3</v>
      </c>
      <c r="BH60" s="31"/>
      <c r="BI60" s="31"/>
      <c r="BJ60" s="31"/>
      <c r="BK60" s="31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</row>
    <row r="61" spans="1:87" x14ac:dyDescent="0.2">
      <c r="A61" s="26"/>
      <c r="B61" s="316"/>
      <c r="C61" s="316"/>
      <c r="D61" s="316"/>
      <c r="E61" s="319"/>
      <c r="F61" s="319"/>
      <c r="G61" s="26"/>
      <c r="H61" s="317"/>
      <c r="I61" s="317"/>
      <c r="J61" s="317"/>
      <c r="K61" s="55"/>
      <c r="L61" s="55"/>
      <c r="M61" s="320"/>
      <c r="N61" s="317"/>
      <c r="O61" s="317"/>
      <c r="P61" s="317"/>
      <c r="Q61" s="317"/>
      <c r="R61" s="72"/>
      <c r="S61" s="311"/>
      <c r="T61" s="20"/>
      <c r="U61" s="23">
        <v>2018</v>
      </c>
      <c r="V61" s="39">
        <v>2404616</v>
      </c>
      <c r="W61" s="39"/>
      <c r="X61" s="145">
        <v>1477527.5</v>
      </c>
      <c r="Y61" s="39"/>
      <c r="Z61" s="145">
        <v>169232</v>
      </c>
      <c r="AA61" s="145"/>
      <c r="AB61" s="39">
        <v>1064001</v>
      </c>
      <c r="AC61" s="39"/>
      <c r="AD61" s="39">
        <v>2812905</v>
      </c>
      <c r="AE61" s="39"/>
      <c r="AF61" s="39">
        <v>4725098</v>
      </c>
      <c r="AG61" s="39"/>
      <c r="AH61" s="39">
        <f t="shared" si="66"/>
        <v>1477527.5</v>
      </c>
      <c r="AI61" s="39"/>
      <c r="AJ61" s="39">
        <f t="shared" si="67"/>
        <v>169232</v>
      </c>
      <c r="AK61" s="39">
        <v>6987851</v>
      </c>
      <c r="AL61" s="39"/>
      <c r="AM61" s="39">
        <v>4904498</v>
      </c>
      <c r="AN61" s="39"/>
      <c r="AO61" s="39">
        <v>5466264</v>
      </c>
      <c r="AP61" s="39"/>
      <c r="AQ61" s="39">
        <v>12837596</v>
      </c>
      <c r="AR61" s="39"/>
      <c r="AS61" s="39">
        <v>6496927</v>
      </c>
      <c r="AT61" s="39"/>
      <c r="AU61" s="39">
        <v>9237650</v>
      </c>
      <c r="AV61" s="39"/>
      <c r="AW61" s="39">
        <v>3536679</v>
      </c>
      <c r="AX61" s="39"/>
      <c r="AY61" s="39">
        <v>26672236</v>
      </c>
      <c r="AZ61" s="39"/>
      <c r="BA61" s="133">
        <v>3365052</v>
      </c>
      <c r="BB61" s="133"/>
      <c r="BC61" s="55">
        <f>'LE StructuralVars'!I25</f>
        <v>7689379</v>
      </c>
      <c r="BD61" s="55">
        <f t="shared" si="68"/>
        <v>7689379</v>
      </c>
      <c r="BE61" s="223">
        <f t="shared" si="69"/>
        <v>8.3946123511169368E-3</v>
      </c>
      <c r="BH61" s="31"/>
      <c r="BI61" s="31"/>
      <c r="BJ61" s="31"/>
      <c r="BK61" s="31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</row>
    <row r="62" spans="1:87" x14ac:dyDescent="0.2">
      <c r="A62" s="26"/>
      <c r="B62" s="316"/>
      <c r="C62" s="316"/>
      <c r="D62" s="316"/>
      <c r="E62" s="319"/>
      <c r="F62" s="319"/>
      <c r="G62" s="26"/>
      <c r="H62" s="317"/>
      <c r="I62" s="317"/>
      <c r="J62" s="317"/>
      <c r="K62" s="55"/>
      <c r="L62" s="55"/>
      <c r="M62" s="320"/>
      <c r="N62" s="317"/>
      <c r="O62" s="317"/>
      <c r="P62" s="317"/>
      <c r="Q62" s="317"/>
      <c r="R62" s="72"/>
      <c r="S62" s="311"/>
      <c r="T62" s="20"/>
      <c r="U62" s="23">
        <v>2019</v>
      </c>
      <c r="V62" s="39">
        <v>2415935</v>
      </c>
      <c r="W62" s="39"/>
      <c r="X62" s="145">
        <v>1510453</v>
      </c>
      <c r="Y62" s="39"/>
      <c r="Z62" s="145">
        <v>177378</v>
      </c>
      <c r="AA62" s="145"/>
      <c r="AB62" s="39">
        <v>1061667</v>
      </c>
      <c r="AC62" s="39"/>
      <c r="AD62" s="39">
        <v>2798738</v>
      </c>
      <c r="AE62" s="39"/>
      <c r="AF62" s="39">
        <v>4776082</v>
      </c>
      <c r="AG62" s="39"/>
      <c r="AH62" s="39">
        <f t="shared" si="66"/>
        <v>1510453</v>
      </c>
      <c r="AI62" s="39"/>
      <c r="AJ62" s="39">
        <f t="shared" si="67"/>
        <v>177378</v>
      </c>
      <c r="AK62" s="39">
        <v>7051822</v>
      </c>
      <c r="AL62" s="39"/>
      <c r="AM62" s="39">
        <v>4974553</v>
      </c>
      <c r="AN62" s="39"/>
      <c r="AO62" s="39">
        <v>5522565</v>
      </c>
      <c r="AP62" s="39"/>
      <c r="AQ62" s="39">
        <v>12950327</v>
      </c>
      <c r="AR62" s="39"/>
      <c r="AS62" s="39">
        <v>6562923</v>
      </c>
      <c r="AT62" s="39"/>
      <c r="AU62" s="39">
        <v>9312462</v>
      </c>
      <c r="AV62" s="39"/>
      <c r="AW62" s="39">
        <v>3566234</v>
      </c>
      <c r="AX62" s="39"/>
      <c r="AY62" s="39">
        <v>26889463</v>
      </c>
      <c r="AZ62" s="39"/>
      <c r="BA62" s="133">
        <v>3375183</v>
      </c>
      <c r="BB62" s="133"/>
      <c r="BC62" s="55">
        <f>'LE StructuralVars'!I26</f>
        <v>7752336</v>
      </c>
      <c r="BD62" s="55">
        <f t="shared" si="68"/>
        <v>7752336</v>
      </c>
      <c r="BE62" s="223">
        <f t="shared" si="69"/>
        <v>8.1875272372451402E-3</v>
      </c>
      <c r="BH62" s="31"/>
      <c r="BI62" s="31"/>
      <c r="BJ62" s="31"/>
      <c r="BK62" s="31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</row>
    <row r="63" spans="1:87" x14ac:dyDescent="0.2">
      <c r="A63" s="26"/>
      <c r="B63" s="316"/>
      <c r="C63" s="316"/>
      <c r="D63" s="316"/>
      <c r="E63" s="319"/>
      <c r="F63" s="319"/>
      <c r="G63" s="26"/>
      <c r="H63" s="317"/>
      <c r="I63" s="317"/>
      <c r="J63" s="317"/>
      <c r="K63" s="55"/>
      <c r="L63" s="55"/>
      <c r="M63" s="320"/>
      <c r="N63" s="317"/>
      <c r="O63" s="317"/>
      <c r="P63" s="317"/>
      <c r="Q63" s="317"/>
      <c r="R63" s="72"/>
      <c r="S63" s="311"/>
      <c r="T63" s="20"/>
      <c r="U63" s="23">
        <v>2020</v>
      </c>
      <c r="V63" s="39">
        <v>2427063</v>
      </c>
      <c r="W63" s="39"/>
      <c r="X63" s="145">
        <v>1542522</v>
      </c>
      <c r="Y63" s="39"/>
      <c r="Z63" s="145">
        <v>184815</v>
      </c>
      <c r="AA63" s="145"/>
      <c r="AB63" s="39">
        <v>1059271</v>
      </c>
      <c r="AC63" s="39"/>
      <c r="AD63" s="39">
        <v>2784737</v>
      </c>
      <c r="AE63" s="39"/>
      <c r="AF63" s="39">
        <v>4826217</v>
      </c>
      <c r="AG63" s="39"/>
      <c r="AH63" s="39">
        <f t="shared" si="66"/>
        <v>1542522</v>
      </c>
      <c r="AI63" s="39"/>
      <c r="AJ63" s="39">
        <f t="shared" si="67"/>
        <v>184815</v>
      </c>
      <c r="AK63" s="39">
        <v>7113752</v>
      </c>
      <c r="AL63" s="39"/>
      <c r="AM63" s="39">
        <v>5043289</v>
      </c>
      <c r="AN63" s="39"/>
      <c r="AO63" s="39">
        <v>5576539</v>
      </c>
      <c r="AP63" s="39"/>
      <c r="AQ63" s="39">
        <v>13059250</v>
      </c>
      <c r="AR63" s="39"/>
      <c r="AS63" s="39">
        <v>6626725</v>
      </c>
      <c r="AT63" s="39"/>
      <c r="AU63" s="39">
        <v>9384568</v>
      </c>
      <c r="AV63" s="39"/>
      <c r="AW63" s="39">
        <v>3594527</v>
      </c>
      <c r="AX63" s="39"/>
      <c r="AY63" s="39">
        <v>27151398</v>
      </c>
      <c r="AZ63" s="39"/>
      <c r="BA63" s="133">
        <v>3384767</v>
      </c>
      <c r="BB63" s="133"/>
      <c r="BC63" s="55">
        <f>'LE StructuralVars'!I27</f>
        <v>7813102</v>
      </c>
      <c r="BD63" s="55">
        <f t="shared" si="68"/>
        <v>7813102</v>
      </c>
      <c r="BE63" s="223">
        <f t="shared" si="69"/>
        <v>7.8384115445977454E-3</v>
      </c>
      <c r="BH63" s="31"/>
      <c r="BI63" s="31"/>
      <c r="BJ63" s="31"/>
      <c r="BK63" s="31"/>
      <c r="BO63" s="64" t="s">
        <v>15</v>
      </c>
      <c r="BP63" s="64" t="s">
        <v>83</v>
      </c>
      <c r="BQ63" s="64" t="s">
        <v>84</v>
      </c>
      <c r="BR63" s="64" t="s">
        <v>85</v>
      </c>
      <c r="BS63" s="64" t="s">
        <v>86</v>
      </c>
      <c r="BT63" s="64" t="s">
        <v>87</v>
      </c>
      <c r="BU63" s="64" t="s">
        <v>88</v>
      </c>
      <c r="BV63" s="64" t="s">
        <v>89</v>
      </c>
      <c r="BW63" s="64" t="s">
        <v>90</v>
      </c>
      <c r="BX63" s="64" t="s">
        <v>91</v>
      </c>
      <c r="BZ63" s="64" t="s">
        <v>15</v>
      </c>
      <c r="CA63" s="64" t="s">
        <v>83</v>
      </c>
      <c r="CB63" s="64" t="s">
        <v>84</v>
      </c>
      <c r="CC63" s="64" t="s">
        <v>85</v>
      </c>
      <c r="CD63" s="64" t="s">
        <v>86</v>
      </c>
      <c r="CE63" s="64" t="s">
        <v>87</v>
      </c>
      <c r="CF63" s="64" t="s">
        <v>88</v>
      </c>
      <c r="CG63" s="64" t="s">
        <v>89</v>
      </c>
      <c r="CH63" s="64" t="s">
        <v>90</v>
      </c>
      <c r="CI63" s="64" t="s">
        <v>91</v>
      </c>
    </row>
    <row r="64" spans="1:87" x14ac:dyDescent="0.2">
      <c r="A64" s="26"/>
      <c r="B64" s="316"/>
      <c r="C64" s="316"/>
      <c r="D64" s="316"/>
      <c r="E64" s="319"/>
      <c r="F64" s="319"/>
      <c r="G64" s="26"/>
      <c r="H64" s="317"/>
      <c r="I64" s="317"/>
      <c r="J64" s="317"/>
      <c r="K64" s="55"/>
      <c r="L64" s="55"/>
      <c r="M64" s="320"/>
      <c r="N64" s="317"/>
      <c r="O64" s="317"/>
      <c r="P64" s="317"/>
      <c r="Q64" s="317"/>
      <c r="R64" s="72"/>
      <c r="S64" s="311"/>
      <c r="T64" s="20"/>
      <c r="U64" s="23">
        <v>2021</v>
      </c>
      <c r="V64" s="39">
        <v>2438423</v>
      </c>
      <c r="W64" s="39"/>
      <c r="X64" s="145">
        <v>1573756</v>
      </c>
      <c r="Y64" s="39"/>
      <c r="Z64" s="145">
        <v>191556</v>
      </c>
      <c r="AA64" s="145"/>
      <c r="AB64" s="39">
        <v>1056874</v>
      </c>
      <c r="AC64" s="39"/>
      <c r="AD64" s="39">
        <v>2770904</v>
      </c>
      <c r="AE64" s="39"/>
      <c r="AF64" s="39">
        <v>4875740</v>
      </c>
      <c r="AG64" s="39"/>
      <c r="AH64" s="39">
        <f t="shared" si="66"/>
        <v>1573756</v>
      </c>
      <c r="AI64" s="39"/>
      <c r="AJ64" s="39">
        <f t="shared" si="67"/>
        <v>191556</v>
      </c>
      <c r="AK64" s="39">
        <v>7173934</v>
      </c>
      <c r="AL64" s="39"/>
      <c r="AM64" s="39">
        <v>5110733</v>
      </c>
      <c r="AN64" s="39"/>
      <c r="AO64" s="39">
        <v>5629219</v>
      </c>
      <c r="AP64" s="39"/>
      <c r="AQ64" s="39">
        <v>13172238</v>
      </c>
      <c r="AR64" s="39"/>
      <c r="AS64" s="39">
        <v>6688535</v>
      </c>
      <c r="AT64" s="39"/>
      <c r="AU64" s="39">
        <v>9454110</v>
      </c>
      <c r="AV64" s="39"/>
      <c r="AW64" s="39">
        <v>3621495</v>
      </c>
      <c r="AX64" s="39"/>
      <c r="AY64" s="39">
        <v>27416648</v>
      </c>
      <c r="AZ64" s="39"/>
      <c r="BA64" s="133">
        <v>3393159</v>
      </c>
      <c r="BB64" s="133"/>
      <c r="BC64" s="55">
        <f>'LE StructuralVars'!I28</f>
        <v>7871998</v>
      </c>
      <c r="BD64" s="55">
        <f t="shared" si="68"/>
        <v>7871998</v>
      </c>
      <c r="BE64" s="223">
        <f t="shared" si="69"/>
        <v>7.5381071436160241E-3</v>
      </c>
      <c r="BH64" s="31"/>
      <c r="BI64" s="31"/>
      <c r="BJ64" s="31"/>
      <c r="BK64" s="31"/>
      <c r="BO64" s="26">
        <v>1990</v>
      </c>
      <c r="BP64" s="130">
        <v>27.64</v>
      </c>
      <c r="BQ64" s="130">
        <v>31.89</v>
      </c>
      <c r="BR64" s="130">
        <v>15.03</v>
      </c>
      <c r="BS64" s="130">
        <v>13.17</v>
      </c>
      <c r="BT64" s="130">
        <v>16.43</v>
      </c>
      <c r="BU64" s="130">
        <v>13.32</v>
      </c>
      <c r="BV64" s="130">
        <v>14.94</v>
      </c>
      <c r="BW64" s="130">
        <v>13.31</v>
      </c>
      <c r="BX64" s="130">
        <v>17.690000000000001</v>
      </c>
      <c r="BZ64" s="26">
        <v>1990</v>
      </c>
      <c r="CA64" s="121">
        <v>6.86</v>
      </c>
      <c r="CB64" s="121">
        <v>6.06</v>
      </c>
      <c r="CC64" s="121">
        <v>4.5199999999999996</v>
      </c>
      <c r="CD64" s="121">
        <v>4.21</v>
      </c>
      <c r="CE64" s="121">
        <v>5.85</v>
      </c>
      <c r="CF64" s="121">
        <v>4.76</v>
      </c>
      <c r="CG64" s="121">
        <v>4.8600000000000003</v>
      </c>
      <c r="CH64" s="121">
        <v>4.53</v>
      </c>
      <c r="CI64" s="121">
        <v>4.97</v>
      </c>
    </row>
    <row r="65" spans="1:87" x14ac:dyDescent="0.2">
      <c r="A65" s="26"/>
      <c r="B65" s="316"/>
      <c r="C65" s="316"/>
      <c r="D65" s="316"/>
      <c r="E65" s="319"/>
      <c r="F65" s="319"/>
      <c r="G65" s="26"/>
      <c r="H65" s="317"/>
      <c r="I65" s="317"/>
      <c r="J65" s="317"/>
      <c r="K65" s="55"/>
      <c r="L65" s="55"/>
      <c r="M65" s="320"/>
      <c r="N65" s="317"/>
      <c r="O65" s="317"/>
      <c r="P65" s="317"/>
      <c r="Q65" s="317"/>
      <c r="R65" s="72"/>
      <c r="S65" s="311"/>
      <c r="T65" s="20"/>
      <c r="U65" s="23">
        <v>2022</v>
      </c>
      <c r="V65" s="39">
        <v>2450629</v>
      </c>
      <c r="W65" s="39"/>
      <c r="X65" s="145">
        <v>1605051.5</v>
      </c>
      <c r="Y65" s="39"/>
      <c r="Z65" s="145">
        <v>197895</v>
      </c>
      <c r="AA65" s="145"/>
      <c r="AB65" s="39">
        <v>1054608</v>
      </c>
      <c r="AC65" s="39"/>
      <c r="AD65" s="39">
        <v>2757298</v>
      </c>
      <c r="AE65" s="39"/>
      <c r="AF65" s="39">
        <v>4925979</v>
      </c>
      <c r="AG65" s="39"/>
      <c r="AH65" s="39">
        <f t="shared" si="66"/>
        <v>1605051.5</v>
      </c>
      <c r="AI65" s="39"/>
      <c r="AJ65" s="39">
        <f t="shared" si="67"/>
        <v>197895</v>
      </c>
      <c r="AK65" s="39">
        <v>7234809</v>
      </c>
      <c r="AL65" s="39"/>
      <c r="AM65" s="39">
        <v>5179311</v>
      </c>
      <c r="AN65" s="39"/>
      <c r="AO65" s="39">
        <v>5682447</v>
      </c>
      <c r="AP65" s="39"/>
      <c r="AQ65" s="39">
        <v>13285721</v>
      </c>
      <c r="AR65" s="39"/>
      <c r="AS65" s="39">
        <v>6750924</v>
      </c>
      <c r="AT65" s="39"/>
      <c r="AU65" s="39">
        <v>9524202</v>
      </c>
      <c r="AV65" s="39"/>
      <c r="AW65" s="39">
        <v>3648623</v>
      </c>
      <c r="AX65" s="39"/>
      <c r="AY65" s="39">
        <v>27742762</v>
      </c>
      <c r="AZ65" s="39"/>
      <c r="BA65" s="133">
        <v>3401678</v>
      </c>
      <c r="BB65" s="133"/>
      <c r="BC65" s="55">
        <f>'LE StructuralVars'!I29</f>
        <v>7931592</v>
      </c>
      <c r="BD65" s="55">
        <f t="shared" si="68"/>
        <v>7931592</v>
      </c>
      <c r="BE65" s="223">
        <f t="shared" si="69"/>
        <v>7.5703779396285587E-3</v>
      </c>
      <c r="BH65" s="31"/>
      <c r="BI65" s="31"/>
      <c r="BJ65" s="31"/>
      <c r="BK65" s="31"/>
      <c r="BO65" s="26">
        <f t="shared" ref="BO65:BO73" si="70">BO66-1</f>
        <v>1991</v>
      </c>
      <c r="BP65" s="130">
        <v>26.03</v>
      </c>
      <c r="BQ65" s="130">
        <v>26.33</v>
      </c>
      <c r="BR65" s="130">
        <v>16.899999999999999</v>
      </c>
      <c r="BS65" s="130">
        <v>15.26</v>
      </c>
      <c r="BT65" s="130">
        <v>17.100000000000001</v>
      </c>
      <c r="BU65" s="130">
        <v>15.74</v>
      </c>
      <c r="BV65" s="130">
        <v>15.47</v>
      </c>
      <c r="BW65" s="130">
        <v>14.4</v>
      </c>
      <c r="BX65" s="130">
        <v>18.13</v>
      </c>
      <c r="BZ65" s="26">
        <f>BZ64+1</f>
        <v>1991</v>
      </c>
      <c r="CA65" s="121">
        <v>6.84</v>
      </c>
      <c r="CB65" s="121">
        <v>5.9</v>
      </c>
      <c r="CC65" s="121">
        <v>4.34</v>
      </c>
      <c r="CD65" s="121">
        <v>3.98</v>
      </c>
      <c r="CE65" s="121">
        <v>5.58</v>
      </c>
      <c r="CF65" s="121">
        <v>4.67</v>
      </c>
      <c r="CG65" s="121">
        <v>4.59</v>
      </c>
      <c r="CH65" s="121">
        <v>4.38</v>
      </c>
      <c r="CI65" s="121">
        <v>5.13</v>
      </c>
    </row>
    <row r="66" spans="1:87" x14ac:dyDescent="0.2">
      <c r="A66" s="26"/>
      <c r="B66" s="316"/>
      <c r="C66" s="316"/>
      <c r="D66" s="316"/>
      <c r="E66" s="319"/>
      <c r="F66" s="319"/>
      <c r="G66" s="26"/>
      <c r="H66" s="317"/>
      <c r="I66" s="317"/>
      <c r="J66" s="317"/>
      <c r="K66" s="55"/>
      <c r="L66" s="55"/>
      <c r="M66" s="320"/>
      <c r="N66" s="317"/>
      <c r="O66" s="317"/>
      <c r="P66" s="317"/>
      <c r="Q66" s="317"/>
      <c r="R66" s="72"/>
      <c r="S66" s="311"/>
      <c r="T66" s="20"/>
      <c r="U66" s="23">
        <v>2023</v>
      </c>
      <c r="V66" s="39">
        <v>2462546</v>
      </c>
      <c r="W66" s="39"/>
      <c r="X66" s="145">
        <v>1635712</v>
      </c>
      <c r="Y66" s="39"/>
      <c r="Z66" s="145">
        <v>203790</v>
      </c>
      <c r="AA66" s="145"/>
      <c r="AB66" s="39">
        <v>1052263</v>
      </c>
      <c r="AC66" s="39"/>
      <c r="AD66" s="39">
        <v>2743830</v>
      </c>
      <c r="AE66" s="39"/>
      <c r="AF66" s="39">
        <v>4975249</v>
      </c>
      <c r="AG66" s="39"/>
      <c r="AH66" s="39">
        <f t="shared" si="66"/>
        <v>1635712</v>
      </c>
      <c r="AI66" s="39"/>
      <c r="AJ66" s="39">
        <f t="shared" si="67"/>
        <v>203790</v>
      </c>
      <c r="AK66" s="39">
        <v>7293874</v>
      </c>
      <c r="AL66" s="39"/>
      <c r="AM66" s="39">
        <v>5246902</v>
      </c>
      <c r="AN66" s="39"/>
      <c r="AO66" s="39">
        <v>5734486</v>
      </c>
      <c r="AP66" s="39"/>
      <c r="AQ66" s="39">
        <v>13396182</v>
      </c>
      <c r="AR66" s="39"/>
      <c r="AS66" s="39">
        <v>6811547</v>
      </c>
      <c r="AT66" s="39"/>
      <c r="AU66" s="39">
        <v>9592136</v>
      </c>
      <c r="AV66" s="39"/>
      <c r="AW66" s="39">
        <v>3674718</v>
      </c>
      <c r="AX66" s="39"/>
      <c r="AY66" s="39">
        <v>28069383</v>
      </c>
      <c r="AZ66" s="39"/>
      <c r="BA66" s="133">
        <v>3410233</v>
      </c>
      <c r="BB66" s="133"/>
      <c r="BC66" s="55">
        <f>'LE StructuralVars'!I30</f>
        <v>7989389</v>
      </c>
      <c r="BD66" s="55">
        <f t="shared" si="68"/>
        <v>7989389</v>
      </c>
      <c r="BE66" s="223">
        <f t="shared" si="69"/>
        <v>7.2869355861975293E-3</v>
      </c>
      <c r="BH66" s="31"/>
      <c r="BI66" s="31"/>
      <c r="BJ66" s="31"/>
      <c r="BK66" s="31"/>
      <c r="BO66" s="26">
        <f t="shared" si="70"/>
        <v>1992</v>
      </c>
      <c r="BP66" s="130">
        <v>26.63</v>
      </c>
      <c r="BQ66" s="130">
        <v>25.21</v>
      </c>
      <c r="BR66" s="130">
        <v>17.98</v>
      </c>
      <c r="BS66" s="130">
        <v>16.28</v>
      </c>
      <c r="BT66" s="130">
        <v>17.420000000000002</v>
      </c>
      <c r="BU66" s="130">
        <v>16.489999999999998</v>
      </c>
      <c r="BV66" s="130">
        <v>15.96</v>
      </c>
      <c r="BW66" s="130">
        <v>15.76</v>
      </c>
      <c r="BX66" s="130">
        <v>18.57</v>
      </c>
      <c r="BZ66" s="26">
        <f t="shared" ref="BZ66:BZ110" si="71">BZ65+1</f>
        <v>1992</v>
      </c>
      <c r="CA66" s="121">
        <v>6.64</v>
      </c>
      <c r="CB66" s="121">
        <v>5.84</v>
      </c>
      <c r="CC66" s="121">
        <v>4.28</v>
      </c>
      <c r="CD66" s="121">
        <v>4.08</v>
      </c>
      <c r="CE66" s="121">
        <v>5.47</v>
      </c>
      <c r="CF66" s="121">
        <v>4.59</v>
      </c>
      <c r="CG66" s="121">
        <v>4.55</v>
      </c>
      <c r="CH66" s="121">
        <v>4.2300000000000004</v>
      </c>
      <c r="CI66" s="121">
        <v>4.8099999999999996</v>
      </c>
    </row>
    <row r="67" spans="1:87" x14ac:dyDescent="0.2">
      <c r="A67" s="26"/>
      <c r="B67" s="316"/>
      <c r="C67" s="316"/>
      <c r="D67" s="316"/>
      <c r="E67" s="319"/>
      <c r="F67" s="319"/>
      <c r="G67" s="26"/>
      <c r="H67" s="317"/>
      <c r="I67" s="317"/>
      <c r="J67" s="317"/>
      <c r="K67" s="55"/>
      <c r="L67" s="55"/>
      <c r="M67" s="320"/>
      <c r="N67" s="317"/>
      <c r="O67" s="317"/>
      <c r="P67" s="317"/>
      <c r="Q67" s="317"/>
      <c r="R67" s="72"/>
      <c r="S67" s="311"/>
      <c r="T67" s="20"/>
      <c r="U67" s="23">
        <v>2024</v>
      </c>
      <c r="V67" s="39">
        <v>2474113</v>
      </c>
      <c r="W67" s="39"/>
      <c r="X67" s="145">
        <v>1665960</v>
      </c>
      <c r="Y67" s="39"/>
      <c r="Z67" s="145">
        <v>209355</v>
      </c>
      <c r="AA67" s="145"/>
      <c r="AB67" s="39">
        <v>1049830</v>
      </c>
      <c r="AC67" s="39"/>
      <c r="AD67" s="39">
        <v>2730499</v>
      </c>
      <c r="AE67" s="39"/>
      <c r="AF67" s="39">
        <v>5023629</v>
      </c>
      <c r="AG67" s="39"/>
      <c r="AH67" s="39">
        <f t="shared" si="66"/>
        <v>1665960</v>
      </c>
      <c r="AI67" s="39"/>
      <c r="AJ67" s="39">
        <f t="shared" si="67"/>
        <v>209355</v>
      </c>
      <c r="AK67" s="39">
        <v>7351546</v>
      </c>
      <c r="AL67" s="39"/>
      <c r="AM67" s="39">
        <v>5313928</v>
      </c>
      <c r="AN67" s="39"/>
      <c r="AO67" s="39">
        <v>5785419</v>
      </c>
      <c r="AP67" s="39"/>
      <c r="AQ67" s="39">
        <v>13505040</v>
      </c>
      <c r="AR67" s="39"/>
      <c r="AS67" s="39">
        <v>6870841</v>
      </c>
      <c r="AT67" s="39"/>
      <c r="AU67" s="39">
        <v>9658477</v>
      </c>
      <c r="AV67" s="39"/>
      <c r="AW67" s="39">
        <v>3700050</v>
      </c>
      <c r="AX67" s="39"/>
      <c r="AY67" s="39">
        <v>28393079</v>
      </c>
      <c r="AZ67" s="39"/>
      <c r="BA67" s="133">
        <v>3418411</v>
      </c>
      <c r="BB67" s="133"/>
      <c r="BC67" s="55">
        <f>'LE StructuralVars'!I31</f>
        <v>8045794</v>
      </c>
      <c r="BD67" s="55">
        <f t="shared" si="68"/>
        <v>8045794</v>
      </c>
      <c r="BE67" s="223">
        <f t="shared" si="69"/>
        <v>7.059989193166194E-3</v>
      </c>
      <c r="BO67" s="26">
        <f t="shared" si="70"/>
        <v>1993</v>
      </c>
      <c r="BP67" s="130">
        <v>27.92</v>
      </c>
      <c r="BQ67" s="130">
        <v>24.89</v>
      </c>
      <c r="BR67" s="130">
        <v>18.21</v>
      </c>
      <c r="BS67" s="130">
        <v>16.48</v>
      </c>
      <c r="BT67" s="130">
        <v>17.350000000000001</v>
      </c>
      <c r="BU67" s="130">
        <v>16.52</v>
      </c>
      <c r="BV67" s="130">
        <v>16.78</v>
      </c>
      <c r="BW67" s="130">
        <v>15.89</v>
      </c>
      <c r="BX67" s="130">
        <v>18.61</v>
      </c>
      <c r="BZ67" s="26">
        <f t="shared" si="71"/>
        <v>1993</v>
      </c>
      <c r="CA67" s="121">
        <v>6.85</v>
      </c>
      <c r="CB67" s="121">
        <v>6.01</v>
      </c>
      <c r="CC67" s="121">
        <v>4.46</v>
      </c>
      <c r="CD67" s="121">
        <v>4.2300000000000004</v>
      </c>
      <c r="CE67" s="121">
        <v>5.76</v>
      </c>
      <c r="CF67" s="121">
        <v>4.7</v>
      </c>
      <c r="CG67" s="121">
        <v>4.58</v>
      </c>
      <c r="CH67" s="121">
        <v>4.16</v>
      </c>
      <c r="CI67" s="121">
        <v>4.92</v>
      </c>
    </row>
    <row r="68" spans="1:87" x14ac:dyDescent="0.2">
      <c r="A68" s="26"/>
      <c r="B68" s="316"/>
      <c r="C68" s="316"/>
      <c r="D68" s="316"/>
      <c r="E68" s="319"/>
      <c r="F68" s="319"/>
      <c r="G68" s="26"/>
      <c r="H68" s="317"/>
      <c r="I68" s="317"/>
      <c r="J68" s="317"/>
      <c r="K68" s="55"/>
      <c r="L68" s="55"/>
      <c r="M68" s="320"/>
      <c r="N68" s="317"/>
      <c r="O68" s="317"/>
      <c r="P68" s="317"/>
      <c r="Q68" s="317"/>
      <c r="R68" s="72"/>
      <c r="T68" s="20"/>
      <c r="U68" s="23">
        <v>2025</v>
      </c>
      <c r="V68" s="39">
        <v>2485851</v>
      </c>
      <c r="W68" s="39"/>
      <c r="X68" s="145">
        <v>1696639.5</v>
      </c>
      <c r="Y68" s="39"/>
      <c r="Z68" s="145">
        <v>214785</v>
      </c>
      <c r="AA68" s="145"/>
      <c r="AB68" s="39">
        <v>1047396</v>
      </c>
      <c r="AC68" s="39"/>
      <c r="AD68" s="39">
        <v>2717336</v>
      </c>
      <c r="AE68" s="39"/>
      <c r="AF68" s="39">
        <v>5072276</v>
      </c>
      <c r="AG68" s="39"/>
      <c r="AH68" s="39">
        <f t="shared" si="66"/>
        <v>1696639.5</v>
      </c>
      <c r="AI68" s="39"/>
      <c r="AJ68" s="39">
        <f t="shared" si="67"/>
        <v>214785</v>
      </c>
      <c r="AK68" s="39">
        <v>7410054</v>
      </c>
      <c r="AL68" s="39"/>
      <c r="AM68" s="39">
        <v>5382473</v>
      </c>
      <c r="AN68" s="39"/>
      <c r="AO68" s="39">
        <v>5836629</v>
      </c>
      <c r="AP68" s="39"/>
      <c r="AQ68" s="39">
        <v>13614716</v>
      </c>
      <c r="AR68" s="39"/>
      <c r="AS68" s="39">
        <v>6930993</v>
      </c>
      <c r="AT68" s="39"/>
      <c r="AU68" s="39">
        <v>9725899</v>
      </c>
      <c r="AV68" s="39"/>
      <c r="AW68" s="39">
        <v>3725780</v>
      </c>
      <c r="AX68" s="39"/>
      <c r="AY68" s="39">
        <v>28721679</v>
      </c>
      <c r="AZ68" s="39"/>
      <c r="BA68" s="133">
        <v>3427064</v>
      </c>
      <c r="BB68" s="133"/>
      <c r="BC68" s="55">
        <f>'LE StructuralVars'!I32</f>
        <v>8103040</v>
      </c>
      <c r="BD68" s="55">
        <f t="shared" si="68"/>
        <v>8103040</v>
      </c>
      <c r="BE68" s="223">
        <f t="shared" si="69"/>
        <v>7.1150218362538986E-3</v>
      </c>
      <c r="BO68" s="26">
        <f t="shared" si="70"/>
        <v>1994</v>
      </c>
      <c r="BP68" s="130">
        <v>29.1</v>
      </c>
      <c r="BQ68" s="130">
        <v>25.35</v>
      </c>
      <c r="BR68" s="130">
        <v>18.52</v>
      </c>
      <c r="BS68" s="130">
        <v>16.989999999999998</v>
      </c>
      <c r="BT68" s="130">
        <v>17.760000000000002</v>
      </c>
      <c r="BU68" s="130">
        <v>17.010000000000002</v>
      </c>
      <c r="BV68" s="130">
        <v>17.260000000000002</v>
      </c>
      <c r="BW68" s="130">
        <v>16.86</v>
      </c>
      <c r="BX68" s="130">
        <v>19.21</v>
      </c>
      <c r="BZ68" s="26">
        <f t="shared" si="71"/>
        <v>1994</v>
      </c>
      <c r="CA68" s="121">
        <v>7.22</v>
      </c>
      <c r="CB68" s="121">
        <v>6.26</v>
      </c>
      <c r="CC68" s="121">
        <v>4.42</v>
      </c>
      <c r="CD68" s="121">
        <v>4.1399999999999997</v>
      </c>
      <c r="CE68" s="121">
        <v>5.83</v>
      </c>
      <c r="CF68" s="121">
        <v>4.8499999999999996</v>
      </c>
      <c r="CG68" s="121">
        <v>4.6500000000000004</v>
      </c>
      <c r="CH68" s="121">
        <v>4.3099999999999996</v>
      </c>
      <c r="CI68" s="121">
        <v>4.97</v>
      </c>
    </row>
    <row r="69" spans="1:87" x14ac:dyDescent="0.2">
      <c r="A69" s="26"/>
      <c r="B69" s="316"/>
      <c r="C69" s="316"/>
      <c r="D69" s="316"/>
      <c r="E69" s="319"/>
      <c r="F69" s="319"/>
      <c r="G69" s="26"/>
      <c r="H69" s="317"/>
      <c r="I69" s="317"/>
      <c r="J69" s="317"/>
      <c r="K69" s="55"/>
      <c r="L69" s="55"/>
      <c r="M69" s="320"/>
      <c r="N69" s="317"/>
      <c r="O69" s="317"/>
      <c r="P69" s="317"/>
      <c r="Q69" s="317"/>
      <c r="R69" s="72"/>
      <c r="T69" s="20"/>
      <c r="U69" s="23">
        <v>2026</v>
      </c>
      <c r="V69" s="39">
        <v>2498037</v>
      </c>
      <c r="W69" s="39"/>
      <c r="X69" s="145">
        <v>1727238</v>
      </c>
      <c r="Y69" s="39"/>
      <c r="Z69" s="145">
        <v>219971</v>
      </c>
      <c r="AA69" s="145"/>
      <c r="AB69" s="39">
        <v>1045045</v>
      </c>
      <c r="AC69" s="39"/>
      <c r="AD69" s="39">
        <v>2704364</v>
      </c>
      <c r="AE69" s="39"/>
      <c r="AF69" s="39">
        <v>5121077</v>
      </c>
      <c r="AG69" s="39"/>
      <c r="AH69" s="39">
        <f t="shared" si="66"/>
        <v>1727238</v>
      </c>
      <c r="AI69" s="39"/>
      <c r="AJ69" s="39">
        <f t="shared" si="67"/>
        <v>219971</v>
      </c>
      <c r="AK69" s="39">
        <v>7468650</v>
      </c>
      <c r="AL69" s="39"/>
      <c r="AM69" s="39">
        <v>5451763</v>
      </c>
      <c r="AN69" s="39"/>
      <c r="AO69" s="39">
        <v>5887728</v>
      </c>
      <c r="AP69" s="39"/>
      <c r="AQ69" s="39">
        <v>13724603</v>
      </c>
      <c r="AR69" s="39"/>
      <c r="AS69" s="39">
        <v>6991256</v>
      </c>
      <c r="AT69" s="39"/>
      <c r="AU69" s="39">
        <v>9793301</v>
      </c>
      <c r="AV69" s="39"/>
      <c r="AW69" s="39">
        <v>3751493</v>
      </c>
      <c r="AX69" s="39"/>
      <c r="AY69" s="39">
        <v>29054702</v>
      </c>
      <c r="AZ69" s="39"/>
      <c r="BA69" s="133">
        <v>3435621</v>
      </c>
      <c r="BB69" s="133"/>
      <c r="BC69" s="55">
        <f>'LE StructuralVars'!I33</f>
        <v>8160402</v>
      </c>
      <c r="BD69" s="55">
        <f t="shared" si="68"/>
        <v>8160402</v>
      </c>
      <c r="BE69" s="223">
        <f t="shared" si="69"/>
        <v>7.0790715583286534E-3</v>
      </c>
      <c r="BO69" s="26">
        <f t="shared" si="70"/>
        <v>1995</v>
      </c>
      <c r="BP69" s="130">
        <v>27.34</v>
      </c>
      <c r="BQ69" s="130">
        <v>27.44</v>
      </c>
      <c r="BR69" s="130">
        <v>19.72</v>
      </c>
      <c r="BS69" s="130">
        <v>17.11</v>
      </c>
      <c r="BT69" s="130">
        <v>18.34</v>
      </c>
      <c r="BU69" s="130">
        <v>14.51</v>
      </c>
      <c r="BV69" s="130">
        <v>17.63</v>
      </c>
      <c r="BW69" s="130">
        <v>18.09</v>
      </c>
      <c r="BX69" s="130">
        <v>20.97</v>
      </c>
      <c r="BZ69" s="26">
        <f t="shared" si="71"/>
        <v>1995</v>
      </c>
      <c r="CA69" s="121">
        <v>7</v>
      </c>
      <c r="CB69" s="121">
        <v>6</v>
      </c>
      <c r="CC69" s="121">
        <v>3.9</v>
      </c>
      <c r="CD69" s="121">
        <v>3.84</v>
      </c>
      <c r="CE69" s="121">
        <v>5.33</v>
      </c>
      <c r="CF69" s="121">
        <v>4.4400000000000004</v>
      </c>
      <c r="CG69" s="121">
        <v>4.5</v>
      </c>
      <c r="CH69" s="121">
        <v>4.12</v>
      </c>
      <c r="CI69" s="121">
        <v>4.8899999999999997</v>
      </c>
    </row>
    <row r="70" spans="1:87" x14ac:dyDescent="0.2">
      <c r="A70" s="26"/>
      <c r="B70" s="316"/>
      <c r="C70" s="316"/>
      <c r="D70" s="316"/>
      <c r="E70" s="319"/>
      <c r="F70" s="319"/>
      <c r="G70" s="26"/>
      <c r="H70" s="317"/>
      <c r="I70" s="317"/>
      <c r="J70" s="317"/>
      <c r="K70" s="55"/>
      <c r="L70" s="55"/>
      <c r="M70" s="320"/>
      <c r="N70" s="317"/>
      <c r="O70" s="317"/>
      <c r="P70" s="317"/>
      <c r="Q70" s="317"/>
      <c r="R70" s="72"/>
      <c r="T70" s="20"/>
      <c r="U70" s="23">
        <v>2027</v>
      </c>
      <c r="V70" s="39">
        <v>2510503</v>
      </c>
      <c r="W70" s="39"/>
      <c r="X70" s="145">
        <v>1756790.5</v>
      </c>
      <c r="Y70" s="39"/>
      <c r="Z70" s="145">
        <v>224741</v>
      </c>
      <c r="AA70" s="145"/>
      <c r="AB70" s="39">
        <v>1042784</v>
      </c>
      <c r="AC70" s="39"/>
      <c r="AD70" s="39">
        <v>2691580</v>
      </c>
      <c r="AE70" s="39"/>
      <c r="AF70" s="39">
        <v>5169175</v>
      </c>
      <c r="AG70" s="39"/>
      <c r="AH70" s="39">
        <f t="shared" si="66"/>
        <v>1756790.5</v>
      </c>
      <c r="AI70" s="39"/>
      <c r="AJ70" s="39">
        <f t="shared" si="67"/>
        <v>224741</v>
      </c>
      <c r="AK70" s="39">
        <v>7525368</v>
      </c>
      <c r="AL70" s="39"/>
      <c r="AM70" s="39">
        <v>5519262</v>
      </c>
      <c r="AN70" s="39"/>
      <c r="AO70" s="39">
        <v>5937580</v>
      </c>
      <c r="AP70" s="39"/>
      <c r="AQ70" s="39">
        <v>13831965</v>
      </c>
      <c r="AR70" s="39"/>
      <c r="AS70" s="39">
        <v>7049671</v>
      </c>
      <c r="AT70" s="39"/>
      <c r="AU70" s="39">
        <v>9858134</v>
      </c>
      <c r="AV70" s="39"/>
      <c r="AW70" s="39">
        <v>3776152</v>
      </c>
      <c r="AX70" s="39"/>
      <c r="AY70" s="39">
        <v>29382035</v>
      </c>
      <c r="AZ70" s="39"/>
      <c r="BA70" s="133">
        <v>3443439</v>
      </c>
      <c r="BB70" s="133"/>
      <c r="BC70" s="55">
        <f>'LE StructuralVars'!I34</f>
        <v>8215878</v>
      </c>
      <c r="BD70" s="55">
        <f t="shared" si="68"/>
        <v>8215878</v>
      </c>
      <c r="BE70" s="223">
        <f t="shared" si="69"/>
        <v>6.7981945007120625E-3</v>
      </c>
      <c r="BO70" s="26">
        <f t="shared" si="70"/>
        <v>1996</v>
      </c>
      <c r="BP70" s="130">
        <v>27</v>
      </c>
      <c r="BQ70" s="130">
        <v>27.05</v>
      </c>
      <c r="BR70" s="130">
        <v>19.350000000000001</v>
      </c>
      <c r="BS70" s="130">
        <v>16.55</v>
      </c>
      <c r="BT70" s="130">
        <v>17.920000000000002</v>
      </c>
      <c r="BU70" s="130">
        <v>14.13</v>
      </c>
      <c r="BV70" s="130">
        <v>17.47</v>
      </c>
      <c r="BW70" s="130">
        <v>17.57</v>
      </c>
      <c r="BX70" s="130">
        <v>20.23</v>
      </c>
      <c r="BZ70" s="26">
        <f t="shared" si="71"/>
        <v>1996</v>
      </c>
      <c r="CA70" s="121">
        <v>6.85</v>
      </c>
      <c r="CB70" s="121">
        <v>6.07</v>
      </c>
      <c r="CC70" s="121">
        <v>4.13</v>
      </c>
      <c r="CD70" s="121">
        <v>4.2</v>
      </c>
      <c r="CE70" s="121">
        <v>5.7</v>
      </c>
      <c r="CF70" s="121">
        <v>4.71</v>
      </c>
      <c r="CG70" s="121">
        <v>4.53</v>
      </c>
      <c r="CH70" s="121">
        <v>3.72</v>
      </c>
      <c r="CI70" s="121">
        <v>4.76</v>
      </c>
    </row>
    <row r="71" spans="1:87" x14ac:dyDescent="0.2">
      <c r="A71" s="26"/>
      <c r="B71" s="316"/>
      <c r="C71" s="316"/>
      <c r="D71" s="316"/>
      <c r="E71" s="319"/>
      <c r="F71" s="319"/>
      <c r="G71" s="26"/>
      <c r="H71" s="317"/>
      <c r="I71" s="317"/>
      <c r="J71" s="317"/>
      <c r="K71" s="55"/>
      <c r="L71" s="55"/>
      <c r="M71" s="320"/>
      <c r="N71" s="317"/>
      <c r="O71" s="317"/>
      <c r="P71" s="317"/>
      <c r="Q71" s="317"/>
      <c r="R71" s="72"/>
      <c r="T71" s="20"/>
      <c r="U71" s="23">
        <v>2028</v>
      </c>
      <c r="V71" s="39">
        <v>2522754</v>
      </c>
      <c r="W71" s="39"/>
      <c r="X71" s="145">
        <v>1784887.5</v>
      </c>
      <c r="Y71" s="39"/>
      <c r="Z71" s="145">
        <v>229055</v>
      </c>
      <c r="AA71" s="145"/>
      <c r="AB71" s="39">
        <v>1040507</v>
      </c>
      <c r="AC71" s="39"/>
      <c r="AD71" s="39">
        <v>2678936</v>
      </c>
      <c r="AE71" s="39"/>
      <c r="AF71" s="39">
        <v>5215693</v>
      </c>
      <c r="AG71" s="39"/>
      <c r="AH71" s="39">
        <f t="shared" si="66"/>
        <v>1784887.5</v>
      </c>
      <c r="AI71" s="39"/>
      <c r="AJ71" s="39">
        <f t="shared" si="67"/>
        <v>229055</v>
      </c>
      <c r="AK71" s="39">
        <v>7578821</v>
      </c>
      <c r="AL71" s="39"/>
      <c r="AM71" s="39">
        <v>5583609</v>
      </c>
      <c r="AN71" s="39"/>
      <c r="AO71" s="39">
        <v>5985107</v>
      </c>
      <c r="AP71" s="39"/>
      <c r="AQ71" s="39">
        <v>13933290</v>
      </c>
      <c r="AR71" s="39"/>
      <c r="AS71" s="39">
        <v>7104850</v>
      </c>
      <c r="AT71" s="39"/>
      <c r="AU71" s="39">
        <v>9918795</v>
      </c>
      <c r="AV71" s="39"/>
      <c r="AW71" s="39">
        <v>3798965</v>
      </c>
      <c r="AX71" s="39"/>
      <c r="AY71" s="39">
        <v>29698661</v>
      </c>
      <c r="AZ71" s="39"/>
      <c r="BA71" s="133">
        <v>3450011</v>
      </c>
      <c r="BB71" s="133"/>
      <c r="BC71" s="55">
        <f>'LE StructuralVars'!I35</f>
        <v>8268095</v>
      </c>
      <c r="BD71" s="55">
        <f t="shared" si="68"/>
        <v>8268095</v>
      </c>
      <c r="BE71" s="223">
        <f t="shared" si="69"/>
        <v>6.355620178391197E-3</v>
      </c>
      <c r="BO71" s="26">
        <f t="shared" si="70"/>
        <v>1997</v>
      </c>
      <c r="BP71" s="130">
        <v>27.07</v>
      </c>
      <c r="BQ71" s="130">
        <v>26.87</v>
      </c>
      <c r="BR71" s="130">
        <v>19.2</v>
      </c>
      <c r="BS71" s="130">
        <v>16.309999999999999</v>
      </c>
      <c r="BT71" s="130">
        <v>17.760000000000002</v>
      </c>
      <c r="BU71" s="130">
        <v>14.08</v>
      </c>
      <c r="BV71" s="130">
        <v>17.18</v>
      </c>
      <c r="BW71" s="130">
        <v>17.100000000000001</v>
      </c>
      <c r="BX71" s="130">
        <v>20.12</v>
      </c>
      <c r="BZ71" s="26">
        <f t="shared" si="71"/>
        <v>1997</v>
      </c>
      <c r="CA71" s="121">
        <v>7.13</v>
      </c>
      <c r="CB71" s="121">
        <v>6.6</v>
      </c>
      <c r="CC71" s="121">
        <v>4.5</v>
      </c>
      <c r="CD71" s="121">
        <v>4.57</v>
      </c>
      <c r="CE71" s="121">
        <v>6.14</v>
      </c>
      <c r="CF71" s="121">
        <v>5.22</v>
      </c>
      <c r="CG71" s="121">
        <v>4.8099999999999996</v>
      </c>
      <c r="CH71" s="121">
        <v>4.05</v>
      </c>
      <c r="CI71" s="121">
        <v>4.91</v>
      </c>
    </row>
    <row r="72" spans="1:87" x14ac:dyDescent="0.2">
      <c r="A72" s="26"/>
      <c r="B72" s="316"/>
      <c r="C72" s="316"/>
      <c r="D72" s="316"/>
      <c r="E72" s="319"/>
      <c r="F72" s="319"/>
      <c r="G72" s="26"/>
      <c r="H72" s="317"/>
      <c r="I72" s="317"/>
      <c r="J72" s="317"/>
      <c r="K72" s="55"/>
      <c r="L72" s="55"/>
      <c r="M72" s="320"/>
      <c r="N72" s="317"/>
      <c r="O72" s="317"/>
      <c r="P72" s="317"/>
      <c r="Q72" s="317"/>
      <c r="R72" s="72"/>
      <c r="T72" s="20"/>
      <c r="U72" s="23">
        <v>2029</v>
      </c>
      <c r="V72" s="39">
        <v>2534412</v>
      </c>
      <c r="W72" s="39"/>
      <c r="X72" s="145">
        <v>1811834</v>
      </c>
      <c r="Y72" s="39"/>
      <c r="Z72" s="145">
        <v>233035</v>
      </c>
      <c r="AA72" s="145"/>
      <c r="AB72" s="39">
        <v>1038138</v>
      </c>
      <c r="AC72" s="39"/>
      <c r="AD72" s="39">
        <v>2666406</v>
      </c>
      <c r="AE72" s="39"/>
      <c r="AF72" s="39">
        <v>5260534</v>
      </c>
      <c r="AG72" s="39"/>
      <c r="AH72" s="39">
        <f t="shared" si="66"/>
        <v>1811834</v>
      </c>
      <c r="AI72" s="39"/>
      <c r="AJ72" s="39">
        <f t="shared" si="67"/>
        <v>233035</v>
      </c>
      <c r="AK72" s="39">
        <v>7629339</v>
      </c>
      <c r="AL72" s="39"/>
      <c r="AM72" s="39">
        <v>5645297</v>
      </c>
      <c r="AN72" s="39"/>
      <c r="AO72" s="39">
        <v>6030411</v>
      </c>
      <c r="AP72" s="39"/>
      <c r="AQ72" s="39">
        <v>14030492</v>
      </c>
      <c r="AR72" s="39"/>
      <c r="AS72" s="39">
        <v>7157159</v>
      </c>
      <c r="AT72" s="39"/>
      <c r="AU72" s="39">
        <v>9975932</v>
      </c>
      <c r="AV72" s="39"/>
      <c r="AW72" s="39">
        <v>3820239</v>
      </c>
      <c r="AX72" s="39"/>
      <c r="AY72" s="39">
        <v>30009006</v>
      </c>
      <c r="AZ72" s="39"/>
      <c r="BA72" s="133">
        <v>3455622</v>
      </c>
      <c r="BB72" s="133"/>
      <c r="BC72" s="55">
        <f>'LE StructuralVars'!I36</f>
        <v>8317381</v>
      </c>
      <c r="BD72" s="55">
        <f t="shared" si="68"/>
        <v>8317381</v>
      </c>
      <c r="BE72" s="223">
        <f t="shared" si="69"/>
        <v>5.9609861763805227E-3</v>
      </c>
      <c r="BO72" s="26">
        <f t="shared" si="70"/>
        <v>1998</v>
      </c>
      <c r="BP72" s="130">
        <v>25.67</v>
      </c>
      <c r="BQ72" s="130">
        <v>25.94</v>
      </c>
      <c r="BR72" s="130">
        <v>18.89</v>
      </c>
      <c r="BS72" s="130">
        <v>16.260000000000002</v>
      </c>
      <c r="BT72" s="130">
        <v>17.34</v>
      </c>
      <c r="BU72" s="130">
        <v>14.32</v>
      </c>
      <c r="BV72" s="130">
        <v>16.55</v>
      </c>
      <c r="BW72" s="130">
        <v>16.940000000000001</v>
      </c>
      <c r="BX72" s="130">
        <v>18.91</v>
      </c>
      <c r="BZ72" s="26">
        <f t="shared" si="71"/>
        <v>1998</v>
      </c>
      <c r="CA72" s="121">
        <v>7.03</v>
      </c>
      <c r="CB72" s="121">
        <v>6.36</v>
      </c>
      <c r="CC72" s="121">
        <v>4.25</v>
      </c>
      <c r="CD72" s="121">
        <v>4.32</v>
      </c>
      <c r="CE72" s="121">
        <v>5.89</v>
      </c>
      <c r="CF72" s="121">
        <v>4.99</v>
      </c>
      <c r="CG72" s="121">
        <v>4.59</v>
      </c>
      <c r="CH72" s="121">
        <v>4.28</v>
      </c>
      <c r="CI72" s="121">
        <v>4.95</v>
      </c>
    </row>
    <row r="73" spans="1:87" x14ac:dyDescent="0.2">
      <c r="A73" s="26"/>
      <c r="B73" s="316"/>
      <c r="C73" s="316"/>
      <c r="D73" s="316"/>
      <c r="E73" s="319"/>
      <c r="F73" s="319"/>
      <c r="G73" s="26"/>
      <c r="H73" s="317"/>
      <c r="I73" s="317"/>
      <c r="J73" s="317"/>
      <c r="K73" s="55"/>
      <c r="L73" s="55"/>
      <c r="M73" s="320"/>
      <c r="N73" s="317"/>
      <c r="O73" s="317"/>
      <c r="P73" s="317"/>
      <c r="Q73" s="317"/>
      <c r="R73" s="72"/>
      <c r="T73" s="20"/>
      <c r="U73" s="23">
        <v>2030</v>
      </c>
      <c r="V73" s="39">
        <v>2545783</v>
      </c>
      <c r="W73" s="39"/>
      <c r="X73" s="145">
        <v>1838723.5</v>
      </c>
      <c r="Y73" s="39"/>
      <c r="Z73" s="145">
        <v>236917</v>
      </c>
      <c r="AA73" s="145"/>
      <c r="AB73" s="39">
        <v>1035706</v>
      </c>
      <c r="AC73" s="39"/>
      <c r="AD73" s="39">
        <v>2654000</v>
      </c>
      <c r="AE73" s="39"/>
      <c r="AF73" s="39">
        <v>5304778</v>
      </c>
      <c r="AG73" s="39"/>
      <c r="AH73" s="39">
        <f t="shared" si="66"/>
        <v>1838723.5</v>
      </c>
      <c r="AI73" s="39"/>
      <c r="AJ73" s="39">
        <f t="shared" si="67"/>
        <v>236917</v>
      </c>
      <c r="AK73" s="39">
        <v>7679323</v>
      </c>
      <c r="AL73" s="39"/>
      <c r="AM73" s="39">
        <v>5706665</v>
      </c>
      <c r="AN73" s="39"/>
      <c r="AO73" s="39">
        <v>6074510</v>
      </c>
      <c r="AP73" s="39"/>
      <c r="AQ73" s="39">
        <v>14126277</v>
      </c>
      <c r="AR73" s="39"/>
      <c r="AS73" s="39">
        <v>7208959</v>
      </c>
      <c r="AT73" s="39"/>
      <c r="AU73" s="39">
        <v>10032541</v>
      </c>
      <c r="AV73" s="39"/>
      <c r="AW73" s="39">
        <v>3841218</v>
      </c>
      <c r="AX73" s="39"/>
      <c r="AY73" s="39">
        <v>30319282</v>
      </c>
      <c r="AZ73" s="39"/>
      <c r="BA73" s="133">
        <v>3461059</v>
      </c>
      <c r="BB73" s="133"/>
      <c r="BC73" s="55">
        <f>'LE StructuralVars'!I37</f>
        <v>8366144</v>
      </c>
      <c r="BD73" s="55">
        <f t="shared" si="68"/>
        <v>8366144</v>
      </c>
      <c r="BE73" s="223">
        <f t="shared" si="69"/>
        <v>5.8627830082571553E-3</v>
      </c>
      <c r="BO73" s="26">
        <f t="shared" si="70"/>
        <v>1999</v>
      </c>
      <c r="BP73" s="130">
        <v>24.42</v>
      </c>
      <c r="BQ73" s="130">
        <v>24.28</v>
      </c>
      <c r="BR73" s="130">
        <v>18.079999999999998</v>
      </c>
      <c r="BS73" s="130">
        <v>16.100000000000001</v>
      </c>
      <c r="BT73" s="130">
        <v>16.899999999999999</v>
      </c>
      <c r="BU73" s="130">
        <v>14.05</v>
      </c>
      <c r="BV73" s="130">
        <v>16.12</v>
      </c>
      <c r="BW73" s="130">
        <v>16.27</v>
      </c>
      <c r="BX73" s="130">
        <v>18.59</v>
      </c>
      <c r="BZ73" s="26">
        <f t="shared" si="71"/>
        <v>1999</v>
      </c>
      <c r="CA73" s="121">
        <v>6.87</v>
      </c>
      <c r="CB73" s="121">
        <v>6.14</v>
      </c>
      <c r="CC73" s="121">
        <v>4.13</v>
      </c>
      <c r="CD73" s="121">
        <v>4.2699999999999996</v>
      </c>
      <c r="CE73" s="121">
        <v>5.42</v>
      </c>
      <c r="CF73" s="121">
        <v>4.8</v>
      </c>
      <c r="CG73" s="121">
        <v>4.57</v>
      </c>
      <c r="CH73" s="121">
        <v>4.26</v>
      </c>
      <c r="CI73" s="121">
        <v>4.72</v>
      </c>
    </row>
    <row r="74" spans="1:87" x14ac:dyDescent="0.2">
      <c r="A74" s="26"/>
      <c r="B74" s="316"/>
      <c r="C74" s="316"/>
      <c r="D74" s="316"/>
      <c r="E74" s="319"/>
      <c r="F74" s="319"/>
      <c r="G74" s="26"/>
      <c r="H74" s="317"/>
      <c r="I74" s="317"/>
      <c r="J74" s="317"/>
      <c r="K74" s="55"/>
      <c r="L74" s="55"/>
      <c r="M74" s="320"/>
      <c r="N74" s="317"/>
      <c r="O74" s="317"/>
      <c r="P74" s="317"/>
      <c r="Q74" s="317"/>
      <c r="R74" s="72"/>
      <c r="T74" s="20"/>
      <c r="U74" s="23">
        <v>2031</v>
      </c>
      <c r="V74" s="39">
        <v>2556851</v>
      </c>
      <c r="W74" s="39"/>
      <c r="X74" s="145">
        <v>1865037</v>
      </c>
      <c r="Y74" s="39"/>
      <c r="Z74" s="145">
        <v>240608</v>
      </c>
      <c r="AA74" s="145"/>
      <c r="AB74" s="39">
        <v>1033226</v>
      </c>
      <c r="AC74" s="39"/>
      <c r="AD74" s="39">
        <v>2641717</v>
      </c>
      <c r="AE74" s="39"/>
      <c r="AF74" s="39">
        <v>5348037</v>
      </c>
      <c r="AG74" s="39"/>
      <c r="AH74" s="39">
        <f t="shared" si="66"/>
        <v>1865037</v>
      </c>
      <c r="AI74" s="39"/>
      <c r="AJ74" s="39">
        <f t="shared" si="67"/>
        <v>240608</v>
      </c>
      <c r="AK74" s="39">
        <v>7727772</v>
      </c>
      <c r="AL74" s="39"/>
      <c r="AM74" s="39">
        <v>5766696</v>
      </c>
      <c r="AN74" s="39"/>
      <c r="AO74" s="39">
        <v>6117524</v>
      </c>
      <c r="AP74" s="39"/>
      <c r="AQ74" s="39">
        <v>14216761</v>
      </c>
      <c r="AR74" s="39"/>
      <c r="AS74" s="39">
        <v>7259286</v>
      </c>
      <c r="AT74" s="39"/>
      <c r="AU74" s="39">
        <v>10087324</v>
      </c>
      <c r="AV74" s="39"/>
      <c r="AW74" s="39">
        <v>3861389</v>
      </c>
      <c r="AX74" s="39"/>
      <c r="AY74" s="39">
        <v>30625558</v>
      </c>
      <c r="AZ74" s="39"/>
      <c r="BA74" s="133">
        <v>3466039</v>
      </c>
      <c r="BB74" s="133"/>
      <c r="BC74" s="55">
        <f>'LE StructuralVars'!I38</f>
        <v>8413375</v>
      </c>
      <c r="BD74" s="55">
        <f>BC74</f>
        <v>8413375</v>
      </c>
      <c r="BE74" s="223">
        <f t="shared" si="69"/>
        <v>5.645492116798323E-3</v>
      </c>
      <c r="BO74" s="26">
        <f>BO75-1</f>
        <v>2000</v>
      </c>
      <c r="BP74" s="130">
        <v>23.92</v>
      </c>
      <c r="BQ74" s="130">
        <v>24.39</v>
      </c>
      <c r="BR74" s="130">
        <v>17.600000000000001</v>
      </c>
      <c r="BS74" s="130">
        <v>15.75</v>
      </c>
      <c r="BT74" s="130">
        <v>16.5</v>
      </c>
      <c r="BU74" s="130">
        <v>13.77</v>
      </c>
      <c r="BV74" s="130">
        <v>16.64</v>
      </c>
      <c r="BW74" s="130">
        <v>15.88</v>
      </c>
      <c r="BX74" s="130">
        <v>18.690000000000001</v>
      </c>
      <c r="BZ74" s="26">
        <f t="shared" si="71"/>
        <v>2000</v>
      </c>
      <c r="CA74" s="121">
        <v>7.28</v>
      </c>
      <c r="CB74" s="121">
        <v>6.27</v>
      </c>
      <c r="CC74" s="121">
        <v>4.83</v>
      </c>
      <c r="CD74" s="121">
        <v>5.29</v>
      </c>
      <c r="CE74" s="121">
        <v>6.6</v>
      </c>
      <c r="CF74" s="121">
        <v>5.59</v>
      </c>
      <c r="CG74" s="121">
        <v>5.37</v>
      </c>
      <c r="CH74" s="121">
        <v>4.66</v>
      </c>
      <c r="CI74" s="121">
        <v>5.68</v>
      </c>
    </row>
    <row r="75" spans="1:87" x14ac:dyDescent="0.2">
      <c r="A75" s="26"/>
      <c r="B75" s="316"/>
      <c r="C75" s="316"/>
      <c r="D75" s="316"/>
      <c r="E75" s="319"/>
      <c r="F75" s="319"/>
      <c r="G75" s="26"/>
      <c r="H75" s="317"/>
      <c r="I75" s="317"/>
      <c r="J75" s="317"/>
      <c r="K75" s="55"/>
      <c r="L75" s="55"/>
      <c r="M75" s="320"/>
      <c r="N75" s="317"/>
      <c r="O75" s="317"/>
      <c r="P75" s="317"/>
      <c r="Q75" s="317"/>
      <c r="R75" s="72"/>
      <c r="T75" s="20"/>
      <c r="U75" s="23">
        <v>2032</v>
      </c>
      <c r="V75" s="39">
        <v>2567490</v>
      </c>
      <c r="W75" s="39"/>
      <c r="X75" s="145">
        <v>1889901.5</v>
      </c>
      <c r="Y75" s="39"/>
      <c r="Z75" s="145">
        <v>243945</v>
      </c>
      <c r="AA75" s="145"/>
      <c r="AB75" s="39">
        <v>1030708</v>
      </c>
      <c r="AC75" s="39"/>
      <c r="AD75" s="39">
        <v>2629564</v>
      </c>
      <c r="AE75" s="39"/>
      <c r="AF75" s="39">
        <v>5389549</v>
      </c>
      <c r="AG75" s="39"/>
      <c r="AH75" s="39">
        <f t="shared" si="66"/>
        <v>1889901.5</v>
      </c>
      <c r="AI75" s="39"/>
      <c r="AJ75" s="39">
        <f t="shared" si="67"/>
        <v>243945</v>
      </c>
      <c r="AK75" s="39">
        <v>7772919</v>
      </c>
      <c r="AL75" s="39"/>
      <c r="AM75" s="39">
        <v>5823635</v>
      </c>
      <c r="AN75" s="39"/>
      <c r="AO75" s="39">
        <v>6158319</v>
      </c>
      <c r="AP75" s="39"/>
      <c r="AQ75" s="39">
        <v>14304569</v>
      </c>
      <c r="AR75" s="39"/>
      <c r="AS75" s="39">
        <v>7306414</v>
      </c>
      <c r="AT75" s="39"/>
      <c r="AU75" s="39">
        <v>10137994</v>
      </c>
      <c r="AV75" s="39"/>
      <c r="AW75" s="39">
        <v>3879811</v>
      </c>
      <c r="AX75" s="39"/>
      <c r="AY75" s="39">
        <v>30923560</v>
      </c>
      <c r="AZ75" s="39"/>
      <c r="BA75" s="133">
        <v>3471257</v>
      </c>
      <c r="BB75" s="133"/>
      <c r="BC75" s="55">
        <f>'LE StructuralVars'!I39</f>
        <v>8457303</v>
      </c>
      <c r="BD75" s="55">
        <f>BC75</f>
        <v>8457303</v>
      </c>
      <c r="BE75" s="223">
        <f t="shared" si="69"/>
        <v>5.2212102753057543E-3</v>
      </c>
      <c r="BO75" s="28">
        <v>2001</v>
      </c>
      <c r="BP75" s="130">
        <v>25.01</v>
      </c>
      <c r="BQ75" s="130">
        <v>23.97</v>
      </c>
      <c r="BR75" s="130">
        <v>17.02</v>
      </c>
      <c r="BS75" s="130">
        <v>15.42</v>
      </c>
      <c r="BT75" s="130">
        <v>16.86</v>
      </c>
      <c r="BU75" s="130">
        <v>13.62</v>
      </c>
      <c r="BV75" s="130">
        <v>17.7</v>
      </c>
      <c r="BW75" s="130">
        <v>16.32</v>
      </c>
      <c r="BX75" s="130">
        <v>21</v>
      </c>
      <c r="BZ75" s="26">
        <f t="shared" si="71"/>
        <v>2001</v>
      </c>
      <c r="CA75" s="121">
        <v>8.7100000000000009</v>
      </c>
      <c r="CB75" s="121">
        <v>7.37</v>
      </c>
      <c r="CC75" s="121">
        <v>5.82</v>
      </c>
      <c r="CD75" s="121">
        <v>6.44</v>
      </c>
      <c r="CE75" s="121">
        <v>7.89</v>
      </c>
      <c r="CF75" s="121">
        <v>7.27</v>
      </c>
      <c r="CG75" s="121">
        <v>6.49</v>
      </c>
      <c r="CH75" s="121">
        <v>5.89</v>
      </c>
      <c r="CI75" s="121">
        <v>7.05</v>
      </c>
    </row>
    <row r="76" spans="1:87" x14ac:dyDescent="0.2">
      <c r="A76" s="26"/>
      <c r="B76" s="316"/>
      <c r="C76" s="316"/>
      <c r="D76" s="316"/>
      <c r="E76" s="319"/>
      <c r="F76" s="319"/>
      <c r="G76" s="26"/>
      <c r="H76" s="317"/>
      <c r="I76" s="317"/>
      <c r="J76" s="317"/>
      <c r="K76" s="55"/>
      <c r="L76" s="55"/>
      <c r="M76" s="320"/>
      <c r="N76" s="317"/>
      <c r="O76" s="317"/>
      <c r="P76" s="317"/>
      <c r="Q76" s="317"/>
      <c r="R76" s="72"/>
      <c r="T76" s="20"/>
      <c r="U76" s="23">
        <v>2033</v>
      </c>
      <c r="V76" s="39">
        <v>2577562</v>
      </c>
      <c r="W76" s="39"/>
      <c r="X76" s="145">
        <v>1914096.5</v>
      </c>
      <c r="Y76" s="39"/>
      <c r="Z76" s="145">
        <v>247124</v>
      </c>
      <c r="AA76" s="145"/>
      <c r="AB76" s="39">
        <v>1028090</v>
      </c>
      <c r="AC76" s="39"/>
      <c r="AD76" s="39">
        <v>2617499</v>
      </c>
      <c r="AE76" s="39"/>
      <c r="AF76" s="39">
        <v>5429709</v>
      </c>
      <c r="AG76" s="39"/>
      <c r="AH76" s="39">
        <f t="shared" si="66"/>
        <v>1914096.5</v>
      </c>
      <c r="AI76" s="39"/>
      <c r="AJ76" s="39">
        <f t="shared" si="67"/>
        <v>247124</v>
      </c>
      <c r="AK76" s="39">
        <v>7816077</v>
      </c>
      <c r="AL76" s="39"/>
      <c r="AM76" s="39">
        <v>5878815</v>
      </c>
      <c r="AN76" s="39"/>
      <c r="AO76" s="39">
        <v>6197574</v>
      </c>
      <c r="AP76" s="39"/>
      <c r="AQ76" s="39">
        <v>14389134</v>
      </c>
      <c r="AR76" s="39"/>
      <c r="AS76" s="39">
        <v>7351616</v>
      </c>
      <c r="AT76" s="39"/>
      <c r="AU76" s="39">
        <v>10186345</v>
      </c>
      <c r="AV76" s="39"/>
      <c r="AW76" s="39">
        <v>3897165</v>
      </c>
      <c r="AX76" s="39"/>
      <c r="AY76" s="39">
        <v>31218538</v>
      </c>
      <c r="AZ76" s="39"/>
      <c r="BA76" s="133">
        <v>3476187</v>
      </c>
      <c r="BB76" s="133"/>
      <c r="BC76" s="55">
        <f>'LE StructuralVars'!I40</f>
        <v>8499250</v>
      </c>
      <c r="BD76" s="55">
        <f>BC76</f>
        <v>8499250</v>
      </c>
      <c r="BE76" s="223">
        <f t="shared" si="69"/>
        <v>4.9598554054406385E-3</v>
      </c>
      <c r="BO76" s="28">
        <v>2002</v>
      </c>
      <c r="BP76" s="130">
        <v>23.03</v>
      </c>
      <c r="BQ76" s="130">
        <v>23.33</v>
      </c>
      <c r="BR76" s="130">
        <v>16.61</v>
      </c>
      <c r="BS76" s="130">
        <v>15.19</v>
      </c>
      <c r="BT76" s="130">
        <v>16.28</v>
      </c>
      <c r="BU76" s="130">
        <v>13.53</v>
      </c>
      <c r="BV76" s="130">
        <v>15.86</v>
      </c>
      <c r="BW76" s="130">
        <v>16.22</v>
      </c>
      <c r="BX76" s="130">
        <v>21.55</v>
      </c>
      <c r="BZ76" s="26">
        <f t="shared" si="71"/>
        <v>2002</v>
      </c>
      <c r="CA76" s="121">
        <v>7.17</v>
      </c>
      <c r="CB76" s="121">
        <v>6.19</v>
      </c>
      <c r="CC76" s="121">
        <v>4.18</v>
      </c>
      <c r="CD76" s="121">
        <v>4.82</v>
      </c>
      <c r="CE76" s="121">
        <v>6.7</v>
      </c>
      <c r="CF76" s="121">
        <v>5.78</v>
      </c>
      <c r="CG76" s="121">
        <v>5.23</v>
      </c>
      <c r="CH76" s="121">
        <v>4.79</v>
      </c>
      <c r="CI76" s="121">
        <v>5.13</v>
      </c>
    </row>
    <row r="77" spans="1:87" x14ac:dyDescent="0.2">
      <c r="A77" s="26"/>
      <c r="B77" s="316"/>
      <c r="C77" s="316"/>
      <c r="D77" s="316"/>
      <c r="E77" s="319"/>
      <c r="F77" s="319"/>
      <c r="G77" s="26"/>
      <c r="H77" s="317"/>
      <c r="I77" s="317"/>
      <c r="J77" s="317"/>
      <c r="K77" s="55"/>
      <c r="L77" s="55"/>
      <c r="M77" s="320"/>
      <c r="N77" s="317"/>
      <c r="O77" s="317"/>
      <c r="P77" s="317"/>
      <c r="Q77" s="317"/>
      <c r="R77" s="72"/>
      <c r="T77" s="20"/>
      <c r="U77" s="23">
        <v>2034</v>
      </c>
      <c r="V77" s="39">
        <v>2587141</v>
      </c>
      <c r="W77" s="39"/>
      <c r="X77" s="145">
        <v>1938203.5</v>
      </c>
      <c r="Y77" s="39"/>
      <c r="Z77" s="145">
        <v>250224</v>
      </c>
      <c r="AA77" s="145"/>
      <c r="AB77" s="39">
        <v>1025363</v>
      </c>
      <c r="AC77" s="39"/>
      <c r="AD77" s="39">
        <v>2605533</v>
      </c>
      <c r="AE77" s="39"/>
      <c r="AF77" s="39">
        <v>5469005</v>
      </c>
      <c r="AG77" s="39"/>
      <c r="AH77" s="39">
        <f t="shared" si="66"/>
        <v>1938203.5</v>
      </c>
      <c r="AI77" s="39"/>
      <c r="AJ77" s="39">
        <f t="shared" si="67"/>
        <v>250224</v>
      </c>
      <c r="AK77" s="39">
        <v>7858435</v>
      </c>
      <c r="AL77" s="39"/>
      <c r="AM77" s="39">
        <v>5933371</v>
      </c>
      <c r="AN77" s="39"/>
      <c r="AO77" s="39">
        <v>6236169</v>
      </c>
      <c r="AP77" s="39"/>
      <c r="AQ77" s="39">
        <v>14472532</v>
      </c>
      <c r="AR77" s="39"/>
      <c r="AS77" s="39">
        <v>7396075</v>
      </c>
      <c r="AT77" s="39"/>
      <c r="AU77" s="39">
        <v>10233893</v>
      </c>
      <c r="AV77" s="39"/>
      <c r="AW77" s="39">
        <v>3914078</v>
      </c>
      <c r="AX77" s="39"/>
      <c r="AY77" s="39">
        <v>31512265</v>
      </c>
      <c r="AZ77" s="39"/>
      <c r="BA77" s="133">
        <v>3480088</v>
      </c>
      <c r="BB77" s="133"/>
      <c r="BC77" s="55">
        <f>'LE StructuralVars'!I41</f>
        <v>8540397</v>
      </c>
      <c r="BD77" s="55">
        <f>BC77</f>
        <v>8540397</v>
      </c>
      <c r="BE77" s="223">
        <f t="shared" si="69"/>
        <v>4.841250698591093E-3</v>
      </c>
      <c r="BO77" s="28">
        <v>2003</v>
      </c>
      <c r="BP77" s="130">
        <v>23.55</v>
      </c>
      <c r="BQ77" s="130">
        <v>23.44</v>
      </c>
      <c r="BR77" s="130">
        <v>16.43</v>
      </c>
      <c r="BS77" s="130">
        <v>14.97</v>
      </c>
      <c r="BT77" s="130">
        <v>16.329999999999998</v>
      </c>
      <c r="BU77" s="130">
        <v>13.67</v>
      </c>
      <c r="BV77" s="130">
        <v>17.37</v>
      </c>
      <c r="BW77" s="130">
        <v>16.18</v>
      </c>
      <c r="BX77" s="130">
        <v>20.399999999999999</v>
      </c>
      <c r="BZ77" s="26">
        <f t="shared" si="71"/>
        <v>2003</v>
      </c>
      <c r="CA77" s="121">
        <v>8.31</v>
      </c>
      <c r="CB77" s="121">
        <v>7.48</v>
      </c>
      <c r="CC77" s="121">
        <v>5.73</v>
      </c>
      <c r="CD77" s="121">
        <v>5.92</v>
      </c>
      <c r="CE77" s="121">
        <v>7.75</v>
      </c>
      <c r="CF77" s="121">
        <v>6.7</v>
      </c>
      <c r="CG77" s="121">
        <v>6.3</v>
      </c>
      <c r="CH77" s="121">
        <v>5.18</v>
      </c>
      <c r="CI77" s="121">
        <v>6.01</v>
      </c>
    </row>
    <row r="78" spans="1:87" x14ac:dyDescent="0.2">
      <c r="A78" s="26"/>
      <c r="B78" s="316"/>
      <c r="C78" s="316"/>
      <c r="D78" s="316"/>
      <c r="E78" s="319"/>
      <c r="F78" s="319"/>
      <c r="G78" s="26"/>
      <c r="H78" s="317"/>
      <c r="I78" s="317"/>
      <c r="J78" s="317"/>
      <c r="K78" s="55"/>
      <c r="L78" s="55"/>
      <c r="M78" s="320"/>
      <c r="N78" s="317"/>
      <c r="O78" s="317"/>
      <c r="P78" s="317"/>
      <c r="Q78" s="317"/>
      <c r="R78" s="72"/>
      <c r="T78" s="20"/>
      <c r="U78" s="23">
        <v>2035</v>
      </c>
      <c r="V78" s="39">
        <v>2596280</v>
      </c>
      <c r="W78" s="39"/>
      <c r="X78" s="145">
        <v>1962287.5</v>
      </c>
      <c r="Y78" s="39"/>
      <c r="Z78" s="145">
        <v>253293</v>
      </c>
      <c r="AA78" s="145"/>
      <c r="AB78" s="39">
        <v>1022544</v>
      </c>
      <c r="AC78" s="39"/>
      <c r="AD78" s="39">
        <v>2593669</v>
      </c>
      <c r="AE78" s="39"/>
      <c r="AF78" s="39">
        <v>5507547</v>
      </c>
      <c r="AG78" s="39"/>
      <c r="AH78" s="39">
        <f t="shared" si="66"/>
        <v>1962287.5</v>
      </c>
      <c r="AI78" s="39"/>
      <c r="AJ78" s="39">
        <f t="shared" si="67"/>
        <v>253293</v>
      </c>
      <c r="AK78" s="39">
        <v>7900172</v>
      </c>
      <c r="AL78" s="39"/>
      <c r="AM78" s="39">
        <v>5987541</v>
      </c>
      <c r="AN78" s="39"/>
      <c r="AO78" s="39">
        <v>6274423</v>
      </c>
      <c r="AP78" s="39"/>
      <c r="AQ78" s="39">
        <v>14555068</v>
      </c>
      <c r="AR78" s="39"/>
      <c r="AS78" s="39">
        <v>7439989</v>
      </c>
      <c r="AT78" s="39"/>
      <c r="AU78" s="39">
        <v>10280877</v>
      </c>
      <c r="AV78" s="39"/>
      <c r="AW78" s="39">
        <v>3930662</v>
      </c>
      <c r="AX78" s="39"/>
      <c r="AY78" s="39">
        <v>31805524</v>
      </c>
      <c r="AZ78" s="39"/>
      <c r="BA78" s="133">
        <v>3483961</v>
      </c>
      <c r="BB78" s="133"/>
      <c r="BC78" s="55">
        <f>'LE StructuralVars'!I42</f>
        <v>8580944</v>
      </c>
      <c r="BD78" s="55">
        <f>BC78</f>
        <v>8580944</v>
      </c>
      <c r="BE78" s="223">
        <f t="shared" si="69"/>
        <v>4.7476715660876856E-3</v>
      </c>
      <c r="BO78" s="28">
        <v>2004</v>
      </c>
      <c r="BP78" s="130">
        <v>23.35</v>
      </c>
      <c r="BQ78" s="130">
        <v>23.17</v>
      </c>
      <c r="BR78" s="130">
        <v>16.25</v>
      </c>
      <c r="BS78" s="130">
        <v>14.85</v>
      </c>
      <c r="BT78" s="130">
        <v>16.34</v>
      </c>
      <c r="BU78" s="130">
        <v>13.97</v>
      </c>
      <c r="BV78" s="130">
        <v>17.75</v>
      </c>
      <c r="BW78" s="130">
        <v>16.16</v>
      </c>
      <c r="BX78" s="130">
        <v>19.829999999999998</v>
      </c>
      <c r="BZ78" s="26">
        <f t="shared" si="71"/>
        <v>2004</v>
      </c>
      <c r="CA78" s="121">
        <v>9.23</v>
      </c>
      <c r="CB78" s="121">
        <v>7.95</v>
      </c>
      <c r="CC78" s="121">
        <v>6.23</v>
      </c>
      <c r="CD78" s="121">
        <v>6.6</v>
      </c>
      <c r="CE78" s="121">
        <v>8.5399999999999991</v>
      </c>
      <c r="CF78" s="121">
        <v>7.4</v>
      </c>
      <c r="CG78" s="121">
        <v>6.91</v>
      </c>
      <c r="CH78" s="121">
        <v>5.99</v>
      </c>
      <c r="CI78" s="121">
        <v>6.4</v>
      </c>
    </row>
    <row r="79" spans="1:87" x14ac:dyDescent="0.2">
      <c r="A79" s="26"/>
      <c r="B79" s="316"/>
      <c r="C79" s="316"/>
      <c r="D79" s="316"/>
      <c r="E79" s="319"/>
      <c r="F79" s="319"/>
      <c r="G79" s="26"/>
      <c r="H79" s="317"/>
      <c r="I79" s="317"/>
      <c r="J79" s="317"/>
      <c r="K79" s="55"/>
      <c r="L79" s="55"/>
      <c r="M79" s="320"/>
      <c r="N79" s="317"/>
      <c r="O79" s="317"/>
      <c r="P79" s="317"/>
      <c r="Q79" s="317"/>
      <c r="R79" s="72"/>
      <c r="U79" s="23">
        <v>2036</v>
      </c>
      <c r="V79" s="231">
        <f>(V78/V77)*V78</f>
        <v>2605451.283250507</v>
      </c>
      <c r="W79" s="55"/>
      <c r="X79" s="231">
        <f>(X78/X77)*X78</f>
        <v>1986670.7663340047</v>
      </c>
      <c r="Y79" s="55"/>
      <c r="Z79" s="231">
        <f>(Z78/Z77)*Z78</f>
        <v>256399.6413173796</v>
      </c>
      <c r="AA79" s="55"/>
      <c r="AB79" s="231">
        <f>(AB78/AB77)*AB78</f>
        <v>1019732.7501928585</v>
      </c>
      <c r="AC79" s="55"/>
      <c r="AD79" s="231">
        <f>(AD78/AD77)*AD78</f>
        <v>2581859.0213829568</v>
      </c>
      <c r="AE79" s="55"/>
      <c r="AF79" s="231">
        <f>(AF78/AF77)*AF78</f>
        <v>5546360.6190173524</v>
      </c>
      <c r="AG79" s="55"/>
      <c r="AH79" s="231">
        <f>(AH78/AH77)*AH78</f>
        <v>1986670.7663340047</v>
      </c>
      <c r="AI79" s="55"/>
      <c r="AJ79" s="231">
        <f>(AJ78/AJ77)*AJ78</f>
        <v>256399.6413173796</v>
      </c>
      <c r="AK79" s="231">
        <f>(AK78/AK77)*AK78</f>
        <v>7942130.6697305515</v>
      </c>
      <c r="AL79" s="55"/>
      <c r="AM79" s="231">
        <f>(AM78/AM77)*AM78</f>
        <v>6042205.5567873642</v>
      </c>
      <c r="AN79" s="55"/>
      <c r="AO79" s="231">
        <f>(AO78/AO77)*AO78</f>
        <v>6312911.6582518853</v>
      </c>
      <c r="AP79" s="55"/>
      <c r="AQ79" s="231">
        <f>(AQ78/AQ77)*AQ78</f>
        <v>14638074.697960524</v>
      </c>
      <c r="AR79" s="55"/>
      <c r="AS79" s="231">
        <f>(AS78/AS77)*AS78</f>
        <v>7484163.7382153375</v>
      </c>
      <c r="AT79" s="55"/>
      <c r="AU79" s="231">
        <f>(AU78/AU77)*AU78</f>
        <v>10328076.70444952</v>
      </c>
      <c r="AV79" s="55"/>
      <c r="AW79" s="231">
        <f>(AW78/AW77)*AW78</f>
        <v>3947316.2666262654</v>
      </c>
      <c r="AX79" s="55"/>
      <c r="AY79" s="231">
        <f>(AY78/AY77)*AY78</f>
        <v>32101512.122806024</v>
      </c>
      <c r="AZ79" s="55"/>
      <c r="BA79" s="231">
        <f>(BA78/BA77)*BA78</f>
        <v>3487838.3102729013</v>
      </c>
      <c r="BB79" s="55"/>
      <c r="BC79" s="231">
        <f>(BC78/BC77)*BC78</f>
        <v>8621683.5038389899</v>
      </c>
      <c r="BD79" s="231">
        <f>(BD78/BD77)*BD78</f>
        <v>8621683.5038389899</v>
      </c>
      <c r="BE79" s="223">
        <f t="shared" si="69"/>
        <v>4.7476715660876856E-3</v>
      </c>
      <c r="BO79" s="28">
        <v>2005</v>
      </c>
      <c r="BP79" s="130">
        <v>25.5</v>
      </c>
      <c r="BQ79" s="130">
        <v>23.7</v>
      </c>
      <c r="BR79" s="130">
        <v>15.96</v>
      </c>
      <c r="BS79" s="130">
        <v>14.76</v>
      </c>
      <c r="BT79" s="130">
        <v>16.75</v>
      </c>
      <c r="BU79" s="130">
        <v>14.09</v>
      </c>
      <c r="BV79" s="130">
        <v>19.05</v>
      </c>
      <c r="BW79" s="130">
        <v>16.45</v>
      </c>
      <c r="BX79" s="130">
        <v>19.670000000000002</v>
      </c>
      <c r="BZ79" s="26">
        <f t="shared" si="71"/>
        <v>2005</v>
      </c>
      <c r="CA79" s="121">
        <v>9.76</v>
      </c>
      <c r="CB79" s="121">
        <v>8.5299999999999994</v>
      </c>
      <c r="CC79" s="121">
        <v>7.4</v>
      </c>
      <c r="CD79" s="121">
        <v>7.46</v>
      </c>
      <c r="CE79" s="121">
        <v>9.84</v>
      </c>
      <c r="CF79" s="121">
        <v>8.74</v>
      </c>
      <c r="CG79" s="121">
        <v>7.91</v>
      </c>
      <c r="CH79" s="121">
        <v>6.87</v>
      </c>
      <c r="CI79" s="121">
        <v>7.4</v>
      </c>
    </row>
    <row r="80" spans="1:87" x14ac:dyDescent="0.2">
      <c r="A80" s="26"/>
      <c r="B80" s="316"/>
      <c r="C80" s="316"/>
      <c r="D80" s="316"/>
      <c r="E80" s="319"/>
      <c r="F80" s="319"/>
      <c r="G80" s="26"/>
      <c r="H80" s="317"/>
      <c r="I80" s="317"/>
      <c r="J80" s="317"/>
      <c r="K80" s="55"/>
      <c r="L80" s="55"/>
      <c r="M80" s="320"/>
      <c r="N80" s="317"/>
      <c r="O80" s="317"/>
      <c r="P80" s="317"/>
      <c r="Q80" s="317"/>
      <c r="R80" s="72"/>
      <c r="U80" s="23">
        <v>2037</v>
      </c>
      <c r="V80" s="231">
        <f t="shared" ref="V80:V85" si="72">(V79/V78)*V79</f>
        <v>2614654.9637911604</v>
      </c>
      <c r="W80" s="55"/>
      <c r="X80" s="231">
        <f t="shared" ref="X80:X85" si="73">(X79/X78)*X79</f>
        <v>2011357.0176674628</v>
      </c>
      <c r="Y80" s="55"/>
      <c r="Z80" s="231">
        <f t="shared" ref="Z80:BD85" si="74">(Z79/Z78)*Z79</f>
        <v>259544.38562329364</v>
      </c>
      <c r="AA80" s="55"/>
      <c r="AB80" s="231">
        <f t="shared" si="74"/>
        <v>1016929.2292712008</v>
      </c>
      <c r="AC80" s="55"/>
      <c r="AD80" s="231">
        <f t="shared" si="74"/>
        <v>2570102.8181686094</v>
      </c>
      <c r="AE80" s="55"/>
      <c r="AF80" s="231">
        <f t="shared" si="74"/>
        <v>5585447.7712467182</v>
      </c>
      <c r="AG80" s="55"/>
      <c r="AH80" s="231">
        <f t="shared" si="74"/>
        <v>2011357.0176674628</v>
      </c>
      <c r="AI80" s="55"/>
      <c r="AJ80" s="231">
        <f t="shared" si="74"/>
        <v>259544.38562329364</v>
      </c>
      <c r="AK80" s="231">
        <f t="shared" si="74"/>
        <v>7984312.1865036171</v>
      </c>
      <c r="AL80" s="55"/>
      <c r="AM80" s="231">
        <f t="shared" si="74"/>
        <v>6097369.185525761</v>
      </c>
      <c r="AN80" s="55"/>
      <c r="AO80" s="231">
        <f t="shared" si="74"/>
        <v>6351636.4141997704</v>
      </c>
      <c r="AP80" s="55"/>
      <c r="AQ80" s="231">
        <f t="shared" si="74"/>
        <v>14721554.778244395</v>
      </c>
      <c r="AR80" s="55"/>
      <c r="AS80" s="231">
        <f t="shared" si="74"/>
        <v>7528600.7627722807</v>
      </c>
      <c r="AT80" s="55"/>
      <c r="AU80" s="231">
        <f t="shared" si="74"/>
        <v>10375493.103651842</v>
      </c>
      <c r="AV80" s="55"/>
      <c r="AW80" s="231">
        <f t="shared" si="74"/>
        <v>3964041.0975994165</v>
      </c>
      <c r="AX80" s="55"/>
      <c r="AY80" s="231">
        <f t="shared" si="74"/>
        <v>32400254.766142577</v>
      </c>
      <c r="AZ80" s="55"/>
      <c r="BA80" s="231">
        <f t="shared" si="74"/>
        <v>3491719.9356156192</v>
      </c>
      <c r="BB80" s="55"/>
      <c r="BC80" s="231">
        <f t="shared" si="74"/>
        <v>8662616.425461974</v>
      </c>
      <c r="BD80" s="231">
        <f t="shared" si="74"/>
        <v>8662616.425461974</v>
      </c>
      <c r="BE80" s="223">
        <f t="shared" si="69"/>
        <v>4.7476715660876856E-3</v>
      </c>
      <c r="BO80" s="28"/>
      <c r="BP80" s="130"/>
      <c r="BQ80" s="130"/>
      <c r="BR80" s="130"/>
      <c r="BS80" s="130"/>
      <c r="BT80" s="130"/>
      <c r="BU80" s="130"/>
      <c r="BV80" s="130"/>
      <c r="BW80" s="130"/>
      <c r="BX80" s="130"/>
      <c r="BZ80" s="26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x14ac:dyDescent="0.2">
      <c r="A81" s="26"/>
      <c r="B81" s="316"/>
      <c r="C81" s="316"/>
      <c r="D81" s="316"/>
      <c r="E81" s="319"/>
      <c r="F81" s="319"/>
      <c r="G81" s="26"/>
      <c r="H81" s="317"/>
      <c r="I81" s="317"/>
      <c r="J81" s="317"/>
      <c r="K81" s="55"/>
      <c r="L81" s="55"/>
      <c r="M81" s="320"/>
      <c r="N81" s="317"/>
      <c r="O81" s="317"/>
      <c r="P81" s="317"/>
      <c r="Q81" s="317"/>
      <c r="R81" s="72"/>
      <c r="U81" s="23">
        <v>2038</v>
      </c>
      <c r="V81" s="231">
        <f t="shared" si="72"/>
        <v>2623891.156064441</v>
      </c>
      <c r="W81" s="55"/>
      <c r="X81" s="231">
        <f t="shared" si="73"/>
        <v>2036350.0188737363</v>
      </c>
      <c r="Y81" s="55"/>
      <c r="Z81" s="231">
        <f t="shared" si="74"/>
        <v>262727.70025129849</v>
      </c>
      <c r="AA81" s="55"/>
      <c r="AB81" s="231">
        <f t="shared" si="74"/>
        <v>1014133.415986232</v>
      </c>
      <c r="AC81" s="55"/>
      <c r="AD81" s="231">
        <f t="shared" si="74"/>
        <v>2558400.1454967405</v>
      </c>
      <c r="AE81" s="55"/>
      <c r="AF81" s="231">
        <f t="shared" si="74"/>
        <v>5624810.3843727596</v>
      </c>
      <c r="AG81" s="55"/>
      <c r="AH81" s="231">
        <f t="shared" si="74"/>
        <v>2036350.0188737363</v>
      </c>
      <c r="AI81" s="55"/>
      <c r="AJ81" s="231">
        <f t="shared" si="74"/>
        <v>262727.70025129849</v>
      </c>
      <c r="AK81" s="231">
        <f t="shared" si="74"/>
        <v>8026717.7338839928</v>
      </c>
      <c r="AL81" s="55"/>
      <c r="AM81" s="231">
        <f t="shared" si="74"/>
        <v>6153036.4426010279</v>
      </c>
      <c r="AN81" s="55"/>
      <c r="AO81" s="231">
        <f t="shared" si="74"/>
        <v>6390598.7161176298</v>
      </c>
      <c r="AP81" s="55"/>
      <c r="AQ81" s="231">
        <f t="shared" si="74"/>
        <v>14805510.9405232</v>
      </c>
      <c r="AR81" s="55"/>
      <c r="AS81" s="231">
        <f t="shared" si="74"/>
        <v>7573301.6309890561</v>
      </c>
      <c r="AT81" s="55"/>
      <c r="AU81" s="231">
        <f t="shared" si="74"/>
        <v>10423127.192456756</v>
      </c>
      <c r="AV81" s="55"/>
      <c r="AW81" s="231">
        <f t="shared" si="74"/>
        <v>3980836.7919015195</v>
      </c>
      <c r="AX81" s="55"/>
      <c r="AY81" s="231">
        <f t="shared" si="74"/>
        <v>32701777.56409011</v>
      </c>
      <c r="AZ81" s="55"/>
      <c r="BA81" s="231">
        <f t="shared" si="74"/>
        <v>3495605.8808304071</v>
      </c>
      <c r="BB81" s="55"/>
      <c r="BC81" s="231">
        <f t="shared" si="74"/>
        <v>8703743.6831530631</v>
      </c>
      <c r="BD81" s="231">
        <f t="shared" si="74"/>
        <v>8703743.6831530631</v>
      </c>
      <c r="BE81" s="223">
        <f t="shared" si="69"/>
        <v>4.7476715660876856E-3</v>
      </c>
      <c r="BO81" s="28"/>
      <c r="BP81" s="130"/>
      <c r="BQ81" s="130"/>
      <c r="BR81" s="130"/>
      <c r="BS81" s="130"/>
      <c r="BT81" s="130"/>
      <c r="BU81" s="130"/>
      <c r="BV81" s="130"/>
      <c r="BW81" s="130"/>
      <c r="BX81" s="130"/>
      <c r="BZ81" s="26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x14ac:dyDescent="0.2">
      <c r="A82" s="26"/>
      <c r="B82" s="316"/>
      <c r="C82" s="316"/>
      <c r="D82" s="316"/>
      <c r="E82" s="319"/>
      <c r="F82" s="319"/>
      <c r="G82" s="26"/>
      <c r="H82" s="317"/>
      <c r="I82" s="317"/>
      <c r="J82" s="317"/>
      <c r="K82" s="55"/>
      <c r="L82" s="55"/>
      <c r="M82" s="320"/>
      <c r="N82" s="317"/>
      <c r="O82" s="317"/>
      <c r="P82" s="317"/>
      <c r="Q82" s="317"/>
      <c r="R82" s="72"/>
      <c r="U82" s="23">
        <v>2039</v>
      </c>
      <c r="V82" s="231">
        <f t="shared" si="72"/>
        <v>2633159.9749170942</v>
      </c>
      <c r="W82" s="55"/>
      <c r="X82" s="231">
        <f t="shared" si="73"/>
        <v>2061653.5816082763</v>
      </c>
      <c r="Y82" s="55"/>
      <c r="Z82" s="231">
        <f t="shared" si="74"/>
        <v>265950.05826680153</v>
      </c>
      <c r="AA82" s="55"/>
      <c r="AB82" s="231">
        <f t="shared" si="74"/>
        <v>1011345.2891475756</v>
      </c>
      <c r="AC82" s="55"/>
      <c r="AD82" s="231">
        <f t="shared" si="74"/>
        <v>2546750.7596220756</v>
      </c>
      <c r="AE82" s="55"/>
      <c r="AF82" s="231">
        <f t="shared" si="74"/>
        <v>5664450.3996652104</v>
      </c>
      <c r="AG82" s="55"/>
      <c r="AH82" s="231">
        <f t="shared" si="74"/>
        <v>2061653.5816082763</v>
      </c>
      <c r="AI82" s="55"/>
      <c r="AJ82" s="231">
        <f t="shared" si="74"/>
        <v>265950.05826680153</v>
      </c>
      <c r="AK82" s="231">
        <f t="shared" si="74"/>
        <v>8069348.5017225156</v>
      </c>
      <c r="AL82" s="55"/>
      <c r="AM82" s="231">
        <f t="shared" si="74"/>
        <v>6209211.9259975152</v>
      </c>
      <c r="AN82" s="55"/>
      <c r="AO82" s="231">
        <f t="shared" si="74"/>
        <v>6429800.0211634617</v>
      </c>
      <c r="AP82" s="55"/>
      <c r="AQ82" s="231">
        <f t="shared" si="74"/>
        <v>14889945.899864595</v>
      </c>
      <c r="AR82" s="55"/>
      <c r="AS82" s="231">
        <f t="shared" si="74"/>
        <v>7618267.9094304265</v>
      </c>
      <c r="AT82" s="55"/>
      <c r="AU82" s="231">
        <f t="shared" si="74"/>
        <v>10470979.97028142</v>
      </c>
      <c r="AV82" s="55"/>
      <c r="AW82" s="231">
        <f t="shared" si="74"/>
        <v>3997703.6497814325</v>
      </c>
      <c r="AX82" s="55"/>
      <c r="AY82" s="231">
        <f t="shared" si="74"/>
        <v>33006106.3892846</v>
      </c>
      <c r="AZ82" s="55"/>
      <c r="BA82" s="231">
        <f t="shared" si="74"/>
        <v>3499496.1507248632</v>
      </c>
      <c r="BB82" s="55"/>
      <c r="BC82" s="231">
        <f t="shared" si="74"/>
        <v>8745066.1995560843</v>
      </c>
      <c r="BD82" s="231">
        <f t="shared" si="74"/>
        <v>8745066.1995560843</v>
      </c>
      <c r="BE82" s="223">
        <f t="shared" si="69"/>
        <v>4.7476715660876856E-3</v>
      </c>
      <c r="BO82" s="28"/>
      <c r="BP82" s="130"/>
      <c r="BQ82" s="130"/>
      <c r="BR82" s="130"/>
      <c r="BS82" s="130"/>
      <c r="BT82" s="130"/>
      <c r="BU82" s="130"/>
      <c r="BV82" s="130"/>
      <c r="BW82" s="130"/>
      <c r="BX82" s="130"/>
      <c r="BZ82" s="26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x14ac:dyDescent="0.2">
      <c r="A83" s="26"/>
      <c r="B83" s="316"/>
      <c r="C83" s="316"/>
      <c r="D83" s="316"/>
      <c r="E83" s="319"/>
      <c r="F83" s="319"/>
      <c r="G83" s="26"/>
      <c r="H83" s="317"/>
      <c r="I83" s="317"/>
      <c r="J83" s="317"/>
      <c r="K83" s="55"/>
      <c r="L83" s="55"/>
      <c r="M83" s="320"/>
      <c r="N83" s="317"/>
      <c r="O83" s="317"/>
      <c r="P83" s="317"/>
      <c r="Q83" s="317"/>
      <c r="R83" s="72"/>
      <c r="U83" s="23">
        <v>2040</v>
      </c>
      <c r="V83" s="231">
        <f t="shared" si="72"/>
        <v>2642461.5356015591</v>
      </c>
      <c r="W83" s="55"/>
      <c r="X83" s="231">
        <f t="shared" si="73"/>
        <v>2087271.5648899358</v>
      </c>
      <c r="Y83" s="55"/>
      <c r="Z83" s="231">
        <f t="shared" si="74"/>
        <v>269211.93853736232</v>
      </c>
      <c r="AA83" s="55"/>
      <c r="AB83" s="231">
        <f t="shared" si="74"/>
        <v>1008564.8276231135</v>
      </c>
      <c r="AC83" s="55"/>
      <c r="AD83" s="231">
        <f t="shared" si="74"/>
        <v>2535154.4179092068</v>
      </c>
      <c r="AE83" s="55"/>
      <c r="AF83" s="231">
        <f t="shared" si="74"/>
        <v>5704369.7720746147</v>
      </c>
      <c r="AG83" s="55"/>
      <c r="AH83" s="231">
        <f t="shared" si="74"/>
        <v>2087271.5648899358</v>
      </c>
      <c r="AI83" s="55"/>
      <c r="AJ83" s="231">
        <f t="shared" si="74"/>
        <v>269211.93853736232</v>
      </c>
      <c r="AK83" s="231">
        <f t="shared" si="74"/>
        <v>8112205.6861894475</v>
      </c>
      <c r="AL83" s="55"/>
      <c r="AM83" s="231">
        <f t="shared" si="74"/>
        <v>6265900.2756778719</v>
      </c>
      <c r="AN83" s="55"/>
      <c r="AO83" s="231">
        <f t="shared" si="74"/>
        <v>6469241.7954337848</v>
      </c>
      <c r="AP83" s="55"/>
      <c r="AQ83" s="231">
        <f t="shared" si="74"/>
        <v>14974862.386820108</v>
      </c>
      <c r="AR83" s="55"/>
      <c r="AS83" s="231">
        <f t="shared" si="74"/>
        <v>7663501.1739625912</v>
      </c>
      <c r="AT83" s="55"/>
      <c r="AU83" s="231">
        <f t="shared" si="74"/>
        <v>10519052.44113134</v>
      </c>
      <c r="AV83" s="55"/>
      <c r="AW83" s="231">
        <f t="shared" si="74"/>
        <v>4014641.9727601707</v>
      </c>
      <c r="AX83" s="55"/>
      <c r="AY83" s="231">
        <f t="shared" si="74"/>
        <v>33313267.355137583</v>
      </c>
      <c r="AZ83" s="55"/>
      <c r="BA83" s="231">
        <f t="shared" si="74"/>
        <v>3503390.7501119357</v>
      </c>
      <c r="BB83" s="55"/>
      <c r="BC83" s="231">
        <f t="shared" si="74"/>
        <v>8786584.901695272</v>
      </c>
      <c r="BD83" s="231">
        <f t="shared" si="74"/>
        <v>8786584.901695272</v>
      </c>
      <c r="BE83" s="223">
        <f t="shared" si="69"/>
        <v>4.7476715660876856E-3</v>
      </c>
      <c r="BO83" s="28"/>
      <c r="BP83" s="130"/>
      <c r="BQ83" s="130"/>
      <c r="BR83" s="130"/>
      <c r="BS83" s="130"/>
      <c r="BT83" s="130"/>
      <c r="BU83" s="130"/>
      <c r="BV83" s="130"/>
      <c r="BW83" s="130"/>
      <c r="BX83" s="130"/>
      <c r="BZ83" s="26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x14ac:dyDescent="0.2">
      <c r="A84" s="26"/>
      <c r="B84" s="316"/>
      <c r="C84" s="316"/>
      <c r="D84" s="316"/>
      <c r="E84" s="319"/>
      <c r="F84" s="319"/>
      <c r="G84" s="26"/>
      <c r="H84" s="317"/>
      <c r="I84" s="317"/>
      <c r="J84" s="317"/>
      <c r="K84" s="55"/>
      <c r="L84" s="55"/>
      <c r="M84" s="320"/>
      <c r="N84" s="317"/>
      <c r="O84" s="317"/>
      <c r="P84" s="317"/>
      <c r="Q84" s="317"/>
      <c r="R84" s="72"/>
      <c r="U84" s="23">
        <v>2041</v>
      </c>
      <c r="V84" s="231">
        <f t="shared" si="72"/>
        <v>2651795.9537773998</v>
      </c>
      <c r="W84" s="55"/>
      <c r="X84" s="231">
        <f t="shared" si="73"/>
        <v>2113207.8756895033</v>
      </c>
      <c r="Y84" s="55"/>
      <c r="Z84" s="231">
        <f t="shared" si="74"/>
        <v>272513.82580385619</v>
      </c>
      <c r="AA84" s="55"/>
      <c r="AB84" s="231">
        <f t="shared" si="74"/>
        <v>1005792.0103388254</v>
      </c>
      <c r="AC84" s="55"/>
      <c r="AD84" s="231">
        <f t="shared" si="74"/>
        <v>2523610.8788275393</v>
      </c>
      <c r="AE84" s="55"/>
      <c r="AF84" s="231">
        <f t="shared" si="74"/>
        <v>5744570.4703287389</v>
      </c>
      <c r="AG84" s="55"/>
      <c r="AH84" s="231">
        <f t="shared" si="74"/>
        <v>2113207.8756895033</v>
      </c>
      <c r="AI84" s="55"/>
      <c r="AJ84" s="231">
        <f t="shared" si="74"/>
        <v>272513.82580385619</v>
      </c>
      <c r="AK84" s="231">
        <f t="shared" si="74"/>
        <v>8155290.4898080425</v>
      </c>
      <c r="AL84" s="55"/>
      <c r="AM84" s="231">
        <f t="shared" si="74"/>
        <v>6323106.1739662932</v>
      </c>
      <c r="AN84" s="55"/>
      <c r="AO84" s="231">
        <f t="shared" si="74"/>
        <v>6508925.5140184676</v>
      </c>
      <c r="AP84" s="55"/>
      <c r="AQ84" s="231">
        <f t="shared" si="74"/>
        <v>15060263.14751344</v>
      </c>
      <c r="AR84" s="55"/>
      <c r="AS84" s="231">
        <f t="shared" si="74"/>
        <v>7709003.0098084146</v>
      </c>
      <c r="AT84" s="55"/>
      <c r="AU84" s="231">
        <f t="shared" si="74"/>
        <v>10567345.61362143</v>
      </c>
      <c r="AV84" s="55"/>
      <c r="AW84" s="231">
        <f t="shared" si="74"/>
        <v>4031652.0636362988</v>
      </c>
      <c r="AX84" s="55"/>
      <c r="AY84" s="231">
        <f t="shared" si="74"/>
        <v>33623286.818076864</v>
      </c>
      <c r="AZ84" s="55"/>
      <c r="BA84" s="231">
        <f t="shared" si="74"/>
        <v>3507289.6838099295</v>
      </c>
      <c r="BB84" s="55"/>
      <c r="BC84" s="231">
        <f t="shared" si="74"/>
        <v>8828300.7209960651</v>
      </c>
      <c r="BD84" s="231">
        <f t="shared" si="74"/>
        <v>8828300.7209960651</v>
      </c>
      <c r="BE84" s="223">
        <f t="shared" si="69"/>
        <v>4.7476715660876856E-3</v>
      </c>
      <c r="BO84" s="28"/>
      <c r="BP84" s="130"/>
      <c r="BQ84" s="130"/>
      <c r="BR84" s="130"/>
      <c r="BS84" s="130"/>
      <c r="BT84" s="130"/>
      <c r="BU84" s="130"/>
      <c r="BV84" s="130"/>
      <c r="BW84" s="130"/>
      <c r="BX84" s="130"/>
      <c r="BZ84" s="26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x14ac:dyDescent="0.2">
      <c r="A85" s="26"/>
      <c r="B85" s="316"/>
      <c r="C85" s="316"/>
      <c r="D85" s="316"/>
      <c r="E85" s="319"/>
      <c r="F85" s="319"/>
      <c r="G85" s="26"/>
      <c r="H85" s="317"/>
      <c r="I85" s="317"/>
      <c r="J85" s="317"/>
      <c r="K85" s="55"/>
      <c r="L85" s="55"/>
      <c r="M85" s="320"/>
      <c r="N85" s="317"/>
      <c r="O85" s="317"/>
      <c r="P85" s="317"/>
      <c r="Q85" s="317"/>
      <c r="R85" s="72"/>
      <c r="U85" s="23">
        <v>2042</v>
      </c>
      <c r="V85" s="231">
        <f t="shared" si="72"/>
        <v>2661163.3455127445</v>
      </c>
      <c r="W85" s="55"/>
      <c r="X85" s="231">
        <f t="shared" si="73"/>
        <v>2139466.469525551</v>
      </c>
      <c r="Y85" s="55"/>
      <c r="Z85" s="231">
        <f t="shared" si="74"/>
        <v>275856.21075251029</v>
      </c>
      <c r="AA85" s="55"/>
      <c r="AB85" s="231">
        <f t="shared" si="74"/>
        <v>1003026.816278629</v>
      </c>
      <c r="AC85" s="55"/>
      <c r="AD85" s="231">
        <f t="shared" si="74"/>
        <v>2512119.9019462606</v>
      </c>
      <c r="AE85" s="55"/>
      <c r="AF85" s="231">
        <f t="shared" si="74"/>
        <v>5785054.4770296663</v>
      </c>
      <c r="AG85" s="55"/>
      <c r="AH85" s="231">
        <f t="shared" si="74"/>
        <v>2139466.469525551</v>
      </c>
      <c r="AI85" s="55"/>
      <c r="AJ85" s="231">
        <f t="shared" si="74"/>
        <v>275856.21075251029</v>
      </c>
      <c r="AK85" s="231">
        <f t="shared" si="74"/>
        <v>8198604.1214882843</v>
      </c>
      <c r="AL85" s="55"/>
      <c r="AM85" s="231">
        <f t="shared" si="74"/>
        <v>6380834.3459352721</v>
      </c>
      <c r="AN85" s="55"/>
      <c r="AO85" s="231">
        <f t="shared" si="74"/>
        <v>6548852.6610558974</v>
      </c>
      <c r="AP85" s="55"/>
      <c r="AQ85" s="231">
        <f t="shared" si="74"/>
        <v>15146150.943729278</v>
      </c>
      <c r="AR85" s="55"/>
      <c r="AS85" s="231">
        <f t="shared" si="74"/>
        <v>7754775.0116029782</v>
      </c>
      <c r="AT85" s="55"/>
      <c r="AU85" s="231">
        <f t="shared" si="74"/>
        <v>10615860.500997173</v>
      </c>
      <c r="AV85" s="55"/>
      <c r="AW85" s="231">
        <f t="shared" si="74"/>
        <v>4048734.2264913423</v>
      </c>
      <c r="AX85" s="55"/>
      <c r="AY85" s="231">
        <f t="shared" si="74"/>
        <v>33936191.379808061</v>
      </c>
      <c r="AZ85" s="55"/>
      <c r="BA85" s="231">
        <f t="shared" si="74"/>
        <v>3511192.9566425122</v>
      </c>
      <c r="BB85" s="55"/>
      <c r="BC85" s="231">
        <f t="shared" si="74"/>
        <v>8870214.5933060087</v>
      </c>
      <c r="BD85" s="231">
        <f t="shared" si="74"/>
        <v>8870214.5933060087</v>
      </c>
      <c r="BE85" s="223">
        <f t="shared" si="69"/>
        <v>4.7476715660876856E-3</v>
      </c>
      <c r="BO85" s="28"/>
      <c r="BP85" s="130"/>
      <c r="BQ85" s="130"/>
      <c r="BR85" s="130"/>
      <c r="BS85" s="130"/>
      <c r="BT85" s="130"/>
      <c r="BU85" s="130"/>
      <c r="BV85" s="130"/>
      <c r="BW85" s="130"/>
      <c r="BX85" s="130"/>
      <c r="BZ85" s="26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x14ac:dyDescent="0.2">
      <c r="A86" s="26"/>
      <c r="B86" s="316"/>
      <c r="C86" s="316"/>
      <c r="D86" s="316"/>
      <c r="E86" s="319"/>
      <c r="F86" s="319"/>
      <c r="G86" s="26"/>
      <c r="H86" s="317"/>
      <c r="I86" s="317"/>
      <c r="J86" s="317"/>
      <c r="K86" s="55"/>
      <c r="L86" s="55"/>
      <c r="M86" s="320"/>
      <c r="N86" s="317"/>
      <c r="O86" s="317"/>
      <c r="P86" s="317"/>
      <c r="Q86" s="317"/>
      <c r="R86" s="72"/>
      <c r="U86" s="23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47"/>
      <c r="BO86" s="28">
        <v>2006</v>
      </c>
      <c r="BP86" s="130">
        <v>29.38</v>
      </c>
      <c r="BQ86" s="130">
        <v>24.56</v>
      </c>
      <c r="BR86" s="130">
        <v>16.79</v>
      </c>
      <c r="BS86" s="130">
        <v>14.92</v>
      </c>
      <c r="BT86" s="130">
        <v>17.93</v>
      </c>
      <c r="BU86" s="130">
        <v>15</v>
      </c>
      <c r="BV86" s="130">
        <v>21.1</v>
      </c>
      <c r="BW86" s="130">
        <v>16.510000000000002</v>
      </c>
      <c r="BX86" s="130">
        <v>21.36</v>
      </c>
      <c r="BZ86" s="26">
        <f>BZ79+1</f>
        <v>2006</v>
      </c>
      <c r="CA86" s="121">
        <v>10.71</v>
      </c>
      <c r="CB86" s="121">
        <v>9.48</v>
      </c>
      <c r="CC86" s="121">
        <v>7.55</v>
      </c>
      <c r="CD86" s="121">
        <v>7.67</v>
      </c>
      <c r="CE86" s="121">
        <v>10.51</v>
      </c>
      <c r="CF86" s="121">
        <v>9.44</v>
      </c>
      <c r="CG86" s="121">
        <v>8.2100000000000009</v>
      </c>
      <c r="CH86" s="121">
        <v>7.33</v>
      </c>
      <c r="CI86" s="121">
        <v>7.33</v>
      </c>
    </row>
    <row r="87" spans="1:87" x14ac:dyDescent="0.2">
      <c r="A87" s="26"/>
      <c r="B87" s="316"/>
      <c r="C87" s="316"/>
      <c r="D87" s="316"/>
      <c r="E87" s="319"/>
      <c r="F87" s="319"/>
      <c r="G87" s="26"/>
      <c r="H87" s="317"/>
      <c r="I87" s="317"/>
      <c r="J87" s="317"/>
      <c r="K87" s="55"/>
      <c r="L87" s="55"/>
      <c r="M87" s="320"/>
      <c r="N87" s="317"/>
      <c r="O87" s="317"/>
      <c r="P87" s="317"/>
      <c r="Q87" s="317"/>
      <c r="R87" s="72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9"/>
      <c r="AI87" s="88"/>
      <c r="AJ87" s="89"/>
      <c r="AK87" s="89"/>
      <c r="AL87" s="88"/>
      <c r="AM87" s="89"/>
      <c r="AN87" s="88"/>
      <c r="AO87" s="89"/>
      <c r="AP87" s="88"/>
      <c r="AQ87" s="89"/>
      <c r="AR87" s="88"/>
      <c r="AS87" s="89"/>
      <c r="AT87" s="88"/>
      <c r="AU87" s="89"/>
      <c r="AV87" s="89"/>
      <c r="AW87" s="89"/>
      <c r="AX87" s="88"/>
      <c r="AY87" s="89"/>
      <c r="AZ87" s="89"/>
      <c r="BA87" s="89"/>
      <c r="BB87" s="89"/>
      <c r="BC87" s="89"/>
      <c r="BD87" s="88"/>
      <c r="BE87" s="110"/>
      <c r="BO87" s="28">
        <v>2007</v>
      </c>
      <c r="BP87" s="130">
        <v>29.82</v>
      </c>
      <c r="BQ87" s="130">
        <v>24.91</v>
      </c>
      <c r="BR87" s="130">
        <v>17.39</v>
      </c>
      <c r="BS87" s="130">
        <v>14.83</v>
      </c>
      <c r="BT87" s="130">
        <v>17.899999999999999</v>
      </c>
      <c r="BU87" s="130">
        <v>14.92</v>
      </c>
      <c r="BV87" s="130">
        <v>19.920000000000002</v>
      </c>
      <c r="BW87" s="130">
        <v>16.62</v>
      </c>
      <c r="BX87" s="130">
        <v>21.11</v>
      </c>
      <c r="BZ87" s="26">
        <f t="shared" si="71"/>
        <v>2007</v>
      </c>
      <c r="CA87" s="121">
        <v>9.93</v>
      </c>
      <c r="CB87" s="121">
        <v>8.94</v>
      </c>
      <c r="CC87" s="121">
        <v>6.87</v>
      </c>
      <c r="CD87" s="121">
        <v>7.09</v>
      </c>
      <c r="CE87" s="121">
        <v>9.6</v>
      </c>
      <c r="CF87" s="121">
        <v>8.25</v>
      </c>
      <c r="CG87" s="121">
        <v>7.31</v>
      </c>
      <c r="CH87" s="121">
        <v>6.47</v>
      </c>
      <c r="CI87" s="121">
        <v>7.09</v>
      </c>
    </row>
    <row r="88" spans="1:87" x14ac:dyDescent="0.2">
      <c r="A88" s="26"/>
      <c r="B88" s="316"/>
      <c r="C88" s="316"/>
      <c r="D88" s="316"/>
      <c r="E88" s="319"/>
      <c r="F88" s="319"/>
      <c r="G88" s="26"/>
      <c r="H88" s="317"/>
      <c r="I88" s="317"/>
      <c r="J88" s="317"/>
      <c r="K88" s="55"/>
      <c r="L88" s="55"/>
      <c r="M88" s="320"/>
      <c r="N88" s="317"/>
      <c r="O88" s="317"/>
      <c r="P88" s="317"/>
      <c r="Q88" s="317"/>
      <c r="R88" s="72"/>
      <c r="BE88" s="47"/>
      <c r="BO88" s="28">
        <v>2008</v>
      </c>
      <c r="BP88" s="130">
        <v>30.94</v>
      </c>
      <c r="BQ88" s="130">
        <v>26</v>
      </c>
      <c r="BR88" s="130">
        <v>18.149999999999999</v>
      </c>
      <c r="BS88" s="130">
        <v>15.15</v>
      </c>
      <c r="BT88" s="130">
        <v>18.64</v>
      </c>
      <c r="BU88" s="130">
        <v>16.28</v>
      </c>
      <c r="BV88" s="130">
        <v>20.72</v>
      </c>
      <c r="BW88" s="130">
        <v>17.190000000000001</v>
      </c>
      <c r="BX88" s="130">
        <v>20.18</v>
      </c>
      <c r="BZ88" s="26">
        <f t="shared" si="71"/>
        <v>2008</v>
      </c>
      <c r="CA88" s="121">
        <v>10.039999999999999</v>
      </c>
      <c r="CB88" s="121">
        <v>9.41</v>
      </c>
      <c r="CC88" s="121">
        <v>7.38</v>
      </c>
      <c r="CD88" s="121">
        <v>7.03</v>
      </c>
      <c r="CE88" s="121">
        <v>9.82</v>
      </c>
      <c r="CF88" s="121">
        <v>8.65</v>
      </c>
      <c r="CG88" s="121">
        <v>7.95</v>
      </c>
      <c r="CH88" s="121">
        <v>6.53</v>
      </c>
      <c r="CI88" s="121">
        <v>7.41</v>
      </c>
    </row>
    <row r="89" spans="1:87" x14ac:dyDescent="0.2">
      <c r="A89" s="26"/>
      <c r="B89" s="316"/>
      <c r="C89" s="316"/>
      <c r="D89" s="316"/>
      <c r="E89" s="319"/>
      <c r="F89" s="319"/>
      <c r="G89" s="26"/>
      <c r="H89" s="317"/>
      <c r="I89" s="317"/>
      <c r="J89" s="317"/>
      <c r="K89" s="55"/>
      <c r="L89" s="55"/>
      <c r="M89" s="320"/>
      <c r="N89" s="317"/>
      <c r="O89" s="317"/>
      <c r="P89" s="317"/>
      <c r="Q89" s="317"/>
      <c r="R89" s="72"/>
      <c r="V89" s="76" t="s">
        <v>79</v>
      </c>
      <c r="W89" s="76"/>
      <c r="Y89" s="76"/>
      <c r="BE89" s="91"/>
      <c r="BO89" s="28">
        <v>2009</v>
      </c>
      <c r="BP89" s="130">
        <v>30.29</v>
      </c>
      <c r="BQ89" s="130">
        <v>25.7</v>
      </c>
      <c r="BR89" s="130">
        <v>18.920000000000002</v>
      </c>
      <c r="BS89" s="130">
        <v>15.83</v>
      </c>
      <c r="BT89" s="130">
        <v>19.600000000000001</v>
      </c>
      <c r="BU89" s="130">
        <v>16.64</v>
      </c>
      <c r="BV89" s="130">
        <v>19.11</v>
      </c>
      <c r="BW89" s="130">
        <v>17.63</v>
      </c>
      <c r="BX89" s="130">
        <v>21.03</v>
      </c>
      <c r="BZ89" s="26">
        <f t="shared" si="71"/>
        <v>2009</v>
      </c>
      <c r="CA89" s="121">
        <v>9.68</v>
      </c>
      <c r="CB89" s="121">
        <v>8.58</v>
      </c>
      <c r="CC89" s="121">
        <v>6.27</v>
      </c>
      <c r="CD89" s="121">
        <v>5.94</v>
      </c>
      <c r="CE89" s="121">
        <v>8.68</v>
      </c>
      <c r="CF89" s="121">
        <v>7.62</v>
      </c>
      <c r="CG89" s="121">
        <v>6.73</v>
      </c>
      <c r="CH89" s="121">
        <v>5.96</v>
      </c>
      <c r="CI89" s="121">
        <v>5.97</v>
      </c>
    </row>
    <row r="90" spans="1:87" x14ac:dyDescent="0.2">
      <c r="A90" s="26"/>
      <c r="B90" s="316"/>
      <c r="C90" s="316"/>
      <c r="D90" s="316"/>
      <c r="E90" s="319"/>
      <c r="F90" s="319"/>
      <c r="G90" s="321"/>
      <c r="H90" s="319"/>
      <c r="I90" s="322"/>
      <c r="J90" s="319"/>
      <c r="K90" s="55"/>
      <c r="L90" s="55"/>
      <c r="M90" s="320"/>
      <c r="N90" s="94"/>
      <c r="P90" s="94"/>
      <c r="Q90" s="94"/>
      <c r="R90" s="72"/>
      <c r="T90" s="96"/>
      <c r="U90" s="8"/>
      <c r="V90" s="23" t="s">
        <v>36</v>
      </c>
      <c r="W90" s="23"/>
      <c r="X90" s="23" t="s">
        <v>39</v>
      </c>
      <c r="Y90" s="23"/>
      <c r="Z90" s="66" t="s">
        <v>166</v>
      </c>
      <c r="AA90" s="66"/>
      <c r="AB90" s="66" t="s">
        <v>145</v>
      </c>
      <c r="AC90" s="66"/>
      <c r="AD90" s="23" t="s">
        <v>4</v>
      </c>
      <c r="AE90" s="66"/>
      <c r="AF90" s="23" t="s">
        <v>2</v>
      </c>
      <c r="AG90" s="66"/>
      <c r="AH90" s="23" t="s">
        <v>40</v>
      </c>
      <c r="AI90" s="66"/>
      <c r="AJ90" s="66" t="s">
        <v>167</v>
      </c>
      <c r="AK90" s="23" t="s">
        <v>41</v>
      </c>
      <c r="AL90" s="66"/>
      <c r="AM90" s="23" t="s">
        <v>42</v>
      </c>
      <c r="AN90" s="66"/>
      <c r="AO90" s="23" t="s">
        <v>5</v>
      </c>
      <c r="AP90" s="66"/>
      <c r="AQ90" s="23" t="s">
        <v>43</v>
      </c>
      <c r="AR90" s="66"/>
      <c r="AS90" s="23" t="s">
        <v>44</v>
      </c>
      <c r="AT90" s="66"/>
      <c r="AU90" s="23" t="s">
        <v>45</v>
      </c>
      <c r="AV90" s="23"/>
      <c r="AW90" s="23" t="s">
        <v>9</v>
      </c>
      <c r="AX90" s="66"/>
      <c r="AY90" s="90" t="s">
        <v>100</v>
      </c>
      <c r="AZ90" s="90"/>
      <c r="BA90" s="90" t="s">
        <v>173</v>
      </c>
      <c r="BB90" s="90"/>
      <c r="BC90" s="23" t="s">
        <v>46</v>
      </c>
      <c r="BD90" s="23" t="s">
        <v>14</v>
      </c>
      <c r="BE90" s="91"/>
      <c r="BF90" s="8"/>
      <c r="BO90" s="28">
        <v>2010</v>
      </c>
      <c r="BP90" s="130">
        <v>31.16</v>
      </c>
      <c r="BQ90" s="130">
        <v>26.35</v>
      </c>
      <c r="BR90" s="130">
        <v>19.93</v>
      </c>
      <c r="BS90" s="130">
        <v>16.72</v>
      </c>
      <c r="BT90" s="130">
        <v>19.78</v>
      </c>
      <c r="BU90" s="130">
        <v>15.85</v>
      </c>
      <c r="BV90" s="130">
        <v>18.309999999999999</v>
      </c>
      <c r="BW90" s="130">
        <v>16.190000000000001</v>
      </c>
      <c r="BX90" s="130">
        <v>20.53</v>
      </c>
      <c r="BZ90" s="26">
        <f t="shared" si="71"/>
        <v>2010</v>
      </c>
      <c r="CA90" s="121">
        <v>8.73</v>
      </c>
      <c r="CB90" s="121">
        <v>7.62</v>
      </c>
      <c r="CC90" s="121">
        <v>5.92</v>
      </c>
      <c r="CD90" s="121">
        <v>5.86</v>
      </c>
      <c r="CE90" s="121">
        <v>7.88</v>
      </c>
      <c r="CF90" s="121">
        <v>6.76</v>
      </c>
      <c r="CG90" s="121">
        <v>6.02</v>
      </c>
      <c r="CH90" s="121">
        <v>5.78</v>
      </c>
      <c r="CI90" s="121">
        <v>6.32</v>
      </c>
    </row>
    <row r="91" spans="1:87" x14ac:dyDescent="0.2">
      <c r="A91" s="26"/>
      <c r="B91" s="316"/>
      <c r="C91" s="81"/>
      <c r="D91" s="81"/>
      <c r="E91" s="30"/>
      <c r="F91" s="30"/>
      <c r="G91" s="30"/>
      <c r="H91" s="81"/>
      <c r="I91" s="81"/>
      <c r="J91" s="323"/>
      <c r="K91" s="55"/>
      <c r="L91" s="55"/>
      <c r="M91" s="320"/>
      <c r="N91" s="96"/>
      <c r="O91" s="71"/>
      <c r="P91" s="20"/>
      <c r="Q91" s="20"/>
      <c r="R91" s="20"/>
      <c r="S91" s="96"/>
      <c r="T91" s="96"/>
      <c r="U91" s="8" t="s">
        <v>15</v>
      </c>
      <c r="V91" s="78" t="s">
        <v>77</v>
      </c>
      <c r="W91" s="78"/>
      <c r="X91" s="78" t="s">
        <v>77</v>
      </c>
      <c r="Y91" s="78"/>
      <c r="Z91" s="78" t="s">
        <v>77</v>
      </c>
      <c r="AA91" s="78"/>
      <c r="AB91" s="78" t="s">
        <v>77</v>
      </c>
      <c r="AC91" s="78"/>
      <c r="AD91" s="78" t="s">
        <v>77</v>
      </c>
      <c r="AE91" s="78"/>
      <c r="AF91" s="78" t="s">
        <v>77</v>
      </c>
      <c r="AG91" s="78"/>
      <c r="AH91" s="78" t="s">
        <v>77</v>
      </c>
      <c r="AI91" s="78"/>
      <c r="AJ91" s="78" t="s">
        <v>77</v>
      </c>
      <c r="AK91" s="78" t="s">
        <v>77</v>
      </c>
      <c r="AL91" s="78"/>
      <c r="AM91" s="78" t="s">
        <v>77</v>
      </c>
      <c r="AN91" s="78"/>
      <c r="AO91" s="78" t="s">
        <v>77</v>
      </c>
      <c r="AP91" s="78"/>
      <c r="AQ91" s="78" t="s">
        <v>77</v>
      </c>
      <c r="AR91" s="78"/>
      <c r="AS91" s="78" t="s">
        <v>77</v>
      </c>
      <c r="AT91" s="78"/>
      <c r="AU91" s="78" t="s">
        <v>77</v>
      </c>
      <c r="AV91" s="78"/>
      <c r="AW91" s="78" t="s">
        <v>77</v>
      </c>
      <c r="AX91" s="78"/>
      <c r="AY91" s="78" t="s">
        <v>77</v>
      </c>
      <c r="AZ91" s="78"/>
      <c r="BA91" s="78" t="s">
        <v>77</v>
      </c>
      <c r="BB91" s="78"/>
      <c r="BC91" s="78" t="s">
        <v>77</v>
      </c>
      <c r="BD91" s="78" t="s">
        <v>77</v>
      </c>
      <c r="BE91" s="97"/>
      <c r="BF91" s="8"/>
      <c r="BO91" s="28">
        <v>2011</v>
      </c>
      <c r="BP91" s="130">
        <v>32.99</v>
      </c>
      <c r="BQ91" s="130">
        <v>25.57</v>
      </c>
      <c r="BR91" s="130">
        <v>18.149999999999999</v>
      </c>
      <c r="BS91" s="130">
        <v>15.07</v>
      </c>
      <c r="BT91" s="130">
        <v>18.36</v>
      </c>
      <c r="BU91" s="130">
        <v>14.64</v>
      </c>
      <c r="BV91" s="130">
        <v>16.52</v>
      </c>
      <c r="BW91" s="130">
        <v>15.32</v>
      </c>
      <c r="BX91" s="130">
        <v>20.51</v>
      </c>
      <c r="BZ91" s="26">
        <f t="shared" si="71"/>
        <v>2011</v>
      </c>
      <c r="CA91" s="121">
        <v>7.92</v>
      </c>
      <c r="CB91" s="121">
        <v>6.97</v>
      </c>
      <c r="CC91" s="121">
        <v>5.47</v>
      </c>
      <c r="CD91" s="121">
        <v>5.43</v>
      </c>
      <c r="CE91" s="121">
        <v>7.49</v>
      </c>
      <c r="CF91" s="121">
        <v>6.38</v>
      </c>
      <c r="CG91" s="121">
        <v>5.84</v>
      </c>
      <c r="CH91" s="121">
        <v>5.47</v>
      </c>
      <c r="CI91" s="121">
        <v>5.9</v>
      </c>
    </row>
    <row r="92" spans="1:87" x14ac:dyDescent="0.2">
      <c r="A92" s="30"/>
      <c r="B92" s="81"/>
      <c r="C92" s="30"/>
      <c r="D92" s="30"/>
      <c r="E92" s="30"/>
      <c r="F92" s="30"/>
      <c r="G92" s="30"/>
      <c r="H92" s="30"/>
      <c r="I92" s="30"/>
      <c r="J92" s="323"/>
      <c r="K92" s="55"/>
      <c r="L92" s="55"/>
      <c r="M92" s="320"/>
      <c r="N92" s="96"/>
      <c r="O92" s="71"/>
      <c r="P92" s="20"/>
      <c r="Q92" s="20"/>
      <c r="R92" s="20"/>
      <c r="S92" s="96"/>
      <c r="T92" s="96"/>
      <c r="U92" s="8">
        <v>2005</v>
      </c>
      <c r="V92" s="133">
        <v>20494125</v>
      </c>
      <c r="W92" s="133"/>
      <c r="X92" s="55">
        <v>9340069</v>
      </c>
      <c r="Y92" s="133"/>
      <c r="Z92" s="55">
        <v>208675</v>
      </c>
      <c r="AA92" s="55"/>
      <c r="AB92" s="55">
        <v>2213161</v>
      </c>
      <c r="AC92" s="55"/>
      <c r="AD92" s="133">
        <v>9831042</v>
      </c>
      <c r="AE92" s="55"/>
      <c r="AF92" s="133">
        <v>63913651</v>
      </c>
      <c r="AG92" s="55"/>
      <c r="AH92" s="55">
        <v>14816839</v>
      </c>
      <c r="AI92" s="55"/>
      <c r="AJ92" s="55">
        <v>369877</v>
      </c>
      <c r="AK92" s="133">
        <v>2337285</v>
      </c>
      <c r="AL92" s="55"/>
      <c r="AM92" s="133">
        <v>6027026</v>
      </c>
      <c r="AN92" s="55"/>
      <c r="AO92" s="133">
        <v>47715975</v>
      </c>
      <c r="AP92" s="55"/>
      <c r="AQ92" s="133">
        <v>12869848</v>
      </c>
      <c r="AR92" s="55"/>
      <c r="AS92" s="133">
        <v>17820575</v>
      </c>
      <c r="AT92" s="55"/>
      <c r="AU92" s="133">
        <v>23733426</v>
      </c>
      <c r="AV92" s="133"/>
      <c r="AW92" s="133">
        <v>6871528</v>
      </c>
      <c r="AX92" s="55"/>
      <c r="AY92" s="133">
        <v>16964206</v>
      </c>
      <c r="AZ92" s="133"/>
      <c r="BA92" s="133">
        <v>5355859</v>
      </c>
      <c r="BB92" s="133"/>
      <c r="BC92" s="55">
        <v>47257268</v>
      </c>
      <c r="BD92" s="120">
        <v>92249539</v>
      </c>
      <c r="BE92" s="54"/>
      <c r="BF92" s="8"/>
      <c r="BO92" s="28">
        <v>2012</v>
      </c>
      <c r="BP92" s="130">
        <v>33.56</v>
      </c>
      <c r="BQ92" s="130">
        <v>26.38</v>
      </c>
      <c r="BR92" s="130">
        <v>18.059999999999999</v>
      </c>
      <c r="BS92" s="130">
        <v>15.06</v>
      </c>
      <c r="BT92" s="130">
        <v>18.43</v>
      </c>
      <c r="BU92" s="130">
        <v>14.61</v>
      </c>
      <c r="BV92" s="130">
        <v>16.690000000000001</v>
      </c>
      <c r="BW92" s="130">
        <v>15.79</v>
      </c>
      <c r="BX92" s="130">
        <v>20.49</v>
      </c>
      <c r="BZ92" s="26">
        <f t="shared" si="71"/>
        <v>2012</v>
      </c>
      <c r="CA92" s="121">
        <v>7.91</v>
      </c>
      <c r="CB92" s="121">
        <v>7.02</v>
      </c>
      <c r="CC92" s="121">
        <v>5.27</v>
      </c>
      <c r="CD92" s="121">
        <v>5.37</v>
      </c>
      <c r="CE92" s="121">
        <v>7.42</v>
      </c>
      <c r="CF92" s="121">
        <v>6.34</v>
      </c>
      <c r="CG92" s="121">
        <v>5.77</v>
      </c>
      <c r="CH92" s="121">
        <v>5.42</v>
      </c>
      <c r="CI92" s="121">
        <v>5.85</v>
      </c>
    </row>
    <row r="93" spans="1:87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20"/>
      <c r="N93" s="96"/>
      <c r="O93" s="71"/>
      <c r="P93" s="20"/>
      <c r="Q93" s="20"/>
      <c r="R93" s="20"/>
      <c r="S93" s="96"/>
      <c r="T93" s="96"/>
      <c r="U93" s="8">
        <v>2006</v>
      </c>
      <c r="V93" s="133">
        <v>17534643</v>
      </c>
      <c r="W93" s="133"/>
      <c r="X93" s="55">
        <v>8101381</v>
      </c>
      <c r="Y93" s="133"/>
      <c r="Z93" s="55">
        <v>194881</v>
      </c>
      <c r="AA93" s="55"/>
      <c r="AB93" s="55">
        <v>2008778</v>
      </c>
      <c r="AC93" s="55"/>
      <c r="AD93" s="133">
        <v>9142811</v>
      </c>
      <c r="AE93" s="55"/>
      <c r="AF93" s="133">
        <v>62833390</v>
      </c>
      <c r="AG93" s="55"/>
      <c r="AH93" s="55">
        <v>14042753</v>
      </c>
      <c r="AI93" s="55"/>
      <c r="AJ93" s="55">
        <v>377608</v>
      </c>
      <c r="AK93" s="133">
        <v>2372072</v>
      </c>
      <c r="AL93" s="55"/>
      <c r="AM93" s="133">
        <v>5933117</v>
      </c>
      <c r="AN93" s="55"/>
      <c r="AO93" s="133">
        <v>47231775</v>
      </c>
      <c r="AP93" s="55"/>
      <c r="AQ93" s="133">
        <v>12924445</v>
      </c>
      <c r="AR93" s="55"/>
      <c r="AS93" s="133">
        <v>17784108</v>
      </c>
      <c r="AT93" s="55"/>
      <c r="AU93" s="133">
        <v>23276832</v>
      </c>
      <c r="AV93" s="133"/>
      <c r="AW93" s="133">
        <v>6726589</v>
      </c>
      <c r="AX93" s="55"/>
      <c r="AY93" s="133">
        <v>18270788</v>
      </c>
      <c r="AZ93" s="133"/>
      <c r="BA93" s="133">
        <v>5160366</v>
      </c>
      <c r="BB93" s="133"/>
      <c r="BC93" s="55">
        <v>47201147</v>
      </c>
      <c r="BD93" s="120">
        <v>99172490</v>
      </c>
      <c r="BE93" s="223">
        <f t="shared" ref="BE93:BE129" si="75">BD93/BD92-1</f>
        <v>7.5045914321588025E-2</v>
      </c>
      <c r="BF93" s="8"/>
      <c r="BO93" s="28">
        <v>2013</v>
      </c>
      <c r="BP93" s="130">
        <v>33.869999999999997</v>
      </c>
      <c r="BQ93" s="130">
        <v>26.77</v>
      </c>
      <c r="BR93" s="130">
        <v>18.21</v>
      </c>
      <c r="BS93" s="130">
        <v>15.44</v>
      </c>
      <c r="BT93" s="130">
        <v>18.53</v>
      </c>
      <c r="BU93" s="130">
        <v>14.53</v>
      </c>
      <c r="BV93" s="130">
        <v>16.739999999999998</v>
      </c>
      <c r="BW93" s="130">
        <v>16.239999999999998</v>
      </c>
      <c r="BX93" s="130">
        <v>20.36</v>
      </c>
      <c r="BZ93" s="26">
        <f t="shared" si="71"/>
        <v>2013</v>
      </c>
      <c r="CA93" s="121">
        <v>8.0299999999999994</v>
      </c>
      <c r="CB93" s="121">
        <v>7.19</v>
      </c>
      <c r="CC93" s="121">
        <v>5.22</v>
      </c>
      <c r="CD93" s="121">
        <v>5.33</v>
      </c>
      <c r="CE93" s="121">
        <v>7.43</v>
      </c>
      <c r="CF93" s="121">
        <v>6.34</v>
      </c>
      <c r="CG93" s="121">
        <v>5.74</v>
      </c>
      <c r="CH93" s="121">
        <v>5.44</v>
      </c>
      <c r="CI93" s="121">
        <v>5.83</v>
      </c>
    </row>
    <row r="94" spans="1:87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20"/>
      <c r="N94" s="96"/>
      <c r="O94" s="71"/>
      <c r="P94" s="20"/>
      <c r="Q94" s="20"/>
      <c r="R94" s="20"/>
      <c r="S94" s="96"/>
      <c r="T94" s="96"/>
      <c r="U94" s="8">
        <v>2007</v>
      </c>
      <c r="V94" s="133">
        <v>17552512</v>
      </c>
      <c r="W94" s="133"/>
      <c r="X94" s="55">
        <v>8275669</v>
      </c>
      <c r="Y94" s="133"/>
      <c r="Z94" s="55">
        <v>239136</v>
      </c>
      <c r="AA94" s="55"/>
      <c r="AB94" s="55">
        <v>1965897</v>
      </c>
      <c r="AC94" s="55"/>
      <c r="AD94" s="133">
        <v>10653352</v>
      </c>
      <c r="AE94" s="55"/>
      <c r="AF94" s="133">
        <v>65537315</v>
      </c>
      <c r="AG94" s="55"/>
      <c r="AH94" s="55">
        <v>16869697</v>
      </c>
      <c r="AI94" s="55"/>
      <c r="AJ94" s="55">
        <v>543964</v>
      </c>
      <c r="AK94" s="133">
        <v>2333077</v>
      </c>
      <c r="AL94" s="55"/>
      <c r="AM94" s="133">
        <v>5880061</v>
      </c>
      <c r="AN94" s="55"/>
      <c r="AO94" s="133">
        <v>47555087</v>
      </c>
      <c r="AP94" s="55"/>
      <c r="AQ94" s="133">
        <v>13046963</v>
      </c>
      <c r="AR94" s="55"/>
      <c r="AS94" s="133">
        <v>17677198</v>
      </c>
      <c r="AT94" s="55"/>
      <c r="AU94" s="133">
        <v>22937221</v>
      </c>
      <c r="AV94" s="133"/>
      <c r="AW94" s="133">
        <v>6633289</v>
      </c>
      <c r="AX94" s="55"/>
      <c r="AY94" s="133">
        <v>19386927</v>
      </c>
      <c r="AZ94" s="133"/>
      <c r="BA94" s="133">
        <v>5265706</v>
      </c>
      <c r="BB94" s="133"/>
      <c r="BC94" s="55">
        <v>46885897</v>
      </c>
      <c r="BD94" s="120">
        <v>107820993</v>
      </c>
      <c r="BE94" s="223">
        <f t="shared" si="75"/>
        <v>8.7206673947583635E-2</v>
      </c>
      <c r="BF94" s="8"/>
      <c r="BG94" s="8"/>
      <c r="BH94" s="55"/>
      <c r="BO94" s="28">
        <v>2014</v>
      </c>
      <c r="BP94" s="130">
        <v>33.67</v>
      </c>
      <c r="BQ94" s="130">
        <v>26.92</v>
      </c>
      <c r="BR94" s="130">
        <v>18.22</v>
      </c>
      <c r="BS94" s="130">
        <v>15.38</v>
      </c>
      <c r="BT94" s="130">
        <v>18.47</v>
      </c>
      <c r="BU94" s="130">
        <v>14.37</v>
      </c>
      <c r="BV94" s="130">
        <v>16.79</v>
      </c>
      <c r="BW94" s="130">
        <v>16.32</v>
      </c>
      <c r="BX94" s="130">
        <v>20.39</v>
      </c>
      <c r="BZ94" s="26">
        <f t="shared" si="71"/>
        <v>2014</v>
      </c>
      <c r="CA94" s="121">
        <v>8.09</v>
      </c>
      <c r="CB94" s="121">
        <v>7.33</v>
      </c>
      <c r="CC94" s="121">
        <v>5.16</v>
      </c>
      <c r="CD94" s="121">
        <v>5.27</v>
      </c>
      <c r="CE94" s="121">
        <v>7.31</v>
      </c>
      <c r="CF94" s="121">
        <v>6.32</v>
      </c>
      <c r="CG94" s="121">
        <v>5.69</v>
      </c>
      <c r="CH94" s="121">
        <v>5.38</v>
      </c>
      <c r="CI94" s="121">
        <v>5.74</v>
      </c>
    </row>
    <row r="95" spans="1:87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20"/>
      <c r="N95" s="96"/>
      <c r="O95" s="71"/>
      <c r="P95" s="20"/>
      <c r="Q95" s="20"/>
      <c r="R95" s="20"/>
      <c r="S95" s="96"/>
      <c r="T95" s="96"/>
      <c r="U95" s="8">
        <v>2008</v>
      </c>
      <c r="V95" s="133">
        <v>19534839</v>
      </c>
      <c r="W95" s="133"/>
      <c r="X95" s="55">
        <v>9275081</v>
      </c>
      <c r="Y95" s="133"/>
      <c r="Z95" s="55">
        <v>317277</v>
      </c>
      <c r="AA95" s="55"/>
      <c r="AB95" s="55">
        <v>2154513</v>
      </c>
      <c r="AC95" s="55"/>
      <c r="AD95" s="133">
        <v>8242545</v>
      </c>
      <c r="AE95" s="55"/>
      <c r="AF95" s="133">
        <v>54232169</v>
      </c>
      <c r="AG95" s="55"/>
      <c r="AH95" s="55">
        <v>13296407</v>
      </c>
      <c r="AI95" s="55"/>
      <c r="AJ95" s="55">
        <v>506397</v>
      </c>
      <c r="AK95" s="133">
        <v>2292121</v>
      </c>
      <c r="AL95" s="55"/>
      <c r="AM95" s="133">
        <v>5820279</v>
      </c>
      <c r="AN95" s="55"/>
      <c r="AO95" s="133">
        <v>47601738</v>
      </c>
      <c r="AP95" s="55"/>
      <c r="AQ95" s="133">
        <v>13138781</v>
      </c>
      <c r="AR95" s="55"/>
      <c r="AS95" s="133">
        <v>17466721</v>
      </c>
      <c r="AT95" s="55"/>
      <c r="AU95" s="133">
        <v>22591265</v>
      </c>
      <c r="AV95" s="133"/>
      <c r="AW95" s="133">
        <v>6545870</v>
      </c>
      <c r="AX95" s="55"/>
      <c r="AY95" s="133">
        <v>20100755</v>
      </c>
      <c r="AZ95" s="133"/>
      <c r="BA95" s="133">
        <v>6072899</v>
      </c>
      <c r="BB95" s="133"/>
      <c r="BC95" s="55">
        <v>46436271</v>
      </c>
      <c r="BD95" s="120">
        <v>113764020</v>
      </c>
      <c r="BE95" s="223">
        <f t="shared" si="75"/>
        <v>5.5119386630023026E-2</v>
      </c>
      <c r="BF95" s="8"/>
      <c r="BG95" s="8"/>
      <c r="BH95" s="55"/>
      <c r="BO95" s="28">
        <v>2015</v>
      </c>
      <c r="BP95" s="130">
        <v>33.39</v>
      </c>
      <c r="BQ95" s="130">
        <v>26.81</v>
      </c>
      <c r="BR95" s="130">
        <v>18.27</v>
      </c>
      <c r="BS95" s="130">
        <v>15.34</v>
      </c>
      <c r="BT95" s="130">
        <v>18.48</v>
      </c>
      <c r="BU95" s="130">
        <v>14.27</v>
      </c>
      <c r="BV95" s="130">
        <v>16.899999999999999</v>
      </c>
      <c r="BW95" s="130">
        <v>16.489999999999998</v>
      </c>
      <c r="BX95" s="130">
        <v>20.309999999999999</v>
      </c>
      <c r="BZ95" s="26">
        <f t="shared" si="71"/>
        <v>2015</v>
      </c>
      <c r="CA95" s="121">
        <v>8.02</v>
      </c>
      <c r="CB95" s="121">
        <v>7.2</v>
      </c>
      <c r="CC95" s="121">
        <v>5.25</v>
      </c>
      <c r="CD95" s="121">
        <v>5.35</v>
      </c>
      <c r="CE95" s="121">
        <v>7.42</v>
      </c>
      <c r="CF95" s="121">
        <v>6.45</v>
      </c>
      <c r="CG95" s="121">
        <v>5.78</v>
      </c>
      <c r="CH95" s="121">
        <v>5.47</v>
      </c>
      <c r="CI95" s="121">
        <v>5.79</v>
      </c>
    </row>
    <row r="96" spans="1:87" x14ac:dyDescent="0.2">
      <c r="A96" s="30"/>
      <c r="B96" s="30"/>
      <c r="C96" s="77"/>
      <c r="D96" s="77"/>
      <c r="E96" s="312"/>
      <c r="F96" s="312"/>
      <c r="G96" s="23"/>
      <c r="H96" s="312"/>
      <c r="I96" s="77"/>
      <c r="J96" s="312"/>
      <c r="K96" s="23"/>
      <c r="L96" s="312"/>
      <c r="M96" s="20"/>
      <c r="N96" s="96"/>
      <c r="O96" s="71"/>
      <c r="P96" s="20"/>
      <c r="Q96" s="20"/>
      <c r="R96" s="20"/>
      <c r="S96" s="96"/>
      <c r="T96" s="96"/>
      <c r="U96" s="8">
        <v>2009</v>
      </c>
      <c r="V96" s="133">
        <v>18756529</v>
      </c>
      <c r="W96" s="133"/>
      <c r="X96" s="55">
        <v>9008521</v>
      </c>
      <c r="Y96" s="133"/>
      <c r="Z96" s="55">
        <v>366076</v>
      </c>
      <c r="AA96" s="55"/>
      <c r="AB96" s="55">
        <v>2054810</v>
      </c>
      <c r="AC96" s="55"/>
      <c r="AD96" s="133">
        <v>7658958</v>
      </c>
      <c r="AE96" s="55"/>
      <c r="AF96" s="133">
        <v>48231619</v>
      </c>
      <c r="AG96" s="55"/>
      <c r="AH96" s="55">
        <v>12627376</v>
      </c>
      <c r="AI96" s="55"/>
      <c r="AJ96" s="55">
        <v>568413</v>
      </c>
      <c r="AK96" s="133">
        <v>2240001</v>
      </c>
      <c r="AL96" s="55"/>
      <c r="AM96" s="133">
        <v>5745037</v>
      </c>
      <c r="AN96" s="55"/>
      <c r="AO96" s="133">
        <v>47486582</v>
      </c>
      <c r="AP96" s="55"/>
      <c r="AQ96" s="133">
        <v>13180097</v>
      </c>
      <c r="AR96" s="55"/>
      <c r="AS96" s="133">
        <v>17205102</v>
      </c>
      <c r="AT96" s="55"/>
      <c r="AU96" s="133">
        <v>22178662</v>
      </c>
      <c r="AV96" s="133"/>
      <c r="AW96" s="133">
        <v>6446920</v>
      </c>
      <c r="AX96" s="55"/>
      <c r="AY96" s="133">
        <v>20217282</v>
      </c>
      <c r="AZ96" s="133"/>
      <c r="BA96" s="133">
        <v>6130062</v>
      </c>
      <c r="BB96" s="133"/>
      <c r="BC96" s="55">
        <v>45678017</v>
      </c>
      <c r="BD96" s="120">
        <v>113482945</v>
      </c>
      <c r="BE96" s="223">
        <f t="shared" si="75"/>
        <v>-2.4706844923377824E-3</v>
      </c>
      <c r="BF96" s="8"/>
      <c r="BG96" s="8"/>
      <c r="BH96" s="55"/>
      <c r="BO96" s="28">
        <v>2016</v>
      </c>
      <c r="BP96" s="130">
        <v>32.61</v>
      </c>
      <c r="BQ96" s="130">
        <v>26.48</v>
      </c>
      <c r="BR96" s="130">
        <v>18.22</v>
      </c>
      <c r="BS96" s="130">
        <v>15.18</v>
      </c>
      <c r="BT96" s="130">
        <v>18.46</v>
      </c>
      <c r="BU96" s="130">
        <v>14.25</v>
      </c>
      <c r="BV96" s="130">
        <v>17.059999999999999</v>
      </c>
      <c r="BW96" s="130">
        <v>16.47</v>
      </c>
      <c r="BX96" s="130">
        <v>19.98</v>
      </c>
      <c r="BZ96" s="26">
        <f t="shared" si="71"/>
        <v>2016</v>
      </c>
      <c r="CA96" s="121">
        <v>8</v>
      </c>
      <c r="CB96" s="121">
        <v>7.02</v>
      </c>
      <c r="CC96" s="121">
        <v>5.35</v>
      </c>
      <c r="CD96" s="121">
        <v>5.45</v>
      </c>
      <c r="CE96" s="121">
        <v>7.5</v>
      </c>
      <c r="CF96" s="121">
        <v>6.51</v>
      </c>
      <c r="CG96" s="121">
        <v>5.82</v>
      </c>
      <c r="CH96" s="121">
        <v>5.54</v>
      </c>
      <c r="CI96" s="121">
        <v>5.91</v>
      </c>
    </row>
    <row r="97" spans="1:87" x14ac:dyDescent="0.2">
      <c r="A97" s="77"/>
      <c r="B97" s="77"/>
      <c r="C97" s="312"/>
      <c r="D97" s="312"/>
      <c r="E97" s="312"/>
      <c r="F97" s="312"/>
      <c r="G97" s="311"/>
      <c r="H97" s="312"/>
      <c r="I97" s="312"/>
      <c r="J97" s="312"/>
      <c r="K97" s="311"/>
      <c r="L97" s="312"/>
      <c r="M97" s="20"/>
      <c r="N97" s="96"/>
      <c r="O97" s="71"/>
      <c r="P97" s="20"/>
      <c r="Q97" s="20"/>
      <c r="R97" s="20"/>
      <c r="S97" s="96"/>
      <c r="T97" s="96"/>
      <c r="U97" s="8">
        <v>2010</v>
      </c>
      <c r="V97" s="133">
        <v>19625036</v>
      </c>
      <c r="W97" s="133"/>
      <c r="X97" s="55">
        <v>9628184</v>
      </c>
      <c r="Y97" s="133"/>
      <c r="Z97" s="55">
        <v>469516</v>
      </c>
      <c r="AA97" s="55"/>
      <c r="AB97" s="55">
        <v>2123918</v>
      </c>
      <c r="AC97" s="55"/>
      <c r="AD97" s="133">
        <v>10553263</v>
      </c>
      <c r="AE97" s="55"/>
      <c r="AF97" s="133">
        <v>80309223</v>
      </c>
      <c r="AG97" s="55"/>
      <c r="AH97" s="55">
        <v>17998204</v>
      </c>
      <c r="AI97" s="55"/>
      <c r="AJ97" s="55">
        <v>959607</v>
      </c>
      <c r="AK97" s="133">
        <v>2204388</v>
      </c>
      <c r="AL97" s="55"/>
      <c r="AM97" s="133">
        <v>5728916</v>
      </c>
      <c r="AN97" s="55"/>
      <c r="AO97" s="133">
        <v>48008669</v>
      </c>
      <c r="AP97" s="55"/>
      <c r="AQ97" s="133">
        <v>13351589</v>
      </c>
      <c r="AR97" s="55"/>
      <c r="AS97" s="133">
        <v>17190776</v>
      </c>
      <c r="AT97" s="55"/>
      <c r="AU97" s="133">
        <v>21982622</v>
      </c>
      <c r="AV97" s="133"/>
      <c r="AW97" s="133">
        <v>6414773</v>
      </c>
      <c r="AX97" s="55"/>
      <c r="AY97" s="133">
        <v>20524560</v>
      </c>
      <c r="AZ97" s="133"/>
      <c r="BA97" s="133">
        <v>6728265</v>
      </c>
      <c r="BB97" s="133"/>
      <c r="BC97" s="55">
        <v>45640539</v>
      </c>
      <c r="BD97" s="120">
        <v>118197971</v>
      </c>
      <c r="BE97" s="223">
        <f t="shared" si="75"/>
        <v>4.1548322525468473E-2</v>
      </c>
      <c r="BF97" s="8"/>
      <c r="BG97" s="8"/>
      <c r="BH97" s="55"/>
      <c r="BO97" s="28">
        <v>2017</v>
      </c>
      <c r="BP97" s="130">
        <v>31.93</v>
      </c>
      <c r="BQ97" s="130">
        <v>26.1</v>
      </c>
      <c r="BR97" s="130">
        <v>18.04</v>
      </c>
      <c r="BS97" s="130">
        <v>15.1</v>
      </c>
      <c r="BT97" s="130">
        <v>18.579999999999998</v>
      </c>
      <c r="BU97" s="130">
        <v>14.47</v>
      </c>
      <c r="BV97" s="130">
        <v>17.09</v>
      </c>
      <c r="BW97" s="130">
        <v>16.510000000000002</v>
      </c>
      <c r="BX97" s="130">
        <v>19.739999999999998</v>
      </c>
      <c r="BZ97" s="26">
        <f t="shared" si="71"/>
        <v>2017</v>
      </c>
      <c r="CA97" s="121">
        <v>8.11</v>
      </c>
      <c r="CB97" s="121">
        <v>7.02</v>
      </c>
      <c r="CC97" s="121">
        <v>5.45</v>
      </c>
      <c r="CD97" s="121">
        <v>5.58</v>
      </c>
      <c r="CE97" s="121">
        <v>7.59</v>
      </c>
      <c r="CF97" s="121">
        <v>6.57</v>
      </c>
      <c r="CG97" s="121">
        <v>5.86</v>
      </c>
      <c r="CH97" s="121">
        <v>5.62</v>
      </c>
      <c r="CI97" s="121">
        <v>6.05</v>
      </c>
    </row>
    <row r="98" spans="1:87" x14ac:dyDescent="0.2">
      <c r="A98" s="83"/>
      <c r="B98" s="312"/>
      <c r="C98" s="314"/>
      <c r="D98" s="314"/>
      <c r="E98" s="312"/>
      <c r="F98" s="312"/>
      <c r="G98" s="311"/>
      <c r="H98" s="314"/>
      <c r="I98" s="314"/>
      <c r="J98" s="312"/>
      <c r="K98" s="311"/>
      <c r="L98" s="314"/>
      <c r="M98" s="20"/>
      <c r="N98" s="96"/>
      <c r="O98" s="71"/>
      <c r="P98" s="20"/>
      <c r="Q98" s="20"/>
      <c r="R98" s="20"/>
      <c r="S98" s="96"/>
      <c r="T98" s="96"/>
      <c r="U98" s="8">
        <v>2011</v>
      </c>
      <c r="V98" s="133">
        <v>17900930</v>
      </c>
      <c r="W98" s="133"/>
      <c r="X98" s="55">
        <v>9104430</v>
      </c>
      <c r="Y98" s="133"/>
      <c r="Z98" s="55">
        <v>517330</v>
      </c>
      <c r="AA98" s="55"/>
      <c r="AB98" s="55">
        <v>1930357</v>
      </c>
      <c r="AC98" s="55"/>
      <c r="AD98" s="133">
        <v>7747352</v>
      </c>
      <c r="AE98" s="55"/>
      <c r="AF98" s="133">
        <v>46866621</v>
      </c>
      <c r="AG98" s="55"/>
      <c r="AH98" s="55">
        <v>13730169</v>
      </c>
      <c r="AI98" s="55"/>
      <c r="AJ98" s="55">
        <v>843220</v>
      </c>
      <c r="AK98" s="133">
        <v>2170087</v>
      </c>
      <c r="AL98" s="55"/>
      <c r="AM98" s="133">
        <v>5723962</v>
      </c>
      <c r="AN98" s="55"/>
      <c r="AO98" s="133">
        <v>48349209</v>
      </c>
      <c r="AP98" s="55"/>
      <c r="AQ98" s="133">
        <v>13520044</v>
      </c>
      <c r="AR98" s="55"/>
      <c r="AS98" s="133">
        <v>17085848</v>
      </c>
      <c r="AT98" s="55"/>
      <c r="AU98" s="133">
        <v>21843433</v>
      </c>
      <c r="AV98" s="133"/>
      <c r="AW98" s="133">
        <v>6399868</v>
      </c>
      <c r="AX98" s="55"/>
      <c r="AY98" s="133">
        <v>20530468</v>
      </c>
      <c r="AZ98" s="133"/>
      <c r="BA98" s="133">
        <v>6434287</v>
      </c>
      <c r="BB98" s="133"/>
      <c r="BC98" s="55">
        <v>45030429</v>
      </c>
      <c r="BD98" s="120">
        <v>117047794</v>
      </c>
      <c r="BE98" s="223">
        <f t="shared" si="75"/>
        <v>-9.7309369210745178E-3</v>
      </c>
      <c r="BF98" s="223">
        <f t="shared" ref="BF98:BF103" si="76">BC98/BC97-1</f>
        <v>-1.3367721183135006E-2</v>
      </c>
      <c r="BG98" s="8"/>
      <c r="BH98" s="55"/>
      <c r="BO98" s="28">
        <v>2018</v>
      </c>
      <c r="BP98" s="130">
        <v>31.4</v>
      </c>
      <c r="BQ98" s="130">
        <v>25.8</v>
      </c>
      <c r="BR98" s="130">
        <v>17.84</v>
      </c>
      <c r="BS98" s="130">
        <v>14.97</v>
      </c>
      <c r="BT98" s="130">
        <v>18.7</v>
      </c>
      <c r="BU98" s="130">
        <v>14.46</v>
      </c>
      <c r="BV98" s="130">
        <v>17.22</v>
      </c>
      <c r="BW98" s="130">
        <v>16.52</v>
      </c>
      <c r="BX98" s="130">
        <v>19.41</v>
      </c>
      <c r="BZ98" s="26">
        <f t="shared" si="71"/>
        <v>2018</v>
      </c>
      <c r="CA98" s="121">
        <v>8.19</v>
      </c>
      <c r="CB98" s="121">
        <v>7.03</v>
      </c>
      <c r="CC98" s="121">
        <v>5.53</v>
      </c>
      <c r="CD98" s="121">
        <v>5.67</v>
      </c>
      <c r="CE98" s="121">
        <v>7.67</v>
      </c>
      <c r="CF98" s="121">
        <v>6.63</v>
      </c>
      <c r="CG98" s="121">
        <v>5.89</v>
      </c>
      <c r="CH98" s="121">
        <v>5.73</v>
      </c>
      <c r="CI98" s="121">
        <v>6.18</v>
      </c>
    </row>
    <row r="99" spans="1:87" x14ac:dyDescent="0.2">
      <c r="A99" s="83"/>
      <c r="B99" s="314"/>
      <c r="C99" s="314"/>
      <c r="D99" s="314"/>
      <c r="E99" s="324"/>
      <c r="F99" s="324"/>
      <c r="G99" s="311"/>
      <c r="H99" s="314"/>
      <c r="I99" s="314"/>
      <c r="J99" s="324"/>
      <c r="K99" s="311"/>
      <c r="L99" s="314"/>
      <c r="M99" s="20"/>
      <c r="N99" s="96"/>
      <c r="O99" s="71"/>
      <c r="P99" s="20"/>
      <c r="Q99" s="20"/>
      <c r="R99" s="20"/>
      <c r="S99" s="96"/>
      <c r="T99" s="96"/>
      <c r="U99" s="8">
        <v>2012</v>
      </c>
      <c r="V99" s="133">
        <v>17452731</v>
      </c>
      <c r="W99" s="133"/>
      <c r="X99" s="55">
        <v>9063426</v>
      </c>
      <c r="Y99" s="133"/>
      <c r="Z99" s="55">
        <v>566773</v>
      </c>
      <c r="AA99" s="55"/>
      <c r="AB99" s="55">
        <v>1842272</v>
      </c>
      <c r="AC99" s="55"/>
      <c r="AD99" s="133">
        <v>8130107</v>
      </c>
      <c r="AE99" s="55"/>
      <c r="AF99" s="133">
        <v>49675757</v>
      </c>
      <c r="AG99" s="55"/>
      <c r="AH99" s="55">
        <v>14833581</v>
      </c>
      <c r="AI99" s="55"/>
      <c r="AJ99" s="55">
        <v>995162</v>
      </c>
      <c r="AK99" s="133">
        <v>2134856</v>
      </c>
      <c r="AL99" s="55"/>
      <c r="AM99" s="133">
        <v>5713850</v>
      </c>
      <c r="AN99" s="55"/>
      <c r="AO99" s="133">
        <v>49422410</v>
      </c>
      <c r="AP99" s="55"/>
      <c r="AQ99" s="133">
        <v>13709113</v>
      </c>
      <c r="AR99" s="55"/>
      <c r="AS99" s="133">
        <v>17219678</v>
      </c>
      <c r="AT99" s="55"/>
      <c r="AU99" s="133">
        <v>21716527</v>
      </c>
      <c r="AV99" s="133"/>
      <c r="AW99" s="133">
        <v>6389494</v>
      </c>
      <c r="AX99" s="55"/>
      <c r="AY99" s="133">
        <v>20597130</v>
      </c>
      <c r="AZ99" s="133"/>
      <c r="BA99" s="133">
        <v>6422445</v>
      </c>
      <c r="BB99" s="133"/>
      <c r="BC99" s="55">
        <v>44840707</v>
      </c>
      <c r="BD99" s="120">
        <v>120364231</v>
      </c>
      <c r="BE99" s="223">
        <f t="shared" si="75"/>
        <v>2.8334041049932202E-2</v>
      </c>
      <c r="BF99" s="223">
        <f t="shared" si="76"/>
        <v>-4.2131954816597705E-3</v>
      </c>
      <c r="BG99" s="8"/>
      <c r="BH99" s="55"/>
      <c r="BO99" s="28">
        <v>2019</v>
      </c>
      <c r="BP99" s="130">
        <v>31.05</v>
      </c>
      <c r="BQ99" s="130">
        <v>25.69</v>
      </c>
      <c r="BR99" s="130">
        <v>17.68</v>
      </c>
      <c r="BS99" s="130">
        <v>14.85</v>
      </c>
      <c r="BT99" s="130">
        <v>18.760000000000002</v>
      </c>
      <c r="BU99" s="130">
        <v>14.46</v>
      </c>
      <c r="BV99" s="130">
        <v>17.07</v>
      </c>
      <c r="BW99" s="130">
        <v>16.57</v>
      </c>
      <c r="BX99" s="130">
        <v>19.190000000000001</v>
      </c>
      <c r="BZ99" s="26">
        <f t="shared" si="71"/>
        <v>2019</v>
      </c>
      <c r="CA99" s="121">
        <v>8.27</v>
      </c>
      <c r="CB99" s="121">
        <v>7.06</v>
      </c>
      <c r="CC99" s="121">
        <v>5.6</v>
      </c>
      <c r="CD99" s="121">
        <v>5.75</v>
      </c>
      <c r="CE99" s="121">
        <v>7.73</v>
      </c>
      <c r="CF99" s="121">
        <v>6.69</v>
      </c>
      <c r="CG99" s="121">
        <v>5.93</v>
      </c>
      <c r="CH99" s="121">
        <v>5.84</v>
      </c>
      <c r="CI99" s="121">
        <v>6.3</v>
      </c>
    </row>
    <row r="100" spans="1:87" x14ac:dyDescent="0.2">
      <c r="A100" s="83"/>
      <c r="B100" s="314"/>
      <c r="C100" s="314"/>
      <c r="D100" s="314"/>
      <c r="E100" s="324"/>
      <c r="F100" s="324"/>
      <c r="G100" s="311"/>
      <c r="H100" s="314"/>
      <c r="I100" s="314"/>
      <c r="J100" s="324"/>
      <c r="K100" s="311"/>
      <c r="L100" s="314"/>
      <c r="M100" s="20"/>
      <c r="N100" s="96"/>
      <c r="O100" s="71"/>
      <c r="P100" s="20"/>
      <c r="Q100" s="20"/>
      <c r="R100" s="20"/>
      <c r="S100" s="96"/>
      <c r="T100" s="96"/>
      <c r="U100" s="8">
        <v>2013</v>
      </c>
      <c r="V100" s="133">
        <v>17302792</v>
      </c>
      <c r="W100" s="133"/>
      <c r="X100" s="55">
        <v>9191669</v>
      </c>
      <c r="Y100" s="133"/>
      <c r="Z100" s="55">
        <v>629432</v>
      </c>
      <c r="AA100" s="55"/>
      <c r="AB100" s="55">
        <v>1796103</v>
      </c>
      <c r="AC100" s="55"/>
      <c r="AD100" s="133">
        <v>8046340</v>
      </c>
      <c r="AE100" s="55"/>
      <c r="AF100" s="133">
        <v>49731948</v>
      </c>
      <c r="AG100" s="55"/>
      <c r="AH100" s="55">
        <v>15146644</v>
      </c>
      <c r="AI100" s="55"/>
      <c r="AJ100" s="55">
        <v>1104246</v>
      </c>
      <c r="AK100" s="133">
        <v>2090965</v>
      </c>
      <c r="AL100" s="55"/>
      <c r="AM100" s="133">
        <v>5662955</v>
      </c>
      <c r="AN100" s="55"/>
      <c r="AO100" s="133">
        <v>49942114</v>
      </c>
      <c r="AP100" s="55"/>
      <c r="AQ100" s="133">
        <v>13819797</v>
      </c>
      <c r="AR100" s="55"/>
      <c r="AS100" s="133">
        <v>17161197</v>
      </c>
      <c r="AT100" s="55"/>
      <c r="AU100" s="133">
        <v>21536272</v>
      </c>
      <c r="AV100" s="133"/>
      <c r="AW100" s="133">
        <v>6357458</v>
      </c>
      <c r="AX100" s="55"/>
      <c r="AY100" s="133">
        <v>20388724</v>
      </c>
      <c r="AZ100" s="133"/>
      <c r="BA100" s="133">
        <v>6531047</v>
      </c>
      <c r="BB100" s="133"/>
      <c r="BC100" s="55">
        <v>39606952</v>
      </c>
      <c r="BD100" s="120">
        <v>122514570</v>
      </c>
      <c r="BE100" s="223">
        <f t="shared" si="75"/>
        <v>1.7865265969256194E-2</v>
      </c>
      <c r="BF100" s="223">
        <f t="shared" si="76"/>
        <v>-0.11671883317986043</v>
      </c>
      <c r="BG100" s="8"/>
      <c r="BH100" s="55"/>
      <c r="BI100" s="82"/>
      <c r="BJ100" s="64"/>
      <c r="BK100" s="64"/>
      <c r="BO100" s="28">
        <v>2020</v>
      </c>
      <c r="BP100" s="130">
        <v>30.72</v>
      </c>
      <c r="BQ100" s="130">
        <v>25.52</v>
      </c>
      <c r="BR100" s="130">
        <v>17.510000000000002</v>
      </c>
      <c r="BS100" s="130">
        <v>14.73</v>
      </c>
      <c r="BT100" s="130">
        <v>18.84</v>
      </c>
      <c r="BU100" s="130">
        <v>14.4</v>
      </c>
      <c r="BV100" s="130">
        <v>17.149999999999999</v>
      </c>
      <c r="BW100" s="130">
        <v>16.57</v>
      </c>
      <c r="BX100" s="130">
        <v>19</v>
      </c>
      <c r="BZ100" s="26">
        <f t="shared" si="71"/>
        <v>2020</v>
      </c>
      <c r="CA100" s="121">
        <v>8.36</v>
      </c>
      <c r="CB100" s="121">
        <v>7.1</v>
      </c>
      <c r="CC100" s="121">
        <v>5.71</v>
      </c>
      <c r="CD100" s="121">
        <v>5.87</v>
      </c>
      <c r="CE100" s="121">
        <v>7.84</v>
      </c>
      <c r="CF100" s="121">
        <v>6.83</v>
      </c>
      <c r="CG100" s="121">
        <v>6.04</v>
      </c>
      <c r="CH100" s="121">
        <v>5.94</v>
      </c>
      <c r="CI100" s="121">
        <v>6.4</v>
      </c>
    </row>
    <row r="101" spans="1:87" x14ac:dyDescent="0.2">
      <c r="A101" s="83"/>
      <c r="B101" s="314"/>
      <c r="C101" s="314"/>
      <c r="D101" s="314"/>
      <c r="E101" s="324"/>
      <c r="F101" s="324"/>
      <c r="G101" s="311"/>
      <c r="H101" s="314"/>
      <c r="I101" s="314"/>
      <c r="J101" s="324"/>
      <c r="K101" s="311"/>
      <c r="L101" s="314"/>
      <c r="M101" s="20"/>
      <c r="N101" s="96"/>
      <c r="O101" s="71"/>
      <c r="P101" s="20"/>
      <c r="Q101" s="20"/>
      <c r="R101" s="20"/>
      <c r="S101" s="96"/>
      <c r="T101" s="96"/>
      <c r="U101" s="8">
        <v>2014</v>
      </c>
      <c r="V101" s="133">
        <v>17154530</v>
      </c>
      <c r="W101" s="133"/>
      <c r="X101" s="55">
        <v>9308448</v>
      </c>
      <c r="Y101" s="133"/>
      <c r="Z101" s="55">
        <v>687253</v>
      </c>
      <c r="AA101" s="55"/>
      <c r="AB101" s="55">
        <v>1754701</v>
      </c>
      <c r="AC101" s="55"/>
      <c r="AD101" s="133">
        <v>7893727</v>
      </c>
      <c r="AE101" s="55"/>
      <c r="AF101" s="133">
        <v>49648697</v>
      </c>
      <c r="AG101" s="55"/>
      <c r="AH101" s="55">
        <v>15394619</v>
      </c>
      <c r="AI101" s="55"/>
      <c r="AJ101" s="55">
        <v>1201518</v>
      </c>
      <c r="AK101" s="133">
        <v>2050660</v>
      </c>
      <c r="AL101" s="55"/>
      <c r="AM101" s="133">
        <v>5626967</v>
      </c>
      <c r="AN101" s="55"/>
      <c r="AO101" s="133">
        <v>50462696</v>
      </c>
      <c r="AP101" s="55"/>
      <c r="AQ101" s="133">
        <v>13951817</v>
      </c>
      <c r="AR101" s="55"/>
      <c r="AS101" s="133">
        <v>17092064</v>
      </c>
      <c r="AT101" s="55"/>
      <c r="AU101" s="133">
        <v>21223912</v>
      </c>
      <c r="AV101" s="133"/>
      <c r="AW101" s="133">
        <v>6321571</v>
      </c>
      <c r="AX101" s="55"/>
      <c r="AY101" s="133">
        <v>20179081</v>
      </c>
      <c r="AZ101" s="133"/>
      <c r="BA101" s="133">
        <v>6649923</v>
      </c>
      <c r="BB101" s="133"/>
      <c r="BC101" s="55">
        <v>37641389</v>
      </c>
      <c r="BD101" s="120">
        <v>125880083</v>
      </c>
      <c r="BE101" s="223">
        <f t="shared" si="75"/>
        <v>2.7470308225380879E-2</v>
      </c>
      <c r="BF101" s="223">
        <f t="shared" si="76"/>
        <v>-4.9626717047047686E-2</v>
      </c>
      <c r="BG101" s="8"/>
      <c r="BH101" s="55"/>
      <c r="BO101" s="26">
        <v>2021</v>
      </c>
      <c r="BP101" s="130">
        <v>30.46</v>
      </c>
      <c r="BQ101" s="130">
        <v>25.39</v>
      </c>
      <c r="BR101" s="130">
        <v>17.37</v>
      </c>
      <c r="BS101" s="130">
        <v>14.67</v>
      </c>
      <c r="BT101" s="130">
        <v>18.84</v>
      </c>
      <c r="BU101" s="130">
        <v>14.32</v>
      </c>
      <c r="BV101" s="130">
        <v>17.13</v>
      </c>
      <c r="BW101" s="130">
        <v>16.649999999999999</v>
      </c>
      <c r="BX101" s="130">
        <v>18.82</v>
      </c>
      <c r="BZ101" s="26">
        <f t="shared" si="71"/>
        <v>2021</v>
      </c>
      <c r="CA101" s="121">
        <v>8.4600000000000009</v>
      </c>
      <c r="CB101" s="121">
        <v>7.17</v>
      </c>
      <c r="CC101" s="121">
        <v>5.82</v>
      </c>
      <c r="CD101" s="121">
        <v>5.98</v>
      </c>
      <c r="CE101" s="121">
        <v>7.96</v>
      </c>
      <c r="CF101" s="121">
        <v>6.96</v>
      </c>
      <c r="CG101" s="121">
        <v>6.14</v>
      </c>
      <c r="CH101" s="121">
        <v>6.07</v>
      </c>
      <c r="CI101" s="121">
        <v>6.53</v>
      </c>
    </row>
    <row r="102" spans="1:87" x14ac:dyDescent="0.2">
      <c r="A102" s="83"/>
      <c r="B102" s="314"/>
      <c r="C102" s="314"/>
      <c r="D102" s="314"/>
      <c r="E102" s="324"/>
      <c r="F102" s="324"/>
      <c r="G102" s="311"/>
      <c r="H102" s="314"/>
      <c r="I102" s="314"/>
      <c r="J102" s="324"/>
      <c r="K102" s="311"/>
      <c r="L102" s="314"/>
      <c r="M102" s="20"/>
      <c r="N102" s="96"/>
      <c r="O102" s="71"/>
      <c r="P102" s="20"/>
      <c r="Q102" s="20"/>
      <c r="R102" s="20"/>
      <c r="S102" s="96"/>
      <c r="T102" s="96"/>
      <c r="U102" s="8">
        <v>2015</v>
      </c>
      <c r="V102" s="133">
        <v>17013690</v>
      </c>
      <c r="W102" s="133"/>
      <c r="X102" s="55">
        <v>9379326</v>
      </c>
      <c r="Y102" s="133"/>
      <c r="Z102" s="55">
        <v>746733</v>
      </c>
      <c r="AA102" s="55"/>
      <c r="AB102" s="55">
        <v>1714897</v>
      </c>
      <c r="AC102" s="55"/>
      <c r="AD102" s="133">
        <v>7755589</v>
      </c>
      <c r="AE102" s="55"/>
      <c r="AF102" s="133">
        <v>49443931</v>
      </c>
      <c r="AG102" s="55"/>
      <c r="AH102" s="55">
        <v>15578506</v>
      </c>
      <c r="AI102" s="55"/>
      <c r="AJ102" s="55">
        <v>1303945</v>
      </c>
      <c r="AK102" s="133">
        <v>2008373</v>
      </c>
      <c r="AL102" s="55"/>
      <c r="AM102" s="133">
        <v>5598474</v>
      </c>
      <c r="AN102" s="55"/>
      <c r="AO102" s="133">
        <v>50587708</v>
      </c>
      <c r="AP102" s="55"/>
      <c r="AQ102" s="133">
        <v>14091564</v>
      </c>
      <c r="AR102" s="55"/>
      <c r="AS102" s="133">
        <v>16962296</v>
      </c>
      <c r="AT102" s="55"/>
      <c r="AU102" s="133">
        <v>20959072</v>
      </c>
      <c r="AV102" s="133"/>
      <c r="AW102" s="133">
        <v>6296497</v>
      </c>
      <c r="AX102" s="55"/>
      <c r="AY102" s="133">
        <v>20031728</v>
      </c>
      <c r="AZ102" s="133"/>
      <c r="BA102" s="133">
        <v>6760741</v>
      </c>
      <c r="BB102" s="133"/>
      <c r="BC102" s="55">
        <v>36643994</v>
      </c>
      <c r="BD102" s="120">
        <v>129120196</v>
      </c>
      <c r="BE102" s="223">
        <f t="shared" si="75"/>
        <v>2.5739679564717122E-2</v>
      </c>
      <c r="BF102" s="223">
        <f t="shared" si="76"/>
        <v>-2.6497295304378943E-2</v>
      </c>
      <c r="BG102" s="113"/>
      <c r="BH102" s="55"/>
      <c r="BO102" s="26">
        <v>2022</v>
      </c>
      <c r="BP102" s="130">
        <v>30.15</v>
      </c>
      <c r="BQ102" s="130">
        <v>25.24</v>
      </c>
      <c r="BR102" s="130">
        <v>17.25</v>
      </c>
      <c r="BS102" s="130">
        <v>14.63</v>
      </c>
      <c r="BT102" s="130">
        <v>18.77</v>
      </c>
      <c r="BU102" s="130">
        <v>14.17</v>
      </c>
      <c r="BV102" s="130">
        <v>17.350000000000001</v>
      </c>
      <c r="BW102" s="130">
        <v>16.79</v>
      </c>
      <c r="BX102" s="130">
        <v>18.739999999999998</v>
      </c>
      <c r="BZ102" s="26">
        <f t="shared" si="71"/>
        <v>2022</v>
      </c>
      <c r="CA102" s="121">
        <v>8.59</v>
      </c>
      <c r="CB102" s="121">
        <v>7.25</v>
      </c>
      <c r="CC102" s="121">
        <v>5.93</v>
      </c>
      <c r="CD102" s="121">
        <v>6.09</v>
      </c>
      <c r="CE102" s="121">
        <v>8.08</v>
      </c>
      <c r="CF102" s="121">
        <v>7.08</v>
      </c>
      <c r="CG102" s="121">
        <v>6.23</v>
      </c>
      <c r="CH102" s="121">
        <v>6.21</v>
      </c>
      <c r="CI102" s="121">
        <v>6.66</v>
      </c>
    </row>
    <row r="103" spans="1:87" x14ac:dyDescent="0.2">
      <c r="A103" s="83"/>
      <c r="B103" s="314"/>
      <c r="C103" s="314"/>
      <c r="D103" s="314"/>
      <c r="E103" s="324"/>
      <c r="F103" s="324"/>
      <c r="G103" s="311"/>
      <c r="H103" s="314"/>
      <c r="I103" s="314"/>
      <c r="J103" s="324"/>
      <c r="K103" s="311"/>
      <c r="L103" s="314"/>
      <c r="M103" s="20"/>
      <c r="N103" s="96"/>
      <c r="O103" s="71"/>
      <c r="P103" s="20"/>
      <c r="Q103" s="20"/>
      <c r="R103" s="20"/>
      <c r="S103" s="96"/>
      <c r="T103" s="96"/>
      <c r="U103" s="8">
        <v>2016</v>
      </c>
      <c r="V103" s="133">
        <v>16924269</v>
      </c>
      <c r="W103" s="133"/>
      <c r="X103" s="55">
        <v>9465291</v>
      </c>
      <c r="Y103" s="133"/>
      <c r="Z103" s="55">
        <v>808588</v>
      </c>
      <c r="AA103" s="55"/>
      <c r="AB103" s="55">
        <v>1680196</v>
      </c>
      <c r="AC103" s="55"/>
      <c r="AD103" s="133">
        <v>7621274</v>
      </c>
      <c r="AE103" s="55"/>
      <c r="AF103" s="133">
        <v>49244767</v>
      </c>
      <c r="AG103" s="55"/>
      <c r="AH103" s="55">
        <v>15748684</v>
      </c>
      <c r="AI103" s="55"/>
      <c r="AJ103" s="55">
        <v>1406402</v>
      </c>
      <c r="AK103" s="133">
        <v>1967156</v>
      </c>
      <c r="AL103" s="55"/>
      <c r="AM103" s="133">
        <v>5595630</v>
      </c>
      <c r="AN103" s="55"/>
      <c r="AO103" s="133">
        <v>50894378</v>
      </c>
      <c r="AP103" s="55"/>
      <c r="AQ103" s="133">
        <v>14268237</v>
      </c>
      <c r="AR103" s="55"/>
      <c r="AS103" s="133">
        <v>16854830</v>
      </c>
      <c r="AT103" s="55"/>
      <c r="AU103" s="133">
        <v>20793139</v>
      </c>
      <c r="AV103" s="133"/>
      <c r="AW103" s="133">
        <v>6297459</v>
      </c>
      <c r="AX103" s="55"/>
      <c r="AY103" s="133">
        <v>19980702</v>
      </c>
      <c r="AZ103" s="133"/>
      <c r="BA103" s="133">
        <v>6892399</v>
      </c>
      <c r="BB103" s="133"/>
      <c r="BC103" s="55">
        <v>36116167</v>
      </c>
      <c r="BD103" s="120">
        <v>133268170</v>
      </c>
      <c r="BE103" s="223">
        <f t="shared" si="75"/>
        <v>3.2124904767028006E-2</v>
      </c>
      <c r="BF103" s="223">
        <f t="shared" si="76"/>
        <v>-1.4404188582718302E-2</v>
      </c>
      <c r="BG103" s="113"/>
      <c r="BH103" s="55"/>
      <c r="BI103" s="31"/>
      <c r="BJ103" s="31"/>
      <c r="BK103" s="31"/>
      <c r="BO103" s="26">
        <v>2023</v>
      </c>
      <c r="BP103" s="130">
        <v>29.94</v>
      </c>
      <c r="BQ103" s="130">
        <v>25.04</v>
      </c>
      <c r="BR103" s="130">
        <v>17.14</v>
      </c>
      <c r="BS103" s="130">
        <v>14.63</v>
      </c>
      <c r="BT103" s="130">
        <v>18.75</v>
      </c>
      <c r="BU103" s="130">
        <v>14</v>
      </c>
      <c r="BV103" s="130">
        <v>17.54</v>
      </c>
      <c r="BW103" s="130">
        <v>16.91</v>
      </c>
      <c r="BX103" s="130">
        <v>18.739999999999998</v>
      </c>
      <c r="BZ103" s="26">
        <f t="shared" si="71"/>
        <v>2023</v>
      </c>
      <c r="CA103" s="121">
        <v>8.73</v>
      </c>
      <c r="CB103" s="121">
        <v>7.36</v>
      </c>
      <c r="CC103" s="121">
        <v>6.05</v>
      </c>
      <c r="CD103" s="121">
        <v>6.21</v>
      </c>
      <c r="CE103" s="121">
        <v>8.2200000000000006</v>
      </c>
      <c r="CF103" s="121">
        <v>7.23</v>
      </c>
      <c r="CG103" s="121">
        <v>6.35</v>
      </c>
      <c r="CH103" s="121">
        <v>6.32</v>
      </c>
      <c r="CI103" s="121">
        <v>6.77</v>
      </c>
    </row>
    <row r="104" spans="1:87" x14ac:dyDescent="0.2">
      <c r="A104" s="83"/>
      <c r="B104" s="314"/>
      <c r="C104" s="314"/>
      <c r="D104" s="314"/>
      <c r="E104" s="324"/>
      <c r="F104" s="324"/>
      <c r="G104" s="311"/>
      <c r="H104" s="314"/>
      <c r="I104" s="314"/>
      <c r="J104" s="324"/>
      <c r="K104" s="311"/>
      <c r="L104" s="314"/>
      <c r="M104" s="20"/>
      <c r="N104" s="96"/>
      <c r="O104" s="71"/>
      <c r="P104" s="20"/>
      <c r="Q104" s="20"/>
      <c r="R104" s="20"/>
      <c r="S104" s="96"/>
      <c r="T104" s="96"/>
      <c r="U104" s="8">
        <v>2017</v>
      </c>
      <c r="V104" s="133">
        <v>16682458</v>
      </c>
      <c r="W104" s="133"/>
      <c r="X104" s="55">
        <v>9461490</v>
      </c>
      <c r="Y104" s="133"/>
      <c r="Z104" s="55">
        <v>853521</v>
      </c>
      <c r="AA104" s="55"/>
      <c r="AB104" s="55">
        <v>1633438</v>
      </c>
      <c r="AC104" s="55"/>
      <c r="AD104" s="133">
        <v>7466020</v>
      </c>
      <c r="AE104" s="55"/>
      <c r="AF104" s="133">
        <v>48926951</v>
      </c>
      <c r="AG104" s="55"/>
      <c r="AH104" s="55">
        <v>15857478</v>
      </c>
      <c r="AI104" s="55"/>
      <c r="AJ104" s="55">
        <v>1487958</v>
      </c>
      <c r="AK104" s="133">
        <v>1913623</v>
      </c>
      <c r="AL104" s="55"/>
      <c r="AM104" s="133">
        <v>5568115</v>
      </c>
      <c r="AN104" s="55"/>
      <c r="AO104" s="133">
        <v>50770534</v>
      </c>
      <c r="AP104" s="55"/>
      <c r="AQ104" s="133">
        <v>14355917</v>
      </c>
      <c r="AR104" s="55"/>
      <c r="AS104" s="133">
        <v>16587164</v>
      </c>
      <c r="AT104" s="55"/>
      <c r="AU104" s="133">
        <v>20547229</v>
      </c>
      <c r="AV104" s="133"/>
      <c r="AW104" s="133">
        <v>6269886</v>
      </c>
      <c r="AX104" s="55"/>
      <c r="AY104" s="133">
        <v>19822884</v>
      </c>
      <c r="AZ104" s="133"/>
      <c r="BA104" s="133">
        <v>6982457</v>
      </c>
      <c r="BB104" s="133"/>
      <c r="BC104" s="55">
        <v>35516997</v>
      </c>
      <c r="BD104" s="120">
        <v>135860986</v>
      </c>
      <c r="BE104" s="223">
        <f t="shared" si="75"/>
        <v>1.9455628452015317E-2</v>
      </c>
      <c r="BF104" s="31"/>
      <c r="BG104" s="113"/>
      <c r="BH104" s="55"/>
      <c r="BI104" s="31"/>
      <c r="BJ104" s="31"/>
      <c r="BK104" s="31"/>
      <c r="BO104" s="26">
        <v>2024</v>
      </c>
      <c r="BP104" s="130">
        <v>29.56</v>
      </c>
      <c r="BQ104" s="130">
        <v>24.91</v>
      </c>
      <c r="BR104" s="130">
        <v>17.059999999999999</v>
      </c>
      <c r="BS104" s="130">
        <v>14.56</v>
      </c>
      <c r="BT104" s="130">
        <v>18.71</v>
      </c>
      <c r="BU104" s="130">
        <v>13.86</v>
      </c>
      <c r="BV104" s="130">
        <v>17.71</v>
      </c>
      <c r="BW104" s="130">
        <v>17.04</v>
      </c>
      <c r="BX104" s="130">
        <v>18.739999999999998</v>
      </c>
      <c r="BZ104" s="26">
        <f t="shared" si="71"/>
        <v>2024</v>
      </c>
      <c r="CA104" s="121">
        <v>8.84</v>
      </c>
      <c r="CB104" s="121">
        <v>7.44</v>
      </c>
      <c r="CC104" s="121">
        <v>6.17</v>
      </c>
      <c r="CD104" s="121">
        <v>6.31</v>
      </c>
      <c r="CE104" s="121">
        <v>8.35</v>
      </c>
      <c r="CF104" s="121">
        <v>7.37</v>
      </c>
      <c r="CG104" s="121">
        <v>6.46</v>
      </c>
      <c r="CH104" s="121">
        <v>6.43</v>
      </c>
      <c r="CI104" s="121">
        <v>6.87</v>
      </c>
    </row>
    <row r="105" spans="1:87" x14ac:dyDescent="0.2">
      <c r="A105" s="83"/>
      <c r="B105" s="314"/>
      <c r="C105" s="314"/>
      <c r="D105" s="314"/>
      <c r="E105" s="324"/>
      <c r="F105" s="324"/>
      <c r="G105" s="311"/>
      <c r="H105" s="314"/>
      <c r="I105" s="314"/>
      <c r="J105" s="324"/>
      <c r="K105" s="311"/>
      <c r="L105" s="314"/>
      <c r="M105" s="20"/>
      <c r="N105" s="96"/>
      <c r="O105" s="71"/>
      <c r="P105" s="20"/>
      <c r="Q105" s="20"/>
      <c r="R105" s="20"/>
      <c r="S105" s="96"/>
      <c r="T105" s="96"/>
      <c r="U105" s="8">
        <v>2018</v>
      </c>
      <c r="V105" s="133">
        <v>16502785</v>
      </c>
      <c r="W105" s="133"/>
      <c r="X105" s="55">
        <v>9490508</v>
      </c>
      <c r="Y105" s="133"/>
      <c r="Z105" s="55">
        <v>897326</v>
      </c>
      <c r="AA105" s="55"/>
      <c r="AB105" s="55">
        <v>1592460</v>
      </c>
      <c r="AC105" s="55"/>
      <c r="AD105" s="133">
        <v>7324132</v>
      </c>
      <c r="AE105" s="55"/>
      <c r="AF105" s="133">
        <v>48724380</v>
      </c>
      <c r="AG105" s="55"/>
      <c r="AH105" s="55">
        <v>15985121</v>
      </c>
      <c r="AI105" s="55"/>
      <c r="AJ105" s="55">
        <v>1563276</v>
      </c>
      <c r="AK105" s="133">
        <v>1861920</v>
      </c>
      <c r="AL105" s="55"/>
      <c r="AM105" s="133">
        <v>5568169</v>
      </c>
      <c r="AN105" s="55"/>
      <c r="AO105" s="133">
        <v>50781173</v>
      </c>
      <c r="AP105" s="55"/>
      <c r="AQ105" s="133">
        <v>14481199</v>
      </c>
      <c r="AR105" s="55"/>
      <c r="AS105" s="133">
        <v>16381242</v>
      </c>
      <c r="AT105" s="55"/>
      <c r="AU105" s="133">
        <v>20383582</v>
      </c>
      <c r="AV105" s="133"/>
      <c r="AW105" s="133">
        <v>6264554</v>
      </c>
      <c r="AX105" s="55"/>
      <c r="AY105" s="133">
        <v>19794301</v>
      </c>
      <c r="AZ105" s="133"/>
      <c r="BA105" s="133">
        <v>7090270</v>
      </c>
      <c r="BB105" s="133"/>
      <c r="BC105" s="55">
        <v>35179396</v>
      </c>
      <c r="BD105" s="120">
        <v>138733202</v>
      </c>
      <c r="BE105" s="223">
        <f t="shared" si="75"/>
        <v>2.1140844657199898E-2</v>
      </c>
      <c r="BF105" s="31"/>
      <c r="BG105" s="113"/>
      <c r="BH105" s="55"/>
      <c r="BI105" s="31"/>
      <c r="BJ105" s="31"/>
      <c r="BK105" s="31"/>
      <c r="BO105" s="26">
        <v>2025</v>
      </c>
      <c r="BP105" s="130">
        <v>29.17</v>
      </c>
      <c r="BQ105" s="130">
        <v>24.8</v>
      </c>
      <c r="BR105" s="130">
        <v>17.03</v>
      </c>
      <c r="BS105" s="130">
        <v>14.49</v>
      </c>
      <c r="BT105" s="130">
        <v>18.760000000000002</v>
      </c>
      <c r="BU105" s="130">
        <v>13.84</v>
      </c>
      <c r="BV105" s="130">
        <v>17.89</v>
      </c>
      <c r="BW105" s="130">
        <v>17.25</v>
      </c>
      <c r="BX105" s="130">
        <v>18.760000000000002</v>
      </c>
      <c r="BZ105" s="26">
        <f t="shared" si="71"/>
        <v>2025</v>
      </c>
      <c r="CA105" s="121">
        <v>8.9700000000000006</v>
      </c>
      <c r="CB105" s="121">
        <v>7.55</v>
      </c>
      <c r="CC105" s="121">
        <v>6.28</v>
      </c>
      <c r="CD105" s="121">
        <v>6.41</v>
      </c>
      <c r="CE105" s="121">
        <v>8.48</v>
      </c>
      <c r="CF105" s="121">
        <v>7.5</v>
      </c>
      <c r="CG105" s="121">
        <v>6.56</v>
      </c>
      <c r="CH105" s="121">
        <v>6.53</v>
      </c>
      <c r="CI105" s="121">
        <v>6.97</v>
      </c>
    </row>
    <row r="106" spans="1:87" x14ac:dyDescent="0.2">
      <c r="A106" s="83"/>
      <c r="B106" s="314"/>
      <c r="C106" s="314"/>
      <c r="D106" s="314"/>
      <c r="E106" s="324"/>
      <c r="F106" s="324"/>
      <c r="G106" s="311"/>
      <c r="H106" s="314"/>
      <c r="I106" s="314"/>
      <c r="J106" s="324"/>
      <c r="K106" s="311"/>
      <c r="L106" s="314"/>
      <c r="M106" s="20"/>
      <c r="N106" s="96"/>
      <c r="O106" s="71"/>
      <c r="P106" s="20"/>
      <c r="Q106" s="20"/>
      <c r="R106" s="20"/>
      <c r="S106" s="96"/>
      <c r="T106" s="96"/>
      <c r="U106" s="8">
        <v>2019</v>
      </c>
      <c r="V106" s="133">
        <v>16336704</v>
      </c>
      <c r="W106" s="133"/>
      <c r="X106" s="55">
        <v>9525849</v>
      </c>
      <c r="Y106" s="133"/>
      <c r="Z106" s="55">
        <v>937079</v>
      </c>
      <c r="AA106" s="55"/>
      <c r="AB106" s="55">
        <v>1552168</v>
      </c>
      <c r="AC106" s="55"/>
      <c r="AD106" s="133">
        <v>7193789</v>
      </c>
      <c r="AE106" s="55"/>
      <c r="AF106" s="133">
        <v>48603546</v>
      </c>
      <c r="AG106" s="55"/>
      <c r="AH106" s="55">
        <v>16126972</v>
      </c>
      <c r="AI106" s="55"/>
      <c r="AJ106" s="55">
        <v>1631589</v>
      </c>
      <c r="AK106" s="133">
        <v>1817727</v>
      </c>
      <c r="AL106" s="55"/>
      <c r="AM106" s="133">
        <v>5580558</v>
      </c>
      <c r="AN106" s="55"/>
      <c r="AO106" s="133">
        <v>50822077</v>
      </c>
      <c r="AP106" s="55"/>
      <c r="AQ106" s="133">
        <v>14605983</v>
      </c>
      <c r="AR106" s="55"/>
      <c r="AS106" s="133">
        <v>16217698</v>
      </c>
      <c r="AT106" s="55"/>
      <c r="AU106" s="133">
        <v>20243558</v>
      </c>
      <c r="AV106" s="133"/>
      <c r="AW106" s="133">
        <v>6262835</v>
      </c>
      <c r="AX106" s="55"/>
      <c r="AY106" s="133">
        <v>19839799</v>
      </c>
      <c r="AZ106" s="133"/>
      <c r="BA106" s="133">
        <v>7190033</v>
      </c>
      <c r="BB106" s="133"/>
      <c r="BC106" s="55">
        <v>34967927</v>
      </c>
      <c r="BD106" s="120">
        <v>141682253</v>
      </c>
      <c r="BE106" s="223">
        <f t="shared" si="75"/>
        <v>2.125699513516599E-2</v>
      </c>
      <c r="BF106" s="31"/>
      <c r="BG106" s="113"/>
      <c r="BH106" s="55"/>
      <c r="BI106" s="31"/>
      <c r="BJ106" s="31"/>
      <c r="BK106" s="31"/>
      <c r="BO106" s="26">
        <v>2026</v>
      </c>
      <c r="BP106" s="130">
        <v>28.56</v>
      </c>
      <c r="BQ106" s="130">
        <v>24.65</v>
      </c>
      <c r="BR106" s="130">
        <v>17</v>
      </c>
      <c r="BS106" s="130">
        <v>14.51</v>
      </c>
      <c r="BT106" s="130">
        <v>18.829999999999998</v>
      </c>
      <c r="BU106" s="130">
        <v>13.88</v>
      </c>
      <c r="BV106" s="130">
        <v>18.059999999999999</v>
      </c>
      <c r="BW106" s="130">
        <v>17.43</v>
      </c>
      <c r="BX106" s="130">
        <v>18.62</v>
      </c>
      <c r="BZ106" s="26">
        <f t="shared" si="71"/>
        <v>2026</v>
      </c>
      <c r="CA106" s="121">
        <v>9.07</v>
      </c>
      <c r="CB106" s="121">
        <v>7.63</v>
      </c>
      <c r="CC106" s="121">
        <v>6.37</v>
      </c>
      <c r="CD106" s="121">
        <v>6.5</v>
      </c>
      <c r="CE106" s="121">
        <v>8.59</v>
      </c>
      <c r="CF106" s="121">
        <v>7.6</v>
      </c>
      <c r="CG106" s="121">
        <v>6.64</v>
      </c>
      <c r="CH106" s="121">
        <v>6.65</v>
      </c>
      <c r="CI106" s="121">
        <v>7.06</v>
      </c>
    </row>
    <row r="107" spans="1:87" x14ac:dyDescent="0.2">
      <c r="A107" s="83"/>
      <c r="B107" s="314"/>
      <c r="C107" s="314"/>
      <c r="D107" s="314"/>
      <c r="E107" s="324"/>
      <c r="F107" s="324"/>
      <c r="G107" s="311"/>
      <c r="H107" s="314"/>
      <c r="I107" s="314"/>
      <c r="J107" s="324"/>
      <c r="K107" s="311"/>
      <c r="L107" s="314"/>
      <c r="M107" s="20"/>
      <c r="N107" s="96"/>
      <c r="O107" s="71"/>
      <c r="P107" s="20"/>
      <c r="Q107" s="20"/>
      <c r="R107" s="20"/>
      <c r="S107" s="96"/>
      <c r="T107" s="96"/>
      <c r="U107" s="8">
        <v>2020</v>
      </c>
      <c r="V107" s="133">
        <v>16242723</v>
      </c>
      <c r="W107" s="133"/>
      <c r="X107" s="55">
        <v>9604591</v>
      </c>
      <c r="Y107" s="133"/>
      <c r="Z107" s="55">
        <v>973947</v>
      </c>
      <c r="AA107" s="55"/>
      <c r="AB107" s="55">
        <v>1517856</v>
      </c>
      <c r="AC107" s="55"/>
      <c r="AD107" s="133">
        <v>7074597</v>
      </c>
      <c r="AE107" s="55"/>
      <c r="AF107" s="133">
        <v>48523989</v>
      </c>
      <c r="AG107" s="55"/>
      <c r="AH107" s="55">
        <v>16278302</v>
      </c>
      <c r="AI107" s="55"/>
      <c r="AJ107" s="55">
        <v>1684519</v>
      </c>
      <c r="AK107" s="133">
        <v>1785387</v>
      </c>
      <c r="AL107" s="55"/>
      <c r="AM107" s="133">
        <v>5617605</v>
      </c>
      <c r="AN107" s="55"/>
      <c r="AO107" s="133">
        <v>51039202</v>
      </c>
      <c r="AP107" s="55"/>
      <c r="AQ107" s="133">
        <v>14770058</v>
      </c>
      <c r="AR107" s="55"/>
      <c r="AS107" s="133">
        <v>16146191</v>
      </c>
      <c r="AT107" s="55"/>
      <c r="AU107" s="133">
        <v>20168876</v>
      </c>
      <c r="AV107" s="133"/>
      <c r="AW107" s="133">
        <v>6281269</v>
      </c>
      <c r="AX107" s="55"/>
      <c r="AY107" s="133">
        <v>20008734</v>
      </c>
      <c r="AZ107" s="133"/>
      <c r="BA107" s="133">
        <v>7300865</v>
      </c>
      <c r="BB107" s="133"/>
      <c r="BC107" s="55">
        <v>33849534</v>
      </c>
      <c r="BD107" s="120">
        <v>145577278</v>
      </c>
      <c r="BE107" s="223">
        <f t="shared" si="75"/>
        <v>2.7491269495834469E-2</v>
      </c>
      <c r="BF107" s="31"/>
      <c r="BG107" s="113"/>
      <c r="BH107" s="55"/>
      <c r="BI107" s="31"/>
      <c r="BJ107" s="31"/>
      <c r="BK107" s="31"/>
      <c r="BO107" s="26">
        <v>2027</v>
      </c>
      <c r="BP107" s="130">
        <v>28.03</v>
      </c>
      <c r="BQ107" s="130">
        <v>24.53</v>
      </c>
      <c r="BR107" s="130">
        <v>16.98</v>
      </c>
      <c r="BS107" s="130">
        <v>14.44</v>
      </c>
      <c r="BT107" s="130">
        <v>18.86</v>
      </c>
      <c r="BU107" s="130">
        <v>13.88</v>
      </c>
      <c r="BV107" s="130">
        <v>18.25</v>
      </c>
      <c r="BW107" s="130">
        <v>17.62</v>
      </c>
      <c r="BX107" s="130">
        <v>18.309999999999999</v>
      </c>
      <c r="BZ107" s="26">
        <f t="shared" si="71"/>
        <v>2027</v>
      </c>
      <c r="CA107" s="121">
        <v>9.18</v>
      </c>
      <c r="CB107" s="121">
        <v>7.72</v>
      </c>
      <c r="CC107" s="121">
        <v>6.45</v>
      </c>
      <c r="CD107" s="121">
        <v>6.58</v>
      </c>
      <c r="CE107" s="121">
        <v>8.7100000000000009</v>
      </c>
      <c r="CF107" s="121">
        <v>7.71</v>
      </c>
      <c r="CG107" s="121">
        <v>6.71</v>
      </c>
      <c r="CH107" s="121">
        <v>6.76</v>
      </c>
      <c r="CI107" s="121">
        <v>7.14</v>
      </c>
    </row>
    <row r="108" spans="1:87" x14ac:dyDescent="0.2">
      <c r="A108" s="83"/>
      <c r="B108" s="314"/>
      <c r="C108" s="314"/>
      <c r="D108" s="314"/>
      <c r="E108" s="324"/>
      <c r="F108" s="324"/>
      <c r="G108" s="311"/>
      <c r="H108" s="314"/>
      <c r="I108" s="314"/>
      <c r="J108" s="324"/>
      <c r="K108" s="311"/>
      <c r="L108" s="314"/>
      <c r="M108" s="20"/>
      <c r="N108" s="96"/>
      <c r="O108" s="71"/>
      <c r="P108" s="20"/>
      <c r="Q108" s="20"/>
      <c r="R108" s="20"/>
      <c r="S108" s="96"/>
      <c r="T108" s="96"/>
      <c r="U108" s="8">
        <v>2021</v>
      </c>
      <c r="V108" s="133">
        <v>16066083</v>
      </c>
      <c r="W108" s="133"/>
      <c r="X108" s="55">
        <v>9629338</v>
      </c>
      <c r="Y108" s="133"/>
      <c r="Z108" s="55">
        <v>1002310</v>
      </c>
      <c r="AA108" s="55"/>
      <c r="AB108" s="55">
        <v>1475626</v>
      </c>
      <c r="AC108" s="55"/>
      <c r="AD108" s="133">
        <v>6970347</v>
      </c>
      <c r="AE108" s="55"/>
      <c r="AF108" s="133">
        <v>48535920</v>
      </c>
      <c r="AG108" s="55"/>
      <c r="AH108" s="55">
        <v>16445277</v>
      </c>
      <c r="AI108" s="55"/>
      <c r="AJ108" s="55">
        <v>1733403</v>
      </c>
      <c r="AK108" s="133">
        <v>1752098</v>
      </c>
      <c r="AL108" s="55"/>
      <c r="AM108" s="133">
        <v>5632536</v>
      </c>
      <c r="AN108" s="55"/>
      <c r="AO108" s="133">
        <v>50980788</v>
      </c>
      <c r="AP108" s="55"/>
      <c r="AQ108" s="133">
        <v>14853865</v>
      </c>
      <c r="AR108" s="55"/>
      <c r="AS108" s="133">
        <v>16023093</v>
      </c>
      <c r="AT108" s="55"/>
      <c r="AU108" s="133">
        <v>19997787</v>
      </c>
      <c r="AV108" s="133"/>
      <c r="AW108" s="133">
        <v>6266518</v>
      </c>
      <c r="AX108" s="55"/>
      <c r="AY108" s="133">
        <v>20100489</v>
      </c>
      <c r="AZ108" s="133"/>
      <c r="BA108" s="133">
        <v>7359598</v>
      </c>
      <c r="BB108" s="133"/>
      <c r="BC108" s="55">
        <v>33274970</v>
      </c>
      <c r="BD108" s="120">
        <v>148774849</v>
      </c>
      <c r="BE108" s="223">
        <f t="shared" si="75"/>
        <v>2.1964767056573242E-2</v>
      </c>
      <c r="BF108" s="31"/>
      <c r="BG108" s="113"/>
      <c r="BH108" s="55"/>
      <c r="BI108" s="31"/>
      <c r="BJ108" s="31"/>
      <c r="BK108" s="31"/>
      <c r="BO108" s="26">
        <v>2028</v>
      </c>
      <c r="BP108" s="130">
        <v>27.64</v>
      </c>
      <c r="BQ108" s="130">
        <v>24.41</v>
      </c>
      <c r="BR108" s="130">
        <v>17.05</v>
      </c>
      <c r="BS108" s="130">
        <v>14.45</v>
      </c>
      <c r="BT108" s="130">
        <v>18.850000000000001</v>
      </c>
      <c r="BU108" s="130">
        <v>13.9</v>
      </c>
      <c r="BV108" s="130">
        <v>18.46</v>
      </c>
      <c r="BW108" s="130">
        <v>17.739999999999998</v>
      </c>
      <c r="BX108" s="130">
        <v>18.059999999999999</v>
      </c>
      <c r="BZ108" s="26">
        <f t="shared" si="71"/>
        <v>2028</v>
      </c>
      <c r="CA108" s="121">
        <v>9.2799999999999994</v>
      </c>
      <c r="CB108" s="121">
        <v>7.8</v>
      </c>
      <c r="CC108" s="121">
        <v>6.52</v>
      </c>
      <c r="CD108" s="121">
        <v>6.65</v>
      </c>
      <c r="CE108" s="121">
        <v>8.7899999999999991</v>
      </c>
      <c r="CF108" s="121">
        <v>7.77</v>
      </c>
      <c r="CG108" s="121">
        <v>6.74</v>
      </c>
      <c r="CH108" s="121">
        <v>6.86</v>
      </c>
      <c r="CI108" s="121">
        <v>7.23</v>
      </c>
    </row>
    <row r="109" spans="1:87" x14ac:dyDescent="0.2">
      <c r="A109" s="83"/>
      <c r="B109" s="314"/>
      <c r="C109" s="314"/>
      <c r="D109" s="314"/>
      <c r="E109" s="324"/>
      <c r="F109" s="324"/>
      <c r="G109" s="311"/>
      <c r="H109" s="314"/>
      <c r="I109" s="314"/>
      <c r="J109" s="324"/>
      <c r="K109" s="311"/>
      <c r="L109" s="314"/>
      <c r="M109" s="20"/>
      <c r="N109" s="96"/>
      <c r="O109" s="71"/>
      <c r="P109" s="20"/>
      <c r="Q109" s="20"/>
      <c r="R109" s="20"/>
      <c r="S109" s="96"/>
      <c r="T109" s="96"/>
      <c r="U109" s="8">
        <v>2022</v>
      </c>
      <c r="V109" s="133">
        <v>15963900</v>
      </c>
      <c r="W109" s="133"/>
      <c r="X109" s="55">
        <v>9696893</v>
      </c>
      <c r="Y109" s="133"/>
      <c r="Z109" s="55">
        <v>1032538</v>
      </c>
      <c r="AA109" s="55"/>
      <c r="AB109" s="55">
        <v>1439321</v>
      </c>
      <c r="AC109" s="55"/>
      <c r="AD109" s="133">
        <v>6876824</v>
      </c>
      <c r="AE109" s="55"/>
      <c r="AF109" s="133">
        <v>48643123</v>
      </c>
      <c r="AG109" s="55"/>
      <c r="AH109" s="55">
        <v>16636526</v>
      </c>
      <c r="AI109" s="55"/>
      <c r="AJ109" s="55">
        <v>1780161</v>
      </c>
      <c r="AK109" s="133">
        <v>1734604</v>
      </c>
      <c r="AL109" s="55"/>
      <c r="AM109" s="133">
        <v>5674191</v>
      </c>
      <c r="AN109" s="55"/>
      <c r="AO109" s="133">
        <v>51093823</v>
      </c>
      <c r="AP109" s="55"/>
      <c r="AQ109" s="133">
        <v>14981786</v>
      </c>
      <c r="AR109" s="55"/>
      <c r="AS109" s="133">
        <v>15994013</v>
      </c>
      <c r="AT109" s="55"/>
      <c r="AU109" s="133">
        <v>19911544</v>
      </c>
      <c r="AV109" s="133"/>
      <c r="AW109" s="133">
        <v>6272155</v>
      </c>
      <c r="AX109" s="55"/>
      <c r="AY109" s="133">
        <v>20317550</v>
      </c>
      <c r="AZ109" s="133"/>
      <c r="BA109" s="133">
        <v>7433538</v>
      </c>
      <c r="BB109" s="133"/>
      <c r="BC109" s="55">
        <v>33001028</v>
      </c>
      <c r="BD109" s="120">
        <v>152876841</v>
      </c>
      <c r="BE109" s="223">
        <f t="shared" si="75"/>
        <v>2.7571810877791592E-2</v>
      </c>
      <c r="BF109" s="31"/>
      <c r="BG109" s="113"/>
      <c r="BH109" s="55"/>
      <c r="BI109" s="73"/>
      <c r="BJ109" s="73"/>
      <c r="BK109" s="73"/>
      <c r="BO109" s="26">
        <v>2029</v>
      </c>
      <c r="BP109" s="130">
        <v>27.35</v>
      </c>
      <c r="BQ109" s="130">
        <v>24.35</v>
      </c>
      <c r="BR109" s="130">
        <v>17.13</v>
      </c>
      <c r="BS109" s="130">
        <v>14.5</v>
      </c>
      <c r="BT109" s="130">
        <v>18.84</v>
      </c>
      <c r="BU109" s="130">
        <v>13.92</v>
      </c>
      <c r="BV109" s="130">
        <v>18.62</v>
      </c>
      <c r="BW109" s="130">
        <v>17.899999999999999</v>
      </c>
      <c r="BX109" s="130">
        <v>18.010000000000002</v>
      </c>
      <c r="BZ109" s="26">
        <f t="shared" si="71"/>
        <v>2029</v>
      </c>
      <c r="CA109" s="121">
        <v>9.41</v>
      </c>
      <c r="CB109" s="121">
        <v>7.89</v>
      </c>
      <c r="CC109" s="121">
        <v>6.58</v>
      </c>
      <c r="CD109" s="121">
        <v>6.72</v>
      </c>
      <c r="CE109" s="121">
        <v>8.8699999999999992</v>
      </c>
      <c r="CF109" s="121">
        <v>7.82</v>
      </c>
      <c r="CG109" s="121">
        <v>6.76</v>
      </c>
      <c r="CH109" s="121">
        <v>6.95</v>
      </c>
      <c r="CI109" s="121">
        <v>7.32</v>
      </c>
    </row>
    <row r="110" spans="1:87" x14ac:dyDescent="0.2">
      <c r="A110" s="83"/>
      <c r="B110" s="314"/>
      <c r="C110" s="314"/>
      <c r="D110" s="314"/>
      <c r="E110" s="324"/>
      <c r="F110" s="324"/>
      <c r="G110" s="311"/>
      <c r="H110" s="314"/>
      <c r="I110" s="314"/>
      <c r="J110" s="324"/>
      <c r="K110" s="311"/>
      <c r="L110" s="314"/>
      <c r="M110" s="20"/>
      <c r="N110" s="96"/>
      <c r="O110" s="71"/>
      <c r="P110" s="20"/>
      <c r="Q110" s="20"/>
      <c r="R110" s="20"/>
      <c r="S110" s="96"/>
      <c r="T110" s="96"/>
      <c r="U110" s="8">
        <v>2023</v>
      </c>
      <c r="V110" s="133">
        <v>15871209</v>
      </c>
      <c r="W110" s="133"/>
      <c r="X110" s="55">
        <v>9772733</v>
      </c>
      <c r="Y110" s="133"/>
      <c r="Z110" s="55">
        <v>1061184</v>
      </c>
      <c r="AA110" s="55"/>
      <c r="AB110" s="55">
        <v>1403499</v>
      </c>
      <c r="AC110" s="55"/>
      <c r="AD110" s="133">
        <v>6785522</v>
      </c>
      <c r="AE110" s="55"/>
      <c r="AF110" s="133">
        <v>48797369</v>
      </c>
      <c r="AG110" s="55"/>
      <c r="AH110" s="55">
        <v>16836778</v>
      </c>
      <c r="AI110" s="55"/>
      <c r="AJ110" s="55">
        <v>1823393</v>
      </c>
      <c r="AK110" s="133">
        <v>1729444</v>
      </c>
      <c r="AL110" s="55"/>
      <c r="AM110" s="133">
        <v>5720801</v>
      </c>
      <c r="AN110" s="55"/>
      <c r="AO110" s="133">
        <v>51207823</v>
      </c>
      <c r="AP110" s="55"/>
      <c r="AQ110" s="133">
        <v>15108760</v>
      </c>
      <c r="AR110" s="55"/>
      <c r="AS110" s="133">
        <v>16008681</v>
      </c>
      <c r="AT110" s="55"/>
      <c r="AU110" s="133">
        <v>19851294</v>
      </c>
      <c r="AV110" s="133"/>
      <c r="AW110" s="133">
        <v>6279371</v>
      </c>
      <c r="AX110" s="55"/>
      <c r="AY110" s="133">
        <v>20572519</v>
      </c>
      <c r="AZ110" s="133"/>
      <c r="BA110" s="133">
        <v>7497596</v>
      </c>
      <c r="BB110" s="133"/>
      <c r="BC110" s="55">
        <v>32864530</v>
      </c>
      <c r="BD110" s="120">
        <v>156994106</v>
      </c>
      <c r="BE110" s="223">
        <f t="shared" si="75"/>
        <v>2.693190788786648E-2</v>
      </c>
      <c r="BF110" s="31"/>
      <c r="BG110" s="113"/>
      <c r="BH110" s="55"/>
      <c r="BI110" s="31"/>
      <c r="BJ110" s="31"/>
      <c r="BK110" s="31"/>
      <c r="BO110" s="26">
        <v>2030</v>
      </c>
      <c r="BP110" s="130">
        <v>27.11</v>
      </c>
      <c r="BQ110" s="130">
        <v>24.28</v>
      </c>
      <c r="BR110" s="130">
        <v>17.14</v>
      </c>
      <c r="BS110" s="130">
        <v>14.48</v>
      </c>
      <c r="BT110" s="130">
        <v>18.79</v>
      </c>
      <c r="BU110" s="130">
        <v>13.82</v>
      </c>
      <c r="BV110" s="130">
        <v>18.54</v>
      </c>
      <c r="BW110" s="130">
        <v>18.03</v>
      </c>
      <c r="BX110" s="130">
        <v>17.91</v>
      </c>
      <c r="BZ110" s="26">
        <f t="shared" si="71"/>
        <v>2030</v>
      </c>
      <c r="CA110" s="121">
        <v>9.5399999999999991</v>
      </c>
      <c r="CB110" s="121">
        <v>8</v>
      </c>
      <c r="CC110" s="121">
        <v>6.64</v>
      </c>
      <c r="CD110" s="121">
        <v>6.79</v>
      </c>
      <c r="CE110" s="121">
        <v>8.9499999999999993</v>
      </c>
      <c r="CF110" s="121">
        <v>7.9</v>
      </c>
      <c r="CG110" s="121">
        <v>6.8</v>
      </c>
      <c r="CH110" s="121">
        <v>7.03</v>
      </c>
      <c r="CI110" s="121">
        <v>7.4</v>
      </c>
    </row>
    <row r="111" spans="1:87" x14ac:dyDescent="0.2">
      <c r="A111" s="83"/>
      <c r="B111" s="314"/>
      <c r="C111" s="314"/>
      <c r="D111" s="314"/>
      <c r="E111" s="324"/>
      <c r="F111" s="324"/>
      <c r="G111" s="311"/>
      <c r="H111" s="314"/>
      <c r="I111" s="314"/>
      <c r="J111" s="324"/>
      <c r="K111" s="311"/>
      <c r="L111" s="314"/>
      <c r="M111" s="20"/>
      <c r="N111" s="96"/>
      <c r="O111" s="71"/>
      <c r="P111" s="20"/>
      <c r="Q111" s="20"/>
      <c r="R111" s="20"/>
      <c r="S111" s="96"/>
      <c r="T111" s="96"/>
      <c r="U111" s="8">
        <v>2024</v>
      </c>
      <c r="V111" s="133">
        <v>15826762</v>
      </c>
      <c r="W111" s="133"/>
      <c r="X111" s="55">
        <v>9883257</v>
      </c>
      <c r="Y111" s="133"/>
      <c r="Z111" s="55">
        <v>1091685</v>
      </c>
      <c r="AA111" s="55"/>
      <c r="AB111" s="55">
        <v>1372160</v>
      </c>
      <c r="AC111" s="55"/>
      <c r="AD111" s="133">
        <v>6702610</v>
      </c>
      <c r="AE111" s="55"/>
      <c r="AF111" s="133">
        <v>49026417</v>
      </c>
      <c r="AG111" s="55"/>
      <c r="AH111" s="55">
        <v>17058263</v>
      </c>
      <c r="AI111" s="55"/>
      <c r="AJ111" s="55">
        <v>1865202</v>
      </c>
      <c r="AK111" s="133">
        <v>1737541</v>
      </c>
      <c r="AL111" s="55"/>
      <c r="AM111" s="133">
        <v>5789121</v>
      </c>
      <c r="AN111" s="55"/>
      <c r="AO111" s="133">
        <v>51408373</v>
      </c>
      <c r="AP111" s="55"/>
      <c r="AQ111" s="133">
        <v>15275823</v>
      </c>
      <c r="AR111" s="55"/>
      <c r="AS111" s="133">
        <v>16102578</v>
      </c>
      <c r="AT111" s="55"/>
      <c r="AU111" s="133">
        <v>19873103</v>
      </c>
      <c r="AV111" s="133"/>
      <c r="AW111" s="133">
        <v>6306207</v>
      </c>
      <c r="AX111" s="55"/>
      <c r="AY111" s="133">
        <v>20902863</v>
      </c>
      <c r="AZ111" s="133"/>
      <c r="BA111" s="133">
        <v>7578273</v>
      </c>
      <c r="BB111" s="133"/>
      <c r="BC111" s="55">
        <v>32899486</v>
      </c>
      <c r="BD111" s="120">
        <v>161686644</v>
      </c>
      <c r="BE111" s="223">
        <f t="shared" si="75"/>
        <v>2.9889899178762835E-2</v>
      </c>
      <c r="BF111" s="31"/>
      <c r="BG111" s="113"/>
      <c r="BH111" s="55"/>
      <c r="BI111" s="31"/>
      <c r="BJ111" s="31"/>
      <c r="BK111" s="31"/>
      <c r="BO111" s="26">
        <v>2031</v>
      </c>
      <c r="BP111" s="130">
        <v>26.94</v>
      </c>
      <c r="BQ111" s="130">
        <v>24.28</v>
      </c>
      <c r="BR111" s="130">
        <v>17.22</v>
      </c>
      <c r="BS111" s="130">
        <v>14.49</v>
      </c>
      <c r="BT111" s="130">
        <v>18.82</v>
      </c>
      <c r="BU111" s="130">
        <v>13.85</v>
      </c>
      <c r="BV111" s="130">
        <v>18.690000000000001</v>
      </c>
      <c r="BW111" s="130">
        <v>18.16</v>
      </c>
      <c r="BX111" s="130">
        <v>17.809999999999999</v>
      </c>
      <c r="BZ111" s="26">
        <f>BZ110+1</f>
        <v>2031</v>
      </c>
      <c r="CA111" s="121">
        <v>9.67</v>
      </c>
      <c r="CB111" s="121">
        <v>8.1</v>
      </c>
      <c r="CC111" s="121">
        <v>6.73</v>
      </c>
      <c r="CD111" s="121">
        <v>6.87</v>
      </c>
      <c r="CE111" s="121">
        <v>9.06</v>
      </c>
      <c r="CF111" s="121">
        <v>8.02</v>
      </c>
      <c r="CG111" s="121">
        <v>6.89</v>
      </c>
      <c r="CH111" s="121">
        <v>7.13</v>
      </c>
      <c r="CI111" s="121">
        <v>7.48</v>
      </c>
    </row>
    <row r="112" spans="1:87" x14ac:dyDescent="0.2">
      <c r="A112" s="83"/>
      <c r="B112" s="314"/>
      <c r="C112" s="314"/>
      <c r="D112" s="314"/>
      <c r="E112" s="324"/>
      <c r="F112" s="324"/>
      <c r="G112" s="311"/>
      <c r="H112" s="314"/>
      <c r="I112" s="314"/>
      <c r="J112" s="324"/>
      <c r="K112" s="311"/>
      <c r="L112" s="314"/>
      <c r="M112" s="20"/>
      <c r="N112" s="96"/>
      <c r="O112" s="71"/>
      <c r="P112" s="20"/>
      <c r="Q112" s="20"/>
      <c r="R112" s="20"/>
      <c r="S112" s="96"/>
      <c r="T112" s="96"/>
      <c r="U112" s="8">
        <v>2025</v>
      </c>
      <c r="V112" s="133">
        <v>15667855</v>
      </c>
      <c r="W112" s="133"/>
      <c r="X112" s="55">
        <v>9930661</v>
      </c>
      <c r="Y112" s="133"/>
      <c r="Z112" s="55">
        <v>1113841</v>
      </c>
      <c r="AA112" s="55"/>
      <c r="AB112" s="55">
        <v>1332612</v>
      </c>
      <c r="AC112" s="55"/>
      <c r="AD112" s="133">
        <v>6612175</v>
      </c>
      <c r="AE112" s="55"/>
      <c r="AF112" s="133">
        <v>49215047</v>
      </c>
      <c r="AG112" s="55"/>
      <c r="AH112" s="55">
        <v>17268310</v>
      </c>
      <c r="AI112" s="55"/>
      <c r="AJ112" s="55">
        <v>1902807</v>
      </c>
      <c r="AK112" s="133">
        <v>1746768</v>
      </c>
      <c r="AL112" s="55"/>
      <c r="AM112" s="133">
        <v>5830680</v>
      </c>
      <c r="AN112" s="55"/>
      <c r="AO112" s="133">
        <v>51211651</v>
      </c>
      <c r="AP112" s="55"/>
      <c r="AQ112" s="133">
        <v>15356218</v>
      </c>
      <c r="AR112" s="55"/>
      <c r="AS112" s="133">
        <v>16124327</v>
      </c>
      <c r="AT112" s="55"/>
      <c r="AU112" s="133">
        <v>19819310</v>
      </c>
      <c r="AV112" s="133"/>
      <c r="AW112" s="133">
        <v>6299574</v>
      </c>
      <c r="AX112" s="55"/>
      <c r="AY112" s="133">
        <v>21107262</v>
      </c>
      <c r="AZ112" s="133"/>
      <c r="BA112" s="133">
        <v>7613585</v>
      </c>
      <c r="BB112" s="133"/>
      <c r="BC112" s="55">
        <v>32765808</v>
      </c>
      <c r="BD112" s="120">
        <v>165648104</v>
      </c>
      <c r="BE112" s="223">
        <f t="shared" si="75"/>
        <v>2.4500848691002552E-2</v>
      </c>
      <c r="BF112" s="31"/>
      <c r="BG112" s="113"/>
      <c r="BH112" s="55"/>
      <c r="BI112" s="31"/>
      <c r="BJ112" s="31"/>
      <c r="BK112" s="31"/>
      <c r="BO112" s="26">
        <v>2032</v>
      </c>
      <c r="BP112" s="130">
        <v>26.96</v>
      </c>
      <c r="BQ112" s="130">
        <v>24.4</v>
      </c>
      <c r="BR112" s="130">
        <v>17.25</v>
      </c>
      <c r="BS112" s="130">
        <v>14.47</v>
      </c>
      <c r="BT112" s="130">
        <v>18.850000000000001</v>
      </c>
      <c r="BU112" s="130">
        <v>13.76</v>
      </c>
      <c r="BV112" s="130">
        <v>18.8</v>
      </c>
      <c r="BW112" s="130">
        <v>18.260000000000002</v>
      </c>
      <c r="BX112" s="130">
        <v>17.7</v>
      </c>
      <c r="BZ112" s="26">
        <f>BZ111+1</f>
        <v>2032</v>
      </c>
      <c r="CA112" s="121">
        <v>9.7799999999999994</v>
      </c>
      <c r="CB112" s="121">
        <v>8.18</v>
      </c>
      <c r="CC112" s="121">
        <v>6.82</v>
      </c>
      <c r="CD112" s="121">
        <v>6.96</v>
      </c>
      <c r="CE112" s="121">
        <v>9.17</v>
      </c>
      <c r="CF112" s="121">
        <v>8.14</v>
      </c>
      <c r="CG112" s="121">
        <v>6.98</v>
      </c>
      <c r="CH112" s="121">
        <v>7.22</v>
      </c>
      <c r="CI112" s="121">
        <v>7.58</v>
      </c>
    </row>
    <row r="113" spans="1:87" x14ac:dyDescent="0.2">
      <c r="A113" s="83"/>
      <c r="B113" s="314"/>
      <c r="C113" s="314"/>
      <c r="D113" s="314"/>
      <c r="E113" s="324"/>
      <c r="F113" s="324"/>
      <c r="G113" s="311"/>
      <c r="H113" s="314"/>
      <c r="I113" s="314"/>
      <c r="J113" s="324"/>
      <c r="K113" s="311"/>
      <c r="L113" s="314"/>
      <c r="M113" s="20"/>
      <c r="N113" s="96"/>
      <c r="O113" s="71"/>
      <c r="P113" s="20"/>
      <c r="Q113" s="20"/>
      <c r="R113" s="20"/>
      <c r="S113" s="96"/>
      <c r="T113" s="96"/>
      <c r="U113" s="23">
        <v>2026</v>
      </c>
      <c r="V113" s="133">
        <v>15517804</v>
      </c>
      <c r="W113" s="133"/>
      <c r="X113" s="55">
        <v>9985471</v>
      </c>
      <c r="Y113" s="133"/>
      <c r="Z113" s="55">
        <v>1135236</v>
      </c>
      <c r="AA113" s="55"/>
      <c r="AB113" s="55">
        <v>1295780</v>
      </c>
      <c r="AC113" s="55"/>
      <c r="AD113" s="133">
        <v>6509407</v>
      </c>
      <c r="AE113" s="55"/>
      <c r="AF113" s="133">
        <v>49311248</v>
      </c>
      <c r="AG113" s="55"/>
      <c r="AH113" s="55">
        <v>17444505</v>
      </c>
      <c r="AI113" s="55"/>
      <c r="AJ113" s="55">
        <v>1933302</v>
      </c>
      <c r="AK113" s="133">
        <v>1760799</v>
      </c>
      <c r="AL113" s="55"/>
      <c r="AM113" s="133">
        <v>5892167</v>
      </c>
      <c r="AN113" s="55"/>
      <c r="AO113" s="133">
        <v>51031057</v>
      </c>
      <c r="AP113" s="55"/>
      <c r="AQ113" s="133">
        <v>15473031</v>
      </c>
      <c r="AR113" s="55"/>
      <c r="AS113" s="133">
        <v>16200418</v>
      </c>
      <c r="AT113" s="55"/>
      <c r="AU113" s="133">
        <v>19851669</v>
      </c>
      <c r="AV113" s="133"/>
      <c r="AW113" s="133">
        <v>6312383</v>
      </c>
      <c r="AX113" s="55"/>
      <c r="AY113" s="133">
        <v>21346309</v>
      </c>
      <c r="AZ113" s="133"/>
      <c r="BA113" s="133">
        <v>7664331</v>
      </c>
      <c r="BB113" s="133"/>
      <c r="BC113" s="55">
        <v>32707288</v>
      </c>
      <c r="BD113" s="55">
        <v>169612620</v>
      </c>
      <c r="BE113" s="223">
        <f t="shared" si="75"/>
        <v>2.3933361772737305E-2</v>
      </c>
      <c r="BF113" s="31"/>
      <c r="BG113" s="113"/>
      <c r="BH113" s="55"/>
      <c r="BI113" s="31"/>
      <c r="BJ113" s="31"/>
      <c r="BK113" s="31"/>
      <c r="BO113" s="26">
        <v>2033</v>
      </c>
      <c r="BP113" s="130">
        <v>27.06</v>
      </c>
      <c r="BQ113" s="130">
        <v>24.54</v>
      </c>
      <c r="BR113" s="130">
        <v>17.32</v>
      </c>
      <c r="BS113" s="130">
        <v>14.53</v>
      </c>
      <c r="BT113" s="130">
        <v>18.91</v>
      </c>
      <c r="BU113" s="130">
        <v>13.81</v>
      </c>
      <c r="BV113" s="130">
        <v>18.95</v>
      </c>
      <c r="BW113" s="130">
        <v>18.41</v>
      </c>
      <c r="BX113" s="130">
        <v>17.600000000000001</v>
      </c>
      <c r="BZ113" s="26">
        <f>BZ112+1</f>
        <v>2033</v>
      </c>
      <c r="CA113" s="121">
        <v>9.91</v>
      </c>
      <c r="CB113" s="121">
        <v>8.2799999999999994</v>
      </c>
      <c r="CC113" s="121">
        <v>6.92</v>
      </c>
      <c r="CD113" s="121">
        <v>7.07</v>
      </c>
      <c r="CE113" s="121">
        <v>9.2799999999999994</v>
      </c>
      <c r="CF113" s="121">
        <v>8.25</v>
      </c>
      <c r="CG113" s="121">
        <v>7.05</v>
      </c>
      <c r="CH113" s="121">
        <v>7.31</v>
      </c>
      <c r="CI113" s="121">
        <v>7.69</v>
      </c>
    </row>
    <row r="114" spans="1:87" x14ac:dyDescent="0.2">
      <c r="A114" s="83"/>
      <c r="B114" s="314"/>
      <c r="C114" s="314"/>
      <c r="D114" s="314"/>
      <c r="E114" s="324"/>
      <c r="F114" s="324"/>
      <c r="G114" s="311"/>
      <c r="H114" s="314"/>
      <c r="I114" s="314"/>
      <c r="J114" s="324"/>
      <c r="K114" s="311"/>
      <c r="L114" s="314"/>
      <c r="M114" s="20"/>
      <c r="N114" s="96"/>
      <c r="O114" s="71"/>
      <c r="P114" s="20"/>
      <c r="Q114" s="20"/>
      <c r="R114" s="20"/>
      <c r="S114" s="96"/>
      <c r="T114" s="96"/>
      <c r="U114" s="23">
        <v>2027</v>
      </c>
      <c r="V114" s="133">
        <v>15367343</v>
      </c>
      <c r="W114" s="133"/>
      <c r="X114" s="55">
        <v>10033930</v>
      </c>
      <c r="Y114" s="133"/>
      <c r="Z114" s="55">
        <v>1154089</v>
      </c>
      <c r="AA114" s="55"/>
      <c r="AB114" s="55">
        <v>1259584</v>
      </c>
      <c r="AC114" s="55"/>
      <c r="AD114" s="133">
        <v>6412925</v>
      </c>
      <c r="AE114" s="55"/>
      <c r="AF114" s="133">
        <v>49436215</v>
      </c>
      <c r="AG114" s="55"/>
      <c r="AH114" s="55">
        <v>17622260</v>
      </c>
      <c r="AI114" s="55"/>
      <c r="AJ114" s="55">
        <v>1960266</v>
      </c>
      <c r="AK114" s="133">
        <v>1774320</v>
      </c>
      <c r="AL114" s="55"/>
      <c r="AM114" s="133">
        <v>5954377</v>
      </c>
      <c r="AN114" s="55"/>
      <c r="AO114" s="133">
        <v>50782956</v>
      </c>
      <c r="AP114" s="55"/>
      <c r="AQ114" s="133">
        <v>15585014</v>
      </c>
      <c r="AR114" s="55"/>
      <c r="AS114" s="133">
        <v>16291255</v>
      </c>
      <c r="AT114" s="55"/>
      <c r="AU114" s="133">
        <v>19911517</v>
      </c>
      <c r="AV114" s="133"/>
      <c r="AW114" s="133">
        <v>6325412</v>
      </c>
      <c r="AX114" s="55"/>
      <c r="AY114" s="133">
        <v>21586346</v>
      </c>
      <c r="AZ114" s="133"/>
      <c r="BA114" s="133">
        <v>7709971</v>
      </c>
      <c r="BB114" s="133"/>
      <c r="BC114" s="55">
        <v>32661393</v>
      </c>
      <c r="BD114" s="55">
        <v>173653334</v>
      </c>
      <c r="BE114" s="223">
        <f t="shared" si="75"/>
        <v>2.3823191929940091E-2</v>
      </c>
      <c r="BF114" s="31"/>
      <c r="BG114" s="113"/>
      <c r="BH114" s="55"/>
      <c r="BO114" s="26">
        <v>2034</v>
      </c>
      <c r="BP114" s="130">
        <v>27.17</v>
      </c>
      <c r="BQ114" s="130">
        <v>24.71</v>
      </c>
      <c r="BR114" s="130">
        <v>17.46</v>
      </c>
      <c r="BS114" s="130">
        <v>14.61</v>
      </c>
      <c r="BT114" s="130">
        <v>19.02</v>
      </c>
      <c r="BU114" s="130">
        <v>13.85</v>
      </c>
      <c r="BV114" s="130">
        <v>19.04</v>
      </c>
      <c r="BW114" s="130">
        <v>18.55</v>
      </c>
      <c r="BX114" s="130">
        <v>17.62</v>
      </c>
      <c r="BZ114" s="26">
        <f>BZ113+1</f>
        <v>2034</v>
      </c>
      <c r="CA114" s="121">
        <v>10.01</v>
      </c>
      <c r="CB114" s="121">
        <v>8.34</v>
      </c>
      <c r="CC114" s="121">
        <v>7.03</v>
      </c>
      <c r="CD114" s="121">
        <v>7.2</v>
      </c>
      <c r="CE114" s="121">
        <v>9.4</v>
      </c>
      <c r="CF114" s="121">
        <v>8.39</v>
      </c>
      <c r="CG114" s="121">
        <v>7.15</v>
      </c>
      <c r="CH114" s="121">
        <v>7.45</v>
      </c>
      <c r="CI114" s="121">
        <v>7.82</v>
      </c>
    </row>
    <row r="115" spans="1:87" x14ac:dyDescent="0.2">
      <c r="A115" s="83"/>
      <c r="B115" s="314"/>
      <c r="C115" s="314"/>
      <c r="D115" s="314"/>
      <c r="E115" s="324"/>
      <c r="F115" s="324"/>
      <c r="G115" s="311"/>
      <c r="H115" s="314"/>
      <c r="I115" s="314"/>
      <c r="J115" s="324"/>
      <c r="K115" s="311"/>
      <c r="L115" s="314"/>
      <c r="M115" s="20"/>
      <c r="N115" s="96"/>
      <c r="O115" s="71"/>
      <c r="P115" s="20"/>
      <c r="Q115" s="20"/>
      <c r="R115" s="20"/>
      <c r="S115" s="96"/>
      <c r="T115" s="96"/>
      <c r="U115" s="23">
        <v>2028</v>
      </c>
      <c r="V115" s="133">
        <v>15253553</v>
      </c>
      <c r="W115" s="133"/>
      <c r="X115" s="55">
        <v>10097637</v>
      </c>
      <c r="Y115" s="133"/>
      <c r="Z115" s="55">
        <v>1173268</v>
      </c>
      <c r="AA115" s="55"/>
      <c r="AB115" s="55">
        <v>1227001</v>
      </c>
      <c r="AC115" s="55"/>
      <c r="AD115" s="133">
        <v>6315906</v>
      </c>
      <c r="AE115" s="55"/>
      <c r="AF115" s="133">
        <v>49504716</v>
      </c>
      <c r="AG115" s="55"/>
      <c r="AH115" s="55">
        <v>17771198</v>
      </c>
      <c r="AI115" s="55"/>
      <c r="AJ115" s="55">
        <v>1981068</v>
      </c>
      <c r="AK115" s="133">
        <v>1791839</v>
      </c>
      <c r="AL115" s="55"/>
      <c r="AM115" s="133">
        <v>6032191</v>
      </c>
      <c r="AN115" s="55"/>
      <c r="AO115" s="133">
        <v>50596208</v>
      </c>
      <c r="AP115" s="55"/>
      <c r="AQ115" s="133">
        <v>15732554</v>
      </c>
      <c r="AR115" s="55"/>
      <c r="AS115" s="133">
        <v>16423069</v>
      </c>
      <c r="AT115" s="55"/>
      <c r="AU115" s="133">
        <v>20035436</v>
      </c>
      <c r="AV115" s="133"/>
      <c r="AW115" s="133">
        <v>6354709</v>
      </c>
      <c r="AX115" s="55"/>
      <c r="AY115" s="133">
        <v>21885330</v>
      </c>
      <c r="AZ115" s="133"/>
      <c r="BA115" s="133">
        <v>7774128</v>
      </c>
      <c r="BB115" s="133"/>
      <c r="BC115" s="55">
        <v>32709214</v>
      </c>
      <c r="BD115" s="55">
        <v>178213991</v>
      </c>
      <c r="BE115" s="223">
        <f t="shared" si="75"/>
        <v>2.6262997058265514E-2</v>
      </c>
      <c r="BF115" s="31"/>
      <c r="BG115" s="113"/>
      <c r="BH115" s="55"/>
      <c r="BO115" s="26">
        <v>2035</v>
      </c>
      <c r="BP115" s="130">
        <v>27.28</v>
      </c>
      <c r="BQ115" s="130">
        <v>24.81</v>
      </c>
      <c r="BR115" s="130">
        <v>17.48</v>
      </c>
      <c r="BS115" s="130">
        <v>14.62</v>
      </c>
      <c r="BT115" s="130">
        <v>19.07</v>
      </c>
      <c r="BU115" s="130">
        <v>13.65</v>
      </c>
      <c r="BV115" s="130">
        <v>19.239999999999998</v>
      </c>
      <c r="BW115" s="130">
        <v>18.68</v>
      </c>
      <c r="BX115" s="130">
        <v>17.68</v>
      </c>
      <c r="BZ115" s="26">
        <f>BZ114+1</f>
        <v>2035</v>
      </c>
      <c r="CA115" s="121">
        <v>10.07</v>
      </c>
      <c r="CB115" s="121">
        <v>8.35</v>
      </c>
      <c r="CC115" s="121">
        <v>7.16</v>
      </c>
      <c r="CD115" s="121">
        <v>7.34</v>
      </c>
      <c r="CE115" s="121">
        <v>9.5399999999999991</v>
      </c>
      <c r="CF115" s="121">
        <v>8.57</v>
      </c>
      <c r="CG115" s="121">
        <v>7.29</v>
      </c>
      <c r="CH115" s="121">
        <v>7.59</v>
      </c>
      <c r="CI115" s="121">
        <v>7.97</v>
      </c>
    </row>
    <row r="116" spans="1:87" x14ac:dyDescent="0.2">
      <c r="A116" s="83"/>
      <c r="B116" s="314"/>
      <c r="C116" s="314"/>
      <c r="D116" s="314"/>
      <c r="E116" s="324"/>
      <c r="F116" s="324"/>
      <c r="G116" s="311"/>
      <c r="H116" s="314"/>
      <c r="I116" s="314"/>
      <c r="J116" s="324"/>
      <c r="K116" s="311"/>
      <c r="L116" s="314"/>
      <c r="S116" s="96"/>
      <c r="T116" s="96"/>
      <c r="U116" s="23">
        <v>2029</v>
      </c>
      <c r="V116" s="133">
        <v>15049895</v>
      </c>
      <c r="W116" s="133"/>
      <c r="X116" s="55">
        <v>10099846</v>
      </c>
      <c r="Y116" s="133"/>
      <c r="Z116" s="55">
        <v>1183893</v>
      </c>
      <c r="AA116" s="55"/>
      <c r="AB116" s="55">
        <v>1187729</v>
      </c>
      <c r="AC116" s="55"/>
      <c r="AD116" s="133">
        <v>6229289</v>
      </c>
      <c r="AE116" s="55"/>
      <c r="AF116" s="133">
        <v>49607604</v>
      </c>
      <c r="AG116" s="55"/>
      <c r="AH116" s="55">
        <v>17927403</v>
      </c>
      <c r="AI116" s="55"/>
      <c r="AJ116" s="55">
        <v>2000115</v>
      </c>
      <c r="AK116" s="133">
        <v>1798780</v>
      </c>
      <c r="AL116" s="55"/>
      <c r="AM116" s="133">
        <v>6076781</v>
      </c>
      <c r="AN116" s="55"/>
      <c r="AO116" s="133">
        <v>50069639</v>
      </c>
      <c r="AP116" s="55"/>
      <c r="AQ116" s="133">
        <v>15789118</v>
      </c>
      <c r="AR116" s="55"/>
      <c r="AS116" s="133">
        <v>16466371</v>
      </c>
      <c r="AT116" s="55"/>
      <c r="AU116" s="133">
        <v>20055283</v>
      </c>
      <c r="AV116" s="133"/>
      <c r="AW116" s="133">
        <v>6348807</v>
      </c>
      <c r="AX116" s="55"/>
      <c r="AY116" s="133">
        <v>22069758</v>
      </c>
      <c r="AZ116" s="133"/>
      <c r="BA116" s="133">
        <v>7786722</v>
      </c>
      <c r="BB116" s="133"/>
      <c r="BC116" s="55">
        <v>32590224</v>
      </c>
      <c r="BD116" s="55">
        <v>181528251</v>
      </c>
      <c r="BE116" s="223">
        <f t="shared" si="75"/>
        <v>1.8597080854330983E-2</v>
      </c>
      <c r="BF116" s="31"/>
      <c r="BG116" s="113"/>
      <c r="BH116" s="55"/>
    </row>
    <row r="117" spans="1:87" x14ac:dyDescent="0.2">
      <c r="A117" s="83"/>
      <c r="B117" s="314"/>
      <c r="C117" s="314"/>
      <c r="D117" s="314"/>
      <c r="E117" s="324"/>
      <c r="F117" s="324"/>
      <c r="G117" s="311"/>
      <c r="H117" s="314"/>
      <c r="I117" s="314"/>
      <c r="J117" s="324"/>
      <c r="K117" s="311"/>
      <c r="L117" s="314"/>
      <c r="S117" s="96"/>
      <c r="T117" s="96"/>
      <c r="U117" s="23">
        <v>2030</v>
      </c>
      <c r="V117" s="133">
        <v>14913886</v>
      </c>
      <c r="W117" s="133"/>
      <c r="X117" s="55">
        <v>10148886</v>
      </c>
      <c r="Y117" s="133"/>
      <c r="Z117" s="55">
        <v>1198950</v>
      </c>
      <c r="AA117" s="55"/>
      <c r="AB117" s="55">
        <v>1153162</v>
      </c>
      <c r="AC117" s="55"/>
      <c r="AD117" s="133">
        <v>6156827</v>
      </c>
      <c r="AE117" s="55"/>
      <c r="AF117" s="133">
        <v>49780084</v>
      </c>
      <c r="AG117" s="55"/>
      <c r="AH117" s="55">
        <v>18106404</v>
      </c>
      <c r="AI117" s="55"/>
      <c r="AJ117" s="55">
        <v>2020535</v>
      </c>
      <c r="AK117" s="133">
        <v>1810522</v>
      </c>
      <c r="AL117" s="55"/>
      <c r="AM117" s="133">
        <v>6140232</v>
      </c>
      <c r="AN117" s="55"/>
      <c r="AO117" s="133">
        <v>49699340</v>
      </c>
      <c r="AP117" s="55"/>
      <c r="AQ117" s="133">
        <v>15891537</v>
      </c>
      <c r="AR117" s="55"/>
      <c r="AS117" s="133">
        <v>16580570</v>
      </c>
      <c r="AT117" s="55"/>
      <c r="AU117" s="133">
        <v>20141000</v>
      </c>
      <c r="AV117" s="133"/>
      <c r="AW117" s="133">
        <v>6361736</v>
      </c>
      <c r="AX117" s="55"/>
      <c r="AY117" s="133">
        <v>22354464</v>
      </c>
      <c r="AZ117" s="133"/>
      <c r="BA117" s="133">
        <v>7816115</v>
      </c>
      <c r="BB117" s="133"/>
      <c r="BC117" s="55">
        <v>32618771</v>
      </c>
      <c r="BD117" s="55">
        <v>185903808</v>
      </c>
      <c r="BE117" s="223">
        <f t="shared" si="75"/>
        <v>2.4104000208760912E-2</v>
      </c>
      <c r="BF117" s="31"/>
      <c r="BG117" s="113"/>
      <c r="BH117" s="55"/>
    </row>
    <row r="118" spans="1:87" x14ac:dyDescent="0.2">
      <c r="A118" s="83"/>
      <c r="B118" s="314"/>
      <c r="C118" s="314"/>
      <c r="D118" s="314"/>
      <c r="E118" s="324"/>
      <c r="F118" s="324"/>
      <c r="G118" s="311"/>
      <c r="H118" s="314"/>
      <c r="I118" s="314"/>
      <c r="J118" s="324"/>
      <c r="K118" s="311"/>
      <c r="L118" s="314"/>
      <c r="S118" s="96"/>
      <c r="T118" s="96"/>
      <c r="U118" s="23">
        <v>2031</v>
      </c>
      <c r="V118" s="132">
        <v>14764766</v>
      </c>
      <c r="W118" s="132"/>
      <c r="X118" s="132">
        <v>10188405</v>
      </c>
      <c r="Y118" s="132"/>
      <c r="Z118" s="132">
        <v>1212206</v>
      </c>
      <c r="AA118" s="132"/>
      <c r="AB118" s="132">
        <v>1118526</v>
      </c>
      <c r="AC118" s="132"/>
      <c r="AD118" s="132">
        <v>6078219</v>
      </c>
      <c r="AE118" s="132"/>
      <c r="AF118" s="132">
        <v>49877133</v>
      </c>
      <c r="AG118" s="132"/>
      <c r="AH118" s="132">
        <v>18257256</v>
      </c>
      <c r="AI118" s="132"/>
      <c r="AJ118" s="132">
        <v>2036730</v>
      </c>
      <c r="AK118" s="132">
        <v>1821925</v>
      </c>
      <c r="AL118" s="132"/>
      <c r="AM118" s="132">
        <v>6204831</v>
      </c>
      <c r="AN118" s="132"/>
      <c r="AO118" s="132">
        <v>49273830</v>
      </c>
      <c r="AP118" s="132"/>
      <c r="AQ118" s="132">
        <v>15987712</v>
      </c>
      <c r="AR118" s="132"/>
      <c r="AS118" s="132">
        <v>16687726</v>
      </c>
      <c r="AT118" s="132"/>
      <c r="AU118" s="132">
        <v>20233673</v>
      </c>
      <c r="AV118" s="132"/>
      <c r="AW118" s="132">
        <v>6375751</v>
      </c>
      <c r="AX118" s="132"/>
      <c r="AY118" s="132">
        <v>22630150</v>
      </c>
      <c r="AZ118" s="132"/>
      <c r="BA118" s="132">
        <v>7834260</v>
      </c>
      <c r="BB118" s="132"/>
      <c r="BC118" s="132">
        <v>32675180</v>
      </c>
      <c r="BD118" s="132">
        <v>189776430</v>
      </c>
      <c r="BE118" s="223">
        <f t="shared" si="75"/>
        <v>2.0831321540223602E-2</v>
      </c>
      <c r="BF118" s="31"/>
      <c r="BG118" s="113"/>
      <c r="BH118" s="55"/>
    </row>
    <row r="119" spans="1:87" x14ac:dyDescent="0.2">
      <c r="A119" s="83"/>
      <c r="B119" s="314"/>
      <c r="C119" s="314"/>
      <c r="D119" s="314"/>
      <c r="E119" s="324"/>
      <c r="F119" s="324"/>
      <c r="G119" s="311"/>
      <c r="H119" s="314"/>
      <c r="I119" s="314"/>
      <c r="J119" s="324"/>
      <c r="K119" s="311"/>
      <c r="L119" s="314"/>
      <c r="S119" s="96"/>
      <c r="T119" s="96"/>
      <c r="U119" s="23">
        <v>2032</v>
      </c>
      <c r="V119" s="132">
        <v>14653256</v>
      </c>
      <c r="W119" s="132"/>
      <c r="X119" s="132">
        <v>10251112</v>
      </c>
      <c r="Y119" s="132"/>
      <c r="Z119" s="132">
        <v>1227442</v>
      </c>
      <c r="AA119" s="132"/>
      <c r="AB119" s="132">
        <v>1086799</v>
      </c>
      <c r="AC119" s="132"/>
      <c r="AD119" s="132">
        <v>6009648</v>
      </c>
      <c r="AE119" s="132"/>
      <c r="AF119" s="132">
        <v>50016579</v>
      </c>
      <c r="AG119" s="132"/>
      <c r="AH119" s="132">
        <v>18417954</v>
      </c>
      <c r="AI119" s="132"/>
      <c r="AJ119" s="132">
        <v>2052735</v>
      </c>
      <c r="AK119" s="132">
        <v>1837599</v>
      </c>
      <c r="AL119" s="132"/>
      <c r="AM119" s="132">
        <v>6283269</v>
      </c>
      <c r="AN119" s="132"/>
      <c r="AO119" s="132">
        <v>49018472</v>
      </c>
      <c r="AP119" s="132"/>
      <c r="AQ119" s="132">
        <v>16125127</v>
      </c>
      <c r="AR119" s="132"/>
      <c r="AS119" s="132">
        <v>16852755</v>
      </c>
      <c r="AT119" s="132"/>
      <c r="AU119" s="132">
        <v>20382562</v>
      </c>
      <c r="AV119" s="132"/>
      <c r="AW119" s="132">
        <v>6406805</v>
      </c>
      <c r="AX119" s="132"/>
      <c r="AY119" s="132">
        <v>22987262</v>
      </c>
      <c r="AZ119" s="132"/>
      <c r="BA119" s="132">
        <v>7865493</v>
      </c>
      <c r="BB119" s="132"/>
      <c r="BC119" s="132">
        <v>32867587</v>
      </c>
      <c r="BD119" s="132">
        <v>194260131</v>
      </c>
      <c r="BE119" s="223">
        <f t="shared" si="75"/>
        <v>2.3626226923965321E-2</v>
      </c>
      <c r="BF119" s="31"/>
      <c r="BG119" s="113"/>
      <c r="BH119" s="55"/>
    </row>
    <row r="120" spans="1:87" x14ac:dyDescent="0.2">
      <c r="A120" s="83"/>
      <c r="B120" s="314"/>
      <c r="C120" s="314"/>
      <c r="D120" s="314"/>
      <c r="E120" s="324"/>
      <c r="F120" s="324"/>
      <c r="G120" s="311"/>
      <c r="H120" s="314"/>
      <c r="I120" s="314"/>
      <c r="J120" s="324"/>
      <c r="K120" s="311"/>
      <c r="L120" s="314"/>
      <c r="S120" s="96"/>
      <c r="U120" s="23">
        <v>2033</v>
      </c>
      <c r="V120" s="132">
        <v>14445202</v>
      </c>
      <c r="W120" s="132"/>
      <c r="X120" s="132">
        <v>10248056</v>
      </c>
      <c r="Y120" s="132"/>
      <c r="Z120" s="132">
        <v>1234191</v>
      </c>
      <c r="AA120" s="132"/>
      <c r="AB120" s="132">
        <v>1049133</v>
      </c>
      <c r="AC120" s="132"/>
      <c r="AD120" s="132">
        <v>5933947</v>
      </c>
      <c r="AE120" s="132"/>
      <c r="AF120" s="132">
        <v>50071958</v>
      </c>
      <c r="AG120" s="132"/>
      <c r="AH120" s="132">
        <v>18545614</v>
      </c>
      <c r="AI120" s="132"/>
      <c r="AJ120" s="132">
        <v>2064013</v>
      </c>
      <c r="AK120" s="132">
        <v>1842786</v>
      </c>
      <c r="AL120" s="132"/>
      <c r="AM120" s="132">
        <v>6325480</v>
      </c>
      <c r="AN120" s="132"/>
      <c r="AO120" s="132">
        <v>48502439</v>
      </c>
      <c r="AP120" s="132"/>
      <c r="AQ120" s="132">
        <v>16167263</v>
      </c>
      <c r="AR120" s="132"/>
      <c r="AS120" s="132">
        <v>16910942</v>
      </c>
      <c r="AT120" s="132"/>
      <c r="AU120" s="132">
        <v>20421879</v>
      </c>
      <c r="AV120" s="132"/>
      <c r="AW120" s="132">
        <v>6402548</v>
      </c>
      <c r="AX120" s="132"/>
      <c r="AY120" s="132">
        <v>23201819</v>
      </c>
      <c r="AZ120" s="132"/>
      <c r="BA120" s="132">
        <v>7854187</v>
      </c>
      <c r="BB120" s="132"/>
      <c r="BC120" s="132">
        <v>32864946</v>
      </c>
      <c r="BD120" s="132">
        <v>197393048</v>
      </c>
      <c r="BE120" s="223">
        <f t="shared" si="75"/>
        <v>1.6127431727100072E-2</v>
      </c>
      <c r="BG120" s="113"/>
      <c r="BH120" s="55"/>
    </row>
    <row r="121" spans="1:87" x14ac:dyDescent="0.2">
      <c r="A121" s="83"/>
      <c r="B121" s="314"/>
      <c r="C121" s="314"/>
      <c r="D121" s="314"/>
      <c r="E121" s="324"/>
      <c r="F121" s="324"/>
      <c r="G121" s="311"/>
      <c r="H121" s="314"/>
      <c r="I121" s="314"/>
      <c r="J121" s="324"/>
      <c r="K121" s="311"/>
      <c r="L121" s="314"/>
      <c r="U121" s="23">
        <v>2034</v>
      </c>
      <c r="V121" s="132">
        <v>14266567</v>
      </c>
      <c r="W121" s="132"/>
      <c r="X121" s="132">
        <v>10269909</v>
      </c>
      <c r="Y121" s="132"/>
      <c r="Z121" s="132">
        <v>1243266</v>
      </c>
      <c r="AA121" s="132"/>
      <c r="AB121" s="132">
        <v>1014370</v>
      </c>
      <c r="AC121" s="132"/>
      <c r="AD121" s="132">
        <v>5862065</v>
      </c>
      <c r="AE121" s="132"/>
      <c r="AF121" s="132">
        <v>50141381</v>
      </c>
      <c r="AG121" s="132"/>
      <c r="AH121" s="132">
        <v>18679457</v>
      </c>
      <c r="AI121" s="132"/>
      <c r="AJ121" s="132">
        <v>2075048</v>
      </c>
      <c r="AK121" s="132">
        <v>1852806</v>
      </c>
      <c r="AL121" s="132"/>
      <c r="AM121" s="132">
        <v>6384189</v>
      </c>
      <c r="AN121" s="132"/>
      <c r="AO121" s="132">
        <v>48197099</v>
      </c>
      <c r="AP121" s="132"/>
      <c r="AQ121" s="132">
        <v>16250320</v>
      </c>
      <c r="AR121" s="132"/>
      <c r="AS121" s="132">
        <v>17011672</v>
      </c>
      <c r="AT121" s="132"/>
      <c r="AU121" s="132">
        <v>20522221</v>
      </c>
      <c r="AV121" s="132"/>
      <c r="AW121" s="132">
        <v>6416827</v>
      </c>
      <c r="AX121" s="132"/>
      <c r="AY121" s="132">
        <v>23472526</v>
      </c>
      <c r="AZ121" s="132"/>
      <c r="BA121" s="132">
        <v>7861925</v>
      </c>
      <c r="BB121" s="132"/>
      <c r="BC121" s="132">
        <v>32955020</v>
      </c>
      <c r="BD121" s="132">
        <v>201059951</v>
      </c>
      <c r="BE121" s="223">
        <f t="shared" si="75"/>
        <v>1.8576657269105068E-2</v>
      </c>
      <c r="BG121" s="113"/>
      <c r="BH121" s="55"/>
    </row>
    <row r="122" spans="1:87" x14ac:dyDescent="0.2">
      <c r="A122" s="83"/>
      <c r="B122" s="314"/>
      <c r="C122" s="314"/>
      <c r="D122" s="314"/>
      <c r="E122" s="324"/>
      <c r="F122" s="324"/>
      <c r="G122" s="311"/>
      <c r="H122" s="314"/>
      <c r="I122" s="314"/>
      <c r="J122" s="324"/>
      <c r="K122" s="311"/>
      <c r="L122" s="314"/>
      <c r="U122" s="23">
        <v>2035</v>
      </c>
      <c r="V122" s="132">
        <v>14121238</v>
      </c>
      <c r="W122" s="132"/>
      <c r="X122" s="132">
        <v>10318193</v>
      </c>
      <c r="Y122" s="132"/>
      <c r="Z122" s="132">
        <v>1254660</v>
      </c>
      <c r="AA122" s="132"/>
      <c r="AB122" s="132">
        <v>980566</v>
      </c>
      <c r="AC122" s="132"/>
      <c r="AD122" s="132">
        <v>5805585</v>
      </c>
      <c r="AE122" s="132"/>
      <c r="AF122" s="132">
        <v>50331899</v>
      </c>
      <c r="AG122" s="132"/>
      <c r="AH122" s="132">
        <v>18860375</v>
      </c>
      <c r="AI122" s="132"/>
      <c r="AJ122" s="132">
        <v>2090540</v>
      </c>
      <c r="AK122" s="132">
        <v>1862692</v>
      </c>
      <c r="AL122" s="132"/>
      <c r="AM122" s="132">
        <v>6442481</v>
      </c>
      <c r="AN122" s="132"/>
      <c r="AO122" s="132">
        <v>48132648</v>
      </c>
      <c r="AP122" s="132"/>
      <c r="AQ122" s="132">
        <v>16339726</v>
      </c>
      <c r="AR122" s="132"/>
      <c r="AS122" s="132">
        <v>17155888</v>
      </c>
      <c r="AT122" s="132"/>
      <c r="AU122" s="132">
        <v>20627653</v>
      </c>
      <c r="AV122" s="132"/>
      <c r="AW122" s="132">
        <v>6432340</v>
      </c>
      <c r="AX122" s="132"/>
      <c r="AY122" s="132">
        <v>23801701</v>
      </c>
      <c r="AZ122" s="132"/>
      <c r="BA122" s="132">
        <v>7863084</v>
      </c>
      <c r="BB122" s="132"/>
      <c r="BC122" s="132">
        <v>33139890</v>
      </c>
      <c r="BD122" s="132">
        <v>205169294</v>
      </c>
      <c r="BE122" s="223">
        <f t="shared" si="75"/>
        <v>2.0438396505925827E-2</v>
      </c>
      <c r="BG122" s="113"/>
      <c r="BH122" s="55"/>
    </row>
    <row r="123" spans="1:87" x14ac:dyDescent="0.2">
      <c r="A123" s="83"/>
      <c r="B123" s="314"/>
      <c r="C123" s="314"/>
      <c r="D123" s="314"/>
      <c r="E123" s="324"/>
      <c r="F123" s="324"/>
      <c r="G123" s="311"/>
      <c r="H123" s="314"/>
      <c r="I123" s="314"/>
      <c r="J123" s="324"/>
      <c r="K123" s="311"/>
      <c r="L123" s="314"/>
      <c r="U123" s="23">
        <v>2036</v>
      </c>
      <c r="V123" s="231">
        <f>(V122/V121)*V122</f>
        <v>13977389.420499269</v>
      </c>
      <c r="X123" s="231">
        <f>(X122/X121)*X122</f>
        <v>10366704.007333364</v>
      </c>
      <c r="Z123" s="231">
        <f>(Z122/Z121)*Z122</f>
        <v>1266158.4211262916</v>
      </c>
      <c r="AB123" s="231">
        <f>(AB122/AB121)*AB122</f>
        <v>947888.52229068289</v>
      </c>
      <c r="AD123" s="231">
        <f>(AD122/AD121)*AD122</f>
        <v>5749649.1752010603</v>
      </c>
      <c r="AF123" s="231">
        <f>(AF122/AF121)*AF122</f>
        <v>50523140.895265743</v>
      </c>
      <c r="AH123" s="231">
        <f>(AH122/AH121)*AH122</f>
        <v>19043045.26307296</v>
      </c>
      <c r="AJ123" s="231">
        <f t="shared" ref="AJ123:AK129" si="77">(AJ122/AJ121)*AJ122</f>
        <v>2106147.6609697705</v>
      </c>
      <c r="AK123" s="231">
        <f t="shared" si="77"/>
        <v>1872630.7486396311</v>
      </c>
      <c r="AM123" s="231">
        <f>(AM122/AM121)*AM122</f>
        <v>6501305.2457189159</v>
      </c>
      <c r="AO123" s="231">
        <f>(AO122/AO121)*AO122</f>
        <v>48068283.186336674</v>
      </c>
      <c r="AQ123" s="231">
        <f>(AQ122/AQ121)*AQ122</f>
        <v>16429623.893872615</v>
      </c>
      <c r="AS123" s="231">
        <f>(AS122/AS121)*AS122</f>
        <v>17301326.587330393</v>
      </c>
      <c r="AU123" s="231">
        <f>(AU122/AU121)*AU122</f>
        <v>20733626.652222928</v>
      </c>
      <c r="AW123" s="231">
        <f>(AW122/AW121)*AW122</f>
        <v>6447890.5034528747</v>
      </c>
      <c r="AY123" s="231">
        <f>(AY122/AY121)*AY122</f>
        <v>24135492.298246935</v>
      </c>
      <c r="BA123" s="231">
        <f>(BA122/BA121)*BA122</f>
        <v>7864243.1708590453</v>
      </c>
      <c r="BC123" s="231">
        <f t="shared" ref="BC123:BD129" si="78">(BC122/BC121)*BC122</f>
        <v>33325797.077716835</v>
      </c>
      <c r="BD123" s="231">
        <f t="shared" si="78"/>
        <v>209362625.38161287</v>
      </c>
      <c r="BE123" s="223">
        <f t="shared" si="75"/>
        <v>2.0438396505925827E-2</v>
      </c>
      <c r="BG123" s="113"/>
      <c r="BH123" s="55"/>
    </row>
    <row r="124" spans="1:87" x14ac:dyDescent="0.2">
      <c r="A124" s="83"/>
      <c r="B124" s="314"/>
      <c r="C124" s="314"/>
      <c r="D124" s="314"/>
      <c r="E124" s="324"/>
      <c r="F124" s="324"/>
      <c r="G124" s="311"/>
      <c r="H124" s="314"/>
      <c r="I124" s="314"/>
      <c r="J124" s="324"/>
      <c r="K124" s="311"/>
      <c r="L124" s="314"/>
      <c r="U124" s="23">
        <v>2037</v>
      </c>
      <c r="V124" s="231">
        <f t="shared" ref="V124:V129" si="79">(V123/V122)*V123</f>
        <v>13835006.180923011</v>
      </c>
      <c r="X124" s="231">
        <f t="shared" ref="X124:X129" si="80">(X123/X122)*X123</f>
        <v>10415443.089275578</v>
      </c>
      <c r="Z124" s="231">
        <f t="shared" ref="Z124:Z129" si="81">(Z123/Z122)*Z123</f>
        <v>1277762.22035374</v>
      </c>
      <c r="AB124" s="231">
        <f t="shared" ref="AB124:AB129" si="82">(AB123/AB122)*AB123</f>
        <v>916300.02538372169</v>
      </c>
      <c r="AD124" s="231">
        <f t="shared" ref="AD124:AD129" si="83">(AD123/AD122)*AD123</f>
        <v>5694252.2825676017</v>
      </c>
      <c r="AF124" s="231">
        <f t="shared" ref="AF124:AF129" si="84">(AF123/AF122)*AF123</f>
        <v>50715109.436321363</v>
      </c>
      <c r="AH124" s="231">
        <f t="shared" ref="AH124:AH129" si="85">(AH123/AH122)*AH123</f>
        <v>19227484.760586441</v>
      </c>
      <c r="AJ124" s="231">
        <f t="shared" si="77"/>
        <v>2121871.8464169232</v>
      </c>
      <c r="AK124" s="231">
        <f t="shared" si="77"/>
        <v>1882622.5273693262</v>
      </c>
      <c r="AM124" s="231">
        <f t="shared" ref="AM124:AM129" si="86">(AM123/AM122)*AM123</f>
        <v>6560666.5969231874</v>
      </c>
      <c r="AO124" s="231">
        <f t="shared" ref="AO124:AO129" si="87">(AO123/AO122)*AO123</f>
        <v>48004004.443758361</v>
      </c>
      <c r="AQ124" s="231">
        <f t="shared" ref="AQ124:AQ129" si="88">(AQ123/AQ122)*AQ123</f>
        <v>16520016.38791923</v>
      </c>
      <c r="AS124" s="231">
        <f t="shared" ref="AS124:AS129" si="89">(AS123/AS122)*AS123</f>
        <v>17447998.126442976</v>
      </c>
      <c r="AU124" s="231">
        <f t="shared" ref="AU124:AU129" si="90">(AU123/AU122)*AU123</f>
        <v>20840144.739383046</v>
      </c>
      <c r="AW124" s="231">
        <f t="shared" ref="AW124:AW129" si="91">(AW123/AW122)*AW123</f>
        <v>6463478.6010250961</v>
      </c>
      <c r="AY124" s="231">
        <f t="shared" ref="AY124:AY129" si="92">(AY123/AY122)*AY123</f>
        <v>24473964.632978842</v>
      </c>
      <c r="BA124" s="231">
        <f t="shared" ref="BA124:BA129" si="93">(BA123/BA122)*BA123</f>
        <v>7865402.5126023237</v>
      </c>
      <c r="BC124" s="231">
        <f t="shared" si="78"/>
        <v>33512747.050915375</v>
      </c>
      <c r="BD124" s="231">
        <f t="shared" si="78"/>
        <v>213641661.73268387</v>
      </c>
      <c r="BE124" s="223">
        <f t="shared" si="75"/>
        <v>2.0438396505925827E-2</v>
      </c>
    </row>
    <row r="125" spans="1:87" x14ac:dyDescent="0.2">
      <c r="A125" s="83"/>
      <c r="B125" s="314"/>
      <c r="C125" s="314"/>
      <c r="D125" s="314"/>
      <c r="E125" s="324"/>
      <c r="F125" s="324"/>
      <c r="G125" s="311"/>
      <c r="H125" s="314"/>
      <c r="I125" s="314"/>
      <c r="J125" s="324"/>
      <c r="K125" s="311"/>
      <c r="L125" s="314"/>
      <c r="U125" s="23">
        <v>2038</v>
      </c>
      <c r="V125" s="231">
        <f t="shared" si="79"/>
        <v>13694073.354317468</v>
      </c>
      <c r="X125" s="231">
        <f t="shared" si="80"/>
        <v>10464411.318119921</v>
      </c>
      <c r="Z125" s="231">
        <f t="shared" si="81"/>
        <v>1289472.3634274753</v>
      </c>
      <c r="AB125" s="231">
        <f t="shared" si="82"/>
        <v>885764.21886531985</v>
      </c>
      <c r="AD125" s="231">
        <f t="shared" si="83"/>
        <v>5639389.1295798039</v>
      </c>
      <c r="AF125" s="231">
        <f t="shared" si="84"/>
        <v>50907807.384141922</v>
      </c>
      <c r="AH125" s="231">
        <f t="shared" si="85"/>
        <v>19413710.628282476</v>
      </c>
      <c r="AJ125" s="231">
        <f t="shared" si="77"/>
        <v>2137713.4262958905</v>
      </c>
      <c r="AK125" s="231">
        <f t="shared" si="77"/>
        <v>1892667.6191412513</v>
      </c>
      <c r="AM125" s="231">
        <f t="shared" si="86"/>
        <v>6620569.9577522362</v>
      </c>
      <c r="AO125" s="231">
        <f t="shared" si="87"/>
        <v>47939811.657167517</v>
      </c>
      <c r="AQ125" s="231">
        <f t="shared" si="88"/>
        <v>16610906.203330763</v>
      </c>
      <c r="AS125" s="231">
        <f t="shared" si="89"/>
        <v>17595913.069653913</v>
      </c>
      <c r="AU125" s="231">
        <f t="shared" si="90"/>
        <v>20947210.058490694</v>
      </c>
      <c r="AW125" s="231">
        <f t="shared" si="91"/>
        <v>6479104.3836023267</v>
      </c>
      <c r="AY125" s="231">
        <f t="shared" si="92"/>
        <v>24817183.650312588</v>
      </c>
      <c r="BA125" s="231">
        <f t="shared" si="93"/>
        <v>7866562.0252550272</v>
      </c>
      <c r="BC125" s="231">
        <f t="shared" si="78"/>
        <v>33700745.7699968</v>
      </c>
      <c r="BD125" s="231">
        <f t="shared" si="78"/>
        <v>218008154.72536135</v>
      </c>
      <c r="BE125" s="223">
        <f t="shared" si="75"/>
        <v>2.0438396505925827E-2</v>
      </c>
    </row>
    <row r="126" spans="1:87" x14ac:dyDescent="0.2">
      <c r="A126" s="83"/>
      <c r="B126" s="314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U126" s="23">
        <v>2039</v>
      </c>
      <c r="V126" s="231">
        <f t="shared" si="79"/>
        <v>13554576.165785031</v>
      </c>
      <c r="X126" s="231">
        <f t="shared" si="80"/>
        <v>10513609.771201063</v>
      </c>
      <c r="Z126" s="231">
        <f t="shared" si="81"/>
        <v>1301289.8249432673</v>
      </c>
      <c r="AB126" s="231">
        <f t="shared" si="82"/>
        <v>856246.02170400473</v>
      </c>
      <c r="AD126" s="231">
        <f t="shared" si="83"/>
        <v>5585054.5737468917</v>
      </c>
      <c r="AF126" s="231">
        <f t="shared" si="84"/>
        <v>51101237.510193132</v>
      </c>
      <c r="AH126" s="231">
        <f t="shared" si="85"/>
        <v>19601740.167869609</v>
      </c>
      <c r="AJ126" s="231">
        <f t="shared" si="77"/>
        <v>2153673.2770560542</v>
      </c>
      <c r="AK126" s="231">
        <f t="shared" si="77"/>
        <v>1902766.3084173172</v>
      </c>
      <c r="AM126" s="231">
        <f t="shared" si="86"/>
        <v>6681020.2771236226</v>
      </c>
      <c r="AO126" s="231">
        <f t="shared" si="87"/>
        <v>47875704.711620517</v>
      </c>
      <c r="AQ126" s="231">
        <f t="shared" si="88"/>
        <v>16702296.076269574</v>
      </c>
      <c r="AS126" s="231">
        <f t="shared" si="89"/>
        <v>17745081.957888603</v>
      </c>
      <c r="AU126" s="231">
        <f t="shared" si="90"/>
        <v>21054825.420925725</v>
      </c>
      <c r="AW126" s="231">
        <f t="shared" si="91"/>
        <v>6494767.9422899494</v>
      </c>
      <c r="AY126" s="231">
        <f t="shared" si="92"/>
        <v>25165215.916975819</v>
      </c>
      <c r="BA126" s="231">
        <f t="shared" si="93"/>
        <v>7867721.7088423511</v>
      </c>
      <c r="BC126" s="231">
        <f t="shared" si="78"/>
        <v>33889799.118181661</v>
      </c>
      <c r="BD126" s="231">
        <f t="shared" si="78"/>
        <v>222463891.8331635</v>
      </c>
      <c r="BE126" s="223">
        <f t="shared" si="75"/>
        <v>2.0438396505925827E-2</v>
      </c>
    </row>
    <row r="127" spans="1:87" x14ac:dyDescent="0.2">
      <c r="A127" s="312"/>
      <c r="B127" s="312"/>
      <c r="C127" s="324"/>
      <c r="D127" s="324"/>
      <c r="E127" s="324"/>
      <c r="F127" s="324"/>
      <c r="G127" s="73"/>
      <c r="H127" s="324"/>
      <c r="I127" s="324"/>
      <c r="J127" s="324"/>
      <c r="K127" s="73"/>
      <c r="L127" s="324"/>
      <c r="U127" s="23">
        <v>2040</v>
      </c>
      <c r="V127" s="231">
        <f t="shared" si="79"/>
        <v>13416499.9909353</v>
      </c>
      <c r="X127" s="231">
        <f t="shared" si="80"/>
        <v>10563039.530918764</v>
      </c>
      <c r="Z127" s="231">
        <f t="shared" si="81"/>
        <v>1313215.5884286384</v>
      </c>
      <c r="AB127" s="231">
        <f t="shared" si="82"/>
        <v>827711.52194781892</v>
      </c>
      <c r="AD127" s="231">
        <f t="shared" si="83"/>
        <v>5531243.5221251138</v>
      </c>
      <c r="AF127" s="231">
        <f t="shared" si="84"/>
        <v>51295402.596471205</v>
      </c>
      <c r="AH127" s="231">
        <f t="shared" si="85"/>
        <v>19791590.848630331</v>
      </c>
      <c r="AJ127" s="231">
        <f t="shared" si="77"/>
        <v>2169752.2816902371</v>
      </c>
      <c r="AK127" s="231">
        <f t="shared" si="77"/>
        <v>1912918.8811772359</v>
      </c>
      <c r="AM127" s="231">
        <f t="shared" si="86"/>
        <v>6742022.5491418988</v>
      </c>
      <c r="AO127" s="231">
        <f t="shared" si="87"/>
        <v>47811683.492327444</v>
      </c>
      <c r="AQ127" s="231">
        <f t="shared" si="88"/>
        <v>16794188.757951841</v>
      </c>
      <c r="AS127" s="231">
        <f t="shared" si="89"/>
        <v>17895515.42143286</v>
      </c>
      <c r="AU127" s="231">
        <f t="shared" si="90"/>
        <v>21162993.652511336</v>
      </c>
      <c r="AW127" s="231">
        <f t="shared" si="91"/>
        <v>6510469.3684136001</v>
      </c>
      <c r="AY127" s="231">
        <f t="shared" si="92"/>
        <v>25518128.933217466</v>
      </c>
      <c r="BA127" s="231">
        <f t="shared" si="93"/>
        <v>7868881.5633894941</v>
      </c>
      <c r="BC127" s="231">
        <f t="shared" si="78"/>
        <v>34079913.011694036</v>
      </c>
      <c r="BD127" s="231">
        <f t="shared" si="78"/>
        <v>227010697.06270108</v>
      </c>
      <c r="BE127" s="223">
        <f t="shared" si="75"/>
        <v>2.0438396505925827E-2</v>
      </c>
    </row>
    <row r="128" spans="1:87" x14ac:dyDescent="0.2">
      <c r="A128" s="312"/>
      <c r="B128" s="324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U128" s="23">
        <v>2041</v>
      </c>
      <c r="V128" s="231">
        <f t="shared" si="79"/>
        <v>13279830.354351902</v>
      </c>
      <c r="X128" s="231">
        <f t="shared" si="80"/>
        <v>10612701.684761692</v>
      </c>
      <c r="Z128" s="231">
        <f t="shared" si="81"/>
        <v>1325250.6464247196</v>
      </c>
      <c r="AB128" s="231">
        <f t="shared" si="82"/>
        <v>800127.9377646076</v>
      </c>
      <c r="AD128" s="231">
        <f t="shared" si="83"/>
        <v>5477950.9308403665</v>
      </c>
      <c r="AF128" s="231">
        <f t="shared" si="84"/>
        <v>51490305.435542874</v>
      </c>
      <c r="AH128" s="231">
        <f t="shared" si="85"/>
        <v>19983280.309044119</v>
      </c>
      <c r="AJ128" s="231">
        <f t="shared" si="77"/>
        <v>2185951.3297835561</v>
      </c>
      <c r="AK128" s="231">
        <f t="shared" si="77"/>
        <v>1923125.6249266183</v>
      </c>
      <c r="AM128" s="231">
        <f t="shared" si="86"/>
        <v>6803581.8135111993</v>
      </c>
      <c r="AO128" s="231">
        <f t="shared" si="87"/>
        <v>47747747.884651884</v>
      </c>
      <c r="AQ128" s="231">
        <f t="shared" si="88"/>
        <v>16886587.014730383</v>
      </c>
      <c r="AS128" s="231">
        <f t="shared" si="89"/>
        <v>18047224.180690464</v>
      </c>
      <c r="AU128" s="231">
        <f t="shared" si="90"/>
        <v>21271717.593588259</v>
      </c>
      <c r="AW128" s="231">
        <f t="shared" si="91"/>
        <v>6526208.7535196971</v>
      </c>
      <c r="AY128" s="231">
        <f t="shared" si="92"/>
        <v>25875991.1458993</v>
      </c>
      <c r="BA128" s="231">
        <f t="shared" si="93"/>
        <v>7870041.5889216596</v>
      </c>
      <c r="BC128" s="231">
        <f t="shared" si="78"/>
        <v>34271093.399946623</v>
      </c>
      <c r="BD128" s="231">
        <f t="shared" si="78"/>
        <v>231650431.70035517</v>
      </c>
      <c r="BE128" s="223">
        <f t="shared" si="75"/>
        <v>2.0438396505925827E-2</v>
      </c>
    </row>
    <row r="129" spans="1:57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U129" s="23">
        <v>2042</v>
      </c>
      <c r="V129" s="231">
        <f t="shared" si="79"/>
        <v>13144552.928074952</v>
      </c>
      <c r="X129" s="231">
        <f t="shared" si="80"/>
        <v>10662597.325331343</v>
      </c>
      <c r="Z129" s="231">
        <f t="shared" si="81"/>
        <v>1337396.0005688556</v>
      </c>
      <c r="AB129" s="231">
        <f t="shared" si="82"/>
        <v>773463.57978064241</v>
      </c>
      <c r="AD129" s="231">
        <f t="shared" si="83"/>
        <v>5425171.8046154166</v>
      </c>
      <c r="AF129" s="231">
        <f t="shared" si="84"/>
        <v>51685948.830585554</v>
      </c>
      <c r="AH129" s="231">
        <f t="shared" si="85"/>
        <v>20176826.358426157</v>
      </c>
      <c r="AJ129" s="231">
        <f t="shared" si="77"/>
        <v>2202271.3175626374</v>
      </c>
      <c r="AK129" s="231">
        <f t="shared" si="77"/>
        <v>1933386.8287051169</v>
      </c>
      <c r="AM129" s="231">
        <f t="shared" si="86"/>
        <v>6865703.1559515931</v>
      </c>
      <c r="AO129" s="231">
        <f t="shared" si="87"/>
        <v>47683897.774110712</v>
      </c>
      <c r="AQ129" s="231">
        <f t="shared" si="88"/>
        <v>16979493.628177933</v>
      </c>
      <c r="AS129" s="231">
        <f t="shared" si="89"/>
        <v>18200219.04694714</v>
      </c>
      <c r="AU129" s="231">
        <f t="shared" si="90"/>
        <v>21381000.099089358</v>
      </c>
      <c r="AW129" s="231">
        <f t="shared" si="91"/>
        <v>6541986.189375978</v>
      </c>
      <c r="AY129" s="231">
        <f t="shared" si="92"/>
        <v>26238871.961771071</v>
      </c>
      <c r="BA129" s="231">
        <f t="shared" si="93"/>
        <v>7871201.785464054</v>
      </c>
      <c r="BC129" s="231">
        <f t="shared" si="78"/>
        <v>34463346.265726946</v>
      </c>
      <c r="BD129" s="231">
        <f t="shared" si="78"/>
        <v>236384995.07421592</v>
      </c>
      <c r="BE129" s="223">
        <f t="shared" si="75"/>
        <v>2.0438396505925827E-2</v>
      </c>
    </row>
    <row r="130" spans="1:57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1:57" x14ac:dyDescent="0.2">
      <c r="A131" s="30"/>
      <c r="B131" s="30"/>
    </row>
  </sheetData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D34" sqref="D34"/>
    </sheetView>
  </sheetViews>
  <sheetFormatPr defaultRowHeight="12.75" x14ac:dyDescent="0.2"/>
  <cols>
    <col min="1" max="1" width="14.85546875" bestFit="1" customWidth="1"/>
    <col min="2" max="2" width="12" customWidth="1"/>
  </cols>
  <sheetData>
    <row r="3" spans="1:2" x14ac:dyDescent="0.2">
      <c r="A3" t="s">
        <v>213</v>
      </c>
    </row>
    <row r="4" spans="1:2" x14ac:dyDescent="0.2">
      <c r="A4" t="s">
        <v>15</v>
      </c>
      <c r="B4" t="s">
        <v>210</v>
      </c>
    </row>
    <row r="5" spans="1:2" x14ac:dyDescent="0.2">
      <c r="A5">
        <v>2025</v>
      </c>
      <c r="B5" s="219">
        <v>8.3275989943828534</v>
      </c>
    </row>
    <row r="6" spans="1:2" x14ac:dyDescent="0.2">
      <c r="A6">
        <v>2026</v>
      </c>
      <c r="B6" s="219">
        <v>8.3494125211931092</v>
      </c>
    </row>
    <row r="7" spans="1:2" x14ac:dyDescent="0.2">
      <c r="A7">
        <v>2027</v>
      </c>
      <c r="B7" s="219">
        <v>8.3668992443359684</v>
      </c>
    </row>
    <row r="8" spans="1:2" x14ac:dyDescent="0.2">
      <c r="A8">
        <v>2028</v>
      </c>
      <c r="B8" s="219">
        <v>8.3820133515158552</v>
      </c>
    </row>
    <row r="9" spans="1:2" x14ac:dyDescent="0.2">
      <c r="A9">
        <v>2029</v>
      </c>
      <c r="B9" s="219">
        <v>8.3945062409389717</v>
      </c>
    </row>
    <row r="10" spans="1:2" x14ac:dyDescent="0.2">
      <c r="A10">
        <v>2030</v>
      </c>
      <c r="B10" s="219">
        <v>8.405648247040185</v>
      </c>
    </row>
    <row r="11" spans="1:2" x14ac:dyDescent="0.2">
      <c r="A11">
        <v>2031</v>
      </c>
      <c r="B11" s="219">
        <v>8.4157941304593287</v>
      </c>
    </row>
    <row r="12" spans="1:2" x14ac:dyDescent="0.2">
      <c r="A12">
        <v>2032</v>
      </c>
      <c r="B12" s="219">
        <v>8.4249576911533275</v>
      </c>
    </row>
    <row r="13" spans="1:2" x14ac:dyDescent="0.2">
      <c r="A13">
        <v>2033</v>
      </c>
      <c r="B13" s="219">
        <v>8.4317027270645557</v>
      </c>
    </row>
    <row r="14" spans="1:2" x14ac:dyDescent="0.2">
      <c r="A14">
        <v>2034</v>
      </c>
      <c r="B14" s="219">
        <v>8.436276245805697</v>
      </c>
    </row>
    <row r="15" spans="1:2" x14ac:dyDescent="0.2">
      <c r="A15">
        <v>2035</v>
      </c>
      <c r="B15" s="219">
        <v>8.4384683863519196</v>
      </c>
    </row>
    <row r="16" spans="1:2" x14ac:dyDescent="0.2">
      <c r="A16">
        <v>2036</v>
      </c>
      <c r="B16" s="219">
        <v>8.4406605268981423</v>
      </c>
    </row>
    <row r="17" spans="1:2" x14ac:dyDescent="0.2">
      <c r="A17">
        <v>2037</v>
      </c>
      <c r="B17" s="219">
        <v>8.4428526674443649</v>
      </c>
    </row>
    <row r="18" spans="1:2" x14ac:dyDescent="0.2">
      <c r="A18">
        <v>2038</v>
      </c>
      <c r="B18" s="219">
        <v>8.4450448079905875</v>
      </c>
    </row>
    <row r="19" spans="1:2" x14ac:dyDescent="0.2">
      <c r="A19">
        <v>2039</v>
      </c>
      <c r="B19" s="219">
        <v>8.4472369485368102</v>
      </c>
    </row>
    <row r="20" spans="1:2" x14ac:dyDescent="0.2">
      <c r="A20">
        <v>2040</v>
      </c>
      <c r="B20" s="219">
        <v>8.4494290890830328</v>
      </c>
    </row>
    <row r="21" spans="1:2" x14ac:dyDescent="0.2">
      <c r="A21">
        <v>2041</v>
      </c>
      <c r="B21" s="219">
        <v>8.4516212296292554</v>
      </c>
    </row>
    <row r="22" spans="1:2" x14ac:dyDescent="0.2">
      <c r="A22">
        <v>2042</v>
      </c>
      <c r="B22" s="219">
        <v>8.4538133701754781</v>
      </c>
    </row>
    <row r="23" spans="1:2" x14ac:dyDescent="0.2">
      <c r="A23" t="s">
        <v>212</v>
      </c>
      <c r="B23" s="219">
        <v>151.50393641999946</v>
      </c>
    </row>
  </sheetData>
  <pageMargins left="0.7" right="0.7" top="0.75" bottom="0.75" header="0.3" footer="0.3"/>
  <pageSetup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zoomScaleNormal="100" workbookViewId="0">
      <pane ySplit="1" topLeftCell="A2" activePane="bottomLeft" state="frozenSplit"/>
      <selection activeCell="P1" sqref="P1:Q15"/>
      <selection pane="bottomLeft" activeCell="F3" sqref="F3"/>
    </sheetView>
  </sheetViews>
  <sheetFormatPr defaultRowHeight="12.75" x14ac:dyDescent="0.2"/>
  <cols>
    <col min="1" max="1" width="5.85546875" customWidth="1"/>
    <col min="2" max="2" width="7" style="9" bestFit="1" customWidth="1"/>
    <col min="3" max="3" width="8.28515625" style="9" bestFit="1" customWidth="1"/>
    <col min="4" max="5" width="8.28515625" style="9" customWidth="1"/>
    <col min="6" max="6" width="7.28515625" style="9" bestFit="1" customWidth="1"/>
    <col min="7" max="7" width="8.28515625" style="9" bestFit="1" customWidth="1"/>
    <col min="8" max="8" width="8.28515625" style="9" customWidth="1"/>
    <col min="9" max="9" width="6.7109375" style="9" bestFit="1" customWidth="1"/>
    <col min="10" max="10" width="8.7109375" style="9" bestFit="1" customWidth="1"/>
    <col min="11" max="11" width="8.7109375" style="44" bestFit="1" customWidth="1"/>
    <col min="12" max="14" width="10.28515625" style="44" bestFit="1" customWidth="1"/>
    <col min="15" max="16" width="8.7109375" style="44" bestFit="1" customWidth="1"/>
    <col min="17" max="17" width="10.28515625" style="44" bestFit="1" customWidth="1"/>
    <col min="18" max="18" width="8.7109375" style="44" bestFit="1" customWidth="1"/>
    <col min="19" max="19" width="8.7109375" style="44" customWidth="1"/>
    <col min="20" max="20" width="10.28515625" style="44" bestFit="1" customWidth="1"/>
    <col min="21" max="21" width="10.28515625" style="44" customWidth="1"/>
    <col min="22" max="22" width="14.140625" style="236" bestFit="1" customWidth="1"/>
    <col min="24" max="24" width="9.28515625" bestFit="1" customWidth="1"/>
  </cols>
  <sheetData>
    <row r="1" spans="1:29" s="3" customFormat="1" x14ac:dyDescent="0.2">
      <c r="A1" s="18" t="s">
        <v>15</v>
      </c>
      <c r="B1" s="41" t="s">
        <v>0</v>
      </c>
      <c r="C1" s="41" t="s">
        <v>1</v>
      </c>
      <c r="D1" s="41" t="s">
        <v>163</v>
      </c>
      <c r="E1" s="41" t="s">
        <v>145</v>
      </c>
      <c r="F1" s="41" t="s">
        <v>2</v>
      </c>
      <c r="G1" s="41" t="s">
        <v>3</v>
      </c>
      <c r="H1" s="41" t="s">
        <v>165</v>
      </c>
      <c r="I1" s="41" t="s">
        <v>4</v>
      </c>
      <c r="J1" s="41" t="s">
        <v>5</v>
      </c>
      <c r="K1" s="37" t="s">
        <v>6</v>
      </c>
      <c r="L1" s="38" t="s">
        <v>7</v>
      </c>
      <c r="M1" s="38" t="s">
        <v>8</v>
      </c>
      <c r="N1" s="38" t="s">
        <v>9</v>
      </c>
      <c r="O1" s="37" t="s">
        <v>10</v>
      </c>
      <c r="P1" s="37"/>
      <c r="Q1" s="37"/>
      <c r="R1" s="38" t="s">
        <v>100</v>
      </c>
      <c r="S1" s="38" t="s">
        <v>173</v>
      </c>
      <c r="T1" s="38" t="s">
        <v>13</v>
      </c>
      <c r="U1" s="38" t="s">
        <v>216</v>
      </c>
      <c r="V1" s="38" t="s">
        <v>214</v>
      </c>
      <c r="W1" s="3" t="s">
        <v>217</v>
      </c>
      <c r="X1" s="226" t="s">
        <v>14</v>
      </c>
      <c r="Y1" s="3" t="s">
        <v>217</v>
      </c>
    </row>
    <row r="2" spans="1:29" x14ac:dyDescent="0.2">
      <c r="A2" s="24">
        <v>1995</v>
      </c>
      <c r="B2" s="325">
        <v>3.4119999999999999</v>
      </c>
      <c r="C2" s="119">
        <v>6.6145431549056699</v>
      </c>
      <c r="D2" s="119">
        <v>3.22</v>
      </c>
      <c r="E2" s="119">
        <v>672.80825918693779</v>
      </c>
      <c r="F2" s="119">
        <v>9.0326946012654545</v>
      </c>
      <c r="G2" s="119">
        <v>10.100210866762</v>
      </c>
      <c r="H2" s="119">
        <v>12.759999999999987</v>
      </c>
      <c r="I2" s="119">
        <v>8.2767889420950311</v>
      </c>
      <c r="J2" s="119">
        <v>0.86162231376373388</v>
      </c>
      <c r="K2" s="119">
        <v>332.28448403002676</v>
      </c>
      <c r="L2" s="119">
        <v>785.42382844601207</v>
      </c>
      <c r="M2" s="119">
        <v>706.88144560141018</v>
      </c>
      <c r="N2" s="119">
        <v>597.8861696134619</v>
      </c>
      <c r="O2" s="119">
        <v>516.35370934786215</v>
      </c>
      <c r="P2" s="119"/>
      <c r="Q2" s="119"/>
      <c r="R2" s="119">
        <v>192.30104310978115</v>
      </c>
      <c r="S2" s="119">
        <v>417.63542342875638</v>
      </c>
      <c r="T2" s="119">
        <v>1994.4411425298797</v>
      </c>
      <c r="U2" s="119"/>
      <c r="V2" s="233">
        <v>2926.6635745911367</v>
      </c>
      <c r="W2" s="129"/>
      <c r="X2" s="227">
        <v>2905.497023945918</v>
      </c>
      <c r="Y2" s="129"/>
    </row>
    <row r="3" spans="1:29" x14ac:dyDescent="0.2">
      <c r="A3" s="24">
        <v>1996</v>
      </c>
      <c r="B3" s="325">
        <v>3.4119999999999999</v>
      </c>
      <c r="C3" s="124">
        <f>C2+((C$12-C$2)/10)</f>
        <v>6.65948938012379</v>
      </c>
      <c r="D3" s="124">
        <f t="shared" ref="D3:T11" si="0">D2+((D$12-D$2)/10)</f>
        <v>3.2280000000000002</v>
      </c>
      <c r="E3" s="124">
        <f t="shared" si="0"/>
        <v>668.07399668742369</v>
      </c>
      <c r="F3" s="124">
        <f t="shared" si="0"/>
        <v>9.2484880402426786</v>
      </c>
      <c r="G3" s="124">
        <f t="shared" si="0"/>
        <v>10.242073513409206</v>
      </c>
      <c r="H3" s="124">
        <f t="shared" si="0"/>
        <v>12.863999999999988</v>
      </c>
      <c r="I3" s="124">
        <f t="shared" si="0"/>
        <v>8.3952412804142877</v>
      </c>
      <c r="J3" s="124">
        <f t="shared" si="0"/>
        <v>0.86373287526832121</v>
      </c>
      <c r="K3" s="124">
        <f t="shared" si="0"/>
        <v>332.19678296536182</v>
      </c>
      <c r="L3" s="124">
        <f t="shared" si="0"/>
        <v>773.24932431927755</v>
      </c>
      <c r="M3" s="124">
        <f t="shared" si="0"/>
        <v>695.9243918873492</v>
      </c>
      <c r="N3" s="124">
        <f t="shared" si="0"/>
        <v>591.15569892400902</v>
      </c>
      <c r="O3" s="124">
        <f t="shared" si="0"/>
        <v>508.12395663771969</v>
      </c>
      <c r="P3" s="124">
        <f t="shared" ref="P3:Q3" si="1">P2+((P$12-P$2)/10)</f>
        <v>11.052562758422166</v>
      </c>
      <c r="Q3" s="124">
        <f t="shared" si="1"/>
        <v>83.521784153488099</v>
      </c>
      <c r="R3" s="124">
        <f t="shared" si="0"/>
        <v>195.52111265043322</v>
      </c>
      <c r="S3" s="124">
        <f t="shared" si="0"/>
        <v>424.14445165734008</v>
      </c>
      <c r="T3" s="124">
        <f t="shared" si="0"/>
        <v>1995.9372186985383</v>
      </c>
      <c r="U3" s="124"/>
      <c r="V3" s="233">
        <v>3033.7744795638791</v>
      </c>
      <c r="W3" s="147"/>
      <c r="X3" s="228">
        <v>3007.1968255423126</v>
      </c>
      <c r="Y3" s="147"/>
      <c r="Z3" s="147"/>
      <c r="AA3" s="147"/>
      <c r="AB3" s="147"/>
      <c r="AC3" s="147"/>
    </row>
    <row r="4" spans="1:29" x14ac:dyDescent="0.2">
      <c r="A4" s="24">
        <v>1997</v>
      </c>
      <c r="B4" s="325">
        <v>3.4119999999999999</v>
      </c>
      <c r="C4" s="124">
        <f t="shared" ref="C4:C11" si="2">C3+((C$12-C$2)/10)</f>
        <v>6.7044356053419101</v>
      </c>
      <c r="D4" s="124">
        <f t="shared" si="0"/>
        <v>3.2360000000000002</v>
      </c>
      <c r="E4" s="124">
        <f t="shared" si="0"/>
        <v>663.33973418790958</v>
      </c>
      <c r="F4" s="124">
        <f t="shared" si="0"/>
        <v>9.4642814792199026</v>
      </c>
      <c r="G4" s="124">
        <f t="shared" si="0"/>
        <v>10.383936160056413</v>
      </c>
      <c r="H4" s="124">
        <f t="shared" si="0"/>
        <v>12.967999999999989</v>
      </c>
      <c r="I4" s="124">
        <f t="shared" si="0"/>
        <v>8.5136936187335444</v>
      </c>
      <c r="J4" s="124">
        <f t="shared" si="0"/>
        <v>0.86584343677290854</v>
      </c>
      <c r="K4" s="124">
        <f t="shared" si="0"/>
        <v>332.10908190069688</v>
      </c>
      <c r="L4" s="124">
        <f t="shared" si="0"/>
        <v>761.07482019254303</v>
      </c>
      <c r="M4" s="124">
        <f t="shared" si="0"/>
        <v>684.96733817328823</v>
      </c>
      <c r="N4" s="124">
        <f t="shared" si="0"/>
        <v>584.42522823455613</v>
      </c>
      <c r="O4" s="124">
        <f t="shared" si="0"/>
        <v>499.89420392757722</v>
      </c>
      <c r="P4" s="124">
        <f t="shared" ref="P4:Q4" si="3">P3+((P$12-P$2)/10)</f>
        <v>22.105125516844332</v>
      </c>
      <c r="Q4" s="124">
        <f t="shared" si="3"/>
        <v>167.0435683069762</v>
      </c>
      <c r="R4" s="124">
        <f t="shared" si="0"/>
        <v>198.7411821910853</v>
      </c>
      <c r="S4" s="124">
        <f t="shared" si="0"/>
        <v>430.65347988592379</v>
      </c>
      <c r="T4" s="124">
        <f t="shared" si="0"/>
        <v>1997.433294867197</v>
      </c>
      <c r="U4" s="124"/>
      <c r="V4" s="233">
        <v>3140.8853845366216</v>
      </c>
      <c r="W4" s="147"/>
      <c r="X4" s="228">
        <v>3108.8966271387071</v>
      </c>
      <c r="Y4" s="147"/>
      <c r="Z4" s="147"/>
      <c r="AA4" s="147"/>
      <c r="AB4" s="147"/>
      <c r="AC4" s="147"/>
    </row>
    <row r="5" spans="1:29" x14ac:dyDescent="0.2">
      <c r="A5" s="24">
        <v>1998</v>
      </c>
      <c r="B5" s="325">
        <v>3.4119999999999999</v>
      </c>
      <c r="C5" s="124">
        <f t="shared" si="2"/>
        <v>6.7493818305600302</v>
      </c>
      <c r="D5" s="124">
        <f t="shared" si="0"/>
        <v>3.2440000000000002</v>
      </c>
      <c r="E5" s="124">
        <f t="shared" si="0"/>
        <v>658.60547168839548</v>
      </c>
      <c r="F5" s="124">
        <f t="shared" si="0"/>
        <v>9.6800749181971266</v>
      </c>
      <c r="G5" s="124">
        <f t="shared" si="0"/>
        <v>10.525798806703619</v>
      </c>
      <c r="H5" s="124">
        <f t="shared" si="0"/>
        <v>13.07199999999999</v>
      </c>
      <c r="I5" s="124">
        <f t="shared" si="0"/>
        <v>8.632145957052801</v>
      </c>
      <c r="J5" s="124">
        <f t="shared" si="0"/>
        <v>0.86795399827749586</v>
      </c>
      <c r="K5" s="124">
        <f t="shared" si="0"/>
        <v>332.02138083603194</v>
      </c>
      <c r="L5" s="124">
        <f t="shared" si="0"/>
        <v>748.90031606580851</v>
      </c>
      <c r="M5" s="124">
        <f t="shared" si="0"/>
        <v>674.01028445922725</v>
      </c>
      <c r="N5" s="124">
        <f t="shared" si="0"/>
        <v>577.69475754510324</v>
      </c>
      <c r="O5" s="124">
        <f t="shared" si="0"/>
        <v>491.66445121743476</v>
      </c>
      <c r="P5" s="124">
        <f t="shared" ref="P5:Q5" si="4">P4+((P$12-P$2)/10)</f>
        <v>33.157688275266494</v>
      </c>
      <c r="Q5" s="124">
        <f t="shared" si="4"/>
        <v>250.56535246046428</v>
      </c>
      <c r="R5" s="124">
        <f t="shared" si="0"/>
        <v>201.96125173173738</v>
      </c>
      <c r="S5" s="124">
        <f t="shared" si="0"/>
        <v>437.16250811450749</v>
      </c>
      <c r="T5" s="124">
        <f t="shared" si="0"/>
        <v>1998.9293710358556</v>
      </c>
      <c r="U5" s="124"/>
      <c r="V5" s="233">
        <v>3247.996289509364</v>
      </c>
      <c r="W5" s="147"/>
      <c r="X5" s="228">
        <v>3210.5964287351017</v>
      </c>
      <c r="Y5" s="147"/>
      <c r="Z5" s="147"/>
      <c r="AA5" s="147"/>
      <c r="AB5" s="147"/>
      <c r="AC5" s="147"/>
    </row>
    <row r="6" spans="1:29" x14ac:dyDescent="0.2">
      <c r="A6" s="24">
        <v>1999</v>
      </c>
      <c r="B6" s="325">
        <v>3.4119999999999999</v>
      </c>
      <c r="C6" s="124">
        <f t="shared" si="2"/>
        <v>6.7943280557781502</v>
      </c>
      <c r="D6" s="124">
        <f t="shared" si="0"/>
        <v>3.2520000000000002</v>
      </c>
      <c r="E6" s="124">
        <f t="shared" si="0"/>
        <v>653.87120918888138</v>
      </c>
      <c r="F6" s="124">
        <f t="shared" si="0"/>
        <v>9.8958683571743506</v>
      </c>
      <c r="G6" s="124">
        <f t="shared" si="0"/>
        <v>10.667661453350826</v>
      </c>
      <c r="H6" s="124">
        <f t="shared" si="0"/>
        <v>13.175999999999991</v>
      </c>
      <c r="I6" s="124">
        <f t="shared" si="0"/>
        <v>8.7505982953720576</v>
      </c>
      <c r="J6" s="124">
        <f t="shared" si="0"/>
        <v>0.87006455978208319</v>
      </c>
      <c r="K6" s="124">
        <f t="shared" si="0"/>
        <v>331.933679771367</v>
      </c>
      <c r="L6" s="124">
        <f t="shared" si="0"/>
        <v>736.72581193907399</v>
      </c>
      <c r="M6" s="124">
        <f t="shared" si="0"/>
        <v>663.05323074516627</v>
      </c>
      <c r="N6" s="124">
        <f t="shared" si="0"/>
        <v>570.96428685565036</v>
      </c>
      <c r="O6" s="124">
        <f t="shared" si="0"/>
        <v>483.4346985072923</v>
      </c>
      <c r="P6" s="124">
        <f t="shared" ref="P6:Q6" si="5">P5+((P$12-P$2)/10)</f>
        <v>44.210251033688664</v>
      </c>
      <c r="Q6" s="124">
        <f t="shared" si="5"/>
        <v>334.0871366139524</v>
      </c>
      <c r="R6" s="124">
        <f t="shared" si="0"/>
        <v>205.18132127238945</v>
      </c>
      <c r="S6" s="124">
        <f t="shared" si="0"/>
        <v>443.67153634309119</v>
      </c>
      <c r="T6" s="124">
        <f t="shared" si="0"/>
        <v>2000.4254472045143</v>
      </c>
      <c r="U6" s="124"/>
      <c r="V6" s="233">
        <v>3355.1071944821065</v>
      </c>
      <c r="W6" s="147"/>
      <c r="X6" s="228">
        <v>3312.2962303314962</v>
      </c>
      <c r="Y6" s="147"/>
      <c r="Z6" s="147"/>
      <c r="AA6" s="147"/>
      <c r="AB6" s="147"/>
      <c r="AC6" s="147"/>
    </row>
    <row r="7" spans="1:29" x14ac:dyDescent="0.2">
      <c r="A7" s="24">
        <v>2000</v>
      </c>
      <c r="B7" s="325">
        <v>3.4119999999999999</v>
      </c>
      <c r="C7" s="124">
        <f t="shared" si="2"/>
        <v>6.8392742809962703</v>
      </c>
      <c r="D7" s="124">
        <f t="shared" si="0"/>
        <v>3.2600000000000002</v>
      </c>
      <c r="E7" s="124">
        <f t="shared" si="0"/>
        <v>649.13694668936728</v>
      </c>
      <c r="F7" s="124">
        <f t="shared" si="0"/>
        <v>10.111661796151575</v>
      </c>
      <c r="G7" s="124">
        <f t="shared" si="0"/>
        <v>10.809524099998033</v>
      </c>
      <c r="H7" s="124">
        <f t="shared" si="0"/>
        <v>13.279999999999992</v>
      </c>
      <c r="I7" s="124">
        <f t="shared" si="0"/>
        <v>8.8690506336913142</v>
      </c>
      <c r="J7" s="124">
        <f t="shared" si="0"/>
        <v>0.87217512128667052</v>
      </c>
      <c r="K7" s="124">
        <f t="shared" si="0"/>
        <v>331.84597870670206</v>
      </c>
      <c r="L7" s="124">
        <f t="shared" si="0"/>
        <v>724.55130781233947</v>
      </c>
      <c r="M7" s="124">
        <f t="shared" si="0"/>
        <v>652.0961770311053</v>
      </c>
      <c r="N7" s="124">
        <f t="shared" si="0"/>
        <v>564.23381616619747</v>
      </c>
      <c r="O7" s="124">
        <f t="shared" si="0"/>
        <v>475.20494579714983</v>
      </c>
      <c r="P7" s="124">
        <f t="shared" ref="P7:Q7" si="6">P6+((P$12-P$2)/10)</f>
        <v>55.262813792110833</v>
      </c>
      <c r="Q7" s="124">
        <f t="shared" si="6"/>
        <v>417.60892076744051</v>
      </c>
      <c r="R7" s="124">
        <f t="shared" si="0"/>
        <v>208.40139081304153</v>
      </c>
      <c r="S7" s="124">
        <f t="shared" si="0"/>
        <v>450.18056457167489</v>
      </c>
      <c r="T7" s="124">
        <f t="shared" si="0"/>
        <v>2001.9215233731729</v>
      </c>
      <c r="U7" s="124"/>
      <c r="V7" s="233">
        <v>3462.2180994548489</v>
      </c>
      <c r="W7" s="147"/>
      <c r="X7" s="228">
        <v>3413.9960319278907</v>
      </c>
      <c r="Y7" s="147"/>
      <c r="Z7" s="147"/>
      <c r="AA7" s="147"/>
      <c r="AB7" s="147"/>
      <c r="AC7" s="147"/>
    </row>
    <row r="8" spans="1:29" x14ac:dyDescent="0.2">
      <c r="A8" s="24">
        <v>2001</v>
      </c>
      <c r="B8" s="148">
        <v>3.4119999999999999</v>
      </c>
      <c r="C8" s="124">
        <f t="shared" si="2"/>
        <v>6.8842205062143904</v>
      </c>
      <c r="D8" s="124">
        <f t="shared" si="0"/>
        <v>3.2680000000000002</v>
      </c>
      <c r="E8" s="124">
        <f t="shared" si="0"/>
        <v>644.40268418985318</v>
      </c>
      <c r="F8" s="124">
        <f t="shared" si="0"/>
        <v>10.327455235128799</v>
      </c>
      <c r="G8" s="124">
        <f t="shared" si="0"/>
        <v>10.951386746645239</v>
      </c>
      <c r="H8" s="124">
        <f t="shared" si="0"/>
        <v>13.383999999999993</v>
      </c>
      <c r="I8" s="124">
        <f t="shared" si="0"/>
        <v>8.9875029720105708</v>
      </c>
      <c r="J8" s="124">
        <f t="shared" si="0"/>
        <v>0.87428568279125785</v>
      </c>
      <c r="K8" s="124">
        <f t="shared" si="0"/>
        <v>331.75827764203711</v>
      </c>
      <c r="L8" s="124">
        <f t="shared" si="0"/>
        <v>712.37680368560495</v>
      </c>
      <c r="M8" s="124">
        <f t="shared" si="0"/>
        <v>641.13912331704432</v>
      </c>
      <c r="N8" s="124">
        <f t="shared" si="0"/>
        <v>557.50334547674458</v>
      </c>
      <c r="O8" s="124">
        <f t="shared" si="0"/>
        <v>466.97519308700737</v>
      </c>
      <c r="P8" s="124">
        <f t="shared" ref="P8:Q8" si="7">P7+((P$12-P$2)/10)</f>
        <v>66.315376550533003</v>
      </c>
      <c r="Q8" s="124">
        <f t="shared" si="7"/>
        <v>501.13070492092862</v>
      </c>
      <c r="R8" s="124">
        <f t="shared" si="0"/>
        <v>211.62146035369361</v>
      </c>
      <c r="S8" s="124">
        <f t="shared" si="0"/>
        <v>456.68959280025859</v>
      </c>
      <c r="T8" s="124">
        <f t="shared" si="0"/>
        <v>2003.4175995418316</v>
      </c>
      <c r="U8" s="124"/>
      <c r="V8" s="233">
        <v>3569.3290044275914</v>
      </c>
      <c r="W8" s="147"/>
      <c r="X8" s="228">
        <v>3515.6958335242853</v>
      </c>
      <c r="Y8" s="147"/>
      <c r="Z8" s="147"/>
      <c r="AA8" s="147"/>
      <c r="AB8" s="147"/>
      <c r="AC8" s="147"/>
    </row>
    <row r="9" spans="1:29" x14ac:dyDescent="0.2">
      <c r="A9" s="24">
        <v>2002</v>
      </c>
      <c r="B9" s="148">
        <v>3.4119999999999999</v>
      </c>
      <c r="C9" s="124">
        <f t="shared" si="2"/>
        <v>6.9291667314325105</v>
      </c>
      <c r="D9" s="124">
        <f t="shared" si="0"/>
        <v>3.2760000000000002</v>
      </c>
      <c r="E9" s="124">
        <f t="shared" si="0"/>
        <v>639.66842169033907</v>
      </c>
      <c r="F9" s="124">
        <f t="shared" si="0"/>
        <v>10.543248674106023</v>
      </c>
      <c r="G9" s="124">
        <f t="shared" si="0"/>
        <v>11.093249393292446</v>
      </c>
      <c r="H9" s="124">
        <f t="shared" si="0"/>
        <v>13.487999999999994</v>
      </c>
      <c r="I9" s="124">
        <f t="shared" si="0"/>
        <v>9.1059553103298274</v>
      </c>
      <c r="J9" s="124">
        <f t="shared" si="0"/>
        <v>0.87639624429584517</v>
      </c>
      <c r="K9" s="124">
        <f t="shared" si="0"/>
        <v>331.67057657737217</v>
      </c>
      <c r="L9" s="124">
        <f t="shared" si="0"/>
        <v>700.20229955887044</v>
      </c>
      <c r="M9" s="124">
        <f t="shared" si="0"/>
        <v>630.18206960298335</v>
      </c>
      <c r="N9" s="124">
        <f t="shared" si="0"/>
        <v>550.7728747872917</v>
      </c>
      <c r="O9" s="124">
        <f t="shared" si="0"/>
        <v>458.74544037686491</v>
      </c>
      <c r="P9" s="124">
        <f t="shared" ref="P9:Q9" si="8">P8+((P$12-P$2)/10)</f>
        <v>77.367939308955172</v>
      </c>
      <c r="Q9" s="124">
        <f t="shared" si="8"/>
        <v>584.65248907441674</v>
      </c>
      <c r="R9" s="124">
        <f t="shared" si="0"/>
        <v>214.84152989434568</v>
      </c>
      <c r="S9" s="124">
        <f t="shared" si="0"/>
        <v>463.1986210288423</v>
      </c>
      <c r="T9" s="124">
        <f t="shared" si="0"/>
        <v>2004.9136757104902</v>
      </c>
      <c r="U9" s="124"/>
      <c r="V9" s="233">
        <v>3676.4399094003338</v>
      </c>
      <c r="W9" s="147"/>
      <c r="X9" s="228">
        <v>3617.3956351206798</v>
      </c>
      <c r="Y9" s="147"/>
      <c r="Z9" s="147"/>
      <c r="AA9" s="147"/>
      <c r="AB9" s="147"/>
      <c r="AC9" s="147"/>
    </row>
    <row r="10" spans="1:29" x14ac:dyDescent="0.2">
      <c r="A10" s="24">
        <v>2003</v>
      </c>
      <c r="B10" s="148">
        <v>3.4119999999999999</v>
      </c>
      <c r="C10" s="124">
        <f t="shared" si="2"/>
        <v>6.9741129566506306</v>
      </c>
      <c r="D10" s="124">
        <f t="shared" si="0"/>
        <v>3.2840000000000003</v>
      </c>
      <c r="E10" s="124">
        <f t="shared" si="0"/>
        <v>634.93415919082497</v>
      </c>
      <c r="F10" s="124">
        <f t="shared" si="0"/>
        <v>10.759042113083247</v>
      </c>
      <c r="G10" s="124">
        <f t="shared" si="0"/>
        <v>11.235112039939652</v>
      </c>
      <c r="H10" s="124">
        <f t="shared" si="0"/>
        <v>13.591999999999995</v>
      </c>
      <c r="I10" s="124">
        <f t="shared" si="0"/>
        <v>9.224407648649084</v>
      </c>
      <c r="J10" s="124">
        <f t="shared" si="0"/>
        <v>0.8785068058004325</v>
      </c>
      <c r="K10" s="124">
        <f t="shared" si="0"/>
        <v>331.58287551270723</v>
      </c>
      <c r="L10" s="124">
        <f t="shared" si="0"/>
        <v>688.02779543213592</v>
      </c>
      <c r="M10" s="124">
        <f t="shared" si="0"/>
        <v>619.22501588892237</v>
      </c>
      <c r="N10" s="124">
        <f t="shared" si="0"/>
        <v>544.04240409783881</v>
      </c>
      <c r="O10" s="124">
        <f t="shared" si="0"/>
        <v>450.51568766672244</v>
      </c>
      <c r="P10" s="124">
        <f t="shared" ref="P10:Q10" si="9">P9+((P$12-P$2)/10)</f>
        <v>88.420502067377342</v>
      </c>
      <c r="Q10" s="124">
        <f t="shared" si="9"/>
        <v>668.17427322790479</v>
      </c>
      <c r="R10" s="124">
        <f t="shared" si="0"/>
        <v>218.06159943499776</v>
      </c>
      <c r="S10" s="124">
        <f t="shared" si="0"/>
        <v>469.707649257426</v>
      </c>
      <c r="T10" s="124">
        <f t="shared" si="0"/>
        <v>2006.4097518791489</v>
      </c>
      <c r="U10" s="124"/>
      <c r="V10" s="233">
        <v>3783.5508143730763</v>
      </c>
      <c r="W10" s="147"/>
      <c r="X10" s="228">
        <v>3719.0954367170743</v>
      </c>
      <c r="Y10" s="147"/>
      <c r="Z10" s="147"/>
      <c r="AA10" s="147"/>
      <c r="AB10" s="147"/>
      <c r="AC10" s="147"/>
    </row>
    <row r="11" spans="1:29" x14ac:dyDescent="0.2">
      <c r="A11" s="24">
        <v>2004</v>
      </c>
      <c r="B11" s="148">
        <v>3.4119999999999999</v>
      </c>
      <c r="C11" s="124">
        <f t="shared" si="2"/>
        <v>7.0190591818687507</v>
      </c>
      <c r="D11" s="124">
        <f t="shared" si="0"/>
        <v>3.2920000000000003</v>
      </c>
      <c r="E11" s="124">
        <f t="shared" si="0"/>
        <v>630.19989669131087</v>
      </c>
      <c r="F11" s="124">
        <f t="shared" si="0"/>
        <v>10.974835552060471</v>
      </c>
      <c r="G11" s="124">
        <f t="shared" si="0"/>
        <v>11.376974686586859</v>
      </c>
      <c r="H11" s="124">
        <f t="shared" si="0"/>
        <v>13.695999999999996</v>
      </c>
      <c r="I11" s="124">
        <f t="shared" si="0"/>
        <v>9.3428599869683406</v>
      </c>
      <c r="J11" s="124">
        <f t="shared" si="0"/>
        <v>0.88061736730501983</v>
      </c>
      <c r="K11" s="124">
        <f t="shared" si="0"/>
        <v>331.49517444804229</v>
      </c>
      <c r="L11" s="124">
        <f t="shared" si="0"/>
        <v>675.8532913054014</v>
      </c>
      <c r="M11" s="124">
        <f t="shared" si="0"/>
        <v>608.2679621748614</v>
      </c>
      <c r="N11" s="124">
        <f t="shared" si="0"/>
        <v>537.31193340838593</v>
      </c>
      <c r="O11" s="124">
        <f t="shared" si="0"/>
        <v>442.28593495657998</v>
      </c>
      <c r="P11" s="124">
        <f t="shared" si="0"/>
        <v>99.473064825799511</v>
      </c>
      <c r="Q11" s="124">
        <f t="shared" si="0"/>
        <v>751.69605738139285</v>
      </c>
      <c r="R11" s="124">
        <f t="shared" si="0"/>
        <v>221.28166897564984</v>
      </c>
      <c r="S11" s="124">
        <f t="shared" si="0"/>
        <v>476.2166774860097</v>
      </c>
      <c r="T11" s="124">
        <f t="shared" si="0"/>
        <v>2007.9058280478075</v>
      </c>
      <c r="U11" s="124"/>
      <c r="V11" s="233">
        <v>3890.6617193458187</v>
      </c>
      <c r="W11" s="147"/>
      <c r="X11" s="228">
        <v>3820.7952383134689</v>
      </c>
      <c r="Y11" s="147"/>
      <c r="Z11" s="147"/>
      <c r="AA11" s="147"/>
      <c r="AB11" s="147"/>
      <c r="AC11" s="147"/>
    </row>
    <row r="12" spans="1:29" x14ac:dyDescent="0.2">
      <c r="A12" s="24">
        <v>2005</v>
      </c>
      <c r="B12" s="148">
        <v>3.4119999999999999</v>
      </c>
      <c r="C12" s="148">
        <f>'LE EIAData'!B4</f>
        <v>7.0640054070868681</v>
      </c>
      <c r="D12" s="148">
        <f>'LE EIAData'!C4</f>
        <v>3.3</v>
      </c>
      <c r="E12" s="148">
        <f>'LE EIAData'!D4</f>
        <v>625.46563419179665</v>
      </c>
      <c r="F12" s="148">
        <f>'LE EIAData'!G4</f>
        <v>11.190628991037693</v>
      </c>
      <c r="G12" s="148">
        <f>'LE EIAData'!E4</f>
        <v>11.518837333234069</v>
      </c>
      <c r="H12" s="148">
        <f>'LE EIAData'!F4</f>
        <v>13.8</v>
      </c>
      <c r="I12" s="148">
        <f>'LE EIAData'!H4</f>
        <v>9.4613123252875919</v>
      </c>
      <c r="J12" s="148">
        <f>'LE EIAData'!I4</f>
        <v>0.88272792880960704</v>
      </c>
      <c r="K12" s="148">
        <f>'LE EIAData'!L4</f>
        <v>331.40747338337758</v>
      </c>
      <c r="L12" s="148">
        <f>'LE EIAData'!J4</f>
        <v>663.67878717866665</v>
      </c>
      <c r="M12" s="148">
        <f t="shared" ref="M12:M37" si="10">L12*0.9</f>
        <v>597.31090846079996</v>
      </c>
      <c r="N12" s="148">
        <f>'LE EIAData'!K4</f>
        <v>530.58146271893293</v>
      </c>
      <c r="O12" s="148">
        <f>'LE EIAData'!M4</f>
        <v>434.05618224643769</v>
      </c>
      <c r="P12" s="148">
        <f>'LE EIAData'!N4</f>
        <v>110.52562758422165</v>
      </c>
      <c r="Q12" s="148">
        <v>835.21784153488102</v>
      </c>
      <c r="R12" s="148">
        <f>'LE EIAData'!P4</f>
        <v>224.50173851630203</v>
      </c>
      <c r="S12" s="148">
        <f>'LE EIAData'!Q4</f>
        <v>482.72570571459363</v>
      </c>
      <c r="T12" s="148">
        <f>'LE EIAData'!R4</f>
        <v>2009.4019042164659</v>
      </c>
      <c r="U12" s="148"/>
      <c r="V12" s="233">
        <v>3997.7726243185602</v>
      </c>
      <c r="W12" s="149"/>
      <c r="X12" s="237">
        <f>'LE EIAData'!S4</f>
        <v>3922.4950399098643</v>
      </c>
      <c r="Y12" s="149"/>
      <c r="Z12" s="149"/>
      <c r="AA12" s="149"/>
      <c r="AB12" s="149"/>
      <c r="AC12" s="149"/>
    </row>
    <row r="13" spans="1:29" x14ac:dyDescent="0.2">
      <c r="A13" s="24">
        <v>2006</v>
      </c>
      <c r="B13" s="148">
        <v>3.4119999999999999</v>
      </c>
      <c r="C13" s="148">
        <f>'LE EIAData'!B5</f>
        <v>7.1509267544549466</v>
      </c>
      <c r="D13" s="148">
        <f>'LE EIAData'!C5</f>
        <v>3.3015590000000001</v>
      </c>
      <c r="E13" s="148">
        <v>608.1527330872525</v>
      </c>
      <c r="F13" s="148">
        <f>'LE EIAData'!G5</f>
        <v>11.401529818829824</v>
      </c>
      <c r="G13" s="148">
        <f>'LE EIAData'!E5</f>
        <v>11.725685088053469</v>
      </c>
      <c r="H13" s="148">
        <f>'LE EIAData'!F5</f>
        <v>13.886512</v>
      </c>
      <c r="I13" s="148">
        <f>'LE EIAData'!H5</f>
        <v>9.5224392825295894</v>
      </c>
      <c r="J13" s="148">
        <f>'LE EIAData'!I5</f>
        <v>0.88500750520619786</v>
      </c>
      <c r="K13" s="148">
        <f>'LE EIAData'!L5</f>
        <v>331.11625407322299</v>
      </c>
      <c r="L13" s="148">
        <f>'LE EIAData'!J5</f>
        <v>647.46748751540326</v>
      </c>
      <c r="M13" s="148">
        <f t="shared" si="10"/>
        <v>582.72073876386298</v>
      </c>
      <c r="N13" s="148">
        <f>'LE EIAData'!K5</f>
        <v>518.47639290197708</v>
      </c>
      <c r="O13" s="148">
        <f>'LE EIAData'!M5</f>
        <v>423.37992276068093</v>
      </c>
      <c r="P13" s="148">
        <f>'LE EIAData'!N5</f>
        <v>111.56086903465723</v>
      </c>
      <c r="Q13" s="148">
        <v>836.21784153488102</v>
      </c>
      <c r="R13" s="148">
        <v>224.21212322543218</v>
      </c>
      <c r="S13" s="148">
        <v>494.96475916607523</v>
      </c>
      <c r="T13" s="148">
        <f>'LE EIAData'!R5</f>
        <v>1994.2060049955637</v>
      </c>
      <c r="U13" s="148"/>
      <c r="V13" s="233">
        <v>4071.1647895096144</v>
      </c>
      <c r="W13" s="147"/>
      <c r="X13" s="237">
        <f>'LE EIAData'!S5</f>
        <v>4189.9485003693344</v>
      </c>
      <c r="Y13" s="147"/>
    </row>
    <row r="14" spans="1:29" x14ac:dyDescent="0.2">
      <c r="A14" s="24">
        <v>2007</v>
      </c>
      <c r="B14" s="148">
        <v>3.4119999999999999</v>
      </c>
      <c r="C14" s="148">
        <f>'LE EIAData'!B6</f>
        <v>7.2389176537546671</v>
      </c>
      <c r="D14" s="148">
        <f>'LE EIAData'!C6</f>
        <v>3.30253</v>
      </c>
      <c r="E14" s="148">
        <v>590.83983198270835</v>
      </c>
      <c r="F14" s="148">
        <f>'LE EIAData'!G6</f>
        <v>11.616405325721676</v>
      </c>
      <c r="G14" s="148">
        <f>'LE EIAData'!E6</f>
        <v>11.93624727970673</v>
      </c>
      <c r="H14" s="148">
        <f>'LE EIAData'!F6</f>
        <v>13.954171000000001</v>
      </c>
      <c r="I14" s="148">
        <f>'LE EIAData'!H6</f>
        <v>9.5839611643627212</v>
      </c>
      <c r="J14" s="148">
        <f>'LE EIAData'!I6</f>
        <v>0.88729296843198968</v>
      </c>
      <c r="K14" s="148">
        <f>'LE EIAData'!L6</f>
        <v>330.9257571682009</v>
      </c>
      <c r="L14" s="148">
        <f>'LE EIAData'!J6</f>
        <v>631.65217193638227</v>
      </c>
      <c r="M14" s="148">
        <f t="shared" si="10"/>
        <v>568.48695474274405</v>
      </c>
      <c r="N14" s="148">
        <f>'LE EIAData'!K6</f>
        <v>506.64749691612809</v>
      </c>
      <c r="O14" s="148">
        <f>'LE EIAData'!M6</f>
        <v>413.03471971289258</v>
      </c>
      <c r="P14" s="148">
        <f>'LE EIAData'!N6</f>
        <v>108.5825264486451</v>
      </c>
      <c r="Q14" s="148">
        <v>837.21784153488102</v>
      </c>
      <c r="R14" s="148">
        <v>223.92250793456233</v>
      </c>
      <c r="S14" s="148">
        <v>507.20381261755682</v>
      </c>
      <c r="T14" s="148">
        <f>'LE EIAData'!R6</f>
        <v>1962.1164142451546</v>
      </c>
      <c r="U14" s="148"/>
      <c r="V14" s="233">
        <v>4217.4901363808576</v>
      </c>
      <c r="W14" s="129"/>
      <c r="X14" s="237">
        <f>'LE EIAData'!S6</f>
        <v>4512.1743147094294</v>
      </c>
      <c r="Y14" s="129"/>
    </row>
    <row r="15" spans="1:29" x14ac:dyDescent="0.2">
      <c r="A15" s="24">
        <v>2008</v>
      </c>
      <c r="B15" s="148">
        <v>3.4119999999999999</v>
      </c>
      <c r="C15" s="148">
        <f>'LE EIAData'!B7</f>
        <v>7.302377720492446</v>
      </c>
      <c r="D15" s="148">
        <f>'LE EIAData'!C7</f>
        <v>3.3036409999999998</v>
      </c>
      <c r="E15" s="148">
        <v>573.52693087816419</v>
      </c>
      <c r="F15" s="148">
        <f>'LE EIAData'!G7</f>
        <v>11.802056259305916</v>
      </c>
      <c r="G15" s="148">
        <f>'LE EIAData'!E7</f>
        <v>12.08833891284468</v>
      </c>
      <c r="H15" s="148">
        <f>'LE EIAData'!F7</f>
        <v>13.997324000000001</v>
      </c>
      <c r="I15" s="148">
        <f>'LE EIAData'!H7</f>
        <v>9.6531179818082791</v>
      </c>
      <c r="J15" s="148">
        <f>'LE EIAData'!I7</f>
        <v>0.88925478972545646</v>
      </c>
      <c r="K15" s="148">
        <f>'LE EIAData'!L7</f>
        <v>331.30107414508501</v>
      </c>
      <c r="L15" s="148">
        <f>'LE EIAData'!J7</f>
        <v>617.91187523118072</v>
      </c>
      <c r="M15" s="148">
        <f t="shared" si="10"/>
        <v>556.12068770806263</v>
      </c>
      <c r="N15" s="148">
        <f>'LE EIAData'!K7</f>
        <v>497.00853788104638</v>
      </c>
      <c r="O15" s="148">
        <f>'LE EIAData'!M7</f>
        <v>404.74184677448062</v>
      </c>
      <c r="P15" s="148">
        <f>'LE EIAData'!N7</f>
        <v>106.04839760643169</v>
      </c>
      <c r="Q15" s="148">
        <v>838.21784153488102</v>
      </c>
      <c r="R15" s="148">
        <v>223.63289264369249</v>
      </c>
      <c r="S15" s="148">
        <v>519.44286606903836</v>
      </c>
      <c r="T15" s="148">
        <f>'LE EIAData'!R7</f>
        <v>1932.8784015467093</v>
      </c>
      <c r="U15" s="148"/>
      <c r="V15" s="233">
        <v>4282.0119933923825</v>
      </c>
      <c r="W15" s="129"/>
      <c r="X15" s="237">
        <f>'LE EIAData'!S7</f>
        <v>4735.3504576439354</v>
      </c>
      <c r="Y15" s="129"/>
    </row>
    <row r="16" spans="1:29" x14ac:dyDescent="0.2">
      <c r="A16" s="24">
        <v>2009</v>
      </c>
      <c r="B16" s="148">
        <v>3.4119999999999999</v>
      </c>
      <c r="C16" s="148">
        <f>'LE EIAData'!B8</f>
        <v>7.4469618234936279</v>
      </c>
      <c r="D16" s="148">
        <f>'LE EIAData'!C8</f>
        <v>3.3131979999999999</v>
      </c>
      <c r="E16" s="148">
        <v>556.21402977362004</v>
      </c>
      <c r="F16" s="148">
        <f>'LE EIAData'!G8</f>
        <v>12.111568890511583</v>
      </c>
      <c r="G16" s="148">
        <f>'LE EIAData'!E8</f>
        <v>12.357536678854581</v>
      </c>
      <c r="H16" s="148">
        <f>'LE EIAData'!F8</f>
        <v>14.100529</v>
      </c>
      <c r="I16" s="148">
        <f>'LE EIAData'!H8</f>
        <v>9.7274060500263637</v>
      </c>
      <c r="J16" s="148">
        <f>'LE EIAData'!I8</f>
        <v>0.8924520000414683</v>
      </c>
      <c r="K16" s="148">
        <f>'LE EIAData'!L8</f>
        <v>330.07754356289564</v>
      </c>
      <c r="L16" s="148">
        <f>'LE EIAData'!J8</f>
        <v>604.50392112234965</v>
      </c>
      <c r="M16" s="148">
        <f t="shared" si="10"/>
        <v>544.05352901011474</v>
      </c>
      <c r="N16" s="148">
        <f>'LE EIAData'!K8</f>
        <v>487.85587729521859</v>
      </c>
      <c r="O16" s="148">
        <f>'LE EIAData'!M8</f>
        <v>394.81578406430697</v>
      </c>
      <c r="P16" s="148">
        <f>'LE EIAData'!N8</f>
        <v>102.90101727769803</v>
      </c>
      <c r="Q16" s="148">
        <v>839.21784153488102</v>
      </c>
      <c r="R16" s="148">
        <v>223.34327735282264</v>
      </c>
      <c r="S16" s="148">
        <v>531.68191952051995</v>
      </c>
      <c r="T16" s="148">
        <f>'LE EIAData'!R8</f>
        <v>1889.2139181923412</v>
      </c>
      <c r="U16" s="148"/>
      <c r="V16" s="233">
        <v>4307.3495057401396</v>
      </c>
      <c r="W16" s="129"/>
      <c r="X16" s="237">
        <f>'LE EIAData'!S8</f>
        <v>4693.5828928706769</v>
      </c>
      <c r="Y16" s="129"/>
    </row>
    <row r="17" spans="1:25" x14ac:dyDescent="0.2">
      <c r="A17" s="24">
        <v>2010</v>
      </c>
      <c r="B17" s="148">
        <v>3.4119999999999999</v>
      </c>
      <c r="C17" s="148">
        <f>'LE EIAData'!B9</f>
        <v>7.5579488575039955</v>
      </c>
      <c r="D17" s="148">
        <f>'LE EIAData'!C9</f>
        <v>3.3880159999999999</v>
      </c>
      <c r="E17" s="148">
        <v>538.90112866907589</v>
      </c>
      <c r="F17" s="148">
        <f>'LE EIAData'!G9</f>
        <v>12.378665525149154</v>
      </c>
      <c r="G17" s="148">
        <f>'LE EIAData'!E9</f>
        <v>12.614787706568169</v>
      </c>
      <c r="H17" s="148">
        <f>'LE EIAData'!F9</f>
        <v>14.824436</v>
      </c>
      <c r="I17" s="148">
        <f>'LE EIAData'!H9</f>
        <v>9.8066675844966884</v>
      </c>
      <c r="J17" s="148">
        <f>'LE EIAData'!I9</f>
        <v>0.89494059863781383</v>
      </c>
      <c r="K17" s="148">
        <f>'LE EIAData'!L9</f>
        <v>330.26058639828216</v>
      </c>
      <c r="L17" s="148">
        <f>'LE EIAData'!J9</f>
        <v>591.85248951264384</v>
      </c>
      <c r="M17" s="148">
        <f t="shared" si="10"/>
        <v>532.66724056137946</v>
      </c>
      <c r="N17" s="148">
        <f>'LE EIAData'!K9</f>
        <v>479.45148196275602</v>
      </c>
      <c r="O17" s="148">
        <f>'LE EIAData'!M9</f>
        <v>386.25915595615032</v>
      </c>
      <c r="P17" s="148">
        <f>'LE EIAData'!N9</f>
        <v>99.956659292987666</v>
      </c>
      <c r="Q17" s="148">
        <v>840.21784153488102</v>
      </c>
      <c r="R17" s="148">
        <v>223.05366206195279</v>
      </c>
      <c r="S17" s="148">
        <v>543.92097297200155</v>
      </c>
      <c r="T17" s="148">
        <f>'LE EIAData'!R9</f>
        <v>1865.6788210078303</v>
      </c>
      <c r="U17" s="148"/>
      <c r="V17" s="233">
        <v>4268.1226930839966</v>
      </c>
      <c r="W17" s="129"/>
      <c r="X17" s="237">
        <f>'LE EIAData'!S9</f>
        <v>4831.6574697068691</v>
      </c>
      <c r="Y17" s="129"/>
    </row>
    <row r="18" spans="1:25" x14ac:dyDescent="0.2">
      <c r="A18" s="24">
        <v>2011</v>
      </c>
      <c r="B18" s="148">
        <v>3.4119999999999999</v>
      </c>
      <c r="C18" s="148">
        <f>'LE EIAData'!B10</f>
        <v>7.5714163701222743</v>
      </c>
      <c r="D18" s="148">
        <f>'LE EIAData'!C10</f>
        <v>3.4313090000000002</v>
      </c>
      <c r="E18" s="148">
        <f>'LE EIAData'!D10</f>
        <v>521.58822756453208</v>
      </c>
      <c r="F18" s="148">
        <f>'LE EIAData'!G10</f>
        <v>12.463080238937028</v>
      </c>
      <c r="G18" s="148">
        <f>'LE EIAData'!E10</f>
        <v>12.680915008767705</v>
      </c>
      <c r="H18" s="148">
        <f>'LE EIAData'!F10</f>
        <v>15.217358000000001</v>
      </c>
      <c r="I18" s="148">
        <f>'LE EIAData'!H10</f>
        <v>9.8741992696547687</v>
      </c>
      <c r="J18" s="148">
        <f>'LE EIAData'!I10</f>
        <v>0.89628488788144389</v>
      </c>
      <c r="K18" s="148">
        <f>'LE EIAData'!L10</f>
        <v>329.85134261423076</v>
      </c>
      <c r="L18" s="148">
        <f>'LE EIAData'!J10</f>
        <v>581.11669764603766</v>
      </c>
      <c r="M18" s="148">
        <f t="shared" si="10"/>
        <v>523.00502788143388</v>
      </c>
      <c r="N18" s="148">
        <f>'LE EIAData'!K10</f>
        <v>472.68560384871955</v>
      </c>
      <c r="O18" s="148">
        <f>'LE EIAData'!M10</f>
        <v>378.4903821942803</v>
      </c>
      <c r="P18" s="148">
        <f>'LE EIAData'!N10</f>
        <v>97.105744953638549</v>
      </c>
      <c r="Q18" s="148">
        <v>841.21784153488113</v>
      </c>
      <c r="R18" s="148">
        <v>222.76404677108295</v>
      </c>
      <c r="S18" s="148">
        <v>556.16002642348315</v>
      </c>
      <c r="T18" s="148">
        <f>'LE EIAData'!R10</f>
        <v>1818.8624107485023</v>
      </c>
      <c r="U18" s="148"/>
      <c r="V18" s="233">
        <v>4266.4474007373328</v>
      </c>
      <c r="W18" s="129">
        <f t="shared" ref="W18:Y37" si="11">V18/V17-1</f>
        <v>-3.925126963614245E-4</v>
      </c>
      <c r="X18" s="237">
        <f>'LE EIAData'!S10</f>
        <v>4727.7771386018567</v>
      </c>
      <c r="Y18" s="129">
        <f t="shared" si="11"/>
        <v>-2.1499936979455403E-2</v>
      </c>
    </row>
    <row r="19" spans="1:25" x14ac:dyDescent="0.2">
      <c r="A19" s="24">
        <v>2012</v>
      </c>
      <c r="B19" s="148">
        <v>3.4119999999999999</v>
      </c>
      <c r="C19" s="148">
        <f>'LE EIAData'!B11</f>
        <v>7.6178553973680234</v>
      </c>
      <c r="D19" s="148">
        <f>'LE EIAData'!C11</f>
        <v>3.4590559999999999</v>
      </c>
      <c r="E19" s="148">
        <f>'LE EIAData'!D11</f>
        <v>499.45843221443903</v>
      </c>
      <c r="F19" s="148">
        <f>'LE EIAData'!G11</f>
        <v>12.610954691482007</v>
      </c>
      <c r="G19" s="148">
        <f>'LE EIAData'!E11</f>
        <v>12.790951865091673</v>
      </c>
      <c r="H19" s="148">
        <f>'LE EIAData'!F11</f>
        <v>15.475415999999999</v>
      </c>
      <c r="I19" s="148">
        <f>'LE EIAData'!H11</f>
        <v>9.9418246440066174</v>
      </c>
      <c r="J19" s="148">
        <f>'LE EIAData'!I11</f>
        <v>0.8979712989076909</v>
      </c>
      <c r="K19" s="148">
        <f>'LE EIAData'!L11</f>
        <v>331.36141135862437</v>
      </c>
      <c r="L19" s="148">
        <f>'LE EIAData'!J11</f>
        <v>572.006354242724</v>
      </c>
      <c r="M19" s="148">
        <f t="shared" si="10"/>
        <v>514.80571881845162</v>
      </c>
      <c r="N19" s="148">
        <f>'LE EIAData'!K11</f>
        <v>467.14811296909187</v>
      </c>
      <c r="O19" s="148">
        <f>'LE EIAData'!M11</f>
        <v>372.63790918317289</v>
      </c>
      <c r="P19" s="148">
        <f>'LE EIAData'!N11</f>
        <v>94.708031475446276</v>
      </c>
      <c r="Q19" s="148">
        <f>'LE EIAData'!O11</f>
        <v>827.67190167455692</v>
      </c>
      <c r="R19" s="148">
        <f>'LE EIAData'!P11</f>
        <v>222.47443148021304</v>
      </c>
      <c r="S19" s="148">
        <f>'LE EIAData'!Q11</f>
        <v>568.39907987496463</v>
      </c>
      <c r="T19" s="148">
        <f>'LE EIAData'!R11</f>
        <v>1797.2757481829826</v>
      </c>
      <c r="U19" s="148"/>
      <c r="V19" s="233">
        <v>4297.3542156431349</v>
      </c>
      <c r="W19" s="129">
        <f t="shared" si="11"/>
        <v>7.2441570240524555E-3</v>
      </c>
      <c r="X19" s="288">
        <f>'LE EIAData'!S11+30</f>
        <v>4854.3600022852979</v>
      </c>
      <c r="Y19" s="129">
        <f t="shared" si="11"/>
        <v>2.6774287360100901E-2</v>
      </c>
    </row>
    <row r="20" spans="1:25" x14ac:dyDescent="0.2">
      <c r="A20" s="24">
        <v>2013</v>
      </c>
      <c r="B20" s="148">
        <v>3.4119999999999999</v>
      </c>
      <c r="C20" s="148">
        <f>'LE EIAData'!B12</f>
        <v>7.6654421259684886</v>
      </c>
      <c r="D20" s="148">
        <f>'LE EIAData'!C12</f>
        <v>3.4801530000000001</v>
      </c>
      <c r="E20" s="148">
        <f>'LE EIAData'!D12</f>
        <v>488.51412650213001</v>
      </c>
      <c r="F20" s="148">
        <f>'LE EIAData'!G12</f>
        <v>12.751851183406297</v>
      </c>
      <c r="G20" s="148">
        <f>'LE EIAData'!E12</f>
        <v>12.901668223589098</v>
      </c>
      <c r="H20" s="148">
        <f>'LE EIAData'!F12</f>
        <v>15.677279</v>
      </c>
      <c r="I20" s="148">
        <f>'LE EIAData'!H12</f>
        <v>10.005839215101393</v>
      </c>
      <c r="J20" s="148">
        <f>'LE EIAData'!I12</f>
        <v>0.89972220862440766</v>
      </c>
      <c r="K20" s="148">
        <f>'LE EIAData'!L12</f>
        <v>330.64722634540823</v>
      </c>
      <c r="L20" s="148">
        <f>'LE EIAData'!J12</f>
        <v>563.91505667829995</v>
      </c>
      <c r="M20" s="148">
        <f t="shared" si="10"/>
        <v>507.52355101046999</v>
      </c>
      <c r="N20" s="148">
        <f>'LE EIAData'!K12</f>
        <v>462.02771229636926</v>
      </c>
      <c r="O20" s="148">
        <f>'LE EIAData'!M12</f>
        <v>363.84300670541199</v>
      </c>
      <c r="P20" s="148">
        <f>'LE EIAData'!N12</f>
        <v>91.878092906421344</v>
      </c>
      <c r="Q20" s="148">
        <f>'LE EIAData'!O12</f>
        <v>815.86445548581162</v>
      </c>
      <c r="R20" s="148">
        <f>'LE EIAData'!P12</f>
        <v>221.84023210125414</v>
      </c>
      <c r="S20" s="148">
        <f>'LE EIAData'!Q12</f>
        <v>576.46895799881497</v>
      </c>
      <c r="T20" s="148">
        <f>'LE EIAData'!R12</f>
        <v>1573.9481557582549</v>
      </c>
      <c r="U20" s="129">
        <f t="shared" ref="U20:Y44" si="12">T20/T19-1</f>
        <v>-0.12425894727089504</v>
      </c>
      <c r="V20" s="233">
        <v>4299.3780605789443</v>
      </c>
      <c r="W20" s="129">
        <f t="shared" si="11"/>
        <v>4.7095138875041798E-4</v>
      </c>
      <c r="X20" s="237">
        <f>'LE EIAData'!S12</f>
        <v>4868.6296664538995</v>
      </c>
      <c r="Y20" s="129">
        <f t="shared" si="11"/>
        <v>2.9395562261316233E-3</v>
      </c>
    </row>
    <row r="21" spans="1:25" x14ac:dyDescent="0.2">
      <c r="A21" s="24">
        <v>2014</v>
      </c>
      <c r="B21" s="148">
        <v>3.4119999999999999</v>
      </c>
      <c r="C21" s="148">
        <f>'LE EIAData'!B13</f>
        <v>7.7059003345348707</v>
      </c>
      <c r="D21" s="148">
        <f>'LE EIAData'!C13</f>
        <v>3.495698</v>
      </c>
      <c r="E21" s="148">
        <f>'LE EIAData'!D13</f>
        <v>478.76667382776276</v>
      </c>
      <c r="F21" s="148">
        <f>'LE EIAData'!G13</f>
        <v>12.878074814699044</v>
      </c>
      <c r="G21" s="148">
        <f>'LE EIAData'!E13</f>
        <v>12.996027578247961</v>
      </c>
      <c r="H21" s="148">
        <f>'LE EIAData'!F13</f>
        <v>15.826098999999999</v>
      </c>
      <c r="I21" s="148">
        <f>'LE EIAData'!H13</f>
        <v>10.211785920877965</v>
      </c>
      <c r="J21" s="148">
        <f>'LE EIAData'!I13</f>
        <v>0.90140245620864856</v>
      </c>
      <c r="K21" s="148">
        <f>'LE EIAData'!L13</f>
        <v>330.67242878060813</v>
      </c>
      <c r="L21" s="148">
        <f>'LE EIAData'!J13</f>
        <v>545.67366719453264</v>
      </c>
      <c r="M21" s="148">
        <f t="shared" si="10"/>
        <v>491.10630047507937</v>
      </c>
      <c r="N21" s="148">
        <f>'LE EIAData'!K13</f>
        <v>454.11836854776146</v>
      </c>
      <c r="O21" s="148">
        <f>'LE EIAData'!M13</f>
        <v>356.5337535473372</v>
      </c>
      <c r="P21" s="148">
        <f>'LE EIAData'!N13</f>
        <v>89.320606806414332</v>
      </c>
      <c r="Q21" s="148">
        <f>'LE EIAData'!O13</f>
        <v>804.44644550360329</v>
      </c>
      <c r="R21" s="148">
        <f>'LE EIAData'!P13</f>
        <v>221.47803551729379</v>
      </c>
      <c r="S21" s="148">
        <f>'LE EIAData'!Q13</f>
        <v>585.63411049743127</v>
      </c>
      <c r="T21" s="148">
        <f>'LE EIAData'!R13</f>
        <v>1484.1432935859859</v>
      </c>
      <c r="U21" s="129">
        <f t="shared" si="12"/>
        <v>-5.7057064963493165E-2</v>
      </c>
      <c r="V21" s="233">
        <v>4348.1333795286018</v>
      </c>
      <c r="W21" s="129">
        <f t="shared" si="11"/>
        <v>1.1340086464294741E-2</v>
      </c>
      <c r="X21" s="237">
        <f>'LE EIAData'!S13</f>
        <v>4963.2621415882741</v>
      </c>
      <c r="Y21" s="129">
        <f t="shared" si="11"/>
        <v>1.9437189028037372E-2</v>
      </c>
    </row>
    <row r="22" spans="1:25" x14ac:dyDescent="0.2">
      <c r="A22" s="24">
        <v>2015</v>
      </c>
      <c r="B22" s="148">
        <v>3.4119999999999999</v>
      </c>
      <c r="C22" s="148">
        <f>'LE EIAData'!B14</f>
        <v>7.8387325465471704</v>
      </c>
      <c r="D22" s="148">
        <f>'LE EIAData'!C14</f>
        <v>3.50861</v>
      </c>
      <c r="E22" s="148">
        <f>'LE EIAData'!D14</f>
        <v>469.20530508386429</v>
      </c>
      <c r="F22" s="148">
        <f>'LE EIAData'!G14</f>
        <v>13.138373175403679</v>
      </c>
      <c r="G22" s="148">
        <f>'LE EIAData'!E14</f>
        <v>13.247079244027672</v>
      </c>
      <c r="H22" s="148">
        <f>'LE EIAData'!F14</f>
        <v>15.950364</v>
      </c>
      <c r="I22" s="148">
        <f>'LE EIAData'!H14</f>
        <v>10.324847527955672</v>
      </c>
      <c r="J22" s="148">
        <f>'LE EIAData'!I14</f>
        <v>0.91536854940737056</v>
      </c>
      <c r="K22" s="148">
        <f>'LE EIAData'!L14</f>
        <v>330.71056486493057</v>
      </c>
      <c r="L22" s="148">
        <f>'LE EIAData'!J14</f>
        <v>534.21468321252462</v>
      </c>
      <c r="M22" s="148">
        <f t="shared" si="10"/>
        <v>480.79321489127216</v>
      </c>
      <c r="N22" s="148">
        <f>'LE EIAData'!K14</f>
        <v>448.55981214949412</v>
      </c>
      <c r="O22" s="148">
        <f>'LE EIAData'!M14</f>
        <v>349.621366750763</v>
      </c>
      <c r="P22" s="148">
        <f>'LE EIAData'!N14</f>
        <v>86.671267163192766</v>
      </c>
      <c r="Q22" s="148">
        <f>'LE EIAData'!O14</f>
        <v>789.97207818690231</v>
      </c>
      <c r="R22" s="148">
        <f>'LE EIAData'!P14</f>
        <v>221.23286660026929</v>
      </c>
      <c r="S22" s="148">
        <f>'LE EIAData'!Q14</f>
        <v>593.78906159250687</v>
      </c>
      <c r="T22" s="148">
        <f>'LE EIAData'!R14</f>
        <v>1432.8602460861189</v>
      </c>
      <c r="U22" s="129">
        <f t="shared" si="12"/>
        <v>-3.4553973138238603E-2</v>
      </c>
      <c r="V22" s="233">
        <v>4394.4722488570169</v>
      </c>
      <c r="W22" s="129">
        <f t="shared" si="11"/>
        <v>1.0657186724441825E-2</v>
      </c>
      <c r="X22" s="237">
        <f>'LE EIAData'!S14</f>
        <v>5048.8818390060842</v>
      </c>
      <c r="Y22" s="129">
        <f t="shared" si="11"/>
        <v>1.7250690166127569E-2</v>
      </c>
    </row>
    <row r="23" spans="1:25" x14ac:dyDescent="0.2">
      <c r="A23" s="24">
        <v>2016</v>
      </c>
      <c r="B23" s="148">
        <v>3.4119999999999999</v>
      </c>
      <c r="C23" s="148">
        <f>'LE EIAData'!B15</f>
        <v>7.9123995670631304</v>
      </c>
      <c r="D23" s="148">
        <f>'LE EIAData'!C15</f>
        <v>3.5193159999999999</v>
      </c>
      <c r="E23" s="148">
        <f>'LE EIAData'!D15</f>
        <v>460.80141953108614</v>
      </c>
      <c r="F23" s="148">
        <f>'LE EIAData'!G15</f>
        <v>13.311284566269569</v>
      </c>
      <c r="G23" s="148">
        <f>'LE EIAData'!E15</f>
        <v>13.392730273524553</v>
      </c>
      <c r="H23" s="148">
        <f>'LE EIAData'!F15</f>
        <v>16.053467000000001</v>
      </c>
      <c r="I23" s="148">
        <f>'LE EIAData'!H15</f>
        <v>10.422133705949232</v>
      </c>
      <c r="J23" s="148">
        <f>'LE EIAData'!I15</f>
        <v>0.92228773719655299</v>
      </c>
      <c r="K23" s="148">
        <f>'LE EIAData'!L15</f>
        <v>331.7408410556875</v>
      </c>
      <c r="L23" s="148">
        <f>'LE EIAData'!J15</f>
        <v>523.74696086204528</v>
      </c>
      <c r="M23" s="148">
        <f t="shared" si="10"/>
        <v>471.37226477584079</v>
      </c>
      <c r="N23" s="148">
        <f>'LE EIAData'!K15</f>
        <v>443.56034491393473</v>
      </c>
      <c r="O23" s="148">
        <f>'LE EIAData'!M15</f>
        <v>344.27768549243234</v>
      </c>
      <c r="P23" s="148">
        <f>'LE EIAData'!N15</f>
        <v>84.077648389412488</v>
      </c>
      <c r="Q23" s="148">
        <f>'LE EIAData'!O15</f>
        <v>776.50114529808343</v>
      </c>
      <c r="R23" s="148">
        <f>'LE EIAData'!P15</f>
        <v>221.16242480581636</v>
      </c>
      <c r="S23" s="148">
        <f>'LE EIAData'!Q15</f>
        <v>603.54902549531459</v>
      </c>
      <c r="T23" s="148">
        <f>'LE EIAData'!R15</f>
        <v>1400.0557484766291</v>
      </c>
      <c r="U23" s="129">
        <f t="shared" si="12"/>
        <v>-2.2894415347969765E-2</v>
      </c>
      <c r="V23" s="233">
        <v>4451.0655384659776</v>
      </c>
      <c r="W23" s="129">
        <f t="shared" si="11"/>
        <v>1.2878290362097644E-2</v>
      </c>
      <c r="X23" s="237">
        <f>'LE EIAData'!S15</f>
        <v>5166.1868630040572</v>
      </c>
      <c r="Y23" s="129">
        <f t="shared" si="11"/>
        <v>2.3233862019053531E-2</v>
      </c>
    </row>
    <row r="24" spans="1:25" x14ac:dyDescent="0.2">
      <c r="A24" s="24">
        <v>2017</v>
      </c>
      <c r="B24" s="148">
        <v>3.4119999999999999</v>
      </c>
      <c r="C24" s="148">
        <f>'LE EIAData'!B16</f>
        <v>7.9798498222430796</v>
      </c>
      <c r="D24" s="148">
        <f>'LE EIAData'!C16</f>
        <v>3.5227819999999999</v>
      </c>
      <c r="E24" s="148">
        <f>'LE EIAData'!D16</f>
        <v>448.9680588574933</v>
      </c>
      <c r="F24" s="148">
        <f>'LE EIAData'!G16</f>
        <v>13.467351130942429</v>
      </c>
      <c r="G24" s="148">
        <f>'LE EIAData'!E16</f>
        <v>13.526187078456436</v>
      </c>
      <c r="H24" s="148">
        <f>'LE EIAData'!F16</f>
        <v>16.093312999999998</v>
      </c>
      <c r="I24" s="148">
        <f>'LE EIAData'!H16</f>
        <v>10.509140481611231</v>
      </c>
      <c r="J24" s="148">
        <f>'LE EIAData'!I16</f>
        <v>0.92886814738333401</v>
      </c>
      <c r="K24" s="148">
        <f>'LE EIAData'!L16</f>
        <v>330.71991389870954</v>
      </c>
      <c r="L24" s="148">
        <f>'LE EIAData'!J16</f>
        <v>514.24394680031855</v>
      </c>
      <c r="M24" s="148">
        <f t="shared" si="10"/>
        <v>462.81955212028669</v>
      </c>
      <c r="N24" s="148">
        <f>'LE EIAData'!K16</f>
        <v>439.13899391397274</v>
      </c>
      <c r="O24" s="148">
        <f>'LE EIAData'!M16</f>
        <v>337.58189096149357</v>
      </c>
      <c r="P24" s="148">
        <f>'LE EIAData'!N16</f>
        <v>81.013387467327419</v>
      </c>
      <c r="Q24" s="148">
        <f>'LE EIAData'!O16</f>
        <v>756.07411269173133</v>
      </c>
      <c r="R24" s="148">
        <f>'LE EIAData'!P16</f>
        <v>219.01356061798984</v>
      </c>
      <c r="S24" s="148">
        <f>'LE EIAData'!Q16</f>
        <v>609.77760735319009</v>
      </c>
      <c r="T24" s="148">
        <f>'LE EIAData'!R16</f>
        <v>1365.1062828763347</v>
      </c>
      <c r="U24" s="129">
        <f t="shared" si="12"/>
        <v>-2.4962909968636704E-2</v>
      </c>
      <c r="V24" s="233">
        <v>4482.8025509059607</v>
      </c>
      <c r="W24" s="129">
        <f t="shared" si="11"/>
        <v>7.1302056026163463E-3</v>
      </c>
      <c r="X24" s="237">
        <f>'LE EIAData'!S16</f>
        <v>5221.8571740841071</v>
      </c>
      <c r="Y24" s="129">
        <f t="shared" si="11"/>
        <v>1.0775899625062868E-2</v>
      </c>
    </row>
    <row r="25" spans="1:25" x14ac:dyDescent="0.2">
      <c r="A25" s="24">
        <v>2018</v>
      </c>
      <c r="B25" s="148">
        <v>3.4119999999999999</v>
      </c>
      <c r="C25" s="148">
        <f>'LE EIAData'!B17</f>
        <v>8.0406899700096481</v>
      </c>
      <c r="D25" s="148">
        <f>'LE EIAData'!C17</f>
        <v>3.5268039999999998</v>
      </c>
      <c r="E25" s="148">
        <f>'LE EIAData'!D17</f>
        <v>438.64933343630025</v>
      </c>
      <c r="F25" s="148">
        <f>'LE EIAData'!G17</f>
        <v>13.60481137872558</v>
      </c>
      <c r="G25" s="148">
        <f>'LE EIAData'!E17</f>
        <v>13.645944257636755</v>
      </c>
      <c r="H25" s="148">
        <f>'LE EIAData'!F17</f>
        <v>16.138203000000001</v>
      </c>
      <c r="I25" s="148">
        <f>'LE EIAData'!H17</f>
        <v>10.592155525540097</v>
      </c>
      <c r="J25" s="148">
        <f>'LE EIAData'!I17</f>
        <v>0.93537774623941372</v>
      </c>
      <c r="K25" s="148">
        <f>'LE EIAData'!L17</f>
        <v>330.60680978363189</v>
      </c>
      <c r="L25" s="148">
        <f>'LE EIAData'!J17</f>
        <v>505.45953644476799</v>
      </c>
      <c r="M25" s="148">
        <f t="shared" si="10"/>
        <v>454.91358280029118</v>
      </c>
      <c r="N25" s="148">
        <f>'LE EIAData'!K17</f>
        <v>435.22116351054132</v>
      </c>
      <c r="O25" s="148">
        <f>'LE EIAData'!M17</f>
        <v>332.74292029568323</v>
      </c>
      <c r="P25" s="148">
        <f>'LE EIAData'!N17</f>
        <v>78.092325966999098</v>
      </c>
      <c r="Q25" s="148">
        <f>'LE EIAData'!O17</f>
        <v>738.97511995197067</v>
      </c>
      <c r="R25" s="148">
        <f>'LE EIAData'!P17</f>
        <v>217.5062407325257</v>
      </c>
      <c r="S25" s="148">
        <f>'LE EIAData'!Q17</f>
        <v>617.5355605659513</v>
      </c>
      <c r="T25" s="148">
        <f>'LE EIAData'!R17</f>
        <v>1340.8743680735377</v>
      </c>
      <c r="U25" s="129">
        <f t="shared" si="12"/>
        <v>-1.7750936397230133E-2</v>
      </c>
      <c r="V25" s="233">
        <v>4538.935816731233</v>
      </c>
      <c r="W25" s="129">
        <f t="shared" si="11"/>
        <v>1.2521913510093796E-2</v>
      </c>
      <c r="X25" s="237">
        <f>'LE EIAData'!S17</f>
        <v>5287.8620929867147</v>
      </c>
      <c r="Y25" s="129">
        <f t="shared" si="11"/>
        <v>1.2640123370318834E-2</v>
      </c>
    </row>
    <row r="26" spans="1:25" x14ac:dyDescent="0.2">
      <c r="A26" s="24">
        <v>2019</v>
      </c>
      <c r="B26" s="148">
        <v>3.4119999999999999</v>
      </c>
      <c r="C26" s="148">
        <f>'LE EIAData'!B18</f>
        <v>8.097919671547853</v>
      </c>
      <c r="D26" s="148">
        <f>'LE EIAData'!C18</f>
        <v>3.5309159999999999</v>
      </c>
      <c r="E26" s="148">
        <f>'LE EIAData'!D18</f>
        <v>428.49068464517916</v>
      </c>
      <c r="F26" s="148">
        <f>'LE EIAData'!G18</f>
        <v>13.730995849146662</v>
      </c>
      <c r="G26" s="148">
        <f>'LE EIAData'!E18</f>
        <v>13.757258943764725</v>
      </c>
      <c r="H26" s="148">
        <f>'LE EIAData'!F18</f>
        <v>16.182312</v>
      </c>
      <c r="I26" s="148">
        <f>'LE EIAData'!H18</f>
        <v>10.669701489609984</v>
      </c>
      <c r="J26" s="148">
        <f>'LE EIAData'!I18</f>
        <v>0.94157686041445254</v>
      </c>
      <c r="K26" s="148">
        <f>'LE EIAData'!L18</f>
        <v>330.55294722110727</v>
      </c>
      <c r="L26" s="148">
        <f>'LE EIAData'!J18</f>
        <v>497.34026418637325</v>
      </c>
      <c r="M26" s="148">
        <f t="shared" si="10"/>
        <v>447.60623776773593</v>
      </c>
      <c r="N26" s="148">
        <f>'LE EIAData'!K18</f>
        <v>431.67782190624621</v>
      </c>
      <c r="O26" s="148">
        <f>'LE EIAData'!M18</f>
        <v>328.78692724967812</v>
      </c>
      <c r="P26" s="148">
        <f>'LE EIAData'!N18</f>
        <v>75.547186339676443</v>
      </c>
      <c r="Q26" s="148">
        <f>'LE EIAData'!O18</f>
        <v>724.24061724552689</v>
      </c>
      <c r="R26" s="148">
        <f>'LE EIAData'!P18</f>
        <v>216.24502078549645</v>
      </c>
      <c r="S26" s="148">
        <f>'LE EIAData'!Q18</f>
        <v>624.34485359478913</v>
      </c>
      <c r="T26" s="148">
        <f>'LE EIAData'!R18</f>
        <v>1321.9903250769321</v>
      </c>
      <c r="U26" s="129">
        <f t="shared" si="12"/>
        <v>-1.4083379805176377E-2</v>
      </c>
      <c r="V26" s="233">
        <v>4611.419753530774</v>
      </c>
      <c r="W26" s="129">
        <f t="shared" si="11"/>
        <v>1.5969368091162117E-2</v>
      </c>
      <c r="X26" s="237">
        <f>'LE EIAData'!S18</f>
        <v>5356.4103957635853</v>
      </c>
      <c r="Y26" s="129">
        <f t="shared" si="11"/>
        <v>1.2963330278182861E-2</v>
      </c>
    </row>
    <row r="27" spans="1:25" x14ac:dyDescent="0.2">
      <c r="A27" s="24">
        <v>2020</v>
      </c>
      <c r="B27" s="148">
        <v>3.4119999999999999</v>
      </c>
      <c r="C27" s="148">
        <f>'LE EIAData'!B19</f>
        <v>8.1442056963501859</v>
      </c>
      <c r="D27" s="148">
        <f>'LE EIAData'!C19</f>
        <v>3.5525690000000001</v>
      </c>
      <c r="E27" s="148">
        <f>'LE EIAData'!D19</f>
        <v>419.96632373958204</v>
      </c>
      <c r="F27" s="148">
        <f>'LE EIAData'!G19</f>
        <v>13.856800920134059</v>
      </c>
      <c r="G27" s="148">
        <f>'LE EIAData'!E19</f>
        <v>13.854035504868611</v>
      </c>
      <c r="H27" s="148">
        <f>'LE EIAData'!F19</f>
        <v>16.343616000000001</v>
      </c>
      <c r="I27" s="148">
        <f>'LE EIAData'!H19</f>
        <v>10.73640826694389</v>
      </c>
      <c r="J27" s="148">
        <f>'LE EIAData'!I19</f>
        <v>0.9476431484775153</v>
      </c>
      <c r="K27" s="148">
        <f>'LE EIAData'!L19</f>
        <v>331.47817747684871</v>
      </c>
      <c r="L27" s="148">
        <f>'LE EIAData'!J19</f>
        <v>489.66660590760102</v>
      </c>
      <c r="M27" s="148">
        <f t="shared" si="10"/>
        <v>440.69994531684091</v>
      </c>
      <c r="N27" s="148">
        <f>'LE EIAData'!K19</f>
        <v>428.54515812200174</v>
      </c>
      <c r="O27" s="148">
        <f>'LE EIAData'!M19</f>
        <v>326.45875537598249</v>
      </c>
      <c r="P27" s="148">
        <f>'LE EIAData'!N19</f>
        <v>73.557104440479094</v>
      </c>
      <c r="Q27" s="148">
        <f>'LE EIAData'!O19</f>
        <v>714.10506721254205</v>
      </c>
      <c r="R27" s="148">
        <f>'LE EIAData'!P19</f>
        <v>215.98241467192588</v>
      </c>
      <c r="S27" s="148">
        <f>'LE EIAData'!Q19</f>
        <v>632.1738356474624</v>
      </c>
      <c r="T27" s="148">
        <f>'LE EIAData'!R19</f>
        <v>1269.755719250777</v>
      </c>
      <c r="U27" s="129">
        <f t="shared" si="12"/>
        <v>-3.9512093874904397E-2</v>
      </c>
      <c r="V27" s="233">
        <v>4703.31521126594</v>
      </c>
      <c r="W27" s="129">
        <f t="shared" si="11"/>
        <v>1.9927801554999514E-2</v>
      </c>
      <c r="X27" s="237">
        <f>'LE EIAData'!S19</f>
        <v>5460.8604459210665</v>
      </c>
      <c r="Y27" s="129">
        <f t="shared" si="11"/>
        <v>1.9500008856694562E-2</v>
      </c>
    </row>
    <row r="28" spans="1:25" x14ac:dyDescent="0.2">
      <c r="A28" s="25">
        <v>2021</v>
      </c>
      <c r="B28" s="148">
        <v>3.4119999999999999</v>
      </c>
      <c r="C28" s="148">
        <f>'LE EIAData'!B20</f>
        <v>8.190389842037554</v>
      </c>
      <c r="D28" s="148">
        <f>'LE EIAData'!C20</f>
        <v>3.571126</v>
      </c>
      <c r="E28" s="148">
        <f>'LE EIAData'!D20</f>
        <v>409.20794973943828</v>
      </c>
      <c r="F28" s="148">
        <f>'LE EIAData'!G20</f>
        <v>13.962350937101309</v>
      </c>
      <c r="G28" s="148">
        <f>'LE EIAData'!E20</f>
        <v>13.945349522989035</v>
      </c>
      <c r="H28" s="148">
        <f>'LE EIAData'!F20</f>
        <v>16.477599999999999</v>
      </c>
      <c r="I28" s="148">
        <f>'LE EIAData'!H20</f>
        <v>10.794933364893012</v>
      </c>
      <c r="J28" s="148">
        <f>'LE EIAData'!I20</f>
        <v>0.95346645711965128</v>
      </c>
      <c r="K28" s="148">
        <f>'LE EIAData'!L20</f>
        <v>330.49955641127411</v>
      </c>
      <c r="L28" s="148">
        <f>'LE EIAData'!J20</f>
        <v>482.48162171628343</v>
      </c>
      <c r="M28" s="148">
        <f t="shared" si="10"/>
        <v>434.23345954465509</v>
      </c>
      <c r="N28" s="148">
        <f>'LE EIAData'!K20</f>
        <v>425.67586007042604</v>
      </c>
      <c r="O28" s="148">
        <f>'LE EIAData'!M20</f>
        <v>323.00687117341255</v>
      </c>
      <c r="P28" s="148">
        <f>'LE EIAData'!N20</f>
        <v>71.580049523243872</v>
      </c>
      <c r="Q28" s="148">
        <f>'LE EIAData'!O20</f>
        <v>702.11188868464501</v>
      </c>
      <c r="R28" s="148">
        <f>'LE EIAData'!P20</f>
        <v>214.87369112535382</v>
      </c>
      <c r="S28" s="148">
        <f>'LE EIAData'!Q20</f>
        <v>635.68338378535623</v>
      </c>
      <c r="T28" s="148">
        <f>'LE EIAData'!R20</f>
        <v>1238.8641198064383</v>
      </c>
      <c r="U28" s="129">
        <f t="shared" si="12"/>
        <v>-2.4328773618414012E-2</v>
      </c>
      <c r="V28" s="233">
        <v>4769.3422936381139</v>
      </c>
      <c r="W28" s="129">
        <f t="shared" si="11"/>
        <v>1.4038413205650802E-2</v>
      </c>
      <c r="X28" s="237">
        <f>'LE EIAData'!S20</f>
        <v>5539.0529985668145</v>
      </c>
      <c r="Y28" s="129">
        <f t="shared" si="11"/>
        <v>1.4318723838502967E-2</v>
      </c>
    </row>
    <row r="29" spans="1:25" x14ac:dyDescent="0.2">
      <c r="A29" s="25">
        <v>2022</v>
      </c>
      <c r="B29" s="148">
        <v>3.4119999999999999</v>
      </c>
      <c r="C29" s="148">
        <f>'LE EIAData'!B21</f>
        <v>8.2332268822196752</v>
      </c>
      <c r="D29" s="148">
        <f>'LE EIAData'!C21</f>
        <v>3.5890789999999999</v>
      </c>
      <c r="E29" s="148">
        <f>'LE EIAData'!D21</f>
        <v>399.99777718645038</v>
      </c>
      <c r="F29" s="148">
        <f>'LE EIAData'!G21</f>
        <v>14.056521674320575</v>
      </c>
      <c r="G29" s="148">
        <f>'LE EIAData'!E21</f>
        <v>14.029313704122087</v>
      </c>
      <c r="H29" s="148">
        <f>'LE EIAData'!F21</f>
        <v>16.606939000000001</v>
      </c>
      <c r="I29" s="148">
        <f>'LE EIAData'!H21</f>
        <v>10.848665500903758</v>
      </c>
      <c r="J29" s="148">
        <f>'LE EIAData'!I21</f>
        <v>0.95919143200787138</v>
      </c>
      <c r="K29" s="148">
        <f>'LE EIAData'!L21</f>
        <v>330.49845894926551</v>
      </c>
      <c r="L29" s="148">
        <f>'LE EIAData'!J21</f>
        <v>475.9490726916689</v>
      </c>
      <c r="M29" s="148">
        <f t="shared" si="10"/>
        <v>428.35416542250204</v>
      </c>
      <c r="N29" s="148">
        <f>'LE EIAData'!K21</f>
        <v>423.01941682911723</v>
      </c>
      <c r="O29" s="148">
        <f>'LE EIAData'!M21</f>
        <v>321.08715964599293</v>
      </c>
      <c r="P29" s="148">
        <f>'LE EIAData'!N21</f>
        <v>70.269077300066343</v>
      </c>
      <c r="Q29" s="148">
        <f>'LE EIAData'!O21</f>
        <v>694.36081355544411</v>
      </c>
      <c r="R29" s="148">
        <f>'LE EIAData'!P21</f>
        <v>214.64096812911305</v>
      </c>
      <c r="S29" s="148">
        <f>'LE EIAData'!Q21</f>
        <v>640.46196297382551</v>
      </c>
      <c r="T29" s="148">
        <f>'LE EIAData'!R21</f>
        <v>1219.4333830649186</v>
      </c>
      <c r="U29" s="129">
        <f t="shared" si="12"/>
        <v>-1.5684316327246317E-2</v>
      </c>
      <c r="V29" s="233">
        <v>4846.6956681214724</v>
      </c>
      <c r="W29" s="129">
        <f t="shared" si="11"/>
        <v>1.6218876675415217E-2</v>
      </c>
      <c r="X29" s="237">
        <f>'LE EIAData'!S21</f>
        <v>5649.0095827592913</v>
      </c>
      <c r="Y29" s="129">
        <f t="shared" si="11"/>
        <v>1.9851152213370638E-2</v>
      </c>
    </row>
    <row r="30" spans="1:25" x14ac:dyDescent="0.2">
      <c r="A30" s="25">
        <v>2023</v>
      </c>
      <c r="B30" s="148">
        <v>3.4119999999999999</v>
      </c>
      <c r="C30" s="148">
        <f>'LE EIAData'!B22</f>
        <v>8.2697894035397219</v>
      </c>
      <c r="D30" s="148">
        <f>'LE EIAData'!C22</f>
        <v>3.6062970000000001</v>
      </c>
      <c r="E30" s="148">
        <f>'LE EIAData'!D22</f>
        <v>390.91180449753591</v>
      </c>
      <c r="F30" s="148">
        <f>'LE EIAData'!G22</f>
        <v>14.136098504584176</v>
      </c>
      <c r="G30" s="148">
        <f>'LE EIAData'!E22</f>
        <v>14.101060796918411</v>
      </c>
      <c r="H30" s="148">
        <f>'LE EIAData'!F22</f>
        <v>16.730574000000001</v>
      </c>
      <c r="I30" s="148">
        <f>'LE EIAData'!H22</f>
        <v>10.899056144516432</v>
      </c>
      <c r="J30" s="148">
        <f>'LE EIAData'!I22</f>
        <v>0.9646849986418109</v>
      </c>
      <c r="K30" s="148">
        <f>'LE EIAData'!L22</f>
        <v>330.55121730146027</v>
      </c>
      <c r="L30" s="148">
        <f>'LE EIAData'!J22</f>
        <v>470.13786233879659</v>
      </c>
      <c r="M30" s="148">
        <f t="shared" si="10"/>
        <v>423.12407610491692</v>
      </c>
      <c r="N30" s="148">
        <f>'LE EIAData'!K22</f>
        <v>420.62805703977875</v>
      </c>
      <c r="O30" s="148">
        <f>'LE EIAData'!M22</f>
        <v>319.55444708637162</v>
      </c>
      <c r="P30" s="148">
        <f>'LE EIAData'!N22</f>
        <v>69.492706259570554</v>
      </c>
      <c r="Q30" s="148">
        <f>'LE EIAData'!O22</f>
        <v>688.81210476729075</v>
      </c>
      <c r="R30" s="148">
        <f>'LE EIAData'!P22</f>
        <v>214.80559204893063</v>
      </c>
      <c r="S30" s="148">
        <f>'LE EIAData'!Q22</f>
        <v>644.3605745394625</v>
      </c>
      <c r="T30" s="148">
        <f>'LE EIAData'!R22</f>
        <v>1205.6044323480062</v>
      </c>
      <c r="U30" s="129">
        <f t="shared" si="12"/>
        <v>-1.1340472475958374E-2</v>
      </c>
      <c r="V30" s="233">
        <v>4933.1468940860677</v>
      </c>
      <c r="W30" s="129">
        <f t="shared" si="11"/>
        <v>1.7837147591753588E-2</v>
      </c>
      <c r="X30" s="237">
        <f>'LE EIAData'!S22</f>
        <v>5759.1814045754709</v>
      </c>
      <c r="Y30" s="129">
        <f t="shared" si="11"/>
        <v>1.9502856244468569E-2</v>
      </c>
    </row>
    <row r="31" spans="1:25" x14ac:dyDescent="0.2">
      <c r="A31" s="25">
        <v>2024</v>
      </c>
      <c r="B31" s="148">
        <v>3.4119999999999999</v>
      </c>
      <c r="C31" s="148">
        <f>'LE EIAData'!B23</f>
        <v>8.3010546150143298</v>
      </c>
      <c r="D31" s="148">
        <f>'LE EIAData'!C23</f>
        <v>3.623122</v>
      </c>
      <c r="E31" s="148">
        <f>'LE EIAData'!D23</f>
        <v>383.06877552965955</v>
      </c>
      <c r="F31" s="148">
        <f>'LE EIAData'!G23</f>
        <v>14.202269064005705</v>
      </c>
      <c r="G31" s="148">
        <f>'LE EIAData'!E23</f>
        <v>14.162568346324433</v>
      </c>
      <c r="H31" s="148">
        <f>'LE EIAData'!F23</f>
        <v>16.850977</v>
      </c>
      <c r="I31" s="148">
        <f>'LE EIAData'!H23</f>
        <v>10.943632750534501</v>
      </c>
      <c r="J31" s="148">
        <f>'LE EIAData'!I23</f>
        <v>0.97012409558935375</v>
      </c>
      <c r="K31" s="148">
        <f>'LE EIAData'!L23</f>
        <v>331.51235626754573</v>
      </c>
      <c r="L31" s="148">
        <f>'LE EIAData'!J23</f>
        <v>465.03036657069157</v>
      </c>
      <c r="M31" s="148">
        <f t="shared" si="10"/>
        <v>418.5273299136224</v>
      </c>
      <c r="N31" s="148">
        <f>'LE EIAData'!K23</f>
        <v>418.50725969556311</v>
      </c>
      <c r="O31" s="148">
        <f>'LE EIAData'!M23</f>
        <v>319.29192758826025</v>
      </c>
      <c r="P31" s="148">
        <f>'LE EIAData'!N23</f>
        <v>69.270346446215157</v>
      </c>
      <c r="Q31" s="148">
        <f>'LE EIAData'!O23</f>
        <v>686.87307163244111</v>
      </c>
      <c r="R31" s="148">
        <f>'LE EIAData'!P23</f>
        <v>215.76662123037423</v>
      </c>
      <c r="S31" s="148">
        <f>'LE EIAData'!Q23</f>
        <v>649.73602395822979</v>
      </c>
      <c r="T31" s="148">
        <f>'LE EIAData'!R23</f>
        <v>1198.4258865858853</v>
      </c>
      <c r="U31" s="129">
        <f t="shared" si="12"/>
        <v>-5.9543126829254556E-3</v>
      </c>
      <c r="V31" s="233">
        <v>5031.9627347048136</v>
      </c>
      <c r="W31" s="129">
        <f t="shared" si="11"/>
        <v>2.0030994969399307E-2</v>
      </c>
      <c r="X31" s="237">
        <f>'LE EIAData'!S23</f>
        <v>5889.7412465591842</v>
      </c>
      <c r="Y31" s="129">
        <f t="shared" si="11"/>
        <v>2.2669861011842318E-2</v>
      </c>
    </row>
    <row r="32" spans="1:25" x14ac:dyDescent="0.2">
      <c r="A32" s="25">
        <v>2025</v>
      </c>
      <c r="B32" s="148">
        <v>3.4119999999999999</v>
      </c>
      <c r="C32" s="148">
        <f>'LE EIAData'!B24</f>
        <v>8.3275989943828534</v>
      </c>
      <c r="D32" s="148">
        <f>'LE EIAData'!C24</f>
        <v>3.6397010000000001</v>
      </c>
      <c r="E32" s="148">
        <f>'LE EIAData'!D24</f>
        <v>372.89261827547023</v>
      </c>
      <c r="F32" s="148">
        <f>'LE EIAData'!G24</f>
        <v>14.257660809486611</v>
      </c>
      <c r="G32" s="148">
        <f>'LE EIAData'!E24</f>
        <v>14.214877761536375</v>
      </c>
      <c r="H32" s="148">
        <f>'LE EIAData'!F24</f>
        <v>16.969263000000002</v>
      </c>
      <c r="I32" s="148">
        <f>'LE EIAData'!H24</f>
        <v>10.981582822701254</v>
      </c>
      <c r="J32" s="148">
        <f>'LE EIAData'!I24</f>
        <v>0.97538625690068848</v>
      </c>
      <c r="K32" s="148">
        <f>'LE EIAData'!L24</f>
        <v>330.5724525297955</v>
      </c>
      <c r="L32" s="148">
        <f>'LE EIAData'!J24</f>
        <v>460.59611535548845</v>
      </c>
      <c r="M32" s="148">
        <f t="shared" si="10"/>
        <v>414.53650381993964</v>
      </c>
      <c r="N32" s="148">
        <f>'LE EIAData'!K24</f>
        <v>416.42666994176869</v>
      </c>
      <c r="O32" s="148">
        <f>'LE EIAData'!M24</f>
        <v>317.48873805314884</v>
      </c>
      <c r="P32" s="148">
        <f>'LE EIAData'!N24</f>
        <v>69.088351765119057</v>
      </c>
      <c r="Q32" s="148">
        <f>'LE EIAData'!O24</f>
        <v>681.83158310216493</v>
      </c>
      <c r="R32" s="148">
        <f>'LE EIAData'!P24</f>
        <v>215.3838096456148</v>
      </c>
      <c r="S32" s="148">
        <f>'LE EIAData'!Q24</f>
        <v>651.11539399671483</v>
      </c>
      <c r="T32" s="148">
        <f>'LE EIAData'!R24</f>
        <v>1185.1242283098265</v>
      </c>
      <c r="U32" s="129">
        <f t="shared" si="12"/>
        <v>-1.109927482787687E-2</v>
      </c>
      <c r="V32" s="233">
        <v>5106.3784194892005</v>
      </c>
      <c r="W32" s="129">
        <f t="shared" si="11"/>
        <v>1.4788600136314889E-2</v>
      </c>
      <c r="X32" s="237">
        <f>'LE EIAData'!S24</f>
        <v>5991.41585105992</v>
      </c>
      <c r="Y32" s="129">
        <f t="shared" si="11"/>
        <v>1.7263000231145131E-2</v>
      </c>
    </row>
    <row r="33" spans="1:25" x14ac:dyDescent="0.2">
      <c r="A33" s="25">
        <f t="shared" ref="A33:A49" si="13">A32+1</f>
        <v>2026</v>
      </c>
      <c r="B33" s="148">
        <v>3.4119999999999999</v>
      </c>
      <c r="C33" s="326">
        <f>'LE EIAData'!B25</f>
        <v>8.3494125211931092</v>
      </c>
      <c r="D33" s="148">
        <f>'LE EIAData'!C25</f>
        <v>3.6560069999999998</v>
      </c>
      <c r="E33" s="148">
        <f>'LE EIAData'!D25</f>
        <v>363.40195405575997</v>
      </c>
      <c r="F33" s="148">
        <f>'LE EIAData'!G25</f>
        <v>14.30328424720304</v>
      </c>
      <c r="G33" s="148">
        <f>'LE EIAData'!E25</f>
        <v>14.258012834356226</v>
      </c>
      <c r="H33" s="148">
        <f>'LE EIAData'!F25</f>
        <v>17.085235999999998</v>
      </c>
      <c r="I33" s="148">
        <f>'LE EIAData'!H25</f>
        <v>11.012506139039157</v>
      </c>
      <c r="J33" s="148">
        <f>'LE EIAData'!I25</f>
        <v>0.98007867816816163</v>
      </c>
      <c r="K33" s="148">
        <f>'LE EIAData'!L25</f>
        <v>330.42019434888834</v>
      </c>
      <c r="L33" s="148">
        <f>'LE EIAData'!J25</f>
        <v>456.87448998397741</v>
      </c>
      <c r="M33" s="148">
        <f t="shared" si="10"/>
        <v>411.1870409855797</v>
      </c>
      <c r="N33" s="148">
        <f>'LE EIAData'!K25</f>
        <v>414.52127371504622</v>
      </c>
      <c r="O33" s="148">
        <f>'LE EIAData'!M25</f>
        <v>316.75906844902772</v>
      </c>
      <c r="P33" s="148">
        <f>'LE EIAData'!N25</f>
        <v>69.096914198654005</v>
      </c>
      <c r="Q33" s="148">
        <f>'LE EIAData'!O25</f>
        <v>679.14419471165479</v>
      </c>
      <c r="R33" s="148">
        <f>'LE EIAData'!P25</f>
        <v>215.32643186869478</v>
      </c>
      <c r="S33" s="148">
        <f>'LE EIAData'!Q25</f>
        <v>653.82267965171081</v>
      </c>
      <c r="T33" s="148">
        <f>'LE EIAData'!R25</f>
        <v>1174.6918590547461</v>
      </c>
      <c r="U33" s="129">
        <f t="shared" si="12"/>
        <v>-8.8027643059483962E-3</v>
      </c>
      <c r="V33" s="233">
        <v>5194.1820392811978</v>
      </c>
      <c r="W33" s="129">
        <f t="shared" si="11"/>
        <v>1.7194890895058323E-2</v>
      </c>
      <c r="X33" s="237">
        <f>'LE EIAData'!S25</f>
        <v>6091.6870853659957</v>
      </c>
      <c r="Y33" s="129">
        <f t="shared" si="11"/>
        <v>1.6735816174124674E-2</v>
      </c>
    </row>
    <row r="34" spans="1:25" x14ac:dyDescent="0.2">
      <c r="A34" s="25">
        <f t="shared" si="13"/>
        <v>2027</v>
      </c>
      <c r="B34" s="148">
        <v>3.4119999999999999</v>
      </c>
      <c r="C34" s="326">
        <f>'LE EIAData'!B26</f>
        <v>8.3668992443359684</v>
      </c>
      <c r="D34" s="148">
        <f>'LE EIAData'!C26</f>
        <v>3.6720199999999998</v>
      </c>
      <c r="E34" s="148">
        <f>'LE EIAData'!D26</f>
        <v>354.01670363087203</v>
      </c>
      <c r="F34" s="148">
        <f>'LE EIAData'!G26</f>
        <v>14.33977331883257</v>
      </c>
      <c r="G34" s="148">
        <f>'LE EIAData'!E26</f>
        <v>14.292741239117538</v>
      </c>
      <c r="H34" s="148">
        <f>'LE EIAData'!F26</f>
        <v>17.198823999999998</v>
      </c>
      <c r="I34" s="148">
        <f>'LE EIAData'!H26</f>
        <v>11.0365098007554</v>
      </c>
      <c r="J34" s="148">
        <f>'LE EIAData'!I26</f>
        <v>0.98429763655557467</v>
      </c>
      <c r="K34" s="148">
        <f>'LE EIAData'!L26</f>
        <v>330.22830310790187</v>
      </c>
      <c r="L34" s="148">
        <f>'LE EIAData'!J26</f>
        <v>453.87905072495818</v>
      </c>
      <c r="M34" s="148">
        <f t="shared" si="10"/>
        <v>408.49114565246236</v>
      </c>
      <c r="N34" s="148">
        <f>'LE EIAData'!K26</f>
        <v>412.76444890663794</v>
      </c>
      <c r="O34" s="148">
        <f>'LE EIAData'!M26</f>
        <v>316.18866387824568</v>
      </c>
      <c r="P34" s="148">
        <f>'LE EIAData'!N26</f>
        <v>69.102726492425504</v>
      </c>
      <c r="Q34" s="148">
        <f>'LE EIAData'!O26</f>
        <v>677.29312871746174</v>
      </c>
      <c r="R34" s="148">
        <f>'LE EIAData'!P26</f>
        <v>215.32191801218977</v>
      </c>
      <c r="S34" s="148">
        <f>'LE EIAData'!Q26</f>
        <v>656.22281892092496</v>
      </c>
      <c r="T34" s="148">
        <f>'LE EIAData'!R26</f>
        <v>1165.1227952647812</v>
      </c>
      <c r="U34" s="129">
        <f t="shared" si="12"/>
        <v>-8.1460203509582385E-3</v>
      </c>
      <c r="V34" s="233">
        <v>5275.6032530634193</v>
      </c>
      <c r="W34" s="129">
        <f t="shared" si="11"/>
        <v>1.567546404158926E-2</v>
      </c>
      <c r="X34" s="237">
        <f>'LE EIAData'!S26</f>
        <v>6194.6977557610198</v>
      </c>
      <c r="Y34" s="129">
        <f t="shared" si="11"/>
        <v>1.691003969039806E-2</v>
      </c>
    </row>
    <row r="35" spans="1:25" x14ac:dyDescent="0.2">
      <c r="A35" s="25">
        <f t="shared" si="13"/>
        <v>2028</v>
      </c>
      <c r="B35" s="148">
        <v>3.4119999999999999</v>
      </c>
      <c r="C35" s="326">
        <f>'LE EIAData'!B27</f>
        <v>8.3820133515158552</v>
      </c>
      <c r="D35" s="148">
        <f>'LE EIAData'!C27</f>
        <v>3.6878350000000002</v>
      </c>
      <c r="E35" s="148">
        <f>'LE EIAData'!D27</f>
        <v>345.61365104914455</v>
      </c>
      <c r="F35" s="148">
        <f>'LE EIAData'!G27</f>
        <v>14.371698710856524</v>
      </c>
      <c r="G35" s="148">
        <f>'LE EIAData'!E27</f>
        <v>14.322822084287804</v>
      </c>
      <c r="H35" s="148">
        <f>'LE EIAData'!F27</f>
        <v>17.310966000000001</v>
      </c>
      <c r="I35" s="148">
        <f>'LE EIAData'!H27</f>
        <v>11.053065298474133</v>
      </c>
      <c r="J35" s="148">
        <f>'LE EIAData'!I27</f>
        <v>0.98810952618150916</v>
      </c>
      <c r="K35" s="148">
        <f>'LE EIAData'!L27</f>
        <v>330.93029938973899</v>
      </c>
      <c r="L35" s="148">
        <f>'LE EIAData'!J27</f>
        <v>451.27329007356576</v>
      </c>
      <c r="M35" s="148">
        <f t="shared" si="10"/>
        <v>406.14596106620917</v>
      </c>
      <c r="N35" s="148">
        <f>'LE EIAData'!K27</f>
        <v>411.15410932159227</v>
      </c>
      <c r="O35" s="148">
        <f>'LE EIAData'!M27</f>
        <v>316.62927262134241</v>
      </c>
      <c r="P35" s="148">
        <f>'LE EIAData'!N27</f>
        <v>69.292832204904883</v>
      </c>
      <c r="Q35" s="148">
        <f>'LE EIAData'!O27</f>
        <v>677.47048870015078</v>
      </c>
      <c r="R35" s="148">
        <f>'LE EIAData'!P27</f>
        <v>215.97685260711106</v>
      </c>
      <c r="S35" s="148">
        <f>'LE EIAData'!Q27</f>
        <v>660.42299242267268</v>
      </c>
      <c r="T35" s="148">
        <f>'LE EIAData'!R27</f>
        <v>1159.4596184884074</v>
      </c>
      <c r="U35" s="129">
        <f t="shared" si="12"/>
        <v>-4.8605836220780851E-3</v>
      </c>
      <c r="V35" s="233">
        <v>5359.256897805185</v>
      </c>
      <c r="W35" s="129">
        <f t="shared" si="11"/>
        <v>1.5856697467382608E-2</v>
      </c>
      <c r="X35" s="237">
        <f>'LE EIAData'!S27</f>
        <v>6317.2391123234102</v>
      </c>
      <c r="Y35" s="129">
        <f t="shared" si="11"/>
        <v>1.9781652211914302E-2</v>
      </c>
    </row>
    <row r="36" spans="1:25" x14ac:dyDescent="0.2">
      <c r="A36" s="25">
        <f t="shared" si="13"/>
        <v>2029</v>
      </c>
      <c r="B36" s="148">
        <v>3.4119999999999999</v>
      </c>
      <c r="C36" s="326">
        <f>'LE EIAData'!B28</f>
        <v>8.3945062409389717</v>
      </c>
      <c r="D36" s="148">
        <f>'LE EIAData'!C28</f>
        <v>3.7035469999999999</v>
      </c>
      <c r="E36" s="148">
        <f>'LE EIAData'!D28</f>
        <v>335.31520701696746</v>
      </c>
      <c r="F36" s="148">
        <f>'LE EIAData'!G28</f>
        <v>14.398754962505095</v>
      </c>
      <c r="G36" s="148">
        <f>'LE EIAData'!E28</f>
        <v>14.347722981616645</v>
      </c>
      <c r="H36" s="148">
        <f>'LE EIAData'!F28</f>
        <v>17.422353999999999</v>
      </c>
      <c r="I36" s="148">
        <f>'LE EIAData'!H28</f>
        <v>11.06150710486053</v>
      </c>
      <c r="J36" s="148">
        <f>'LE EIAData'!I28</f>
        <v>0.99146862554272841</v>
      </c>
      <c r="K36" s="148">
        <f>'LE EIAData'!L28</f>
        <v>329.81921028319863</v>
      </c>
      <c r="L36" s="148">
        <f>'LE EIAData'!J28</f>
        <v>448.92414645913277</v>
      </c>
      <c r="M36" s="148">
        <f t="shared" si="10"/>
        <v>404.03173181321949</v>
      </c>
      <c r="N36" s="148">
        <f>'LE EIAData'!K28</f>
        <v>409.68696562672051</v>
      </c>
      <c r="O36" s="148">
        <f>'LE EIAData'!M28</f>
        <v>315.48431158699367</v>
      </c>
      <c r="P36" s="148">
        <f>'LE EIAData'!N28</f>
        <v>69.10064719926315</v>
      </c>
      <c r="Q36" s="148">
        <f>'LE EIAData'!O28</f>
        <v>674.29231234221595</v>
      </c>
      <c r="R36" s="148">
        <f>'LE EIAData'!P28</f>
        <v>215.54449635579306</v>
      </c>
      <c r="S36" s="148">
        <f>'LE EIAData'!Q28</f>
        <v>660.41878387762711</v>
      </c>
      <c r="T36" s="148">
        <f>'LE EIAData'!R28</f>
        <v>1148.3961477918631</v>
      </c>
      <c r="U36" s="129">
        <f t="shared" si="12"/>
        <v>-9.5419198048206644E-3</v>
      </c>
      <c r="V36" s="233">
        <v>5409.8047095777374</v>
      </c>
      <c r="W36" s="129">
        <f t="shared" si="11"/>
        <v>9.4318695178157164E-3</v>
      </c>
      <c r="X36" s="237">
        <f>'LE EIAData'!S28</f>
        <v>6396.5913263988132</v>
      </c>
      <c r="Y36" s="129">
        <f t="shared" si="11"/>
        <v>1.2561217434465366E-2</v>
      </c>
    </row>
    <row r="37" spans="1:25" x14ac:dyDescent="0.2">
      <c r="A37" s="25">
        <f t="shared" si="13"/>
        <v>2030</v>
      </c>
      <c r="B37" s="148">
        <v>3.4119999999999999</v>
      </c>
      <c r="C37" s="326">
        <f>'LE EIAData'!B29</f>
        <v>8.405648247040185</v>
      </c>
      <c r="D37" s="148">
        <f>'LE EIAData'!C29</f>
        <v>3.7192210000000001</v>
      </c>
      <c r="E37" s="148">
        <f>'LE EIAData'!D29</f>
        <v>326.32083832269967</v>
      </c>
      <c r="F37" s="148">
        <f>'LE EIAData'!G29</f>
        <v>14.421297347885083</v>
      </c>
      <c r="G37" s="148">
        <f>'LE EIAData'!E29</f>
        <v>14.374589757458491</v>
      </c>
      <c r="H37" s="148">
        <f>'LE EIAData'!F29</f>
        <v>17.533472</v>
      </c>
      <c r="I37" s="148">
        <f>'LE EIAData'!H29</f>
        <v>11.061324610560973</v>
      </c>
      <c r="J37" s="148">
        <f>'LE EIAData'!I29</f>
        <v>0.99435966112915053</v>
      </c>
      <c r="K37" s="148">
        <f>'LE EIAData'!L29</f>
        <v>329.70775549960115</v>
      </c>
      <c r="L37" s="148">
        <f>'LE EIAData'!J29</f>
        <v>446.81914432469313</v>
      </c>
      <c r="M37" s="148">
        <f t="shared" si="10"/>
        <v>402.13722989222384</v>
      </c>
      <c r="N37" s="148">
        <f>'LE EIAData'!K29</f>
        <v>408.35116049756937</v>
      </c>
      <c r="O37" s="148">
        <f>'LE EIAData'!M29</f>
        <v>315.35039504397855</v>
      </c>
      <c r="P37" s="148">
        <f>'LE EIAData'!N29</f>
        <v>69.099013800494049</v>
      </c>
      <c r="Q37" s="148">
        <f>'LE EIAData'!O29</f>
        <v>674.08999057112578</v>
      </c>
      <c r="R37" s="148">
        <f>'LE EIAData'!P29</f>
        <v>216.09082431746859</v>
      </c>
      <c r="S37" s="148">
        <f>'LE EIAData'!Q29</f>
        <v>661.87033342277857</v>
      </c>
      <c r="T37" s="148">
        <f>'LE EIAData'!R29</f>
        <v>1142.7026533663559</v>
      </c>
      <c r="U37" s="129">
        <f t="shared" si="12"/>
        <v>-4.9577791047581421E-3</v>
      </c>
      <c r="V37" s="233">
        <v>5480.87412810562</v>
      </c>
      <c r="W37" s="129">
        <f t="shared" si="11"/>
        <v>1.3137150478289561E-2</v>
      </c>
      <c r="X37" s="237">
        <f>'LE EIAData'!S29</f>
        <v>6512.5928463861974</v>
      </c>
      <c r="Y37" s="129">
        <f t="shared" si="11"/>
        <v>1.8134896238977127E-2</v>
      </c>
    </row>
    <row r="38" spans="1:25" x14ac:dyDescent="0.2">
      <c r="A38" s="25">
        <f t="shared" si="13"/>
        <v>2031</v>
      </c>
      <c r="B38" s="148">
        <v>3.4119999999999999</v>
      </c>
      <c r="C38" s="326">
        <f>'LE EIAData'!B30</f>
        <v>8.4157941304593287</v>
      </c>
      <c r="D38" s="148">
        <f>'LE EIAData'!C30</f>
        <v>3.7342439999999999</v>
      </c>
      <c r="E38" s="148">
        <f>'LE EIAData'!D30</f>
        <v>317.27929729435795</v>
      </c>
      <c r="F38" s="148">
        <f>'LE EIAData'!G30</f>
        <v>14.442716324292093</v>
      </c>
      <c r="G38" s="148">
        <f>'LE EIAData'!E30</f>
        <v>14.396076002539097</v>
      </c>
      <c r="H38" s="148">
        <f>'LE EIAData'!F30</f>
        <v>17.640267999999999</v>
      </c>
      <c r="I38" s="148">
        <f>'LE EIAData'!H30</f>
        <v>11.061161808558927</v>
      </c>
      <c r="J38" s="148">
        <f>'LE EIAData'!I30</f>
        <v>0.99678594057528325</v>
      </c>
      <c r="K38" s="148">
        <f>'LE EIAData'!L30</f>
        <v>329.59197692239553</v>
      </c>
      <c r="L38" s="148">
        <f>'LE EIAData'!J30</f>
        <v>444.93363732543077</v>
      </c>
      <c r="M38" s="148">
        <f>L38*0.9</f>
        <v>400.44027359288771</v>
      </c>
      <c r="N38" s="148">
        <f>'LE EIAData'!K30</f>
        <v>407.18001880876142</v>
      </c>
      <c r="O38" s="148">
        <f>'LE EIAData'!M30</f>
        <v>315.35075649430536</v>
      </c>
      <c r="P38" s="148">
        <f>'LE EIAData'!N30</f>
        <v>69.098269733041036</v>
      </c>
      <c r="Q38" s="148">
        <f>'LE EIAData'!O30</f>
        <v>673.74294545438158</v>
      </c>
      <c r="R38" s="148">
        <f>'LE EIAData'!P30</f>
        <v>216.56805681692848</v>
      </c>
      <c r="S38" s="148">
        <f>'LE EIAData'!Q30</f>
        <v>662.45367395940343</v>
      </c>
      <c r="T38" s="148">
        <f>'LE EIAData'!R30</f>
        <v>1138.2527795901376</v>
      </c>
      <c r="U38" s="129">
        <f t="shared" si="12"/>
        <v>-3.8941659609428303E-3</v>
      </c>
      <c r="V38" s="233">
        <v>5552.877196279107</v>
      </c>
      <c r="W38" s="129">
        <f t="shared" ref="W38:Y42" si="14">V38/V37-1</f>
        <v>1.3137150478289339E-2</v>
      </c>
      <c r="X38" s="237">
        <f>'LE EIAData'!S30</f>
        <v>6610.9367706067169</v>
      </c>
      <c r="Y38" s="129">
        <f t="shared" si="14"/>
        <v>1.5100579222465882E-2</v>
      </c>
    </row>
    <row r="39" spans="1:25" x14ac:dyDescent="0.2">
      <c r="A39" s="25">
        <f t="shared" si="13"/>
        <v>2032</v>
      </c>
      <c r="B39" s="148">
        <v>3.4119999999999999</v>
      </c>
      <c r="C39" s="326">
        <f>'LE EIAData'!B31</f>
        <v>8.4249576911533275</v>
      </c>
      <c r="D39" s="148">
        <f>'LE EIAData'!C31</f>
        <v>3.7486199999999998</v>
      </c>
      <c r="E39" s="148">
        <f>'LE EIAData'!D31</f>
        <v>309.0327885386979</v>
      </c>
      <c r="F39" s="148">
        <f>'LE EIAData'!G31</f>
        <v>14.463387768104882</v>
      </c>
      <c r="G39" s="148">
        <f>'LE EIAData'!E31</f>
        <v>14.415573627853872</v>
      </c>
      <c r="H39" s="148">
        <f>'LE EIAData'!F31</f>
        <v>17.742751999999999</v>
      </c>
      <c r="I39" s="148">
        <f>'LE EIAData'!H31</f>
        <v>11.060984269870238</v>
      </c>
      <c r="J39" s="148">
        <f>'LE EIAData'!I31</f>
        <v>0.99883765299838911</v>
      </c>
      <c r="K39" s="148">
        <f>'LE EIAData'!L31</f>
        <v>330.38425668389834</v>
      </c>
      <c r="L39" s="148">
        <f>'LE EIAData'!J31</f>
        <v>443.23224032927942</v>
      </c>
      <c r="M39" s="148">
        <f>L39*0.9</f>
        <v>398.90901629635147</v>
      </c>
      <c r="N39" s="148">
        <f>'LE EIAData'!K31</f>
        <v>406.16617227636692</v>
      </c>
      <c r="O39" s="148">
        <f>'LE EIAData'!M31</f>
        <v>316.21501157090557</v>
      </c>
      <c r="P39" s="148">
        <f>'LE EIAData'!N31</f>
        <v>69.287929119915759</v>
      </c>
      <c r="Q39" s="148">
        <f>'LE EIAData'!O31</f>
        <v>676.01698519000036</v>
      </c>
      <c r="R39" s="148">
        <f>'LE EIAData'!P31</f>
        <v>217.86563789678891</v>
      </c>
      <c r="S39" s="148">
        <f>'LE EIAData'!Q31</f>
        <v>664.09491960269349</v>
      </c>
      <c r="T39" s="148">
        <f>'LE EIAData'!R31</f>
        <v>1139.0083511970365</v>
      </c>
      <c r="U39" s="129">
        <f t="shared" si="12"/>
        <v>6.6379948324923888E-4</v>
      </c>
      <c r="V39" s="233">
        <v>5625.826179594088</v>
      </c>
      <c r="W39" s="129">
        <f t="shared" si="14"/>
        <v>1.3137150478289561E-2</v>
      </c>
      <c r="X39" s="237">
        <f>'LE EIAData'!S31</f>
        <v>6731.9791840402013</v>
      </c>
      <c r="Y39" s="129">
        <f t="shared" si="14"/>
        <v>1.8309419320369003E-2</v>
      </c>
    </row>
    <row r="40" spans="1:25" x14ac:dyDescent="0.2">
      <c r="A40" s="25">
        <f t="shared" si="13"/>
        <v>2033</v>
      </c>
      <c r="B40" s="148">
        <v>3.4119999999999999</v>
      </c>
      <c r="C40" s="326">
        <f>'LE EIAData'!B32</f>
        <v>8.4317027270645557</v>
      </c>
      <c r="D40" s="148">
        <f>'LE EIAData'!C32</f>
        <v>3.7624629999999999</v>
      </c>
      <c r="E40" s="148">
        <f>'LE EIAData'!D32</f>
        <v>299.08207866584496</v>
      </c>
      <c r="F40" s="148">
        <f>'LE EIAData'!G32</f>
        <v>14.479360058071141</v>
      </c>
      <c r="G40" s="148">
        <f>'LE EIAData'!E32</f>
        <v>14.430632056057418</v>
      </c>
      <c r="H40" s="148">
        <f>'LE EIAData'!F32</f>
        <v>17.841685999999999</v>
      </c>
      <c r="I40" s="148">
        <f>'LE EIAData'!H32</f>
        <v>11.060819877644116</v>
      </c>
      <c r="J40" s="148">
        <f>'LE EIAData'!I32</f>
        <v>1.000515791422204</v>
      </c>
      <c r="K40" s="148">
        <f>'LE EIAData'!L32</f>
        <v>329.30082876880681</v>
      </c>
      <c r="L40" s="148">
        <f>'LE EIAData'!J32</f>
        <v>441.72625620838903</v>
      </c>
      <c r="M40" s="148">
        <f>L40*0.9</f>
        <v>397.55363058755012</v>
      </c>
      <c r="N40" s="148">
        <f>'LE EIAData'!K32</f>
        <v>405.24884432213236</v>
      </c>
      <c r="O40" s="148">
        <f>'LE EIAData'!M32</f>
        <v>315.35133277187407</v>
      </c>
      <c r="P40" s="148">
        <f>'LE EIAData'!N32</f>
        <v>69.099841707048881</v>
      </c>
      <c r="Q40" s="148">
        <f>'LE EIAData'!O32</f>
        <v>674.18015291632946</v>
      </c>
      <c r="R40" s="148">
        <f>'LE EIAData'!P32</f>
        <v>217.82135298035433</v>
      </c>
      <c r="S40" s="148">
        <f>'LE EIAData'!Q32</f>
        <v>662.19985842912183</v>
      </c>
      <c r="T40" s="148">
        <f>'LE EIAData'!R32</f>
        <v>1133.2958452543965</v>
      </c>
      <c r="U40" s="129">
        <f t="shared" si="12"/>
        <v>-5.0153327994799657E-3</v>
      </c>
      <c r="V40" s="233">
        <v>5699.7335046801154</v>
      </c>
      <c r="W40" s="129">
        <f t="shared" si="14"/>
        <v>1.3137150478289339E-2</v>
      </c>
      <c r="X40" s="237">
        <f>'LE EIAData'!S32</f>
        <v>6806.7880342934886</v>
      </c>
      <c r="Y40" s="129">
        <f t="shared" si="14"/>
        <v>1.1112460126234458E-2</v>
      </c>
    </row>
    <row r="41" spans="1:25" x14ac:dyDescent="0.2">
      <c r="A41" s="25">
        <f t="shared" si="13"/>
        <v>2034</v>
      </c>
      <c r="B41" s="148">
        <v>3.4119999999999999</v>
      </c>
      <c r="C41" s="326">
        <f>'LE EIAData'!B33</f>
        <v>8.436276245805697</v>
      </c>
      <c r="D41" s="148">
        <f>'LE EIAData'!C33</f>
        <v>3.7758560000000001</v>
      </c>
      <c r="E41" s="148">
        <f>'LE EIAData'!D33</f>
        <v>289.94106646626875</v>
      </c>
      <c r="F41" s="148">
        <f>'LE EIAData'!G33</f>
        <v>14.490826281137791</v>
      </c>
      <c r="G41" s="148">
        <f>'LE EIAData'!E33</f>
        <v>14.441786791770996</v>
      </c>
      <c r="H41" s="148">
        <f>'LE EIAData'!F33</f>
        <v>17.937657999999999</v>
      </c>
      <c r="I41" s="148">
        <f>'LE EIAData'!H33</f>
        <v>11.060728336680551</v>
      </c>
      <c r="J41" s="148">
        <f>'LE EIAData'!I33</f>
        <v>1.0017630316729063</v>
      </c>
      <c r="K41" s="148">
        <f>'LE EIAData'!L33</f>
        <v>329.08521921166783</v>
      </c>
      <c r="L41" s="148">
        <f>'LE EIAData'!J33</f>
        <v>440.43760058613827</v>
      </c>
      <c r="M41" s="148">
        <f>L41*0.9</f>
        <v>396.39384052752445</v>
      </c>
      <c r="N41" s="148">
        <f>'LE EIAData'!K33</f>
        <v>404.44344892440404</v>
      </c>
      <c r="O41" s="148">
        <f>'LE EIAData'!M33</f>
        <v>315.35172316890521</v>
      </c>
      <c r="P41" s="148">
        <f>'LE EIAData'!N33</f>
        <v>69.101084056966499</v>
      </c>
      <c r="Q41" s="148">
        <f>'LE EIAData'!O33</f>
        <v>674.11916095875756</v>
      </c>
      <c r="R41" s="148">
        <f>'LE EIAData'!P33</f>
        <v>218.30877179722594</v>
      </c>
      <c r="S41" s="148">
        <f>'LE EIAData'!Q33</f>
        <v>662.10923900502735</v>
      </c>
      <c r="T41" s="148">
        <f>'LE EIAData'!R33</f>
        <v>1130.9268049418979</v>
      </c>
      <c r="U41" s="129">
        <f t="shared" si="12"/>
        <v>-2.0903988331191226E-3</v>
      </c>
      <c r="V41" s="233">
        <v>5774.6117614172472</v>
      </c>
      <c r="W41" s="129">
        <f t="shared" si="14"/>
        <v>1.3137150478289561E-2</v>
      </c>
      <c r="X41" s="237">
        <f>'LE EIAData'!S33</f>
        <v>6899.8315882134048</v>
      </c>
      <c r="Y41" s="129">
        <f t="shared" si="14"/>
        <v>1.3669230399294241E-2</v>
      </c>
    </row>
    <row r="42" spans="1:25" x14ac:dyDescent="0.2">
      <c r="A42" s="25">
        <f t="shared" si="13"/>
        <v>2035</v>
      </c>
      <c r="B42" s="148">
        <v>3.4119999999999999</v>
      </c>
      <c r="C42" s="326">
        <f>'LE EIAData'!B34</f>
        <v>8.4384683863519196</v>
      </c>
      <c r="D42" s="148">
        <f>'LE EIAData'!C34</f>
        <v>3.7888030000000001</v>
      </c>
      <c r="E42" s="148">
        <f>'LE EIAData'!D34</f>
        <v>281.05143254228147</v>
      </c>
      <c r="F42" s="148">
        <f>'LE EIAData'!G34</f>
        <v>14.497546310944491</v>
      </c>
      <c r="G42" s="148">
        <f>'LE EIAData'!E34</f>
        <v>14.448640967099756</v>
      </c>
      <c r="H42" s="148">
        <f>'LE EIAData'!F34</f>
        <v>18.030645</v>
      </c>
      <c r="I42" s="148">
        <f>'LE EIAData'!H34</f>
        <v>11.060691187179341</v>
      </c>
      <c r="J42" s="148">
        <f>'LE EIAData'!I34</f>
        <v>1.0025683368435454</v>
      </c>
      <c r="K42" s="148">
        <f>'LE EIAData'!L34</f>
        <v>329.01940173233208</v>
      </c>
      <c r="L42" s="148">
        <f>'LE EIAData'!J34</f>
        <v>439.3508566860047</v>
      </c>
      <c r="M42" s="148">
        <f>L42*0.9</f>
        <v>395.41577101740427</v>
      </c>
      <c r="N42" s="148">
        <f>'LE EIAData'!K34</f>
        <v>403.74965954711087</v>
      </c>
      <c r="O42" s="148">
        <f>'LE EIAData'!M34</f>
        <v>315.35202464956387</v>
      </c>
      <c r="P42" s="148">
        <f>'LE EIAData'!N34</f>
        <v>69.102773757170596</v>
      </c>
      <c r="Q42" s="148">
        <f>'LE EIAData'!O34</f>
        <v>675.82131711470868</v>
      </c>
      <c r="R42" s="148">
        <f>'LE EIAData'!P34</f>
        <v>219.32918139597865</v>
      </c>
      <c r="S42" s="148">
        <f>'LE EIAData'!Q34</f>
        <v>661.47069408085599</v>
      </c>
      <c r="T42" s="148">
        <f>'LE EIAData'!R34</f>
        <v>1131.8971653838944</v>
      </c>
      <c r="U42" s="129">
        <f t="shared" si="12"/>
        <v>8.5802232094622788E-4</v>
      </c>
      <c r="V42" s="233">
        <v>5850.4737050806871</v>
      </c>
      <c r="W42" s="129">
        <f t="shared" si="14"/>
        <v>1.3137150478289783E-2</v>
      </c>
      <c r="X42" s="237">
        <f>'LE EIAData'!S34</f>
        <v>7007.5833776881846</v>
      </c>
      <c r="Y42" s="129">
        <f t="shared" si="14"/>
        <v>1.5616582534977441E-2</v>
      </c>
    </row>
    <row r="43" spans="1:25" x14ac:dyDescent="0.2">
      <c r="A43" s="25">
        <f t="shared" si="13"/>
        <v>2036</v>
      </c>
      <c r="B43" s="148">
        <v>3.4119999999999999</v>
      </c>
      <c r="C43" s="326">
        <f>'LE EIAData'!B35</f>
        <v>8.4406605268981423</v>
      </c>
      <c r="D43" s="148">
        <f>'LE EIAData'!C35</f>
        <v>3.8017500000000002</v>
      </c>
      <c r="E43" s="148">
        <f>'LE EIAData'!D35</f>
        <v>272.43435604613853</v>
      </c>
      <c r="F43" s="148">
        <f>'LE EIAData'!G35</f>
        <v>14.504266340751192</v>
      </c>
      <c r="G43" s="148">
        <f>'LE EIAData'!E35</f>
        <v>14.455495142428516</v>
      </c>
      <c r="H43" s="148">
        <f>'LE EIAData'!F35</f>
        <v>18.123632000000001</v>
      </c>
      <c r="I43" s="148">
        <f>'LE EIAData'!H35</f>
        <v>11.06065403767813</v>
      </c>
      <c r="J43" s="148">
        <f>'LE EIAData'!I35</f>
        <v>1.0033736420141846</v>
      </c>
      <c r="K43" s="148">
        <f>'LE EIAData'!L35</f>
        <v>328.95359741657933</v>
      </c>
      <c r="L43" s="148">
        <f>'LE EIAData'!J35</f>
        <v>438.26411278587113</v>
      </c>
      <c r="M43" s="148">
        <f t="shared" ref="M43:M49" si="15">L43*0.9</f>
        <v>394.43770150728403</v>
      </c>
      <c r="N43" s="148">
        <f>'LE EIAData'!K35</f>
        <v>403.05587016981769</v>
      </c>
      <c r="O43" s="148">
        <f>'LE EIAData'!M35</f>
        <v>315.35232613051073</v>
      </c>
      <c r="P43" s="148">
        <f>'LE EIAData'!N35</f>
        <v>69.104463498692226</v>
      </c>
      <c r="Q43" s="148">
        <f>'LE EIAData'!O35</f>
        <v>677.52777122827206</v>
      </c>
      <c r="R43" s="148">
        <f>'LE EIAData'!P35</f>
        <v>220.35436054998397</v>
      </c>
      <c r="S43" s="148">
        <f>'LE EIAData'!Q35</f>
        <v>660.83276497594238</v>
      </c>
      <c r="T43" s="148">
        <f>'LE EIAData'!R35</f>
        <v>1132.8683584168095</v>
      </c>
      <c r="U43" s="327"/>
      <c r="V43" s="233">
        <v>5927.3322585136057</v>
      </c>
      <c r="W43" s="129">
        <f>V43/V42-1</f>
        <v>1.3137150478289117E-2</v>
      </c>
      <c r="X43" s="237">
        <f>'LE EIAData'!S35</f>
        <v>7117.0178818765871</v>
      </c>
      <c r="Y43" s="129">
        <f>X43/X42-1</f>
        <v>1.5616582534977219E-2</v>
      </c>
    </row>
    <row r="44" spans="1:25" x14ac:dyDescent="0.2">
      <c r="A44" s="25">
        <f t="shared" si="13"/>
        <v>2037</v>
      </c>
      <c r="B44" s="148">
        <v>3.4119999999999999</v>
      </c>
      <c r="C44" s="326">
        <f>'LE EIAData'!B36</f>
        <v>8.4428526674443649</v>
      </c>
      <c r="D44" s="148">
        <f>'LE EIAData'!C36</f>
        <v>3.8146970000000002</v>
      </c>
      <c r="E44" s="148">
        <f>'LE EIAData'!D36</f>
        <v>264.08148032872396</v>
      </c>
      <c r="F44" s="148">
        <f>'LE EIAData'!G36</f>
        <v>14.510986370557893</v>
      </c>
      <c r="G44" s="148">
        <f>'LE EIAData'!E36</f>
        <v>14.462349317757276</v>
      </c>
      <c r="H44" s="148">
        <f>'LE EIAData'!F36</f>
        <v>18.216619000000001</v>
      </c>
      <c r="I44" s="148">
        <f>'LE EIAData'!H36</f>
        <v>11.06061688817692</v>
      </c>
      <c r="J44" s="148">
        <f>'LE EIAData'!I36</f>
        <v>1.0041789471848237</v>
      </c>
      <c r="K44" s="148">
        <f>'LE EIAData'!L36</f>
        <v>328.88780626177669</v>
      </c>
      <c r="L44" s="148">
        <f>'LE EIAData'!J36</f>
        <v>437.17736888573756</v>
      </c>
      <c r="M44" s="148">
        <f t="shared" si="15"/>
        <v>393.4596319971638</v>
      </c>
      <c r="N44" s="148">
        <f>'LE EIAData'!K36</f>
        <v>402.36208079252452</v>
      </c>
      <c r="O44" s="148">
        <f>'LE EIAData'!M36</f>
        <v>315.35262761174585</v>
      </c>
      <c r="P44" s="148">
        <f>'LE EIAData'!N36</f>
        <v>69.106153281532414</v>
      </c>
      <c r="Q44" s="148">
        <f>'LE EIAData'!O36</f>
        <v>679.23853415182384</v>
      </c>
      <c r="R44" s="148">
        <f>'LE EIAData'!P36</f>
        <v>221.38433155289479</v>
      </c>
      <c r="S44" s="148">
        <f>'LE EIAData'!Q36</f>
        <v>660.19545109638432</v>
      </c>
      <c r="T44" s="148">
        <f>'LE EIAData'!R36</f>
        <v>1133.8403847550246</v>
      </c>
      <c r="U44" s="327"/>
      <c r="V44" s="233">
        <v>6005.2005143285196</v>
      </c>
      <c r="W44" s="129">
        <f t="shared" si="12"/>
        <v>1.3137150478289783E-2</v>
      </c>
      <c r="X44" s="237">
        <f>'LE EIAData'!S36</f>
        <v>7228.1613790318224</v>
      </c>
      <c r="Y44" s="129">
        <f t="shared" si="12"/>
        <v>1.5616582534977441E-2</v>
      </c>
    </row>
    <row r="45" spans="1:25" x14ac:dyDescent="0.2">
      <c r="A45" s="25">
        <f t="shared" si="13"/>
        <v>2038</v>
      </c>
      <c r="B45" s="148">
        <v>3.4119999999999999</v>
      </c>
      <c r="C45" s="326">
        <f>'LE EIAData'!B37</f>
        <v>8.4450448079905875</v>
      </c>
      <c r="D45" s="148">
        <f>'LE EIAData'!C37</f>
        <v>3.8276440000000003</v>
      </c>
      <c r="E45" s="148">
        <f>'LE EIAData'!D37</f>
        <v>255.98470495696014</v>
      </c>
      <c r="F45" s="148">
        <f>'LE EIAData'!G37</f>
        <v>14.517706400364593</v>
      </c>
      <c r="G45" s="148">
        <f>'LE EIAData'!E37</f>
        <v>14.469203493086036</v>
      </c>
      <c r="H45" s="148">
        <f>'LE EIAData'!F37</f>
        <v>18.309606000000002</v>
      </c>
      <c r="I45" s="148">
        <f>'LE EIAData'!H37</f>
        <v>11.06057973867571</v>
      </c>
      <c r="J45" s="148">
        <f>'LE EIAData'!I37</f>
        <v>1.0049842523554628</v>
      </c>
      <c r="K45" s="148">
        <f>'LE EIAData'!L37</f>
        <v>328.8220282652922</v>
      </c>
      <c r="L45" s="148">
        <f>'LE EIAData'!J37</f>
        <v>436.09062498560399</v>
      </c>
      <c r="M45" s="148">
        <f t="shared" si="15"/>
        <v>392.48156248704362</v>
      </c>
      <c r="N45" s="148">
        <f>'LE EIAData'!K37</f>
        <v>401.66829141523135</v>
      </c>
      <c r="O45" s="148">
        <f>'LE EIAData'!M37</f>
        <v>315.35292909326915</v>
      </c>
      <c r="P45" s="148">
        <f>'LE EIAData'!N37</f>
        <v>69.107843105692154</v>
      </c>
      <c r="Q45" s="148">
        <f>'LE EIAData'!O37</f>
        <v>680.95361676514312</v>
      </c>
      <c r="R45" s="148">
        <f>'LE EIAData'!P37</f>
        <v>222.41911680256794</v>
      </c>
      <c r="S45" s="148">
        <f>'LE EIAData'!Q37</f>
        <v>659.55875184885201</v>
      </c>
      <c r="T45" s="148">
        <f>'LE EIAData'!R37</f>
        <v>1134.813245113535</v>
      </c>
      <c r="U45" s="327"/>
      <c r="V45" s="233">
        <v>6084.0917371375544</v>
      </c>
      <c r="W45" s="129">
        <f t="shared" ref="W45:Y49" si="16">V45/V44-1</f>
        <v>1.3137150478289339E-2</v>
      </c>
      <c r="X45" s="237">
        <f>'LE EIAData'!S37</f>
        <v>7341.0405577836091</v>
      </c>
      <c r="Y45" s="129">
        <f t="shared" si="16"/>
        <v>1.5616582534977441E-2</v>
      </c>
    </row>
    <row r="46" spans="1:25" x14ac:dyDescent="0.2">
      <c r="A46" s="25">
        <f t="shared" si="13"/>
        <v>2039</v>
      </c>
      <c r="B46" s="148">
        <v>3.4119999999999999</v>
      </c>
      <c r="C46" s="326">
        <f>'LE EIAData'!B38</f>
        <v>8.4472369485368102</v>
      </c>
      <c r="D46" s="148">
        <f>'LE EIAData'!C38</f>
        <v>3.8405910000000003</v>
      </c>
      <c r="E46" s="148">
        <f>'LE EIAData'!D38</f>
        <v>248.13617785818846</v>
      </c>
      <c r="F46" s="148">
        <f>'LE EIAData'!G38</f>
        <v>14.524426430171294</v>
      </c>
      <c r="G46" s="148">
        <f>'LE EIAData'!E38</f>
        <v>14.476057668414796</v>
      </c>
      <c r="H46" s="148">
        <f>'LE EIAData'!F38</f>
        <v>18.402593000000003</v>
      </c>
      <c r="I46" s="148">
        <f>'LE EIAData'!H38</f>
        <v>11.060542589174499</v>
      </c>
      <c r="J46" s="148">
        <f>'LE EIAData'!I38</f>
        <v>1.005789557526102</v>
      </c>
      <c r="K46" s="148">
        <f>'LE EIAData'!L38</f>
        <v>328.75626342449397</v>
      </c>
      <c r="L46" s="148">
        <f>'LE EIAData'!J38</f>
        <v>435.00388108547043</v>
      </c>
      <c r="M46" s="148">
        <f t="shared" si="15"/>
        <v>391.50349297692338</v>
      </c>
      <c r="N46" s="148">
        <f>'LE EIAData'!K38</f>
        <v>400.97450203793818</v>
      </c>
      <c r="O46" s="148">
        <f>'LE EIAData'!M38</f>
        <v>315.35323057508066</v>
      </c>
      <c r="P46" s="148">
        <f>'LE EIAData'!N38</f>
        <v>69.10953297117247</v>
      </c>
      <c r="Q46" s="148">
        <f>'LE EIAData'!O38</f>
        <v>682.67302997548063</v>
      </c>
      <c r="R46" s="148">
        <f>'LE EIAData'!P38</f>
        <v>223.45873880155131</v>
      </c>
      <c r="S46" s="148">
        <f>'LE EIAData'!Q38</f>
        <v>658.9226666405882</v>
      </c>
      <c r="T46" s="148">
        <f>'LE EIAData'!R38</f>
        <v>1135.7869402079475</v>
      </c>
      <c r="U46" s="327"/>
      <c r="V46" s="233">
        <v>6164.0193658120461</v>
      </c>
      <c r="W46" s="129">
        <f t="shared" si="16"/>
        <v>1.3137150478289117E-2</v>
      </c>
      <c r="X46" s="237">
        <f>'LE EIAData'!S38</f>
        <v>7455.6825235468532</v>
      </c>
      <c r="Y46" s="129">
        <f t="shared" si="16"/>
        <v>1.5616582534977441E-2</v>
      </c>
    </row>
    <row r="47" spans="1:25" x14ac:dyDescent="0.2">
      <c r="A47" s="25">
        <f t="shared" si="13"/>
        <v>2040</v>
      </c>
      <c r="B47" s="148">
        <v>3.4119999999999999</v>
      </c>
      <c r="C47" s="326">
        <f>'LE EIAData'!B39</f>
        <v>8.4494290890830328</v>
      </c>
      <c r="D47" s="148">
        <f>'LE EIAData'!C39</f>
        <v>3.8535380000000004</v>
      </c>
      <c r="E47" s="148">
        <f>'LE EIAData'!D39</f>
        <v>240.52828770540347</v>
      </c>
      <c r="F47" s="148">
        <f>'LE EIAData'!G39</f>
        <v>14.531146459977995</v>
      </c>
      <c r="G47" s="148">
        <f>'LE EIAData'!E39</f>
        <v>14.482911843743556</v>
      </c>
      <c r="H47" s="148">
        <f>'LE EIAData'!F39</f>
        <v>18.495580000000004</v>
      </c>
      <c r="I47" s="148">
        <f>'LE EIAData'!H39</f>
        <v>11.060505439673289</v>
      </c>
      <c r="J47" s="148">
        <f>'LE EIAData'!I39</f>
        <v>1.0065948626967411</v>
      </c>
      <c r="K47" s="148">
        <f>'LE EIAData'!L39</f>
        <v>328.69051173675098</v>
      </c>
      <c r="L47" s="148">
        <f>'LE EIAData'!J39</f>
        <v>433.91713718533686</v>
      </c>
      <c r="M47" s="148">
        <f t="shared" si="15"/>
        <v>390.5254234668032</v>
      </c>
      <c r="N47" s="148">
        <f>'LE EIAData'!K39</f>
        <v>400.28071266064501</v>
      </c>
      <c r="O47" s="148">
        <f>'LE EIAData'!M39</f>
        <v>315.35353205718042</v>
      </c>
      <c r="P47" s="148">
        <f>'LE EIAData'!N39</f>
        <v>69.111222877974356</v>
      </c>
      <c r="Q47" s="148">
        <f>'LE EIAData'!O39</f>
        <v>684.39678471762738</v>
      </c>
      <c r="R47" s="148">
        <f>'LE EIAData'!P39</f>
        <v>224.50322015757334</v>
      </c>
      <c r="S47" s="148">
        <f>'LE EIAData'!Q39</f>
        <v>658.28719487940702</v>
      </c>
      <c r="T47" s="148">
        <f>'LE EIAData'!R39</f>
        <v>1136.7614707544849</v>
      </c>
      <c r="U47" s="327"/>
      <c r="V47" s="233">
        <v>6244.9970157718099</v>
      </c>
      <c r="W47" s="129">
        <f t="shared" si="16"/>
        <v>1.3137150478289561E-2</v>
      </c>
      <c r="X47" s="237">
        <f>'LE EIAData'!S39</f>
        <v>7572.1148050304091</v>
      </c>
      <c r="Y47" s="129">
        <f t="shared" si="16"/>
        <v>1.5616582534977219E-2</v>
      </c>
    </row>
    <row r="48" spans="1:25" x14ac:dyDescent="0.2">
      <c r="A48" s="25">
        <f t="shared" si="13"/>
        <v>2041</v>
      </c>
      <c r="B48" s="148">
        <v>3.4119999999999999</v>
      </c>
      <c r="C48" s="326">
        <f>'LE EIAData'!B40</f>
        <v>8.4516212296292554</v>
      </c>
      <c r="D48" s="148">
        <f>'LE EIAData'!C40</f>
        <v>3.8664850000000004</v>
      </c>
      <c r="E48" s="148">
        <f>'LE EIAData'!D40</f>
        <v>233.15365653595757</v>
      </c>
      <c r="F48" s="148">
        <f>'LE EIAData'!G40</f>
        <v>14.537866489784696</v>
      </c>
      <c r="G48" s="148">
        <f>'LE EIAData'!E40</f>
        <v>14.489766019072317</v>
      </c>
      <c r="H48" s="148">
        <f>'LE EIAData'!F40</f>
        <v>18.588567000000005</v>
      </c>
      <c r="I48" s="148">
        <f>'LE EIAData'!H40</f>
        <v>11.060468290172079</v>
      </c>
      <c r="J48" s="148">
        <f>'LE EIAData'!I40</f>
        <v>1.0074001678673803</v>
      </c>
      <c r="K48" s="148">
        <f>'LE EIAData'!L40</f>
        <v>328.62477319943252</v>
      </c>
      <c r="L48" s="148">
        <f>'LE EIAData'!J40</f>
        <v>432.83039328520329</v>
      </c>
      <c r="M48" s="148">
        <f t="shared" si="15"/>
        <v>389.54735395668297</v>
      </c>
      <c r="N48" s="148">
        <f>'LE EIAData'!K40</f>
        <v>399.58692328335184</v>
      </c>
      <c r="O48" s="148">
        <f>'LE EIAData'!M40</f>
        <v>315.35383353956837</v>
      </c>
      <c r="P48" s="148">
        <f>'LE EIAData'!N40</f>
        <v>69.112912826098835</v>
      </c>
      <c r="Q48" s="148">
        <f>'LE EIAData'!O40</f>
        <v>686.12489195398507</v>
      </c>
      <c r="R48" s="148">
        <f>'LE EIAData'!P40</f>
        <v>225.55258358403458</v>
      </c>
      <c r="S48" s="148">
        <f>'LE EIAData'!Q40</f>
        <v>657.65233597369388</v>
      </c>
      <c r="T48" s="148">
        <f>'LE EIAData'!R40</f>
        <v>1137.7368374699838</v>
      </c>
      <c r="U48" s="327"/>
      <c r="V48" s="233">
        <v>6327.0384813044739</v>
      </c>
      <c r="W48" s="129">
        <f t="shared" si="16"/>
        <v>1.3137150478289561E-2</v>
      </c>
      <c r="X48" s="237">
        <f>'LE EIAData'!S40</f>
        <v>7690.3653608474915</v>
      </c>
      <c r="Y48" s="129">
        <f t="shared" si="16"/>
        <v>1.5616582534977441E-2</v>
      </c>
    </row>
    <row r="49" spans="1:25" x14ac:dyDescent="0.2">
      <c r="A49" s="25">
        <f t="shared" si="13"/>
        <v>2042</v>
      </c>
      <c r="B49" s="148">
        <v>3.4119999999999999</v>
      </c>
      <c r="C49" s="326">
        <f>'LE EIAData'!B41</f>
        <v>8.4538133701754781</v>
      </c>
      <c r="D49" s="148">
        <f>'LE EIAData'!C41</f>
        <v>3.8794320000000004</v>
      </c>
      <c r="E49" s="148">
        <f>'LE EIAData'!D41</f>
        <v>226.00513259657671</v>
      </c>
      <c r="F49" s="148">
        <f>'LE EIAData'!G41</f>
        <v>14.544586519591396</v>
      </c>
      <c r="G49" s="148">
        <f>'LE EIAData'!E41</f>
        <v>14.496620194401077</v>
      </c>
      <c r="H49" s="148">
        <f>'LE EIAData'!F41</f>
        <v>18.681554000000006</v>
      </c>
      <c r="I49" s="148">
        <f>'LE EIAData'!H41</f>
        <v>11.060431140670868</v>
      </c>
      <c r="J49" s="148">
        <f>'LE EIAData'!I41</f>
        <v>1.0082054730380194</v>
      </c>
      <c r="K49" s="148">
        <f>'LE EIAData'!L41</f>
        <v>328.55904780990846</v>
      </c>
      <c r="L49" s="148">
        <f>'LE EIAData'!J41</f>
        <v>431.74364938506972</v>
      </c>
      <c r="M49" s="148">
        <f t="shared" si="15"/>
        <v>388.56928444656273</v>
      </c>
      <c r="N49" s="148">
        <f>'LE EIAData'!K41</f>
        <v>398.89313390605867</v>
      </c>
      <c r="O49" s="148">
        <f>'LE EIAData'!M41</f>
        <v>315.35413502224458</v>
      </c>
      <c r="P49" s="148">
        <f>'LE EIAData'!N41</f>
        <v>69.114602815546931</v>
      </c>
      <c r="Q49" s="148">
        <f>'LE EIAData'!O41</f>
        <v>687.85736267463608</v>
      </c>
      <c r="R49" s="148">
        <f>'LE EIAData'!P41</f>
        <v>226.60685190050145</v>
      </c>
      <c r="S49" s="148">
        <f>'LE EIAData'!Q41</f>
        <v>657.01808933240477</v>
      </c>
      <c r="T49" s="148">
        <f>'LE EIAData'!R41</f>
        <v>1138.7130410718958</v>
      </c>
      <c r="U49" s="327"/>
      <c r="V49" s="233">
        <f>V48*(1+1.3%)</f>
        <v>6409.289981561431</v>
      </c>
      <c r="W49" s="129">
        <f t="shared" si="16"/>
        <v>1.2999999999999901E-2</v>
      </c>
      <c r="X49" s="237">
        <f>'LE EIAData'!S41</f>
        <v>7810.4625862292987</v>
      </c>
      <c r="Y49" s="129">
        <f t="shared" si="16"/>
        <v>1.5616582534977441E-2</v>
      </c>
    </row>
    <row r="50" spans="1:25" x14ac:dyDescent="0.2">
      <c r="A50" s="25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233"/>
      <c r="W50" s="129"/>
      <c r="X50" s="227"/>
      <c r="Y50" s="129"/>
    </row>
    <row r="51" spans="1:25" x14ac:dyDescent="0.2">
      <c r="A51" s="25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233"/>
      <c r="W51" s="129"/>
      <c r="X51" s="227"/>
      <c r="Y51" s="129"/>
    </row>
    <row r="52" spans="1:25" x14ac:dyDescent="0.2">
      <c r="A52" s="21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3"/>
      <c r="N52" s="43"/>
      <c r="O52" s="43"/>
      <c r="P52" s="43"/>
      <c r="Q52" s="43"/>
      <c r="R52" s="42"/>
      <c r="S52" s="42"/>
      <c r="T52" s="43"/>
      <c r="U52" s="43"/>
      <c r="V52" s="234"/>
      <c r="X52" s="9"/>
    </row>
    <row r="53" spans="1:25" x14ac:dyDescent="0.2">
      <c r="A53" s="6" t="s">
        <v>60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3"/>
      <c r="N53" s="43"/>
      <c r="O53" s="43"/>
      <c r="P53" s="43"/>
      <c r="Q53" s="43"/>
      <c r="R53" s="42"/>
      <c r="S53" s="42"/>
      <c r="T53" s="43"/>
      <c r="U53" s="43"/>
      <c r="V53" s="234"/>
      <c r="X53" s="9"/>
    </row>
    <row r="54" spans="1:25" x14ac:dyDescent="0.2">
      <c r="A54" s="4"/>
      <c r="B54" s="146">
        <f>'LE EIAData'!BM5</f>
        <v>919.42622512873572</v>
      </c>
      <c r="C54" s="146">
        <f>'LE EIAData'!BM6</f>
        <v>419.02273861957627</v>
      </c>
      <c r="D54" s="146">
        <f>'LE EIAData'!BM7</f>
        <v>9.3617691669558436</v>
      </c>
      <c r="E54" s="146">
        <f>'LE EIAData'!BM8</f>
        <v>99.288857847414221</v>
      </c>
      <c r="F54" s="146">
        <f>'LE EIAData'!BM9</f>
        <v>2867.3528083353372</v>
      </c>
      <c r="G54" s="146">
        <f>'LE EIAData'!BM10</f>
        <v>664.72661555983632</v>
      </c>
      <c r="H54" s="146">
        <f>'LE EIAData'!BM11</f>
        <v>16.593761083819938</v>
      </c>
      <c r="I54" s="146">
        <f>'LE EIAData'!BM12</f>
        <v>441.04921947836539</v>
      </c>
      <c r="J54" s="146">
        <f>'LE EIAData'!BM13</f>
        <v>2140.6778173055504</v>
      </c>
      <c r="K54" s="146">
        <f>'LE EIAData'!BM14</f>
        <v>577.37892028181773</v>
      </c>
      <c r="L54" s="146">
        <f>'LE EIAData'!BM15</f>
        <v>700.24053059204186</v>
      </c>
      <c r="M54" s="146">
        <f>'LE EIAData'!BM16</f>
        <v>126.93230458107493</v>
      </c>
      <c r="N54" s="146">
        <f>'LE EIAData'!BM17</f>
        <v>256.70980569080206</v>
      </c>
      <c r="O54" s="146">
        <f>'LE EIAData'!BM18</f>
        <v>270.38996609675911</v>
      </c>
      <c r="P54" s="146">
        <f>'LE EIAData'!BM19</f>
        <v>104.85742253450763</v>
      </c>
      <c r="Q54" s="146">
        <f>'LE EIAData'!BM20</f>
        <v>799.48297387048819</v>
      </c>
      <c r="R54" s="146">
        <f>'LE EIAData'!BM21</f>
        <v>761.06376265813969</v>
      </c>
      <c r="S54" s="146">
        <f>'LE EIAData'!BM22</f>
        <v>240.27945680490217</v>
      </c>
      <c r="T54" s="146">
        <f>'LE EIAData'!BM23</f>
        <v>2120.0988833208048</v>
      </c>
      <c r="U54" s="146"/>
      <c r="V54" s="235">
        <v>3129.8778002153022</v>
      </c>
      <c r="X54" s="44">
        <v>4138.583394638028</v>
      </c>
    </row>
  </sheetData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view="pageBreakPreview" zoomScale="60" zoomScaleNormal="100" workbookViewId="0">
      <pane xSplit="1" ySplit="1" topLeftCell="B2" activePane="bottomRight" state="frozenSplit"/>
      <selection activeCell="P1" sqref="P1:Q15"/>
      <selection pane="topRight" activeCell="P1" sqref="P1:Q15"/>
      <selection pane="bottomLeft" activeCell="P1" sqref="P1:Q15"/>
      <selection pane="bottomRight" activeCell="Q7" sqref="Q7"/>
    </sheetView>
  </sheetViews>
  <sheetFormatPr defaultColWidth="9.140625" defaultRowHeight="12.75" x14ac:dyDescent="0.2"/>
  <cols>
    <col min="1" max="1" width="5" style="17" bestFit="1" customWidth="1"/>
    <col min="2" max="2" width="8" style="16" bestFit="1" customWidth="1"/>
    <col min="3" max="3" width="8.28515625" style="16" bestFit="1" customWidth="1"/>
    <col min="4" max="4" width="8.42578125" style="16" bestFit="1" customWidth="1"/>
    <col min="5" max="5" width="2.28515625" style="16" customWidth="1"/>
    <col min="6" max="6" width="13.85546875" style="16" bestFit="1" customWidth="1"/>
    <col min="7" max="7" width="9.140625" style="16"/>
    <col min="8" max="8" width="7.5703125" style="16" bestFit="1" customWidth="1"/>
    <col min="9" max="9" width="11.5703125" style="16" bestFit="1" customWidth="1"/>
    <col min="10" max="10" width="6.85546875" style="329" customWidth="1"/>
    <col min="11" max="11" width="13.85546875" style="48" bestFit="1" customWidth="1"/>
    <col min="12" max="12" width="11.140625" style="48" customWidth="1"/>
    <col min="13" max="13" width="14.42578125" style="52" bestFit="1" customWidth="1"/>
    <col min="14" max="14" width="14.28515625" style="52" bestFit="1" customWidth="1"/>
    <col min="15" max="15" width="10.140625" style="48" bestFit="1" customWidth="1"/>
    <col min="16" max="16" width="10" style="48" bestFit="1" customWidth="1"/>
    <col min="17" max="17" width="12.5703125" style="52" bestFit="1" customWidth="1"/>
    <col min="18" max="18" width="12.42578125" style="17" bestFit="1" customWidth="1"/>
    <col min="19" max="16384" width="9.140625" style="17"/>
  </cols>
  <sheetData>
    <row r="1" spans="1:18" s="19" customFormat="1" ht="25.5" x14ac:dyDescent="0.2">
      <c r="A1" s="19" t="s">
        <v>15</v>
      </c>
      <c r="B1" s="107" t="s">
        <v>138</v>
      </c>
      <c r="C1" s="108" t="s">
        <v>139</v>
      </c>
      <c r="D1" s="108" t="s">
        <v>140</v>
      </c>
      <c r="E1" s="45"/>
      <c r="F1" s="46" t="s">
        <v>107</v>
      </c>
      <c r="G1" s="46" t="s">
        <v>108</v>
      </c>
      <c r="H1" s="46" t="s">
        <v>109</v>
      </c>
      <c r="I1" s="47" t="s">
        <v>110</v>
      </c>
      <c r="J1" s="328"/>
      <c r="K1" s="48" t="s">
        <v>111</v>
      </c>
      <c r="L1" s="48" t="s">
        <v>112</v>
      </c>
      <c r="M1" s="52" t="s">
        <v>141</v>
      </c>
      <c r="N1" s="52" t="s">
        <v>142</v>
      </c>
      <c r="O1" s="48" t="s">
        <v>143</v>
      </c>
      <c r="P1" s="48"/>
      <c r="Q1" s="52"/>
      <c r="R1" s="52" t="s">
        <v>144</v>
      </c>
    </row>
    <row r="2" spans="1:18" x14ac:dyDescent="0.2">
      <c r="A2" s="17">
        <v>1995</v>
      </c>
      <c r="K2" s="330">
        <f t="shared" ref="K2:K11" si="0">(K3/K4)*K3</f>
        <v>1332.6541440036592</v>
      </c>
      <c r="L2" s="330">
        <f t="shared" ref="L2:L37" si="1">892 + 1.44*K2</f>
        <v>2811.0219673652691</v>
      </c>
      <c r="M2" s="134">
        <v>1.0769109708374249</v>
      </c>
      <c r="N2" s="135">
        <v>1.02</v>
      </c>
      <c r="O2" s="330">
        <f t="shared" ref="O2:O49" si="2">L2*M2</f>
        <v>3027.2203959206604</v>
      </c>
      <c r="P2" s="330">
        <f t="shared" ref="P2" si="3">L2*N2</f>
        <v>2867.2424067125744</v>
      </c>
      <c r="Q2" s="331">
        <f t="shared" ref="Q2" si="4">O2/$O$12</f>
        <v>0.97605593235971511</v>
      </c>
      <c r="R2" s="332">
        <f t="shared" ref="R2:R49" si="5">P2/P$12</f>
        <v>0.92447479686527023</v>
      </c>
    </row>
    <row r="3" spans="1:18" x14ac:dyDescent="0.2">
      <c r="A3" s="17">
        <v>1996</v>
      </c>
      <c r="K3" s="330">
        <f t="shared" si="0"/>
        <v>1351.5699151142167</v>
      </c>
      <c r="L3" s="330">
        <f t="shared" si="1"/>
        <v>2838.2606777644719</v>
      </c>
      <c r="M3" s="134">
        <v>1.0705869871632039</v>
      </c>
      <c r="N3" s="135">
        <v>1.018</v>
      </c>
      <c r="O3" s="330">
        <f t="shared" si="2"/>
        <v>3038.604947791659</v>
      </c>
      <c r="P3" s="330">
        <f t="shared" ref="P3:P15" si="6">L3*N3</f>
        <v>2889.3493699642322</v>
      </c>
      <c r="Q3" s="331">
        <f t="shared" ref="Q3:Q15" si="7">O3/$O$12</f>
        <v>0.97972661302965214</v>
      </c>
      <c r="R3" s="332">
        <f t="shared" si="5"/>
        <v>0.93160266659596969</v>
      </c>
    </row>
    <row r="4" spans="1:18" x14ac:dyDescent="0.2">
      <c r="A4" s="17">
        <v>1997</v>
      </c>
      <c r="B4" s="50"/>
      <c r="C4" s="50"/>
      <c r="D4" s="50"/>
      <c r="E4" s="50"/>
      <c r="F4" s="109"/>
      <c r="I4" s="50"/>
      <c r="K4" s="330">
        <f t="shared" si="0"/>
        <v>1370.7541777897588</v>
      </c>
      <c r="L4" s="330">
        <f t="shared" si="1"/>
        <v>2865.8860160172526</v>
      </c>
      <c r="M4" s="134">
        <v>1.0638591592086974</v>
      </c>
      <c r="N4" s="135">
        <v>1.016</v>
      </c>
      <c r="O4" s="330">
        <f t="shared" si="2"/>
        <v>3048.899087388078</v>
      </c>
      <c r="P4" s="330">
        <f t="shared" si="6"/>
        <v>2911.7401922735285</v>
      </c>
      <c r="Q4" s="331">
        <f t="shared" si="7"/>
        <v>0.98304571593843393</v>
      </c>
      <c r="R4" s="332">
        <f t="shared" si="5"/>
        <v>0.93882205999555535</v>
      </c>
    </row>
    <row r="5" spans="1:18" x14ac:dyDescent="0.2">
      <c r="A5" s="17">
        <v>1998</v>
      </c>
      <c r="B5" s="50"/>
      <c r="C5" s="50"/>
      <c r="D5" s="50"/>
      <c r="E5" s="50"/>
      <c r="I5" s="50"/>
      <c r="K5" s="330">
        <f t="shared" si="0"/>
        <v>1390.2107430153123</v>
      </c>
      <c r="L5" s="330">
        <f t="shared" si="1"/>
        <v>2893.9034699420499</v>
      </c>
      <c r="M5" s="134">
        <v>1.05674953017865</v>
      </c>
      <c r="N5" s="135">
        <v>1.014</v>
      </c>
      <c r="O5" s="330">
        <f t="shared" si="2"/>
        <v>3058.1311322436263</v>
      </c>
      <c r="P5" s="330">
        <f t="shared" si="6"/>
        <v>2934.4181185212387</v>
      </c>
      <c r="Q5" s="331">
        <f t="shared" si="7"/>
        <v>0.98602237140798998</v>
      </c>
      <c r="R5" s="332">
        <f t="shared" si="5"/>
        <v>0.94613402329942375</v>
      </c>
    </row>
    <row r="6" spans="1:18" x14ac:dyDescent="0.2">
      <c r="A6" s="17">
        <v>1999</v>
      </c>
      <c r="B6" s="50"/>
      <c r="C6" s="50"/>
      <c r="D6" s="50"/>
      <c r="E6" s="50"/>
      <c r="I6" s="50"/>
      <c r="K6" s="330">
        <f t="shared" si="0"/>
        <v>1409.9434758692487</v>
      </c>
      <c r="L6" s="330">
        <f t="shared" si="1"/>
        <v>2922.3186052517181</v>
      </c>
      <c r="M6" s="134">
        <v>1.0492894712926248</v>
      </c>
      <c r="N6" s="135">
        <v>1.012</v>
      </c>
      <c r="O6" s="330">
        <f t="shared" si="2"/>
        <v>3066.3581442531763</v>
      </c>
      <c r="P6" s="330">
        <f t="shared" si="6"/>
        <v>2957.3864285147388</v>
      </c>
      <c r="Q6" s="331">
        <f t="shared" si="7"/>
        <v>0.98867497770264134</v>
      </c>
      <c r="R6" s="332">
        <f t="shared" si="5"/>
        <v>0.95353961400423082</v>
      </c>
    </row>
    <row r="7" spans="1:18" x14ac:dyDescent="0.2">
      <c r="A7" s="17">
        <v>2000</v>
      </c>
      <c r="B7" s="50"/>
      <c r="C7" s="50"/>
      <c r="D7" s="50"/>
      <c r="E7" s="50"/>
      <c r="I7" s="50"/>
      <c r="K7" s="330">
        <f t="shared" si="0"/>
        <v>1429.9562962910888</v>
      </c>
      <c r="L7" s="330">
        <f t="shared" si="1"/>
        <v>2951.1370666591679</v>
      </c>
      <c r="M7" s="134">
        <v>1.0415196731996021</v>
      </c>
      <c r="N7" s="135">
        <v>1.01</v>
      </c>
      <c r="O7" s="330">
        <f t="shared" si="2"/>
        <v>3073.6673132340889</v>
      </c>
      <c r="P7" s="330">
        <f t="shared" si="6"/>
        <v>2980.6484373257595</v>
      </c>
      <c r="Q7" s="331">
        <f t="shared" si="7"/>
        <v>0.99103164712586966</v>
      </c>
      <c r="R7" s="332">
        <f t="shared" si="5"/>
        <v>0.96103990097679381</v>
      </c>
    </row>
    <row r="8" spans="1:18" x14ac:dyDescent="0.2">
      <c r="A8" s="17">
        <v>2001</v>
      </c>
      <c r="B8" s="117"/>
      <c r="C8" s="117"/>
      <c r="D8" s="117"/>
      <c r="E8" s="39"/>
      <c r="F8" s="39"/>
      <c r="G8" s="39"/>
      <c r="H8" s="39"/>
      <c r="I8" s="333"/>
      <c r="K8" s="330">
        <f t="shared" si="0"/>
        <v>1450.2531798602051</v>
      </c>
      <c r="L8" s="330">
        <f t="shared" si="1"/>
        <v>2980.3645789986954</v>
      </c>
      <c r="M8" s="134">
        <v>1.0334896671545859</v>
      </c>
      <c r="N8" s="135">
        <v>1.008</v>
      </c>
      <c r="O8" s="330">
        <f t="shared" si="2"/>
        <v>3080.1759967486792</v>
      </c>
      <c r="P8" s="330">
        <f t="shared" si="6"/>
        <v>3004.2074956306851</v>
      </c>
      <c r="Q8" s="331">
        <f t="shared" si="7"/>
        <v>0.99313021886013397</v>
      </c>
      <c r="R8" s="332">
        <f t="shared" si="5"/>
        <v>0.96863596456381185</v>
      </c>
    </row>
    <row r="9" spans="1:18" x14ac:dyDescent="0.2">
      <c r="A9" s="17">
        <v>2002</v>
      </c>
      <c r="B9" s="118"/>
      <c r="C9" s="118"/>
      <c r="D9" s="118"/>
      <c r="E9" s="51"/>
      <c r="F9" s="39"/>
      <c r="G9" s="39"/>
      <c r="H9" s="39"/>
      <c r="I9" s="333"/>
      <c r="K9" s="330">
        <f t="shared" si="0"/>
        <v>1470.8381585855766</v>
      </c>
      <c r="L9" s="330">
        <f t="shared" si="1"/>
        <v>3010.0069483632301</v>
      </c>
      <c r="M9" s="134">
        <v>1.0252568484637279</v>
      </c>
      <c r="N9" s="135">
        <v>1.006</v>
      </c>
      <c r="O9" s="330">
        <f t="shared" si="2"/>
        <v>3086.030237732808</v>
      </c>
      <c r="P9" s="330">
        <f t="shared" si="6"/>
        <v>3028.0669900534094</v>
      </c>
      <c r="Q9" s="331">
        <f t="shared" si="7"/>
        <v>0.9950177810111166</v>
      </c>
      <c r="R9" s="332">
        <f t="shared" si="5"/>
        <v>0.97632889670241185</v>
      </c>
    </row>
    <row r="10" spans="1:18" x14ac:dyDescent="0.2">
      <c r="A10" s="17">
        <v>2003</v>
      </c>
      <c r="B10" s="118"/>
      <c r="C10" s="118"/>
      <c r="D10" s="118"/>
      <c r="E10" s="51"/>
      <c r="F10" s="39"/>
      <c r="G10" s="39"/>
      <c r="H10" s="39"/>
      <c r="I10" s="333"/>
      <c r="K10" s="330">
        <f t="shared" si="0"/>
        <v>1491.7153217067546</v>
      </c>
      <c r="L10" s="330">
        <f t="shared" si="1"/>
        <v>3040.0700632577264</v>
      </c>
      <c r="M10" s="134">
        <v>1.0168850184771556</v>
      </c>
      <c r="N10" s="135">
        <v>1.004</v>
      </c>
      <c r="O10" s="330">
        <f t="shared" si="2"/>
        <v>3091.4017024476807</v>
      </c>
      <c r="P10" s="330">
        <f t="shared" si="6"/>
        <v>3052.2303435107574</v>
      </c>
      <c r="Q10" s="331">
        <f t="shared" si="7"/>
        <v>0.99674968332238445</v>
      </c>
      <c r="R10" s="332">
        <f t="shared" si="5"/>
        <v>0.98411980103152208</v>
      </c>
    </row>
    <row r="11" spans="1:18" x14ac:dyDescent="0.2">
      <c r="A11" s="17">
        <v>2004</v>
      </c>
      <c r="B11" s="118"/>
      <c r="C11" s="118"/>
      <c r="D11" s="118"/>
      <c r="E11" s="51"/>
      <c r="F11" s="39"/>
      <c r="G11" s="39"/>
      <c r="H11" s="39"/>
      <c r="I11" s="333"/>
      <c r="K11" s="330">
        <f t="shared" si="0"/>
        <v>1512.8888165061965</v>
      </c>
      <c r="L11" s="330">
        <f t="shared" si="1"/>
        <v>3070.5598957689226</v>
      </c>
      <c r="M11" s="136">
        <v>1.0084425092385778</v>
      </c>
      <c r="N11" s="135">
        <v>1.002</v>
      </c>
      <c r="O11" s="330">
        <f t="shared" si="2"/>
        <v>3096.4831260565584</v>
      </c>
      <c r="P11" s="330">
        <f t="shared" si="6"/>
        <v>3076.7010155604603</v>
      </c>
      <c r="Q11" s="331">
        <f t="shared" si="7"/>
        <v>0.998388068708847</v>
      </c>
      <c r="R11" s="332">
        <f t="shared" si="5"/>
        <v>0.99200979300406811</v>
      </c>
    </row>
    <row r="12" spans="1:18" x14ac:dyDescent="0.2">
      <c r="A12" s="17">
        <v>2005</v>
      </c>
      <c r="B12" s="123">
        <f>B13*(B13/B14)</f>
        <v>9274.3641366420943</v>
      </c>
      <c r="C12" s="123">
        <f>C13*(C13/C14)</f>
        <v>579.32232704402509</v>
      </c>
      <c r="D12" s="123">
        <f>D13*(D13/D14)</f>
        <v>722.29920212765956</v>
      </c>
      <c r="E12" s="51"/>
      <c r="F12" s="139">
        <v>5438660</v>
      </c>
      <c r="G12" s="139">
        <v>729591</v>
      </c>
      <c r="H12" s="139">
        <v>724503</v>
      </c>
      <c r="I12" s="333">
        <f>(F12+G12+H12)</f>
        <v>6892754</v>
      </c>
      <c r="K12" s="330">
        <f t="shared" ref="K12:K37" si="8">(SUM(B12:D12)*1000000)/I12</f>
        <v>1534.3628491331301</v>
      </c>
      <c r="L12" s="330">
        <f t="shared" si="1"/>
        <v>3101.4825027517072</v>
      </c>
      <c r="M12" s="115">
        <v>1</v>
      </c>
      <c r="N12" s="115">
        <v>1</v>
      </c>
      <c r="O12" s="330">
        <f t="shared" si="2"/>
        <v>3101.4825027517072</v>
      </c>
      <c r="P12" s="330">
        <f t="shared" si="6"/>
        <v>3101.4825027517072</v>
      </c>
      <c r="Q12" s="331">
        <f t="shared" si="7"/>
        <v>1</v>
      </c>
      <c r="R12" s="332">
        <f t="shared" si="5"/>
        <v>1</v>
      </c>
    </row>
    <row r="13" spans="1:18" x14ac:dyDescent="0.2">
      <c r="A13" s="17">
        <v>2006</v>
      </c>
      <c r="B13" s="140">
        <v>9451</v>
      </c>
      <c r="C13" s="140">
        <v>607</v>
      </c>
      <c r="D13" s="140">
        <v>737</v>
      </c>
      <c r="E13" s="51"/>
      <c r="F13" s="139">
        <v>5479696</v>
      </c>
      <c r="G13" s="139">
        <v>738675</v>
      </c>
      <c r="H13" s="139">
        <v>718658</v>
      </c>
      <c r="I13" s="333">
        <f t="shared" ref="I13:I49" si="9">(F13+G13+H13)</f>
        <v>6937029</v>
      </c>
      <c r="J13" s="329">
        <f>I13/I12-1</f>
        <v>6.423412180385446E-3</v>
      </c>
      <c r="K13" s="330">
        <f t="shared" si="8"/>
        <v>1556.1416854391123</v>
      </c>
      <c r="L13" s="330">
        <f t="shared" si="1"/>
        <v>3132.8440270323217</v>
      </c>
      <c r="M13" s="115">
        <v>0.98675200000000007</v>
      </c>
      <c r="N13" s="115">
        <v>0.98675200000000007</v>
      </c>
      <c r="O13" s="330">
        <f t="shared" si="2"/>
        <v>3091.3401093621978</v>
      </c>
      <c r="P13" s="330">
        <f t="shared" si="6"/>
        <v>3091.3401093621978</v>
      </c>
      <c r="Q13" s="331">
        <f t="shared" si="7"/>
        <v>0.99672982408235067</v>
      </c>
      <c r="R13" s="332">
        <f t="shared" si="5"/>
        <v>0.99672982408235067</v>
      </c>
    </row>
    <row r="14" spans="1:18" x14ac:dyDescent="0.2">
      <c r="A14" s="17">
        <v>2007</v>
      </c>
      <c r="B14" s="140">
        <v>9631</v>
      </c>
      <c r="C14" s="140">
        <v>636</v>
      </c>
      <c r="D14" s="140">
        <v>752</v>
      </c>
      <c r="E14" s="51"/>
      <c r="F14" s="139">
        <v>5530456</v>
      </c>
      <c r="G14" s="139">
        <v>754291</v>
      </c>
      <c r="H14" s="139">
        <v>718645</v>
      </c>
      <c r="I14" s="333">
        <f t="shared" si="9"/>
        <v>7003392</v>
      </c>
      <c r="J14" s="329">
        <f t="shared" ref="J14:J49" si="10">I14/I13-1</f>
        <v>9.5664873247611748E-3</v>
      </c>
      <c r="K14" s="330">
        <f t="shared" si="8"/>
        <v>1573.3804419344226</v>
      </c>
      <c r="L14" s="330">
        <f t="shared" si="1"/>
        <v>3157.6678363855685</v>
      </c>
      <c r="M14" s="137">
        <v>0.97367950950400017</v>
      </c>
      <c r="N14" s="137">
        <v>0.97367950950400017</v>
      </c>
      <c r="O14" s="330">
        <f t="shared" si="2"/>
        <v>3074.5564701084577</v>
      </c>
      <c r="P14" s="330">
        <f t="shared" si="6"/>
        <v>3074.5564701084577</v>
      </c>
      <c r="Q14" s="331">
        <f t="shared" si="7"/>
        <v>0.99131833482234377</v>
      </c>
      <c r="R14" s="332">
        <f t="shared" si="5"/>
        <v>0.99131833482234377</v>
      </c>
    </row>
    <row r="15" spans="1:18" x14ac:dyDescent="0.2">
      <c r="A15" s="17">
        <v>2008</v>
      </c>
      <c r="B15" s="140">
        <v>9742</v>
      </c>
      <c r="C15" s="140">
        <v>664</v>
      </c>
      <c r="D15" s="140">
        <v>764</v>
      </c>
      <c r="E15" s="51"/>
      <c r="F15" s="139">
        <v>5554271</v>
      </c>
      <c r="G15" s="139">
        <v>769767</v>
      </c>
      <c r="H15" s="139">
        <v>717115</v>
      </c>
      <c r="I15" s="333">
        <f t="shared" si="9"/>
        <v>7041153</v>
      </c>
      <c r="J15" s="329">
        <f t="shared" si="10"/>
        <v>5.3918158515187109E-3</v>
      </c>
      <c r="K15" s="330">
        <f t="shared" si="8"/>
        <v>1586.3879111844324</v>
      </c>
      <c r="L15" s="330">
        <f t="shared" si="1"/>
        <v>3176.3985921055823</v>
      </c>
      <c r="M15" s="137">
        <v>0.96660054966217168</v>
      </c>
      <c r="N15" s="137">
        <v>0.97097535534007362</v>
      </c>
      <c r="O15" s="330">
        <f t="shared" si="2"/>
        <v>3070.3086250754041</v>
      </c>
      <c r="P15" s="330">
        <f t="shared" si="6"/>
        <v>3084.2047516714274</v>
      </c>
      <c r="Q15" s="331">
        <f t="shared" si="7"/>
        <v>0.9899487172187349</v>
      </c>
      <c r="R15" s="332">
        <f t="shared" si="5"/>
        <v>0.9944291960167595</v>
      </c>
    </row>
    <row r="16" spans="1:18" x14ac:dyDescent="0.2">
      <c r="A16" s="17">
        <v>2009</v>
      </c>
      <c r="B16" s="140">
        <v>9881</v>
      </c>
      <c r="C16" s="140">
        <v>684</v>
      </c>
      <c r="D16" s="140">
        <v>777</v>
      </c>
      <c r="E16" s="51"/>
      <c r="F16" s="139">
        <v>5589344</v>
      </c>
      <c r="G16" s="139">
        <v>780233</v>
      </c>
      <c r="H16" s="139">
        <v>716683</v>
      </c>
      <c r="I16" s="333">
        <f t="shared" si="9"/>
        <v>7086260</v>
      </c>
      <c r="J16" s="329">
        <f t="shared" si="10"/>
        <v>6.4061951217364577E-3</v>
      </c>
      <c r="K16" s="330">
        <f t="shared" si="8"/>
        <v>1600.5622147649112</v>
      </c>
      <c r="L16" s="330">
        <f t="shared" si="1"/>
        <v>3196.809589261472</v>
      </c>
      <c r="M16" s="137">
        <v>0.95605790735749019</v>
      </c>
      <c r="N16" s="137">
        <v>0.96629608857490634</v>
      </c>
      <c r="O16" s="330">
        <f t="shared" si="2"/>
        <v>3056.3350861296808</v>
      </c>
      <c r="P16" s="330">
        <f t="shared" ref="P16:P37" si="11">L16*N16</f>
        <v>3089.0646020221134</v>
      </c>
      <c r="Q16" s="331">
        <f t="shared" ref="Q16:Q49" si="12">O16/$O$12</f>
        <v>0.98544327863143821</v>
      </c>
      <c r="R16" s="332">
        <f t="shared" si="5"/>
        <v>0.99599614032367545</v>
      </c>
    </row>
    <row r="17" spans="1:18" x14ac:dyDescent="0.2">
      <c r="A17" s="17">
        <v>2010</v>
      </c>
      <c r="B17" s="140">
        <v>10097</v>
      </c>
      <c r="C17" s="140">
        <v>707</v>
      </c>
      <c r="D17" s="140">
        <v>797</v>
      </c>
      <c r="E17" s="51"/>
      <c r="F17" s="139">
        <v>5656276</v>
      </c>
      <c r="G17" s="139">
        <v>792543</v>
      </c>
      <c r="H17" s="139">
        <v>720945</v>
      </c>
      <c r="I17" s="333">
        <f t="shared" si="9"/>
        <v>7169764</v>
      </c>
      <c r="J17" s="329">
        <f t="shared" si="10"/>
        <v>1.1783931156915006E-2</v>
      </c>
      <c r="K17" s="330">
        <f t="shared" si="8"/>
        <v>1618.0448896225873</v>
      </c>
      <c r="L17" s="330">
        <f t="shared" si="1"/>
        <v>3221.9846410565256</v>
      </c>
      <c r="M17" s="137">
        <v>0.94352048505307318</v>
      </c>
      <c r="N17" s="137">
        <v>0.9609157818434253</v>
      </c>
      <c r="O17" s="330">
        <f t="shared" si="2"/>
        <v>3040.0085113632049</v>
      </c>
      <c r="P17" s="330">
        <f t="shared" si="11"/>
        <v>3096.0558904483391</v>
      </c>
      <c r="Q17" s="331">
        <f t="shared" si="12"/>
        <v>0.98017915905249786</v>
      </c>
      <c r="R17" s="332">
        <f t="shared" si="5"/>
        <v>0.99825031664742481</v>
      </c>
    </row>
    <row r="18" spans="1:18" x14ac:dyDescent="0.2">
      <c r="A18" s="17">
        <v>2011</v>
      </c>
      <c r="B18" s="140">
        <v>10326</v>
      </c>
      <c r="C18" s="140">
        <v>732</v>
      </c>
      <c r="D18" s="140">
        <v>812</v>
      </c>
      <c r="E18" s="51"/>
      <c r="F18" s="139">
        <v>5728091</v>
      </c>
      <c r="G18" s="139">
        <v>805973</v>
      </c>
      <c r="H18" s="139">
        <v>721935</v>
      </c>
      <c r="I18" s="333">
        <f t="shared" si="9"/>
        <v>7255999</v>
      </c>
      <c r="J18" s="329">
        <f t="shared" si="10"/>
        <v>1.2027592540005516E-2</v>
      </c>
      <c r="K18" s="330">
        <f t="shared" si="8"/>
        <v>1635.8877667982038</v>
      </c>
      <c r="L18" s="330">
        <f t="shared" si="1"/>
        <v>3247.6783841894135</v>
      </c>
      <c r="M18" s="137">
        <v>0.93637147790517428</v>
      </c>
      <c r="N18" s="137">
        <v>0.95830363292472109</v>
      </c>
      <c r="O18" s="330">
        <f t="shared" si="2"/>
        <v>3041.0334083641296</v>
      </c>
      <c r="P18" s="330">
        <f t="shared" si="11"/>
        <v>3112.2619941398029</v>
      </c>
      <c r="Q18" s="331">
        <f t="shared" si="12"/>
        <v>0.98050961295640204</v>
      </c>
      <c r="R18" s="332">
        <f t="shared" si="5"/>
        <v>1.0034755931650532</v>
      </c>
    </row>
    <row r="19" spans="1:18" x14ac:dyDescent="0.2">
      <c r="A19" s="17">
        <v>2012</v>
      </c>
      <c r="B19" s="140">
        <v>10495</v>
      </c>
      <c r="C19" s="140">
        <v>750</v>
      </c>
      <c r="D19" s="140">
        <v>826</v>
      </c>
      <c r="E19" s="51"/>
      <c r="F19" s="139">
        <v>5775463</v>
      </c>
      <c r="G19" s="139">
        <v>814693</v>
      </c>
      <c r="H19" s="139">
        <v>722055</v>
      </c>
      <c r="I19" s="333">
        <f t="shared" si="9"/>
        <v>7312211</v>
      </c>
      <c r="J19" s="329">
        <f t="shared" si="10"/>
        <v>7.746969094124756E-3</v>
      </c>
      <c r="K19" s="330">
        <f t="shared" si="8"/>
        <v>1650.8002846197955</v>
      </c>
      <c r="L19" s="330">
        <f t="shared" si="1"/>
        <v>3269.1524098525056</v>
      </c>
      <c r="M19" s="137">
        <v>0.92953088800042116</v>
      </c>
      <c r="N19" s="137">
        <v>0.95636352231894539</v>
      </c>
      <c r="O19" s="330">
        <f t="shared" si="2"/>
        <v>3038.7781425389162</v>
      </c>
      <c r="P19" s="330">
        <f t="shared" si="11"/>
        <v>3126.4981136840106</v>
      </c>
      <c r="Q19" s="331">
        <f t="shared" si="12"/>
        <v>0.97978245559755428</v>
      </c>
      <c r="R19" s="332">
        <f t="shared" si="5"/>
        <v>1.0080656946831423</v>
      </c>
    </row>
    <row r="20" spans="1:18" x14ac:dyDescent="0.2">
      <c r="A20" s="17">
        <v>2013</v>
      </c>
      <c r="B20" s="140">
        <v>10675</v>
      </c>
      <c r="C20" s="140">
        <v>771</v>
      </c>
      <c r="D20" s="140">
        <v>840</v>
      </c>
      <c r="E20" s="51"/>
      <c r="F20" s="139">
        <v>5827188</v>
      </c>
      <c r="G20" s="139">
        <v>824978</v>
      </c>
      <c r="H20" s="139">
        <v>723003</v>
      </c>
      <c r="I20" s="333">
        <f t="shared" si="9"/>
        <v>7375169</v>
      </c>
      <c r="J20" s="329">
        <f t="shared" si="10"/>
        <v>8.6099813038764683E-3</v>
      </c>
      <c r="K20" s="330">
        <f t="shared" si="8"/>
        <v>1665.8601314763093</v>
      </c>
      <c r="L20" s="330">
        <f t="shared" si="1"/>
        <v>3290.8385893258856</v>
      </c>
      <c r="M20" s="137">
        <v>0.92293075899710353</v>
      </c>
      <c r="N20" s="137">
        <v>0.95501844563607519</v>
      </c>
      <c r="O20" s="330">
        <f t="shared" si="2"/>
        <v>3037.2161569834971</v>
      </c>
      <c r="P20" s="330">
        <f t="shared" si="11"/>
        <v>3142.8115544172215</v>
      </c>
      <c r="Q20" s="331">
        <f t="shared" si="12"/>
        <v>0.97927883013649386</v>
      </c>
      <c r="R20" s="332">
        <f t="shared" si="5"/>
        <v>1.0133255795023335</v>
      </c>
    </row>
    <row r="21" spans="1:18" x14ac:dyDescent="0.2">
      <c r="A21" s="17">
        <v>2014</v>
      </c>
      <c r="B21" s="140">
        <v>10842</v>
      </c>
      <c r="C21" s="140">
        <v>792</v>
      </c>
      <c r="D21" s="140">
        <v>855</v>
      </c>
      <c r="E21" s="51"/>
      <c r="F21" s="139">
        <v>5873515</v>
      </c>
      <c r="G21" s="139">
        <v>835435</v>
      </c>
      <c r="H21" s="139">
        <v>724335</v>
      </c>
      <c r="I21" s="333">
        <f t="shared" si="9"/>
        <v>7433285</v>
      </c>
      <c r="J21" s="329">
        <f t="shared" si="10"/>
        <v>7.8799550220476355E-3</v>
      </c>
      <c r="K21" s="330">
        <f t="shared" si="8"/>
        <v>1680.1454538605744</v>
      </c>
      <c r="L21" s="330">
        <f t="shared" si="1"/>
        <v>3311.4094535592271</v>
      </c>
      <c r="M21" s="137">
        <v>0.91627417395605759</v>
      </c>
      <c r="N21" s="137">
        <v>0.9535783635369427</v>
      </c>
      <c r="O21" s="330">
        <f t="shared" si="2"/>
        <v>3034.1589616902611</v>
      </c>
      <c r="P21" s="330">
        <f t="shared" si="11"/>
        <v>3157.6884077257696</v>
      </c>
      <c r="Q21" s="331">
        <f t="shared" si="12"/>
        <v>0.97829310950433701</v>
      </c>
      <c r="R21" s="332">
        <f t="shared" si="5"/>
        <v>1.0181222705348798</v>
      </c>
    </row>
    <row r="22" spans="1:18" x14ac:dyDescent="0.2">
      <c r="A22" s="17">
        <v>2015</v>
      </c>
      <c r="B22" s="140">
        <v>11010</v>
      </c>
      <c r="C22" s="140">
        <v>813</v>
      </c>
      <c r="D22" s="140">
        <v>873</v>
      </c>
      <c r="E22" s="51"/>
      <c r="F22" s="139">
        <v>5920461</v>
      </c>
      <c r="G22" s="139">
        <v>846684</v>
      </c>
      <c r="H22" s="139">
        <v>728171</v>
      </c>
      <c r="I22" s="333">
        <f t="shared" si="9"/>
        <v>7495316</v>
      </c>
      <c r="J22" s="329">
        <f t="shared" si="10"/>
        <v>8.3450318398932133E-3</v>
      </c>
      <c r="K22" s="330">
        <f t="shared" si="8"/>
        <v>1693.8578707021825</v>
      </c>
      <c r="L22" s="330">
        <f t="shared" si="1"/>
        <v>3331.1553338111426</v>
      </c>
      <c r="M22" s="137">
        <v>0.90954545064458092</v>
      </c>
      <c r="N22" s="137">
        <v>0.9521262807536508</v>
      </c>
      <c r="O22" s="330">
        <f t="shared" si="2"/>
        <v>3029.8371792583553</v>
      </c>
      <c r="P22" s="330">
        <f t="shared" si="11"/>
        <v>3171.6805385942894</v>
      </c>
      <c r="Q22" s="331">
        <f t="shared" si="12"/>
        <v>0.97689965252752953</v>
      </c>
      <c r="R22" s="332">
        <f t="shared" si="5"/>
        <v>1.0226337036498838</v>
      </c>
    </row>
    <row r="23" spans="1:18" x14ac:dyDescent="0.2">
      <c r="A23" s="17">
        <v>2016</v>
      </c>
      <c r="B23" s="140">
        <v>11178</v>
      </c>
      <c r="C23" s="140">
        <v>837</v>
      </c>
      <c r="D23" s="140">
        <v>896</v>
      </c>
      <c r="E23" s="51"/>
      <c r="F23" s="139">
        <v>5966805</v>
      </c>
      <c r="G23" s="139">
        <v>859066</v>
      </c>
      <c r="H23" s="139">
        <v>734573</v>
      </c>
      <c r="I23" s="333">
        <f t="shared" si="9"/>
        <v>7560444</v>
      </c>
      <c r="J23" s="329">
        <f t="shared" si="10"/>
        <v>8.6891600033940364E-3</v>
      </c>
      <c r="K23" s="330">
        <f t="shared" si="8"/>
        <v>1707.7039390808266</v>
      </c>
      <c r="L23" s="330">
        <f t="shared" si="1"/>
        <v>3351.09367227639</v>
      </c>
      <c r="M23" s="137">
        <v>0.90293800326600226</v>
      </c>
      <c r="N23" s="137">
        <v>0.9507602028735016</v>
      </c>
      <c r="O23" s="330">
        <f t="shared" si="2"/>
        <v>3025.8298292025784</v>
      </c>
      <c r="P23" s="330">
        <f t="shared" si="11"/>
        <v>3186.0864997016079</v>
      </c>
      <c r="Q23" s="331">
        <f t="shared" si="12"/>
        <v>0.9756075768662219</v>
      </c>
      <c r="R23" s="332">
        <f t="shared" si="5"/>
        <v>1.0272785665806072</v>
      </c>
    </row>
    <row r="24" spans="1:18" x14ac:dyDescent="0.2">
      <c r="A24" s="17">
        <v>2017</v>
      </c>
      <c r="B24" s="140">
        <v>11340</v>
      </c>
      <c r="C24" s="140">
        <v>862</v>
      </c>
      <c r="D24" s="140">
        <v>920</v>
      </c>
      <c r="E24" s="51"/>
      <c r="F24" s="139">
        <v>6011157</v>
      </c>
      <c r="G24" s="139">
        <v>872254</v>
      </c>
      <c r="H24" s="139">
        <v>741956</v>
      </c>
      <c r="I24" s="333">
        <f t="shared" si="9"/>
        <v>7625367</v>
      </c>
      <c r="J24" s="329">
        <f t="shared" si="10"/>
        <v>8.5871940854267415E-3</v>
      </c>
      <c r="K24" s="330">
        <f t="shared" si="8"/>
        <v>1720.8352070136427</v>
      </c>
      <c r="L24" s="330">
        <f t="shared" si="1"/>
        <v>3370.0026980996454</v>
      </c>
      <c r="M24" s="137">
        <v>0.89642046735491698</v>
      </c>
      <c r="N24" s="137">
        <v>0.94943812750193679</v>
      </c>
      <c r="O24" s="330">
        <f t="shared" si="2"/>
        <v>3020.9393936178153</v>
      </c>
      <c r="P24" s="330">
        <f t="shared" si="11"/>
        <v>3199.6090513602021</v>
      </c>
      <c r="Q24" s="331">
        <f t="shared" si="12"/>
        <v>0.97403077107079206</v>
      </c>
      <c r="R24" s="332">
        <f t="shared" si="5"/>
        <v>1.0316385949369165</v>
      </c>
    </row>
    <row r="25" spans="1:18" x14ac:dyDescent="0.2">
      <c r="A25" s="17">
        <v>2018</v>
      </c>
      <c r="B25" s="140">
        <v>11499</v>
      </c>
      <c r="C25" s="140">
        <v>887</v>
      </c>
      <c r="D25" s="140">
        <v>944</v>
      </c>
      <c r="E25" s="51"/>
      <c r="F25" s="139">
        <v>6053969</v>
      </c>
      <c r="G25" s="139">
        <v>885766</v>
      </c>
      <c r="H25" s="139">
        <v>749644</v>
      </c>
      <c r="I25" s="333">
        <f t="shared" si="9"/>
        <v>7689379</v>
      </c>
      <c r="J25" s="329">
        <f t="shared" si="10"/>
        <v>8.3946123511169368E-3</v>
      </c>
      <c r="K25" s="330">
        <f t="shared" si="8"/>
        <v>1733.5600183057695</v>
      </c>
      <c r="L25" s="330">
        <f t="shared" si="1"/>
        <v>3388.3264263603082</v>
      </c>
      <c r="M25" s="137">
        <v>0.89009530016498017</v>
      </c>
      <c r="N25" s="137">
        <v>0.94816905515207639</v>
      </c>
      <c r="O25" s="330">
        <f t="shared" si="2"/>
        <v>3015.933427528113</v>
      </c>
      <c r="P25" s="330">
        <f t="shared" si="11"/>
        <v>3212.7062662288649</v>
      </c>
      <c r="Q25" s="331">
        <f t="shared" si="12"/>
        <v>0.97241671518453088</v>
      </c>
      <c r="R25" s="332">
        <f t="shared" si="5"/>
        <v>1.0358614834610473</v>
      </c>
    </row>
    <row r="26" spans="1:18" x14ac:dyDescent="0.2">
      <c r="A26" s="17">
        <v>2019</v>
      </c>
      <c r="B26" s="140">
        <v>11656</v>
      </c>
      <c r="C26" s="140">
        <v>913</v>
      </c>
      <c r="D26" s="140">
        <v>968</v>
      </c>
      <c r="E26" s="51"/>
      <c r="F26" s="139">
        <v>6095837</v>
      </c>
      <c r="G26" s="139">
        <v>899451</v>
      </c>
      <c r="H26" s="139">
        <v>757048</v>
      </c>
      <c r="I26" s="333">
        <f t="shared" si="9"/>
        <v>7752336</v>
      </c>
      <c r="J26" s="329">
        <f t="shared" si="10"/>
        <v>8.1875272372451402E-3</v>
      </c>
      <c r="K26" s="330">
        <f t="shared" si="8"/>
        <v>1746.1833439623877</v>
      </c>
      <c r="L26" s="330">
        <f t="shared" si="1"/>
        <v>3406.504015305838</v>
      </c>
      <c r="M26" s="137">
        <v>0.88397713844671388</v>
      </c>
      <c r="N26" s="137">
        <v>0.94694898559586693</v>
      </c>
      <c r="O26" s="330">
        <f t="shared" si="2"/>
        <v>3011.2716715572956</v>
      </c>
      <c r="P26" s="330">
        <f t="shared" si="11"/>
        <v>3225.7855217221108</v>
      </c>
      <c r="Q26" s="331">
        <f t="shared" si="12"/>
        <v>0.97091364174572181</v>
      </c>
      <c r="R26" s="332">
        <f t="shared" si="5"/>
        <v>1.0400785814074782</v>
      </c>
    </row>
    <row r="27" spans="1:18" x14ac:dyDescent="0.2">
      <c r="A27" s="17">
        <v>2020</v>
      </c>
      <c r="B27" s="140">
        <v>11807</v>
      </c>
      <c r="C27" s="140">
        <v>939</v>
      </c>
      <c r="D27" s="140">
        <v>991</v>
      </c>
      <c r="E27" s="51"/>
      <c r="F27" s="139">
        <v>6135818</v>
      </c>
      <c r="G27" s="139">
        <v>913264</v>
      </c>
      <c r="H27" s="139">
        <v>764020</v>
      </c>
      <c r="I27" s="333">
        <f t="shared" si="9"/>
        <v>7813102</v>
      </c>
      <c r="J27" s="329">
        <f t="shared" si="10"/>
        <v>7.8384115445977454E-3</v>
      </c>
      <c r="K27" s="330">
        <f t="shared" si="8"/>
        <v>1758.2005201007232</v>
      </c>
      <c r="L27" s="330">
        <f t="shared" si="1"/>
        <v>3423.8087489450413</v>
      </c>
      <c r="M27" s="137">
        <v>0.87803670869907402</v>
      </c>
      <c r="N27" s="137">
        <v>0.94575091729394978</v>
      </c>
      <c r="O27" s="330">
        <f t="shared" si="2"/>
        <v>3006.2297651387985</v>
      </c>
      <c r="P27" s="330">
        <f t="shared" si="11"/>
        <v>3238.0702649538234</v>
      </c>
      <c r="Q27" s="331">
        <f t="shared" si="12"/>
        <v>0.96928799774675556</v>
      </c>
      <c r="R27" s="332">
        <f t="shared" si="5"/>
        <v>1.0440395075841737</v>
      </c>
    </row>
    <row r="28" spans="1:18" x14ac:dyDescent="0.2">
      <c r="A28" s="17">
        <v>2021</v>
      </c>
      <c r="B28" s="140">
        <v>11953</v>
      </c>
      <c r="C28" s="140">
        <v>966</v>
      </c>
      <c r="D28" s="140">
        <v>1013</v>
      </c>
      <c r="E28" s="51"/>
      <c r="F28" s="139">
        <v>6173304</v>
      </c>
      <c r="G28" s="139">
        <v>927768</v>
      </c>
      <c r="H28" s="139">
        <v>770926</v>
      </c>
      <c r="I28" s="333">
        <f t="shared" si="9"/>
        <v>7871998</v>
      </c>
      <c r="J28" s="329">
        <f t="shared" si="10"/>
        <v>7.5381071436160241E-3</v>
      </c>
      <c r="K28" s="330">
        <f t="shared" si="8"/>
        <v>1769.8175228194925</v>
      </c>
      <c r="L28" s="330">
        <f t="shared" si="1"/>
        <v>3440.5372328600693</v>
      </c>
      <c r="M28" s="137">
        <v>0.87229073863694284</v>
      </c>
      <c r="N28" s="137">
        <v>0.94459785155763054</v>
      </c>
      <c r="O28" s="330">
        <f t="shared" si="2"/>
        <v>3001.1487641594131</v>
      </c>
      <c r="P28" s="330">
        <f t="shared" si="11"/>
        <v>3249.9240783636565</v>
      </c>
      <c r="Q28" s="331">
        <f t="shared" si="12"/>
        <v>0.96764974862722075</v>
      </c>
      <c r="R28" s="332">
        <f t="shared" si="5"/>
        <v>1.0478614905872428</v>
      </c>
    </row>
    <row r="29" spans="1:18" x14ac:dyDescent="0.2">
      <c r="A29" s="17">
        <v>2022</v>
      </c>
      <c r="B29" s="140">
        <v>12097</v>
      </c>
      <c r="C29" s="140">
        <v>994</v>
      </c>
      <c r="D29" s="140">
        <v>1037</v>
      </c>
      <c r="E29" s="51"/>
      <c r="F29" s="139">
        <v>6210246</v>
      </c>
      <c r="G29" s="139">
        <v>942800</v>
      </c>
      <c r="H29" s="139">
        <v>778546</v>
      </c>
      <c r="I29" s="333">
        <f t="shared" si="9"/>
        <v>7931592</v>
      </c>
      <c r="J29" s="329">
        <f t="shared" si="10"/>
        <v>7.5703779396285587E-3</v>
      </c>
      <c r="K29" s="330">
        <f t="shared" si="8"/>
        <v>1781.2313089225972</v>
      </c>
      <c r="L29" s="330">
        <f t="shared" si="1"/>
        <v>3456.9730848485401</v>
      </c>
      <c r="M29" s="137">
        <v>0.86670472734837545</v>
      </c>
      <c r="N29" s="137">
        <v>0.9434787877597629</v>
      </c>
      <c r="O29" s="330">
        <f t="shared" si="2"/>
        <v>2996.1749149543261</v>
      </c>
      <c r="P29" s="330">
        <f t="shared" si="11"/>
        <v>3261.5807754110288</v>
      </c>
      <c r="Q29" s="331">
        <f t="shared" si="12"/>
        <v>0.96604604807412275</v>
      </c>
      <c r="R29" s="332">
        <f t="shared" si="5"/>
        <v>1.0516199180608883</v>
      </c>
    </row>
    <row r="30" spans="1:18" x14ac:dyDescent="0.2">
      <c r="A30" s="17">
        <v>2023</v>
      </c>
      <c r="B30" s="140">
        <v>12238</v>
      </c>
      <c r="C30" s="140">
        <v>1022</v>
      </c>
      <c r="D30" s="140">
        <v>1059</v>
      </c>
      <c r="E30" s="51"/>
      <c r="F30" s="139">
        <v>6245845</v>
      </c>
      <c r="G30" s="139">
        <v>957907</v>
      </c>
      <c r="H30" s="139">
        <v>785637</v>
      </c>
      <c r="I30" s="333">
        <f t="shared" si="9"/>
        <v>7989389</v>
      </c>
      <c r="J30" s="329">
        <f t="shared" si="10"/>
        <v>7.2869355861975293E-3</v>
      </c>
      <c r="K30" s="330">
        <f t="shared" si="8"/>
        <v>1792.2521985097985</v>
      </c>
      <c r="L30" s="330">
        <f t="shared" si="1"/>
        <v>3472.8431658541099</v>
      </c>
      <c r="M30" s="137">
        <v>0.8612525377788679</v>
      </c>
      <c r="N30" s="137">
        <v>0.94237072458904148</v>
      </c>
      <c r="O30" s="330">
        <f t="shared" si="2"/>
        <v>2990.9949898998498</v>
      </c>
      <c r="P30" s="330">
        <f t="shared" si="11"/>
        <v>3272.7057305900385</v>
      </c>
      <c r="Q30" s="331">
        <f t="shared" si="12"/>
        <v>0.96437590321601674</v>
      </c>
      <c r="R30" s="332">
        <f t="shared" si="5"/>
        <v>1.0552068978904179</v>
      </c>
    </row>
    <row r="31" spans="1:18" x14ac:dyDescent="0.2">
      <c r="A31" s="17">
        <v>2024</v>
      </c>
      <c r="B31" s="140">
        <v>12377</v>
      </c>
      <c r="C31" s="140">
        <v>1050</v>
      </c>
      <c r="D31" s="140">
        <v>1081</v>
      </c>
      <c r="E31" s="51"/>
      <c r="F31" s="139">
        <v>6280699</v>
      </c>
      <c r="G31" s="139">
        <v>972952</v>
      </c>
      <c r="H31" s="139">
        <v>792143</v>
      </c>
      <c r="I31" s="333">
        <f t="shared" si="9"/>
        <v>8045794</v>
      </c>
      <c r="J31" s="329">
        <f t="shared" si="10"/>
        <v>7.059989193166194E-3</v>
      </c>
      <c r="K31" s="330">
        <f t="shared" si="8"/>
        <v>1803.1781574323181</v>
      </c>
      <c r="L31" s="330">
        <f t="shared" si="1"/>
        <v>3488.5765467025381</v>
      </c>
      <c r="M31" s="137">
        <v>0.85596344342946451</v>
      </c>
      <c r="N31" s="137">
        <v>0.94128666278663897</v>
      </c>
      <c r="O31" s="330">
        <f t="shared" si="2"/>
        <v>2986.0939935827746</v>
      </c>
      <c r="P31" s="330">
        <f t="shared" si="11"/>
        <v>3283.7505755213692</v>
      </c>
      <c r="Q31" s="331">
        <f t="shared" si="12"/>
        <v>0.9627956923611346</v>
      </c>
      <c r="R31" s="332">
        <f t="shared" si="5"/>
        <v>1.0587680480570016</v>
      </c>
    </row>
    <row r="32" spans="1:18" x14ac:dyDescent="0.2">
      <c r="A32" s="17">
        <v>2025</v>
      </c>
      <c r="B32" s="140">
        <v>12519</v>
      </c>
      <c r="C32" s="140">
        <v>1078</v>
      </c>
      <c r="D32" s="140">
        <v>1102</v>
      </c>
      <c r="E32" s="51"/>
      <c r="F32" s="139">
        <v>6316379</v>
      </c>
      <c r="G32" s="139">
        <v>988083</v>
      </c>
      <c r="H32" s="139">
        <v>798578</v>
      </c>
      <c r="I32" s="333">
        <f t="shared" si="9"/>
        <v>8103040</v>
      </c>
      <c r="J32" s="329">
        <f t="shared" si="10"/>
        <v>7.1150218362538986E-3</v>
      </c>
      <c r="K32" s="330">
        <f t="shared" si="8"/>
        <v>1814.0105441908222</v>
      </c>
      <c r="L32" s="330">
        <f t="shared" si="1"/>
        <v>3504.1751836347839</v>
      </c>
      <c r="M32" s="137">
        <v>0.85080503435258037</v>
      </c>
      <c r="N32" s="137">
        <v>0.94022260212450215</v>
      </c>
      <c r="O32" s="330">
        <f t="shared" si="2"/>
        <v>2981.3698874898519</v>
      </c>
      <c r="P32" s="330">
        <f t="shared" si="11"/>
        <v>3294.7047094572017</v>
      </c>
      <c r="Q32" s="331">
        <f t="shared" si="12"/>
        <v>0.96127251559365923</v>
      </c>
      <c r="R32" s="332">
        <f t="shared" si="5"/>
        <v>1.0622999505991291</v>
      </c>
    </row>
    <row r="33" spans="1:18" x14ac:dyDescent="0.2">
      <c r="A33" s="17">
        <f t="shared" ref="A33:A49" si="13">A32+1</f>
        <v>2026</v>
      </c>
      <c r="B33" s="140">
        <v>12659</v>
      </c>
      <c r="C33" s="140">
        <v>1106</v>
      </c>
      <c r="D33" s="140">
        <v>1123</v>
      </c>
      <c r="E33" s="39"/>
      <c r="F33" s="139">
        <v>6351578</v>
      </c>
      <c r="G33" s="139">
        <v>1003379</v>
      </c>
      <c r="H33" s="139">
        <v>805445</v>
      </c>
      <c r="I33" s="333">
        <f t="shared" si="9"/>
        <v>8160402</v>
      </c>
      <c r="J33" s="329">
        <f t="shared" si="10"/>
        <v>7.0790715583286534E-3</v>
      </c>
      <c r="K33" s="330">
        <f t="shared" si="8"/>
        <v>1824.4199244105866</v>
      </c>
      <c r="L33" s="330">
        <f t="shared" si="1"/>
        <v>3519.1646911512448</v>
      </c>
      <c r="M33" s="137">
        <v>0.84582644821068298</v>
      </c>
      <c r="N33" s="137">
        <v>0.93919654362887017</v>
      </c>
      <c r="O33" s="330">
        <f t="shared" si="2"/>
        <v>2976.6025713849026</v>
      </c>
      <c r="P33" s="330">
        <f t="shared" si="11"/>
        <v>3305.1873143900098</v>
      </c>
      <c r="Q33" s="331">
        <f t="shared" si="12"/>
        <v>0.95973540677530556</v>
      </c>
      <c r="R33" s="332">
        <f t="shared" si="5"/>
        <v>1.0656798197176902</v>
      </c>
    </row>
    <row r="34" spans="1:18" x14ac:dyDescent="0.2">
      <c r="A34" s="17">
        <f t="shared" si="13"/>
        <v>2027</v>
      </c>
      <c r="B34" s="140">
        <v>12792</v>
      </c>
      <c r="C34" s="140">
        <v>1135</v>
      </c>
      <c r="D34" s="140">
        <v>1145</v>
      </c>
      <c r="E34" s="39"/>
      <c r="F34" s="139">
        <v>6384297</v>
      </c>
      <c r="G34" s="139">
        <v>1018801</v>
      </c>
      <c r="H34" s="139">
        <v>812780</v>
      </c>
      <c r="I34" s="333">
        <f t="shared" si="9"/>
        <v>8215878</v>
      </c>
      <c r="J34" s="329">
        <f t="shared" si="10"/>
        <v>6.7981945007120625E-3</v>
      </c>
      <c r="K34" s="330">
        <f t="shared" si="8"/>
        <v>1834.4965687173058</v>
      </c>
      <c r="L34" s="330">
        <f t="shared" si="1"/>
        <v>3533.6750589529202</v>
      </c>
      <c r="M34" s="137">
        <v>0.84104859464737525</v>
      </c>
      <c r="N34" s="137">
        <v>0.93821148747078309</v>
      </c>
      <c r="O34" s="330">
        <f t="shared" si="2"/>
        <v>2971.9924422728345</v>
      </c>
      <c r="P34" s="330">
        <f t="shared" si="11"/>
        <v>3315.3345332986264</v>
      </c>
      <c r="Q34" s="331">
        <f t="shared" si="12"/>
        <v>0.95824897920140251</v>
      </c>
      <c r="R34" s="332">
        <f t="shared" si="5"/>
        <v>1.0689515515103454</v>
      </c>
    </row>
    <row r="35" spans="1:18" x14ac:dyDescent="0.2">
      <c r="A35" s="17">
        <f t="shared" si="13"/>
        <v>2028</v>
      </c>
      <c r="B35" s="140">
        <v>12917</v>
      </c>
      <c r="C35" s="140">
        <v>1164</v>
      </c>
      <c r="D35" s="140">
        <v>1167</v>
      </c>
      <c r="E35" s="39"/>
      <c r="F35" s="139">
        <v>6413743</v>
      </c>
      <c r="G35" s="139">
        <v>1034392</v>
      </c>
      <c r="H35" s="139">
        <v>819960</v>
      </c>
      <c r="I35" s="333">
        <f t="shared" si="9"/>
        <v>8268095</v>
      </c>
      <c r="J35" s="329">
        <f t="shared" si="10"/>
        <v>6.355620178391197E-3</v>
      </c>
      <c r="K35" s="330">
        <f t="shared" si="8"/>
        <v>1844.1974844265819</v>
      </c>
      <c r="L35" s="330">
        <f t="shared" si="1"/>
        <v>3547.6443775742778</v>
      </c>
      <c r="M35" s="137">
        <v>0.83647983752009858</v>
      </c>
      <c r="N35" s="137">
        <v>0.93727243393530713</v>
      </c>
      <c r="O35" s="330">
        <f t="shared" si="2"/>
        <v>2967.5329925324231</v>
      </c>
      <c r="P35" s="330">
        <f t="shared" si="11"/>
        <v>3325.1092805059511</v>
      </c>
      <c r="Q35" s="331">
        <f t="shared" si="12"/>
        <v>0.95681113464272616</v>
      </c>
      <c r="R35" s="332">
        <f t="shared" si="5"/>
        <v>1.0721031885737988</v>
      </c>
    </row>
    <row r="36" spans="1:18" x14ac:dyDescent="0.2">
      <c r="A36" s="17">
        <f t="shared" si="13"/>
        <v>2029</v>
      </c>
      <c r="B36" s="140">
        <v>13037</v>
      </c>
      <c r="C36" s="140">
        <v>1193</v>
      </c>
      <c r="D36" s="140">
        <v>1188</v>
      </c>
      <c r="E36" s="39"/>
      <c r="F36" s="139">
        <v>6441042</v>
      </c>
      <c r="G36" s="139">
        <v>1049807</v>
      </c>
      <c r="H36" s="139">
        <v>826532</v>
      </c>
      <c r="I36" s="333">
        <f t="shared" si="9"/>
        <v>8317381</v>
      </c>
      <c r="J36" s="329">
        <f t="shared" si="10"/>
        <v>5.9609861763805227E-3</v>
      </c>
      <c r="K36" s="330">
        <f t="shared" si="8"/>
        <v>1853.7085171401911</v>
      </c>
      <c r="L36" s="330">
        <f t="shared" si="1"/>
        <v>3561.3402646818749</v>
      </c>
      <c r="M36" s="137">
        <v>0.83205744789804359</v>
      </c>
      <c r="N36" s="137">
        <v>0.93635738176814998</v>
      </c>
      <c r="O36" s="330">
        <f t="shared" si="2"/>
        <v>2963.2396917277438</v>
      </c>
      <c r="P36" s="330">
        <f t="shared" si="11"/>
        <v>3334.6872458230105</v>
      </c>
      <c r="Q36" s="331">
        <f t="shared" si="12"/>
        <v>0.95542686089593887</v>
      </c>
      <c r="R36" s="332">
        <f t="shared" si="5"/>
        <v>1.075191377950512</v>
      </c>
    </row>
    <row r="37" spans="1:18" x14ac:dyDescent="0.2">
      <c r="A37" s="17">
        <f t="shared" si="13"/>
        <v>2030</v>
      </c>
      <c r="B37" s="140">
        <v>13156</v>
      </c>
      <c r="C37" s="140">
        <v>1222</v>
      </c>
      <c r="D37" s="140">
        <v>1207</v>
      </c>
      <c r="E37" s="39"/>
      <c r="F37" s="139">
        <v>6468311</v>
      </c>
      <c r="G37" s="139">
        <v>1065172</v>
      </c>
      <c r="H37" s="139">
        <v>832661</v>
      </c>
      <c r="I37" s="333">
        <f t="shared" si="9"/>
        <v>8366144</v>
      </c>
      <c r="J37" s="329">
        <f t="shared" si="10"/>
        <v>5.8627830082571553E-3</v>
      </c>
      <c r="K37" s="330">
        <f t="shared" si="8"/>
        <v>1862.8653774068437</v>
      </c>
      <c r="L37" s="330">
        <f t="shared" si="1"/>
        <v>3574.5261434658546</v>
      </c>
      <c r="M37" s="137">
        <v>0.82776678903068801</v>
      </c>
      <c r="N37" s="137">
        <v>0.93545933057021868</v>
      </c>
      <c r="O37" s="330">
        <f t="shared" si="2"/>
        <v>2958.8740280829788</v>
      </c>
      <c r="P37" s="330">
        <f t="shared" si="11"/>
        <v>3343.823833272314</v>
      </c>
      <c r="Q37" s="331">
        <f t="shared" si="12"/>
        <v>0.95401925545534982</v>
      </c>
      <c r="R37" s="332">
        <f t="shared" si="5"/>
        <v>1.0781372554272339</v>
      </c>
    </row>
    <row r="38" spans="1:18" x14ac:dyDescent="0.2">
      <c r="A38" s="17">
        <f t="shared" si="13"/>
        <v>2031</v>
      </c>
      <c r="B38" s="140">
        <v>13273</v>
      </c>
      <c r="C38" s="140">
        <v>1250</v>
      </c>
      <c r="D38" s="140">
        <v>1226</v>
      </c>
      <c r="F38" s="139">
        <v>6494479</v>
      </c>
      <c r="G38" s="139">
        <v>1080456</v>
      </c>
      <c r="H38" s="139">
        <v>838440</v>
      </c>
      <c r="I38" s="333">
        <f t="shared" si="9"/>
        <v>8413375</v>
      </c>
      <c r="J38" s="329">
        <f t="shared" si="10"/>
        <v>5.645492116798323E-3</v>
      </c>
      <c r="K38" s="330">
        <f>(SUM(B38:D38)*1000000)/I38</f>
        <v>1871.9003966897944</v>
      </c>
      <c r="L38" s="330">
        <f>892 + 1.44*K38</f>
        <v>3587.5365712333037</v>
      </c>
      <c r="M38" s="137">
        <v>0.82355035939812338</v>
      </c>
      <c r="N38" s="137">
        <v>0.93455627908722105</v>
      </c>
      <c r="O38" s="330">
        <f t="shared" si="2"/>
        <v>2954.5170325930985</v>
      </c>
      <c r="P38" s="330">
        <f>L38*N38</f>
        <v>3352.7548291011235</v>
      </c>
      <c r="Q38" s="331">
        <f t="shared" si="12"/>
        <v>0.9526144448571876</v>
      </c>
      <c r="R38" s="332">
        <f t="shared" si="5"/>
        <v>1.0810168447271529</v>
      </c>
    </row>
    <row r="39" spans="1:18" x14ac:dyDescent="0.2">
      <c r="A39" s="17">
        <f t="shared" si="13"/>
        <v>2032</v>
      </c>
      <c r="B39" s="140">
        <v>13382</v>
      </c>
      <c r="C39" s="140">
        <v>1279</v>
      </c>
      <c r="D39" s="140">
        <v>1245</v>
      </c>
      <c r="F39" s="139">
        <v>6517734</v>
      </c>
      <c r="G39" s="139">
        <v>1095640</v>
      </c>
      <c r="H39" s="139">
        <v>843929</v>
      </c>
      <c r="I39" s="333">
        <f t="shared" si="9"/>
        <v>8457303</v>
      </c>
      <c r="J39" s="329">
        <f t="shared" si="10"/>
        <v>5.2212102753057543E-3</v>
      </c>
      <c r="K39" s="330">
        <f>(SUM(B39:D39)*1000000)/I39</f>
        <v>1880.7414136634338</v>
      </c>
      <c r="L39" s="330">
        <f>892 + 1.44*K39</f>
        <v>3600.2676356753445</v>
      </c>
      <c r="M39" s="138">
        <v>0.8192408818515251</v>
      </c>
      <c r="N39" s="138">
        <v>0.93348921825404452</v>
      </c>
      <c r="O39" s="330">
        <f t="shared" si="2"/>
        <v>2949.4864327521746</v>
      </c>
      <c r="P39" s="330">
        <f>L39*N39</f>
        <v>3360.8110207319146</v>
      </c>
      <c r="Q39" s="331">
        <f t="shared" si="12"/>
        <v>0.95099244639791514</v>
      </c>
      <c r="R39" s="332">
        <f t="shared" si="5"/>
        <v>1.0836143740131132</v>
      </c>
    </row>
    <row r="40" spans="1:18" x14ac:dyDescent="0.2">
      <c r="A40" s="17">
        <f t="shared" si="13"/>
        <v>2033</v>
      </c>
      <c r="B40" s="140">
        <v>13488</v>
      </c>
      <c r="C40" s="140">
        <v>1307</v>
      </c>
      <c r="D40" s="140">
        <v>1262</v>
      </c>
      <c r="F40" s="139">
        <v>6539772</v>
      </c>
      <c r="G40" s="139">
        <v>1110714</v>
      </c>
      <c r="H40" s="139">
        <v>848764</v>
      </c>
      <c r="I40" s="333">
        <f t="shared" si="9"/>
        <v>8499250</v>
      </c>
      <c r="J40" s="329">
        <f t="shared" si="10"/>
        <v>4.9598554054406385E-3</v>
      </c>
      <c r="K40" s="330">
        <f>(SUM(B40:D40)*1000000)/I40</f>
        <v>1889.2255198988146</v>
      </c>
      <c r="L40" s="330">
        <f>892 + 1.44*K40</f>
        <v>3612.4847486542931</v>
      </c>
      <c r="M40" s="138">
        <v>0.81500354257535756</v>
      </c>
      <c r="N40" s="138">
        <v>0.93242215742086787</v>
      </c>
      <c r="O40" s="330">
        <f t="shared" si="2"/>
        <v>2944.187867652699</v>
      </c>
      <c r="P40" s="330">
        <f>L40*N40</f>
        <v>3368.3608229902175</v>
      </c>
      <c r="Q40" s="331">
        <f t="shared" si="12"/>
        <v>0.94928404885100826</v>
      </c>
      <c r="R40" s="332">
        <f t="shared" si="5"/>
        <v>1.0860486299702576</v>
      </c>
    </row>
    <row r="41" spans="1:18" x14ac:dyDescent="0.2">
      <c r="A41" s="17">
        <f t="shared" si="13"/>
        <v>2034</v>
      </c>
      <c r="B41" s="140">
        <v>13593</v>
      </c>
      <c r="C41" s="140">
        <v>1336</v>
      </c>
      <c r="D41" s="140">
        <v>1277</v>
      </c>
      <c r="F41" s="139">
        <v>6561750</v>
      </c>
      <c r="G41" s="139">
        <v>1125762</v>
      </c>
      <c r="H41" s="139">
        <v>852885</v>
      </c>
      <c r="I41" s="333">
        <f t="shared" si="9"/>
        <v>8540397</v>
      </c>
      <c r="J41" s="329">
        <f t="shared" si="10"/>
        <v>4.841250698591093E-3</v>
      </c>
      <c r="K41" s="330">
        <f>(SUM(B41:D41)*1000000)/I41</f>
        <v>1897.5698670682405</v>
      </c>
      <c r="L41" s="330">
        <f>892 + 1.44*K41</f>
        <v>3624.5006085782661</v>
      </c>
      <c r="M41" s="138">
        <v>0.81082265933691833</v>
      </c>
      <c r="N41" s="138">
        <v>0.93135709670171785</v>
      </c>
      <c r="O41" s="330">
        <f t="shared" si="2"/>
        <v>2938.8272222157088</v>
      </c>
      <c r="P41" s="330">
        <f>L41*N41</f>
        <v>3375.7043637990632</v>
      </c>
      <c r="Q41" s="331">
        <f t="shared" si="12"/>
        <v>0.94755563496112361</v>
      </c>
      <c r="R41" s="332">
        <f t="shared" si="5"/>
        <v>1.088416381780023</v>
      </c>
    </row>
    <row r="42" spans="1:18" x14ac:dyDescent="0.2">
      <c r="A42" s="17">
        <f t="shared" si="13"/>
        <v>2035</v>
      </c>
      <c r="B42" s="140">
        <v>13699</v>
      </c>
      <c r="C42" s="140">
        <v>1364</v>
      </c>
      <c r="D42" s="140">
        <v>1291</v>
      </c>
      <c r="F42" s="139">
        <v>6583855</v>
      </c>
      <c r="G42" s="139">
        <v>1140699</v>
      </c>
      <c r="H42" s="139">
        <v>856390</v>
      </c>
      <c r="I42" s="333">
        <f t="shared" si="9"/>
        <v>8580944</v>
      </c>
      <c r="J42" s="329">
        <f t="shared" si="10"/>
        <v>4.7476715660876856E-3</v>
      </c>
      <c r="K42" s="330">
        <f>(SUM(B42:D42)*1000000)/I42</f>
        <v>1905.850918034193</v>
      </c>
      <c r="L42" s="330">
        <f>892 + 1.44*K42</f>
        <v>3636.4253219692378</v>
      </c>
      <c r="M42" s="138">
        <v>0.80672018726199057</v>
      </c>
      <c r="N42" s="138">
        <v>0.93030403666672723</v>
      </c>
      <c r="O42" s="330">
        <f t="shared" si="2"/>
        <v>2933.5777167032679</v>
      </c>
      <c r="P42" s="330">
        <f>L42*N42</f>
        <v>3382.9811560650851</v>
      </c>
      <c r="Q42" s="331">
        <f t="shared" si="12"/>
        <v>0.94586305552281202</v>
      </c>
      <c r="R42" s="332">
        <f t="shared" si="5"/>
        <v>1.0907626120939344</v>
      </c>
    </row>
    <row r="43" spans="1:18" x14ac:dyDescent="0.2">
      <c r="A43" s="17">
        <f t="shared" si="13"/>
        <v>2036</v>
      </c>
      <c r="B43" s="220">
        <f>B42</f>
        <v>13699</v>
      </c>
      <c r="C43" s="220">
        <f t="shared" ref="C43:H49" si="14">C42</f>
        <v>1364</v>
      </c>
      <c r="D43" s="220">
        <f t="shared" si="14"/>
        <v>1291</v>
      </c>
      <c r="F43" s="220">
        <f t="shared" si="14"/>
        <v>6583855</v>
      </c>
      <c r="G43" s="220">
        <f t="shared" si="14"/>
        <v>1140699</v>
      </c>
      <c r="H43" s="220">
        <f t="shared" si="14"/>
        <v>856390</v>
      </c>
      <c r="I43" s="333">
        <f t="shared" si="9"/>
        <v>8580944</v>
      </c>
      <c r="J43" s="329">
        <f t="shared" si="10"/>
        <v>0</v>
      </c>
      <c r="K43" s="330">
        <f t="shared" ref="K43:K49" si="15">(SUM(B43:D43)*1000000)/I43</f>
        <v>1905.850918034193</v>
      </c>
      <c r="L43" s="330">
        <f t="shared" ref="L43:L49" si="16">892 + 1.44*K43</f>
        <v>3636.4253219692378</v>
      </c>
      <c r="M43" s="221">
        <f t="shared" ref="M43:N49" si="17">M42</f>
        <v>0.80672018726199057</v>
      </c>
      <c r="N43" s="221">
        <f t="shared" si="17"/>
        <v>0.93030403666672723</v>
      </c>
      <c r="O43" s="330">
        <f t="shared" si="2"/>
        <v>2933.5777167032679</v>
      </c>
      <c r="P43" s="330">
        <f t="shared" ref="P43:P49" si="18">L43*N43</f>
        <v>3382.9811560650851</v>
      </c>
      <c r="Q43" s="331">
        <f t="shared" si="12"/>
        <v>0.94586305552281202</v>
      </c>
      <c r="R43" s="332">
        <f t="shared" si="5"/>
        <v>1.0907626120939344</v>
      </c>
    </row>
    <row r="44" spans="1:18" x14ac:dyDescent="0.2">
      <c r="A44" s="17">
        <f t="shared" si="13"/>
        <v>2037</v>
      </c>
      <c r="B44" s="220">
        <f t="shared" ref="B44:B49" si="19">B43</f>
        <v>13699</v>
      </c>
      <c r="C44" s="220">
        <f t="shared" si="14"/>
        <v>1364</v>
      </c>
      <c r="D44" s="220">
        <f t="shared" si="14"/>
        <v>1291</v>
      </c>
      <c r="F44" s="220">
        <f t="shared" si="14"/>
        <v>6583855</v>
      </c>
      <c r="G44" s="220">
        <f t="shared" si="14"/>
        <v>1140699</v>
      </c>
      <c r="H44" s="220">
        <f t="shared" si="14"/>
        <v>856390</v>
      </c>
      <c r="I44" s="333">
        <f t="shared" si="9"/>
        <v>8580944</v>
      </c>
      <c r="J44" s="329">
        <f t="shared" si="10"/>
        <v>0</v>
      </c>
      <c r="K44" s="330">
        <f t="shared" si="15"/>
        <v>1905.850918034193</v>
      </c>
      <c r="L44" s="330">
        <f t="shared" si="16"/>
        <v>3636.4253219692378</v>
      </c>
      <c r="M44" s="221">
        <f t="shared" si="17"/>
        <v>0.80672018726199057</v>
      </c>
      <c r="N44" s="221">
        <f t="shared" si="17"/>
        <v>0.93030403666672723</v>
      </c>
      <c r="O44" s="330">
        <f t="shared" si="2"/>
        <v>2933.5777167032679</v>
      </c>
      <c r="P44" s="330">
        <f t="shared" si="18"/>
        <v>3382.9811560650851</v>
      </c>
      <c r="Q44" s="331">
        <f t="shared" si="12"/>
        <v>0.94586305552281202</v>
      </c>
      <c r="R44" s="332">
        <f t="shared" si="5"/>
        <v>1.0907626120939344</v>
      </c>
    </row>
    <row r="45" spans="1:18" x14ac:dyDescent="0.2">
      <c r="A45" s="17">
        <f t="shared" si="13"/>
        <v>2038</v>
      </c>
      <c r="B45" s="220">
        <f t="shared" si="19"/>
        <v>13699</v>
      </c>
      <c r="C45" s="220">
        <f t="shared" si="14"/>
        <v>1364</v>
      </c>
      <c r="D45" s="220">
        <f t="shared" si="14"/>
        <v>1291</v>
      </c>
      <c r="F45" s="220">
        <f t="shared" si="14"/>
        <v>6583855</v>
      </c>
      <c r="G45" s="220">
        <f t="shared" si="14"/>
        <v>1140699</v>
      </c>
      <c r="H45" s="220">
        <f t="shared" si="14"/>
        <v>856390</v>
      </c>
      <c r="I45" s="333">
        <f t="shared" si="9"/>
        <v>8580944</v>
      </c>
      <c r="J45" s="329">
        <f t="shared" si="10"/>
        <v>0</v>
      </c>
      <c r="K45" s="330">
        <f t="shared" si="15"/>
        <v>1905.850918034193</v>
      </c>
      <c r="L45" s="330">
        <f t="shared" si="16"/>
        <v>3636.4253219692378</v>
      </c>
      <c r="M45" s="221">
        <f t="shared" si="17"/>
        <v>0.80672018726199057</v>
      </c>
      <c r="N45" s="221">
        <f t="shared" si="17"/>
        <v>0.93030403666672723</v>
      </c>
      <c r="O45" s="330">
        <f t="shared" si="2"/>
        <v>2933.5777167032679</v>
      </c>
      <c r="P45" s="330">
        <f t="shared" si="18"/>
        <v>3382.9811560650851</v>
      </c>
      <c r="Q45" s="331">
        <f t="shared" si="12"/>
        <v>0.94586305552281202</v>
      </c>
      <c r="R45" s="332">
        <f t="shared" si="5"/>
        <v>1.0907626120939344</v>
      </c>
    </row>
    <row r="46" spans="1:18" x14ac:dyDescent="0.2">
      <c r="A46" s="17">
        <f t="shared" si="13"/>
        <v>2039</v>
      </c>
      <c r="B46" s="220">
        <f t="shared" si="19"/>
        <v>13699</v>
      </c>
      <c r="C46" s="220">
        <f t="shared" si="14"/>
        <v>1364</v>
      </c>
      <c r="D46" s="220">
        <f t="shared" si="14"/>
        <v>1291</v>
      </c>
      <c r="F46" s="220">
        <f t="shared" si="14"/>
        <v>6583855</v>
      </c>
      <c r="G46" s="220">
        <f t="shared" si="14"/>
        <v>1140699</v>
      </c>
      <c r="H46" s="220">
        <f t="shared" si="14"/>
        <v>856390</v>
      </c>
      <c r="I46" s="333">
        <f t="shared" si="9"/>
        <v>8580944</v>
      </c>
      <c r="J46" s="329">
        <f t="shared" si="10"/>
        <v>0</v>
      </c>
      <c r="K46" s="330">
        <f t="shared" si="15"/>
        <v>1905.850918034193</v>
      </c>
      <c r="L46" s="330">
        <f t="shared" si="16"/>
        <v>3636.4253219692378</v>
      </c>
      <c r="M46" s="221">
        <f t="shared" si="17"/>
        <v>0.80672018726199057</v>
      </c>
      <c r="N46" s="221">
        <f t="shared" si="17"/>
        <v>0.93030403666672723</v>
      </c>
      <c r="O46" s="330">
        <f t="shared" si="2"/>
        <v>2933.5777167032679</v>
      </c>
      <c r="P46" s="330">
        <f t="shared" si="18"/>
        <v>3382.9811560650851</v>
      </c>
      <c r="Q46" s="331">
        <f t="shared" si="12"/>
        <v>0.94586305552281202</v>
      </c>
      <c r="R46" s="332">
        <f t="shared" si="5"/>
        <v>1.0907626120939344</v>
      </c>
    </row>
    <row r="47" spans="1:18" x14ac:dyDescent="0.2">
      <c r="A47" s="17">
        <f t="shared" si="13"/>
        <v>2040</v>
      </c>
      <c r="B47" s="220">
        <f t="shared" si="19"/>
        <v>13699</v>
      </c>
      <c r="C47" s="220">
        <f t="shared" si="14"/>
        <v>1364</v>
      </c>
      <c r="D47" s="220">
        <f t="shared" si="14"/>
        <v>1291</v>
      </c>
      <c r="F47" s="220">
        <f t="shared" si="14"/>
        <v>6583855</v>
      </c>
      <c r="G47" s="220">
        <f t="shared" si="14"/>
        <v>1140699</v>
      </c>
      <c r="H47" s="220">
        <f t="shared" si="14"/>
        <v>856390</v>
      </c>
      <c r="I47" s="333">
        <f t="shared" si="9"/>
        <v>8580944</v>
      </c>
      <c r="J47" s="329">
        <f t="shared" si="10"/>
        <v>0</v>
      </c>
      <c r="K47" s="330">
        <f t="shared" si="15"/>
        <v>1905.850918034193</v>
      </c>
      <c r="L47" s="330">
        <f t="shared" si="16"/>
        <v>3636.4253219692378</v>
      </c>
      <c r="M47" s="221">
        <f t="shared" si="17"/>
        <v>0.80672018726199057</v>
      </c>
      <c r="N47" s="221">
        <f t="shared" si="17"/>
        <v>0.93030403666672723</v>
      </c>
      <c r="O47" s="330">
        <f t="shared" si="2"/>
        <v>2933.5777167032679</v>
      </c>
      <c r="P47" s="330">
        <f t="shared" si="18"/>
        <v>3382.9811560650851</v>
      </c>
      <c r="Q47" s="331">
        <f t="shared" si="12"/>
        <v>0.94586305552281202</v>
      </c>
      <c r="R47" s="332">
        <f t="shared" si="5"/>
        <v>1.0907626120939344</v>
      </c>
    </row>
    <row r="48" spans="1:18" x14ac:dyDescent="0.2">
      <c r="A48" s="17">
        <f t="shared" si="13"/>
        <v>2041</v>
      </c>
      <c r="B48" s="220">
        <f t="shared" si="19"/>
        <v>13699</v>
      </c>
      <c r="C48" s="220">
        <f t="shared" si="14"/>
        <v>1364</v>
      </c>
      <c r="D48" s="220">
        <f t="shared" si="14"/>
        <v>1291</v>
      </c>
      <c r="F48" s="220">
        <f t="shared" si="14"/>
        <v>6583855</v>
      </c>
      <c r="G48" s="220">
        <f t="shared" si="14"/>
        <v>1140699</v>
      </c>
      <c r="H48" s="220">
        <f t="shared" si="14"/>
        <v>856390</v>
      </c>
      <c r="I48" s="333">
        <f t="shared" si="9"/>
        <v>8580944</v>
      </c>
      <c r="J48" s="329">
        <f t="shared" si="10"/>
        <v>0</v>
      </c>
      <c r="K48" s="330">
        <f t="shared" si="15"/>
        <v>1905.850918034193</v>
      </c>
      <c r="L48" s="330">
        <f t="shared" si="16"/>
        <v>3636.4253219692378</v>
      </c>
      <c r="M48" s="221">
        <f t="shared" si="17"/>
        <v>0.80672018726199057</v>
      </c>
      <c r="N48" s="221">
        <f t="shared" si="17"/>
        <v>0.93030403666672723</v>
      </c>
      <c r="O48" s="330">
        <f t="shared" si="2"/>
        <v>2933.5777167032679</v>
      </c>
      <c r="P48" s="330">
        <f t="shared" si="18"/>
        <v>3382.9811560650851</v>
      </c>
      <c r="Q48" s="331">
        <f t="shared" si="12"/>
        <v>0.94586305552281202</v>
      </c>
      <c r="R48" s="332">
        <f t="shared" si="5"/>
        <v>1.0907626120939344</v>
      </c>
    </row>
    <row r="49" spans="1:18" x14ac:dyDescent="0.2">
      <c r="A49" s="17">
        <f t="shared" si="13"/>
        <v>2042</v>
      </c>
      <c r="B49" s="220">
        <f t="shared" si="19"/>
        <v>13699</v>
      </c>
      <c r="C49" s="220">
        <f t="shared" si="14"/>
        <v>1364</v>
      </c>
      <c r="D49" s="220">
        <f t="shared" si="14"/>
        <v>1291</v>
      </c>
      <c r="F49" s="220">
        <f t="shared" si="14"/>
        <v>6583855</v>
      </c>
      <c r="G49" s="220">
        <f t="shared" si="14"/>
        <v>1140699</v>
      </c>
      <c r="H49" s="220">
        <f t="shared" si="14"/>
        <v>856390</v>
      </c>
      <c r="I49" s="333">
        <f t="shared" si="9"/>
        <v>8580944</v>
      </c>
      <c r="J49" s="329">
        <f t="shared" si="10"/>
        <v>0</v>
      </c>
      <c r="K49" s="330">
        <f t="shared" si="15"/>
        <v>1905.850918034193</v>
      </c>
      <c r="L49" s="330">
        <f t="shared" si="16"/>
        <v>3636.4253219692378</v>
      </c>
      <c r="M49" s="221">
        <f t="shared" si="17"/>
        <v>0.80672018726199057</v>
      </c>
      <c r="N49" s="221">
        <f t="shared" si="17"/>
        <v>0.93030403666672723</v>
      </c>
      <c r="O49" s="330">
        <f t="shared" si="2"/>
        <v>2933.5777167032679</v>
      </c>
      <c r="P49" s="330">
        <f t="shared" si="18"/>
        <v>3382.9811560650851</v>
      </c>
      <c r="Q49" s="331">
        <f t="shared" si="12"/>
        <v>0.94586305552281202</v>
      </c>
      <c r="R49" s="332">
        <f t="shared" si="5"/>
        <v>1.0907626120939344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view="pageBreakPreview" zoomScale="60" zoomScaleNormal="100" workbookViewId="0">
      <selection activeCell="P1" sqref="P1:Q15"/>
    </sheetView>
  </sheetViews>
  <sheetFormatPr defaultRowHeight="12.75" x14ac:dyDescent="0.2"/>
  <cols>
    <col min="1" max="14" width="8.7109375" style="1" customWidth="1"/>
  </cols>
  <sheetData>
    <row r="1" spans="1:17" x14ac:dyDescent="0.2">
      <c r="A1" s="22" t="s">
        <v>15</v>
      </c>
      <c r="B1" s="22" t="s">
        <v>18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10</v>
      </c>
      <c r="I1" s="3" t="s">
        <v>11</v>
      </c>
      <c r="J1" s="3" t="s">
        <v>12</v>
      </c>
      <c r="K1" s="3" t="s">
        <v>100</v>
      </c>
      <c r="L1" s="3" t="s">
        <v>173</v>
      </c>
      <c r="M1" s="3" t="s">
        <v>13</v>
      </c>
      <c r="N1" s="3" t="s">
        <v>14</v>
      </c>
    </row>
    <row r="2" spans="1:17" s="2" customFormat="1" x14ac:dyDescent="0.2">
      <c r="A2" s="56">
        <v>2001</v>
      </c>
      <c r="B2" s="57">
        <v>1</v>
      </c>
      <c r="C2" s="58">
        <v>0.1015625</v>
      </c>
      <c r="D2" s="58">
        <f>1/12</f>
        <v>8.3333333333333329E-2</v>
      </c>
      <c r="E2" s="58">
        <v>7.5709779179810713E-2</v>
      </c>
      <c r="F2" s="58">
        <v>7.5709779179810713E-2</v>
      </c>
      <c r="G2" s="58">
        <v>7.8171091445427721E-2</v>
      </c>
      <c r="H2" s="58">
        <f>1/12</f>
        <v>8.3333333333333329E-2</v>
      </c>
      <c r="I2" s="58">
        <f>1/12</f>
        <v>8.3333333333333329E-2</v>
      </c>
      <c r="J2" s="58">
        <f>1/12</f>
        <v>8.3333333333333329E-2</v>
      </c>
      <c r="K2" s="58">
        <f t="shared" ref="K2:K13" si="0">1/12</f>
        <v>8.3333333333333329E-2</v>
      </c>
      <c r="L2" s="58">
        <v>0.22752497225305215</v>
      </c>
      <c r="M2" s="58">
        <v>9.8182753897774241E-2</v>
      </c>
      <c r="N2" s="58">
        <f t="shared" ref="N2:N13" si="1">1/12</f>
        <v>8.3333333333333329E-2</v>
      </c>
      <c r="P2" s="236"/>
      <c r="Q2" s="144"/>
    </row>
    <row r="3" spans="1:17" x14ac:dyDescent="0.2">
      <c r="A3" s="56">
        <v>2001</v>
      </c>
      <c r="B3" s="57">
        <v>2</v>
      </c>
      <c r="C3" s="58">
        <v>9.765625E-2</v>
      </c>
      <c r="D3" s="58">
        <f t="shared" ref="D3:D13" si="2">1/12</f>
        <v>8.3333333333333329E-2</v>
      </c>
      <c r="E3" s="58">
        <v>7.7812828601472123E-2</v>
      </c>
      <c r="F3" s="58">
        <v>7.7812828601472123E-2</v>
      </c>
      <c r="G3" s="58">
        <v>7.8171091445427721E-2</v>
      </c>
      <c r="H3" s="58">
        <f t="shared" ref="H3:J13" si="3">1/12</f>
        <v>8.3333333333333329E-2</v>
      </c>
      <c r="I3" s="58">
        <f t="shared" si="3"/>
        <v>8.3333333333333329E-2</v>
      </c>
      <c r="J3" s="58">
        <f t="shared" si="3"/>
        <v>8.3333333333333329E-2</v>
      </c>
      <c r="K3" s="58">
        <f t="shared" si="0"/>
        <v>8.3333333333333329E-2</v>
      </c>
      <c r="L3" s="58">
        <v>0.17286348501664817</v>
      </c>
      <c r="M3" s="58">
        <v>9.4422296773449807E-2</v>
      </c>
      <c r="N3" s="58">
        <f t="shared" si="1"/>
        <v>8.3333333333333329E-2</v>
      </c>
      <c r="P3" s="236"/>
      <c r="Q3" s="144"/>
    </row>
    <row r="4" spans="1:17" x14ac:dyDescent="0.2">
      <c r="A4" s="56">
        <v>2001</v>
      </c>
      <c r="B4" s="57">
        <v>3</v>
      </c>
      <c r="C4" s="58">
        <v>9.375E-2</v>
      </c>
      <c r="D4" s="58">
        <f t="shared" si="2"/>
        <v>8.3333333333333329E-2</v>
      </c>
      <c r="E4" s="58">
        <v>7.8864353312302821E-2</v>
      </c>
      <c r="F4" s="58">
        <v>7.8864353312302821E-2</v>
      </c>
      <c r="G4" s="58">
        <v>7.9646017699115029E-2</v>
      </c>
      <c r="H4" s="58">
        <f t="shared" si="3"/>
        <v>8.3333333333333329E-2</v>
      </c>
      <c r="I4" s="58">
        <f t="shared" si="3"/>
        <v>8.3333333333333329E-2</v>
      </c>
      <c r="J4" s="58">
        <f t="shared" si="3"/>
        <v>8.3333333333333329E-2</v>
      </c>
      <c r="K4" s="58">
        <f t="shared" si="0"/>
        <v>8.3333333333333329E-2</v>
      </c>
      <c r="L4" s="58">
        <v>0.12541620421753608</v>
      </c>
      <c r="M4" s="58">
        <v>9.0621776199670406E-2</v>
      </c>
      <c r="N4" s="58">
        <f t="shared" si="1"/>
        <v>8.3333333333333329E-2</v>
      </c>
      <c r="P4" s="236"/>
      <c r="Q4" s="144"/>
    </row>
    <row r="5" spans="1:17" x14ac:dyDescent="0.2">
      <c r="A5" s="56">
        <v>2001</v>
      </c>
      <c r="B5" s="57">
        <v>4</v>
      </c>
      <c r="C5" s="58">
        <v>8.59375E-2</v>
      </c>
      <c r="D5" s="58">
        <f t="shared" si="2"/>
        <v>8.3333333333333329E-2</v>
      </c>
      <c r="E5" s="58">
        <v>7.9915878023133546E-2</v>
      </c>
      <c r="F5" s="58">
        <v>7.9915878023133546E-2</v>
      </c>
      <c r="G5" s="58">
        <v>8.1120943952802352E-2</v>
      </c>
      <c r="H5" s="58">
        <f t="shared" si="3"/>
        <v>8.3333333333333329E-2</v>
      </c>
      <c r="I5" s="58">
        <f t="shared" si="3"/>
        <v>8.3333333333333329E-2</v>
      </c>
      <c r="J5" s="58">
        <f t="shared" si="3"/>
        <v>8.3333333333333329E-2</v>
      </c>
      <c r="K5" s="58">
        <f t="shared" si="0"/>
        <v>8.3333333333333329E-2</v>
      </c>
      <c r="L5" s="58">
        <v>5.9933407325194227E-2</v>
      </c>
      <c r="M5" s="58">
        <v>8.5759184176289791E-2</v>
      </c>
      <c r="N5" s="58">
        <f t="shared" si="1"/>
        <v>8.3333333333333329E-2</v>
      </c>
      <c r="P5" s="236"/>
      <c r="Q5" s="144"/>
    </row>
    <row r="6" spans="1:17" x14ac:dyDescent="0.2">
      <c r="A6" s="56">
        <v>2001</v>
      </c>
      <c r="B6" s="57">
        <v>5</v>
      </c>
      <c r="C6" s="58">
        <v>8.203125E-2</v>
      </c>
      <c r="D6" s="58">
        <f t="shared" si="2"/>
        <v>8.3333333333333329E-2</v>
      </c>
      <c r="E6" s="58">
        <v>8.4121976866456366E-2</v>
      </c>
      <c r="F6" s="58">
        <v>8.4121976866456366E-2</v>
      </c>
      <c r="G6" s="58">
        <v>8.259587020648966E-2</v>
      </c>
      <c r="H6" s="58">
        <f t="shared" si="3"/>
        <v>8.3333333333333329E-2</v>
      </c>
      <c r="I6" s="58">
        <f t="shared" si="3"/>
        <v>8.3333333333333329E-2</v>
      </c>
      <c r="J6" s="58">
        <f t="shared" si="3"/>
        <v>8.3333333333333329E-2</v>
      </c>
      <c r="K6" s="58">
        <f t="shared" si="0"/>
        <v>8.3333333333333329E-2</v>
      </c>
      <c r="L6" s="58">
        <v>2.1087680355160933E-2</v>
      </c>
      <c r="M6" s="58">
        <v>7.8758507816662299E-2</v>
      </c>
      <c r="N6" s="58">
        <f t="shared" si="1"/>
        <v>8.3333333333333329E-2</v>
      </c>
      <c r="P6" s="236"/>
      <c r="Q6" s="144"/>
    </row>
    <row r="7" spans="1:17" x14ac:dyDescent="0.2">
      <c r="A7" s="56">
        <v>2001</v>
      </c>
      <c r="B7" s="57">
        <v>6</v>
      </c>
      <c r="C7" s="58">
        <v>7.8125E-2</v>
      </c>
      <c r="D7" s="58">
        <f t="shared" si="2"/>
        <v>8.3333333333333329E-2</v>
      </c>
      <c r="E7" s="58">
        <v>9.0431125131440568E-2</v>
      </c>
      <c r="F7" s="58">
        <v>9.0431125131440568E-2</v>
      </c>
      <c r="G7" s="58">
        <v>8.7020648967551628E-2</v>
      </c>
      <c r="H7" s="58">
        <f t="shared" si="3"/>
        <v>8.3333333333333329E-2</v>
      </c>
      <c r="I7" s="58">
        <f t="shared" si="3"/>
        <v>8.3333333333333329E-2</v>
      </c>
      <c r="J7" s="58">
        <f t="shared" si="3"/>
        <v>8.3333333333333329E-2</v>
      </c>
      <c r="K7" s="58">
        <f t="shared" si="0"/>
        <v>8.3333333333333329E-2</v>
      </c>
      <c r="L7" s="58">
        <v>1.9422863485016649E-3</v>
      </c>
      <c r="M7" s="58">
        <v>7.0474300891255795E-2</v>
      </c>
      <c r="N7" s="58">
        <f t="shared" si="1"/>
        <v>8.3333333333333329E-2</v>
      </c>
      <c r="P7" s="236"/>
      <c r="Q7" s="144"/>
    </row>
    <row r="8" spans="1:17" x14ac:dyDescent="0.2">
      <c r="A8" s="56">
        <v>2001</v>
      </c>
      <c r="B8" s="57">
        <v>7</v>
      </c>
      <c r="C8" s="58">
        <v>6.640625E-2</v>
      </c>
      <c r="D8" s="58">
        <f t="shared" si="2"/>
        <v>8.3333333333333329E-2</v>
      </c>
      <c r="E8" s="58">
        <v>9.2534174553102019E-2</v>
      </c>
      <c r="F8" s="58">
        <v>9.2534174553102019E-2</v>
      </c>
      <c r="G8" s="58">
        <v>9.4395280235988185E-2</v>
      </c>
      <c r="H8" s="58">
        <f t="shared" si="3"/>
        <v>8.3333333333333329E-2</v>
      </c>
      <c r="I8" s="58">
        <f t="shared" si="3"/>
        <v>8.3333333333333329E-2</v>
      </c>
      <c r="J8" s="58">
        <f t="shared" si="3"/>
        <v>8.3333333333333329E-2</v>
      </c>
      <c r="K8" s="58">
        <f t="shared" si="0"/>
        <v>8.3333333333333329E-2</v>
      </c>
      <c r="L8" s="58">
        <v>0</v>
      </c>
      <c r="M8" s="58">
        <v>6.7537871687453455E-2</v>
      </c>
      <c r="N8" s="58">
        <f t="shared" si="1"/>
        <v>8.3333333333333329E-2</v>
      </c>
      <c r="P8" s="236"/>
      <c r="Q8" s="144"/>
    </row>
    <row r="9" spans="1:17" s="2" customFormat="1" x14ac:dyDescent="0.2">
      <c r="A9" s="56">
        <v>2001</v>
      </c>
      <c r="B9" s="57">
        <v>8</v>
      </c>
      <c r="C9" s="58">
        <v>6.25E-2</v>
      </c>
      <c r="D9" s="58">
        <f t="shared" si="2"/>
        <v>8.3333333333333329E-2</v>
      </c>
      <c r="E9" s="58">
        <v>9.2534174553101992E-2</v>
      </c>
      <c r="F9" s="58">
        <v>9.2534174553101992E-2</v>
      </c>
      <c r="G9" s="58">
        <v>9.4395280235988185E-2</v>
      </c>
      <c r="H9" s="58">
        <f t="shared" si="3"/>
        <v>8.3333333333333329E-2</v>
      </c>
      <c r="I9" s="58">
        <f t="shared" si="3"/>
        <v>8.3333333333333329E-2</v>
      </c>
      <c r="J9" s="58">
        <f t="shared" si="3"/>
        <v>8.3333333333333329E-2</v>
      </c>
      <c r="K9" s="58">
        <f t="shared" si="0"/>
        <v>8.3333333333333329E-2</v>
      </c>
      <c r="L9" s="58">
        <v>2.7746947835738069E-4</v>
      </c>
      <c r="M9" s="58">
        <v>7.0007562503699813E-2</v>
      </c>
      <c r="N9" s="58">
        <f t="shared" si="1"/>
        <v>8.3333333333333329E-2</v>
      </c>
      <c r="P9" s="236"/>
      <c r="Q9" s="144"/>
    </row>
    <row r="10" spans="1:17" x14ac:dyDescent="0.2">
      <c r="A10" s="56">
        <v>2001</v>
      </c>
      <c r="B10" s="57">
        <v>9</v>
      </c>
      <c r="C10" s="58">
        <v>7.03125E-2</v>
      </c>
      <c r="D10" s="58">
        <f t="shared" si="2"/>
        <v>8.3333333333333329E-2</v>
      </c>
      <c r="E10" s="58">
        <v>8.6225026288117762E-2</v>
      </c>
      <c r="F10" s="58">
        <v>8.6225026288117762E-2</v>
      </c>
      <c r="G10" s="58">
        <v>8.5545722713864278E-2</v>
      </c>
      <c r="H10" s="58">
        <f t="shared" si="3"/>
        <v>8.3333333333333329E-2</v>
      </c>
      <c r="I10" s="58">
        <f t="shared" si="3"/>
        <v>8.3333333333333329E-2</v>
      </c>
      <c r="J10" s="58">
        <f t="shared" si="3"/>
        <v>8.3333333333333329E-2</v>
      </c>
      <c r="K10" s="58">
        <f t="shared" si="0"/>
        <v>8.3333333333333329E-2</v>
      </c>
      <c r="L10" s="58">
        <v>8.8790233074361822E-3</v>
      </c>
      <c r="M10" s="58">
        <v>7.5335892792489145E-2</v>
      </c>
      <c r="N10" s="58">
        <f t="shared" si="1"/>
        <v>8.3333333333333329E-2</v>
      </c>
      <c r="P10" s="236"/>
      <c r="Q10" s="144"/>
    </row>
    <row r="11" spans="1:17" x14ac:dyDescent="0.2">
      <c r="A11" s="56">
        <v>2001</v>
      </c>
      <c r="B11" s="57">
        <v>10</v>
      </c>
      <c r="C11" s="58">
        <v>7.8125E-2</v>
      </c>
      <c r="D11" s="58">
        <f t="shared" si="2"/>
        <v>8.3333333333333329E-2</v>
      </c>
      <c r="E11" s="58">
        <v>8.4121976866456352E-2</v>
      </c>
      <c r="F11" s="58">
        <v>8.4121976866456352E-2</v>
      </c>
      <c r="G11" s="58">
        <v>8.1120943952802352E-2</v>
      </c>
      <c r="H11" s="58">
        <f t="shared" si="3"/>
        <v>8.3333333333333329E-2</v>
      </c>
      <c r="I11" s="58">
        <f t="shared" si="3"/>
        <v>8.3333333333333329E-2</v>
      </c>
      <c r="J11" s="58">
        <f t="shared" si="3"/>
        <v>8.3333333333333329E-2</v>
      </c>
      <c r="K11" s="58">
        <f t="shared" si="0"/>
        <v>8.3333333333333329E-2</v>
      </c>
      <c r="L11" s="58">
        <v>5.9100998890122089E-2</v>
      </c>
      <c r="M11" s="58">
        <v>8.2900544703746845E-2</v>
      </c>
      <c r="N11" s="58">
        <f t="shared" si="1"/>
        <v>8.3333333333333329E-2</v>
      </c>
      <c r="P11" s="236"/>
      <c r="Q11" s="144"/>
    </row>
    <row r="12" spans="1:17" s="2" customFormat="1" x14ac:dyDescent="0.2">
      <c r="A12" s="56">
        <v>2001</v>
      </c>
      <c r="B12" s="57">
        <v>11</v>
      </c>
      <c r="C12" s="58">
        <v>8.59375E-2</v>
      </c>
      <c r="D12" s="58">
        <f t="shared" si="2"/>
        <v>8.3333333333333329E-2</v>
      </c>
      <c r="E12" s="58">
        <v>7.9915878023133533E-2</v>
      </c>
      <c r="F12" s="58">
        <v>7.9915878023133533E-2</v>
      </c>
      <c r="G12" s="58">
        <v>7.9646017699115015E-2</v>
      </c>
      <c r="H12" s="58">
        <f t="shared" si="3"/>
        <v>8.3333333333333329E-2</v>
      </c>
      <c r="I12" s="58">
        <f t="shared" si="3"/>
        <v>8.3333333333333329E-2</v>
      </c>
      <c r="J12" s="58">
        <f t="shared" si="3"/>
        <v>8.3333333333333329E-2</v>
      </c>
      <c r="K12" s="58">
        <f t="shared" si="0"/>
        <v>8.3333333333333329E-2</v>
      </c>
      <c r="L12" s="58">
        <v>0.12458379578246392</v>
      </c>
      <c r="M12" s="58">
        <v>9.0621776199670406E-2</v>
      </c>
      <c r="N12" s="58">
        <f t="shared" si="1"/>
        <v>8.3333333333333329E-2</v>
      </c>
      <c r="P12" s="236"/>
      <c r="Q12" s="144"/>
    </row>
    <row r="13" spans="1:17" x14ac:dyDescent="0.2">
      <c r="A13" s="56">
        <v>2001</v>
      </c>
      <c r="B13" s="57">
        <v>12</v>
      </c>
      <c r="C13" s="58">
        <v>9.765625E-2</v>
      </c>
      <c r="D13" s="58">
        <f t="shared" si="2"/>
        <v>8.3333333333333329E-2</v>
      </c>
      <c r="E13" s="58">
        <v>7.7812828601472123E-2</v>
      </c>
      <c r="F13" s="58">
        <v>7.7812828601472123E-2</v>
      </c>
      <c r="G13" s="58">
        <v>7.8171091445427721E-2</v>
      </c>
      <c r="H13" s="58">
        <f t="shared" si="3"/>
        <v>8.3333333333333329E-2</v>
      </c>
      <c r="I13" s="58">
        <f t="shared" si="3"/>
        <v>8.3333333333333329E-2</v>
      </c>
      <c r="J13" s="58">
        <f t="shared" si="3"/>
        <v>8.3333333333333329E-2</v>
      </c>
      <c r="K13" s="58">
        <f t="shared" si="0"/>
        <v>8.3333333333333329E-2</v>
      </c>
      <c r="L13" s="58">
        <v>0.19839067702552718</v>
      </c>
      <c r="M13" s="58">
        <v>9.5377532357837844E-2</v>
      </c>
      <c r="N13" s="58">
        <f t="shared" si="1"/>
        <v>8.3333333333333329E-2</v>
      </c>
      <c r="P13" s="236"/>
      <c r="Q13" s="144"/>
    </row>
  </sheetData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5"/>
  <sheetViews>
    <sheetView view="pageBreakPreview" zoomScale="60" zoomScaleNormal="100" workbookViewId="0">
      <selection activeCell="P1" sqref="P1:Q15"/>
    </sheetView>
  </sheetViews>
  <sheetFormatPr defaultColWidth="9.140625" defaultRowHeight="12.75" x14ac:dyDescent="0.2"/>
  <cols>
    <col min="1" max="1" width="6" style="153" bestFit="1" customWidth="1"/>
    <col min="2" max="2" width="7.140625" style="153" bestFit="1" customWidth="1"/>
    <col min="3" max="4" width="7.140625" style="153" customWidth="1"/>
    <col min="5" max="5" width="18.28515625" style="153" bestFit="1" customWidth="1"/>
    <col min="6" max="6" width="27.42578125" style="153" bestFit="1" customWidth="1"/>
    <col min="7" max="7" width="11.42578125" style="153" customWidth="1"/>
    <col min="8" max="8" width="18.28515625" style="153" customWidth="1"/>
    <col min="9" max="9" width="12.7109375" style="153" bestFit="1" customWidth="1"/>
    <col min="10" max="12" width="7.140625" style="153" customWidth="1"/>
    <col min="13" max="13" width="5.7109375" style="177" customWidth="1"/>
    <col min="14" max="14" width="8.7109375" style="177" customWidth="1"/>
    <col min="15" max="15" width="18.28515625" style="156" bestFit="1" customWidth="1"/>
    <col min="16" max="16" width="18.28515625" style="156" customWidth="1"/>
    <col min="17" max="17" width="18.28515625" style="156" hidden="1" customWidth="1"/>
    <col min="18" max="18" width="20.140625" style="177" bestFit="1" customWidth="1"/>
    <col min="19" max="19" width="20.140625" style="177" customWidth="1"/>
    <col min="20" max="20" width="10.28515625" style="177" customWidth="1"/>
    <col min="21" max="16384" width="9.140625" style="177"/>
  </cols>
  <sheetData>
    <row r="1" spans="1:24" x14ac:dyDescent="0.2">
      <c r="A1" s="150" t="s">
        <v>15</v>
      </c>
      <c r="B1" s="150" t="s">
        <v>18</v>
      </c>
      <c r="C1" s="150" t="s">
        <v>189</v>
      </c>
      <c r="D1" s="150" t="s">
        <v>188</v>
      </c>
      <c r="E1" s="152" t="s">
        <v>185</v>
      </c>
      <c r="F1" s="152" t="s">
        <v>187</v>
      </c>
      <c r="G1" s="152" t="s">
        <v>156</v>
      </c>
      <c r="H1" s="152" t="s">
        <v>186</v>
      </c>
      <c r="I1" s="152"/>
      <c r="J1" s="152"/>
      <c r="K1" s="152"/>
      <c r="L1" s="150" t="s">
        <v>184</v>
      </c>
      <c r="M1" s="177" t="s">
        <v>183</v>
      </c>
      <c r="N1" s="177" t="s">
        <v>182</v>
      </c>
      <c r="O1" s="152" t="s">
        <v>185</v>
      </c>
      <c r="P1" s="152"/>
      <c r="Q1" s="152"/>
      <c r="R1" s="152" t="s">
        <v>187</v>
      </c>
      <c r="S1" s="152"/>
      <c r="T1" s="152" t="s">
        <v>156</v>
      </c>
      <c r="U1" s="195" t="s">
        <v>219</v>
      </c>
      <c r="V1" s="195" t="s">
        <v>220</v>
      </c>
      <c r="W1" s="177" t="s">
        <v>221</v>
      </c>
      <c r="X1" s="177" t="s">
        <v>221</v>
      </c>
    </row>
    <row r="2" spans="1:24" x14ac:dyDescent="0.2">
      <c r="A2" s="153">
        <v>2001</v>
      </c>
      <c r="B2" s="153">
        <v>1</v>
      </c>
      <c r="C2" s="153" t="str">
        <f>A2&amp;B2</f>
        <v>20011</v>
      </c>
      <c r="D2" s="177" t="s">
        <v>178</v>
      </c>
      <c r="E2" s="153">
        <f>VLOOKUP($A2&amp;$D2,$N$1:$T$169,MATCH(E$1,$N$1:$T$1,0),0)</f>
        <v>113069.322</v>
      </c>
      <c r="F2" s="153">
        <f>VLOOKUP($A2&amp;$D2,$N$1:$T$169,MATCH(F$1,$N$1:$T$1,0),0)</f>
        <v>34569.886538168648</v>
      </c>
      <c r="G2" s="153">
        <f>VLOOKUP($A2&amp;$D2,$N$1:$T$169,MATCH(G$1,$N$1:$T$1,0),0)</f>
        <v>4063.346</v>
      </c>
      <c r="H2" s="153" t="e">
        <f>VLOOKUP($A2&amp;$D2,$N$1:$T$169,MATCH(H$1,$N$1:$T$1,0),0)</f>
        <v>#N/A</v>
      </c>
      <c r="L2" s="153">
        <v>2001</v>
      </c>
      <c r="M2" s="177" t="s">
        <v>178</v>
      </c>
      <c r="N2" s="177" t="str">
        <f t="shared" ref="N2:N49" si="0">L2&amp;M2</f>
        <v>2001Q1</v>
      </c>
      <c r="O2" s="184">
        <v>113069.322</v>
      </c>
      <c r="P2" s="251"/>
      <c r="Q2" s="251"/>
      <c r="R2" s="189">
        <v>34569.886538168648</v>
      </c>
      <c r="S2" s="189"/>
      <c r="T2" s="253">
        <f>V2</f>
        <v>4063.346</v>
      </c>
      <c r="U2" s="189">
        <v>413.29820000000001</v>
      </c>
      <c r="V2" s="189">
        <v>4063.346</v>
      </c>
      <c r="W2" s="177" t="e">
        <f>U2/P2</f>
        <v>#DIV/0!</v>
      </c>
      <c r="X2" s="177" t="e">
        <f>V2/Q2</f>
        <v>#DIV/0!</v>
      </c>
    </row>
    <row r="3" spans="1:24" x14ac:dyDescent="0.2">
      <c r="A3" s="153">
        <v>2001</v>
      </c>
      <c r="B3" s="153">
        <v>2</v>
      </c>
      <c r="C3" s="153" t="str">
        <f t="shared" ref="C3:C66" si="1">A3&amp;B3</f>
        <v>20012</v>
      </c>
      <c r="D3" s="177" t="s">
        <v>178</v>
      </c>
      <c r="E3" s="153">
        <f t="shared" ref="E3:H34" si="2">VLOOKUP($A3&amp;$D3,$N$1:$T$169,MATCH(E$1,$N$1:$T$1,0),0)</f>
        <v>113069.322</v>
      </c>
      <c r="F3" s="153">
        <f t="shared" si="2"/>
        <v>34569.886538168648</v>
      </c>
      <c r="G3" s="153">
        <f t="shared" si="2"/>
        <v>4063.346</v>
      </c>
      <c r="H3" s="153" t="e">
        <f t="shared" si="2"/>
        <v>#N/A</v>
      </c>
      <c r="L3" s="153">
        <v>2001</v>
      </c>
      <c r="M3" s="177" t="s">
        <v>179</v>
      </c>
      <c r="N3" s="177" t="str">
        <f t="shared" si="0"/>
        <v>2001Q2</v>
      </c>
      <c r="O3" s="184">
        <v>112494.27</v>
      </c>
      <c r="P3" s="251"/>
      <c r="Q3" s="251"/>
      <c r="R3" s="189">
        <v>34431.916408019461</v>
      </c>
      <c r="S3" s="189"/>
      <c r="T3" s="253">
        <f t="shared" ref="T3:T66" si="3">V3</f>
        <v>4068.1320000000001</v>
      </c>
      <c r="U3" s="189">
        <v>414.52</v>
      </c>
      <c r="V3" s="189">
        <v>4068.1320000000001</v>
      </c>
      <c r="W3" s="177" t="e">
        <f t="shared" ref="W3:X66" si="4">U3/P3</f>
        <v>#DIV/0!</v>
      </c>
      <c r="X3" s="177" t="e">
        <f t="shared" si="4"/>
        <v>#DIV/0!</v>
      </c>
    </row>
    <row r="4" spans="1:24" x14ac:dyDescent="0.2">
      <c r="A4" s="153">
        <v>2001</v>
      </c>
      <c r="B4" s="153">
        <v>3</v>
      </c>
      <c r="C4" s="153" t="str">
        <f t="shared" si="1"/>
        <v>20013</v>
      </c>
      <c r="D4" s="177" t="s">
        <v>178</v>
      </c>
      <c r="E4" s="153">
        <f t="shared" si="2"/>
        <v>113069.322</v>
      </c>
      <c r="F4" s="153">
        <f t="shared" si="2"/>
        <v>34569.886538168648</v>
      </c>
      <c r="G4" s="153">
        <f t="shared" si="2"/>
        <v>4063.346</v>
      </c>
      <c r="H4" s="153" t="e">
        <f t="shared" si="2"/>
        <v>#N/A</v>
      </c>
      <c r="L4" s="153">
        <v>2001</v>
      </c>
      <c r="M4" s="177" t="s">
        <v>180</v>
      </c>
      <c r="N4" s="177" t="str">
        <f t="shared" si="0"/>
        <v>2001Q3</v>
      </c>
      <c r="O4" s="184">
        <v>112373.137</v>
      </c>
      <c r="P4" s="251"/>
      <c r="Q4" s="251"/>
      <c r="R4" s="189">
        <v>34399.937636938055</v>
      </c>
      <c r="S4" s="189"/>
      <c r="T4" s="253">
        <f t="shared" si="3"/>
        <v>4073.5569999999998</v>
      </c>
      <c r="U4" s="189">
        <v>415.50199999999995</v>
      </c>
      <c r="V4" s="189">
        <v>4073.5569999999998</v>
      </c>
      <c r="W4" s="177" t="e">
        <f t="shared" si="4"/>
        <v>#DIV/0!</v>
      </c>
      <c r="X4" s="177" t="e">
        <f t="shared" si="4"/>
        <v>#DIV/0!</v>
      </c>
    </row>
    <row r="5" spans="1:24" x14ac:dyDescent="0.2">
      <c r="A5" s="153">
        <v>2001</v>
      </c>
      <c r="B5" s="153">
        <v>4</v>
      </c>
      <c r="C5" s="153" t="str">
        <f t="shared" si="1"/>
        <v>20014</v>
      </c>
      <c r="D5" s="177" t="s">
        <v>179</v>
      </c>
      <c r="E5" s="153">
        <f t="shared" si="2"/>
        <v>112494.27</v>
      </c>
      <c r="F5" s="153">
        <f t="shared" si="2"/>
        <v>34431.916408019461</v>
      </c>
      <c r="G5" s="153">
        <f t="shared" si="2"/>
        <v>4068.1320000000001</v>
      </c>
      <c r="H5" s="153" t="e">
        <f t="shared" si="2"/>
        <v>#N/A</v>
      </c>
      <c r="L5" s="153">
        <v>2001</v>
      </c>
      <c r="M5" s="177" t="s">
        <v>181</v>
      </c>
      <c r="N5" s="177" t="str">
        <f t="shared" si="0"/>
        <v>2001Q4</v>
      </c>
      <c r="O5" s="184">
        <v>112983.58500000001</v>
      </c>
      <c r="P5" s="251"/>
      <c r="Q5" s="251"/>
      <c r="R5" s="189">
        <v>34635.991880930669</v>
      </c>
      <c r="S5" s="189"/>
      <c r="T5" s="253">
        <f t="shared" si="3"/>
        <v>4078.989</v>
      </c>
      <c r="U5" s="189">
        <v>416.48399999999992</v>
      </c>
      <c r="V5" s="189">
        <v>4078.989</v>
      </c>
      <c r="W5" s="177" t="e">
        <f t="shared" si="4"/>
        <v>#DIV/0!</v>
      </c>
      <c r="X5" s="177" t="e">
        <f t="shared" si="4"/>
        <v>#DIV/0!</v>
      </c>
    </row>
    <row r="6" spans="1:24" x14ac:dyDescent="0.2">
      <c r="A6" s="153">
        <v>2001</v>
      </c>
      <c r="B6" s="153">
        <v>5</v>
      </c>
      <c r="C6" s="153" t="str">
        <f t="shared" si="1"/>
        <v>20015</v>
      </c>
      <c r="D6" s="177" t="s">
        <v>179</v>
      </c>
      <c r="E6" s="153">
        <f t="shared" si="2"/>
        <v>112494.27</v>
      </c>
      <c r="F6" s="153">
        <f t="shared" si="2"/>
        <v>34431.916408019461</v>
      </c>
      <c r="G6" s="153">
        <f t="shared" si="2"/>
        <v>4068.1320000000001</v>
      </c>
      <c r="H6" s="153" t="e">
        <f t="shared" si="2"/>
        <v>#N/A</v>
      </c>
      <c r="L6" s="153">
        <f>L2+1</f>
        <v>2002</v>
      </c>
      <c r="M6" s="177" t="str">
        <f>M2</f>
        <v>Q1</v>
      </c>
      <c r="N6" s="177" t="str">
        <f t="shared" si="0"/>
        <v>2002Q1</v>
      </c>
      <c r="O6" s="184">
        <v>113421.694</v>
      </c>
      <c r="P6" s="251"/>
      <c r="Q6" s="251"/>
      <c r="R6" s="189">
        <v>35447.445392607326</v>
      </c>
      <c r="S6" s="189"/>
      <c r="T6" s="253">
        <f t="shared" si="3"/>
        <v>4084.4279999999999</v>
      </c>
      <c r="U6" s="189">
        <v>417.46599999999995</v>
      </c>
      <c r="V6" s="189">
        <v>4084.4279999999999</v>
      </c>
      <c r="W6" s="177" t="e">
        <f t="shared" si="4"/>
        <v>#DIV/0!</v>
      </c>
      <c r="X6" s="177" t="e">
        <f t="shared" si="4"/>
        <v>#DIV/0!</v>
      </c>
    </row>
    <row r="7" spans="1:24" x14ac:dyDescent="0.2">
      <c r="A7" s="153">
        <v>2001</v>
      </c>
      <c r="B7" s="153">
        <v>6</v>
      </c>
      <c r="C7" s="153" t="str">
        <f t="shared" si="1"/>
        <v>20016</v>
      </c>
      <c r="D7" s="177" t="s">
        <v>179</v>
      </c>
      <c r="E7" s="153">
        <f t="shared" si="2"/>
        <v>112494.27</v>
      </c>
      <c r="F7" s="153">
        <f t="shared" si="2"/>
        <v>34431.916408019461</v>
      </c>
      <c r="G7" s="153">
        <f t="shared" si="2"/>
        <v>4068.1320000000001</v>
      </c>
      <c r="H7" s="153" t="e">
        <f t="shared" si="2"/>
        <v>#N/A</v>
      </c>
      <c r="L7" s="153">
        <f t="shared" ref="L7:L70" si="5">L3+1</f>
        <v>2002</v>
      </c>
      <c r="M7" s="177" t="str">
        <f t="shared" ref="M7:M70" si="6">M3</f>
        <v>Q2</v>
      </c>
      <c r="N7" s="177" t="str">
        <f t="shared" si="0"/>
        <v>2002Q2</v>
      </c>
      <c r="O7" s="184">
        <v>114074.546</v>
      </c>
      <c r="P7" s="251"/>
      <c r="Q7" s="251"/>
      <c r="R7" s="189">
        <v>35596.576099127022</v>
      </c>
      <c r="S7" s="189"/>
      <c r="T7" s="253">
        <f t="shared" si="3"/>
        <v>4089.875</v>
      </c>
      <c r="U7" s="189">
        <v>418.44800000000004</v>
      </c>
      <c r="V7" s="189">
        <v>4089.875</v>
      </c>
      <c r="W7" s="177" t="e">
        <f t="shared" si="4"/>
        <v>#DIV/0!</v>
      </c>
      <c r="X7" s="177" t="e">
        <f t="shared" si="4"/>
        <v>#DIV/0!</v>
      </c>
    </row>
    <row r="8" spans="1:24" x14ac:dyDescent="0.2">
      <c r="A8" s="153">
        <v>2001</v>
      </c>
      <c r="B8" s="153">
        <v>7</v>
      </c>
      <c r="C8" s="153" t="str">
        <f t="shared" si="1"/>
        <v>20017</v>
      </c>
      <c r="D8" s="177" t="s">
        <v>180</v>
      </c>
      <c r="E8" s="153">
        <f t="shared" si="2"/>
        <v>112373.137</v>
      </c>
      <c r="F8" s="153">
        <f t="shared" si="2"/>
        <v>34399.937636938055</v>
      </c>
      <c r="G8" s="153">
        <f t="shared" si="2"/>
        <v>4073.5569999999998</v>
      </c>
      <c r="H8" s="153" t="e">
        <f t="shared" si="2"/>
        <v>#N/A</v>
      </c>
      <c r="L8" s="153">
        <f t="shared" si="5"/>
        <v>2002</v>
      </c>
      <c r="M8" s="177" t="str">
        <f t="shared" si="6"/>
        <v>Q3</v>
      </c>
      <c r="N8" s="177" t="str">
        <f t="shared" si="0"/>
        <v>2002Q3</v>
      </c>
      <c r="O8" s="184">
        <v>114002.70699999999</v>
      </c>
      <c r="P8" s="251"/>
      <c r="Q8" s="251"/>
      <c r="R8" s="189">
        <v>35529.120654001694</v>
      </c>
      <c r="S8" s="189"/>
      <c r="T8" s="253">
        <f t="shared" si="3"/>
        <v>4096.6819999999998</v>
      </c>
      <c r="U8" s="189">
        <v>420.07424999999984</v>
      </c>
      <c r="V8" s="189">
        <v>4096.6819999999998</v>
      </c>
      <c r="W8" s="177" t="e">
        <f t="shared" si="4"/>
        <v>#DIV/0!</v>
      </c>
      <c r="X8" s="177" t="e">
        <f t="shared" si="4"/>
        <v>#DIV/0!</v>
      </c>
    </row>
    <row r="9" spans="1:24" x14ac:dyDescent="0.2">
      <c r="A9" s="153">
        <v>2001</v>
      </c>
      <c r="B9" s="153">
        <v>8</v>
      </c>
      <c r="C9" s="153" t="str">
        <f t="shared" si="1"/>
        <v>20018</v>
      </c>
      <c r="D9" s="177" t="s">
        <v>180</v>
      </c>
      <c r="E9" s="153">
        <f t="shared" si="2"/>
        <v>112373.137</v>
      </c>
      <c r="F9" s="153">
        <f t="shared" si="2"/>
        <v>34399.937636938055</v>
      </c>
      <c r="G9" s="153">
        <f t="shared" si="2"/>
        <v>4073.5569999999998</v>
      </c>
      <c r="H9" s="153" t="e">
        <f t="shared" si="2"/>
        <v>#N/A</v>
      </c>
      <c r="L9" s="153">
        <f t="shared" si="5"/>
        <v>2002</v>
      </c>
      <c r="M9" s="177" t="str">
        <f t="shared" si="6"/>
        <v>Q4</v>
      </c>
      <c r="N9" s="177" t="str">
        <f t="shared" si="0"/>
        <v>2002Q4</v>
      </c>
      <c r="O9" s="184">
        <v>114407.613</v>
      </c>
      <c r="P9" s="251"/>
      <c r="Q9" s="251"/>
      <c r="R9" s="189">
        <v>35618.929902433476</v>
      </c>
      <c r="S9" s="189"/>
      <c r="T9" s="253">
        <f t="shared" si="3"/>
        <v>4103.5</v>
      </c>
      <c r="U9" s="189">
        <v>421.70050000000003</v>
      </c>
      <c r="V9" s="189">
        <v>4103.5</v>
      </c>
      <c r="W9" s="177" t="e">
        <f t="shared" si="4"/>
        <v>#DIV/0!</v>
      </c>
      <c r="X9" s="177" t="e">
        <f t="shared" si="4"/>
        <v>#DIV/0!</v>
      </c>
    </row>
    <row r="10" spans="1:24" x14ac:dyDescent="0.2">
      <c r="A10" s="153">
        <v>2001</v>
      </c>
      <c r="B10" s="153">
        <v>9</v>
      </c>
      <c r="C10" s="153" t="str">
        <f t="shared" si="1"/>
        <v>20019</v>
      </c>
      <c r="D10" s="177" t="s">
        <v>180</v>
      </c>
      <c r="E10" s="153">
        <f t="shared" si="2"/>
        <v>112373.137</v>
      </c>
      <c r="F10" s="153">
        <f t="shared" si="2"/>
        <v>34399.937636938055</v>
      </c>
      <c r="G10" s="153">
        <f t="shared" si="2"/>
        <v>4073.5569999999998</v>
      </c>
      <c r="H10" s="153" t="e">
        <f t="shared" si="2"/>
        <v>#N/A</v>
      </c>
      <c r="L10" s="153">
        <f t="shared" si="5"/>
        <v>2003</v>
      </c>
      <c r="M10" s="177" t="str">
        <f t="shared" si="6"/>
        <v>Q1</v>
      </c>
      <c r="N10" s="177" t="str">
        <f t="shared" si="0"/>
        <v>2003Q1</v>
      </c>
      <c r="O10" s="184">
        <v>113801.59699999999</v>
      </c>
      <c r="P10" s="251"/>
      <c r="Q10" s="251"/>
      <c r="R10" s="189">
        <v>35646.967823316591</v>
      </c>
      <c r="S10" s="189"/>
      <c r="T10" s="253">
        <f t="shared" si="3"/>
        <v>4110.3289999999997</v>
      </c>
      <c r="U10" s="189">
        <v>423.32675</v>
      </c>
      <c r="V10" s="189">
        <v>4110.3289999999997</v>
      </c>
      <c r="W10" s="177" t="e">
        <f t="shared" si="4"/>
        <v>#DIV/0!</v>
      </c>
      <c r="X10" s="177" t="e">
        <f t="shared" si="4"/>
        <v>#DIV/0!</v>
      </c>
    </row>
    <row r="11" spans="1:24" x14ac:dyDescent="0.2">
      <c r="A11" s="153">
        <v>2001</v>
      </c>
      <c r="B11" s="153">
        <v>10</v>
      </c>
      <c r="C11" s="153" t="str">
        <f t="shared" si="1"/>
        <v>200110</v>
      </c>
      <c r="D11" s="177" t="s">
        <v>181</v>
      </c>
      <c r="E11" s="153">
        <f t="shared" si="2"/>
        <v>112983.58500000001</v>
      </c>
      <c r="F11" s="153">
        <f t="shared" si="2"/>
        <v>34635.991880930669</v>
      </c>
      <c r="G11" s="153">
        <f t="shared" si="2"/>
        <v>4078.989</v>
      </c>
      <c r="H11" s="153" t="e">
        <f t="shared" si="2"/>
        <v>#N/A</v>
      </c>
      <c r="L11" s="153">
        <f t="shared" si="5"/>
        <v>2003</v>
      </c>
      <c r="M11" s="177" t="str">
        <f t="shared" si="6"/>
        <v>Q2</v>
      </c>
      <c r="N11" s="177" t="str">
        <f t="shared" si="0"/>
        <v>2003Q2</v>
      </c>
      <c r="O11" s="184">
        <v>114321.784</v>
      </c>
      <c r="P11" s="251"/>
      <c r="Q11" s="251"/>
      <c r="R11" s="189">
        <v>35842.575547320266</v>
      </c>
      <c r="S11" s="189"/>
      <c r="T11" s="253">
        <f t="shared" si="3"/>
        <v>4117.17</v>
      </c>
      <c r="U11" s="189">
        <v>424.95300000000003</v>
      </c>
      <c r="V11" s="189">
        <v>4117.17</v>
      </c>
      <c r="W11" s="177" t="e">
        <f t="shared" si="4"/>
        <v>#DIV/0!</v>
      </c>
      <c r="X11" s="177" t="e">
        <f t="shared" si="4"/>
        <v>#DIV/0!</v>
      </c>
    </row>
    <row r="12" spans="1:24" x14ac:dyDescent="0.2">
      <c r="A12" s="153">
        <v>2001</v>
      </c>
      <c r="B12" s="153">
        <v>11</v>
      </c>
      <c r="C12" s="153" t="str">
        <f t="shared" si="1"/>
        <v>200111</v>
      </c>
      <c r="D12" s="177" t="s">
        <v>181</v>
      </c>
      <c r="E12" s="153">
        <f t="shared" si="2"/>
        <v>112983.58500000001</v>
      </c>
      <c r="F12" s="153">
        <f t="shared" si="2"/>
        <v>34635.991880930669</v>
      </c>
      <c r="G12" s="153">
        <f t="shared" si="2"/>
        <v>4078.989</v>
      </c>
      <c r="H12" s="153" t="e">
        <f t="shared" si="2"/>
        <v>#N/A</v>
      </c>
      <c r="L12" s="153">
        <f t="shared" si="5"/>
        <v>2003</v>
      </c>
      <c r="M12" s="177" t="str">
        <f t="shared" si="6"/>
        <v>Q3</v>
      </c>
      <c r="N12" s="177" t="str">
        <f t="shared" si="0"/>
        <v>2003Q3</v>
      </c>
      <c r="O12" s="184">
        <v>114399.553</v>
      </c>
      <c r="P12" s="251"/>
      <c r="Q12" s="251"/>
      <c r="R12" s="189">
        <v>35879.356060081816</v>
      </c>
      <c r="S12" s="189"/>
      <c r="T12" s="253">
        <f t="shared" si="3"/>
        <v>4124.384</v>
      </c>
      <c r="U12" s="189">
        <v>426.27199999999993</v>
      </c>
      <c r="V12" s="189">
        <v>4124.384</v>
      </c>
      <c r="W12" s="177" t="e">
        <f t="shared" si="4"/>
        <v>#DIV/0!</v>
      </c>
      <c r="X12" s="177" t="e">
        <f t="shared" si="4"/>
        <v>#DIV/0!</v>
      </c>
    </row>
    <row r="13" spans="1:24" x14ac:dyDescent="0.2">
      <c r="A13" s="153">
        <v>2001</v>
      </c>
      <c r="B13" s="153">
        <v>12</v>
      </c>
      <c r="C13" s="153" t="str">
        <f t="shared" si="1"/>
        <v>200112</v>
      </c>
      <c r="D13" s="177" t="s">
        <v>181</v>
      </c>
      <c r="E13" s="153">
        <f t="shared" si="2"/>
        <v>112983.58500000001</v>
      </c>
      <c r="F13" s="153">
        <f t="shared" si="2"/>
        <v>34635.991880930669</v>
      </c>
      <c r="G13" s="153">
        <f t="shared" si="2"/>
        <v>4078.989</v>
      </c>
      <c r="H13" s="153" t="e">
        <f t="shared" si="2"/>
        <v>#N/A</v>
      </c>
      <c r="L13" s="153">
        <f t="shared" si="5"/>
        <v>2003</v>
      </c>
      <c r="M13" s="177" t="str">
        <f t="shared" si="6"/>
        <v>Q4</v>
      </c>
      <c r="N13" s="177" t="str">
        <f t="shared" si="0"/>
        <v>2003Q4</v>
      </c>
      <c r="O13" s="184">
        <v>115855.962</v>
      </c>
      <c r="P13" s="251"/>
      <c r="Q13" s="251"/>
      <c r="R13" s="189">
        <v>36361.519986701038</v>
      </c>
      <c r="S13" s="189"/>
      <c r="T13" s="253">
        <f t="shared" si="3"/>
        <v>4131.6099999999997</v>
      </c>
      <c r="U13" s="189">
        <v>427.59099999999995</v>
      </c>
      <c r="V13" s="189">
        <v>4131.6099999999997</v>
      </c>
      <c r="W13" s="177" t="e">
        <f t="shared" si="4"/>
        <v>#DIV/0!</v>
      </c>
      <c r="X13" s="177" t="e">
        <f t="shared" si="4"/>
        <v>#DIV/0!</v>
      </c>
    </row>
    <row r="14" spans="1:24" x14ac:dyDescent="0.2">
      <c r="A14" s="153">
        <v>2002</v>
      </c>
      <c r="B14" s="153">
        <v>1</v>
      </c>
      <c r="C14" s="153" t="str">
        <f t="shared" si="1"/>
        <v>20021</v>
      </c>
      <c r="D14" s="153" t="str">
        <f>D2</f>
        <v>Q1</v>
      </c>
      <c r="E14" s="153">
        <f t="shared" si="2"/>
        <v>113421.694</v>
      </c>
      <c r="F14" s="153">
        <f t="shared" si="2"/>
        <v>35447.445392607326</v>
      </c>
      <c r="G14" s="153">
        <f t="shared" si="2"/>
        <v>4084.4279999999999</v>
      </c>
      <c r="H14" s="153" t="e">
        <f t="shared" si="2"/>
        <v>#N/A</v>
      </c>
      <c r="L14" s="153">
        <f t="shared" si="5"/>
        <v>2004</v>
      </c>
      <c r="M14" s="177" t="str">
        <f t="shared" si="6"/>
        <v>Q1</v>
      </c>
      <c r="N14" s="177" t="str">
        <f t="shared" si="0"/>
        <v>2004Q1</v>
      </c>
      <c r="O14" s="184">
        <v>116263.073</v>
      </c>
      <c r="P14" s="251"/>
      <c r="Q14" s="251"/>
      <c r="R14" s="189">
        <v>36644.026083426186</v>
      </c>
      <c r="S14" s="189"/>
      <c r="T14" s="253">
        <f t="shared" si="3"/>
        <v>4138.8490000000002</v>
      </c>
      <c r="U14" s="189">
        <v>428.91</v>
      </c>
      <c r="V14" s="189">
        <v>4138.8490000000002</v>
      </c>
      <c r="W14" s="177" t="e">
        <f t="shared" si="4"/>
        <v>#DIV/0!</v>
      </c>
      <c r="X14" s="177" t="e">
        <f t="shared" si="4"/>
        <v>#DIV/0!</v>
      </c>
    </row>
    <row r="15" spans="1:24" x14ac:dyDescent="0.2">
      <c r="A15" s="153">
        <v>2002</v>
      </c>
      <c r="B15" s="153">
        <v>2</v>
      </c>
      <c r="C15" s="153" t="str">
        <f t="shared" si="1"/>
        <v>20022</v>
      </c>
      <c r="D15" s="153" t="str">
        <f t="shared" ref="D15:D78" si="7">D3</f>
        <v>Q1</v>
      </c>
      <c r="E15" s="153">
        <f t="shared" si="2"/>
        <v>113421.694</v>
      </c>
      <c r="F15" s="153">
        <f t="shared" si="2"/>
        <v>35447.445392607326</v>
      </c>
      <c r="G15" s="153">
        <f t="shared" si="2"/>
        <v>4084.4279999999999</v>
      </c>
      <c r="H15" s="153" t="e">
        <f t="shared" si="2"/>
        <v>#N/A</v>
      </c>
      <c r="L15" s="153">
        <f t="shared" si="5"/>
        <v>2004</v>
      </c>
      <c r="M15" s="177" t="str">
        <f t="shared" si="6"/>
        <v>Q2</v>
      </c>
      <c r="N15" s="177" t="str">
        <f t="shared" si="0"/>
        <v>2004Q2</v>
      </c>
      <c r="O15" s="184">
        <v>116694.558</v>
      </c>
      <c r="P15" s="251"/>
      <c r="Q15" s="251"/>
      <c r="R15" s="189">
        <v>36771.492378685805</v>
      </c>
      <c r="S15" s="189"/>
      <c r="T15" s="253">
        <f t="shared" si="3"/>
        <v>4146.1009999999997</v>
      </c>
      <c r="U15" s="189">
        <v>430.22899999999998</v>
      </c>
      <c r="V15" s="189">
        <v>4146.1009999999997</v>
      </c>
      <c r="W15" s="177" t="e">
        <f t="shared" si="4"/>
        <v>#DIV/0!</v>
      </c>
      <c r="X15" s="177" t="e">
        <f t="shared" si="4"/>
        <v>#DIV/0!</v>
      </c>
    </row>
    <row r="16" spans="1:24" x14ac:dyDescent="0.2">
      <c r="A16" s="153">
        <v>2002</v>
      </c>
      <c r="B16" s="153">
        <v>3</v>
      </c>
      <c r="C16" s="153" t="str">
        <f t="shared" si="1"/>
        <v>20023</v>
      </c>
      <c r="D16" s="153" t="str">
        <f t="shared" si="7"/>
        <v>Q1</v>
      </c>
      <c r="E16" s="153">
        <f t="shared" si="2"/>
        <v>113421.694</v>
      </c>
      <c r="F16" s="153">
        <f t="shared" si="2"/>
        <v>35447.445392607326</v>
      </c>
      <c r="G16" s="153">
        <f t="shared" si="2"/>
        <v>4084.4279999999999</v>
      </c>
      <c r="H16" s="153" t="e">
        <f t="shared" si="2"/>
        <v>#N/A</v>
      </c>
      <c r="L16" s="153">
        <f t="shared" si="5"/>
        <v>2004</v>
      </c>
      <c r="M16" s="177" t="str">
        <f t="shared" si="6"/>
        <v>Q3</v>
      </c>
      <c r="N16" s="177" t="str">
        <f t="shared" si="0"/>
        <v>2004Q3</v>
      </c>
      <c r="O16" s="184">
        <v>117551.33500000001</v>
      </c>
      <c r="P16" s="251">
        <v>1648.232</v>
      </c>
      <c r="Q16" s="251">
        <v>1648.232</v>
      </c>
      <c r="R16" s="189">
        <v>36973.693354213639</v>
      </c>
      <c r="S16" s="189"/>
      <c r="T16" s="253">
        <f t="shared" si="3"/>
        <v>4155.2309999999998</v>
      </c>
      <c r="U16" s="189">
        <v>431.89625000000001</v>
      </c>
      <c r="V16" s="189">
        <v>4155.2309999999998</v>
      </c>
      <c r="W16" s="177">
        <f t="shared" si="4"/>
        <v>0.26203607865882961</v>
      </c>
      <c r="X16" s="177">
        <f t="shared" si="4"/>
        <v>2.5210231326657895</v>
      </c>
    </row>
    <row r="17" spans="1:24" x14ac:dyDescent="0.2">
      <c r="A17" s="153">
        <v>2002</v>
      </c>
      <c r="B17" s="153">
        <v>4</v>
      </c>
      <c r="C17" s="153" t="str">
        <f t="shared" si="1"/>
        <v>20024</v>
      </c>
      <c r="D17" s="153" t="str">
        <f t="shared" si="7"/>
        <v>Q2</v>
      </c>
      <c r="E17" s="153">
        <f t="shared" si="2"/>
        <v>114074.546</v>
      </c>
      <c r="F17" s="153">
        <f t="shared" si="2"/>
        <v>35596.576099127022</v>
      </c>
      <c r="G17" s="153">
        <f t="shared" si="2"/>
        <v>4089.875</v>
      </c>
      <c r="H17" s="153" t="e">
        <f t="shared" si="2"/>
        <v>#N/A</v>
      </c>
      <c r="L17" s="153">
        <f t="shared" si="5"/>
        <v>2004</v>
      </c>
      <c r="M17" s="177" t="str">
        <f t="shared" si="6"/>
        <v>Q4</v>
      </c>
      <c r="N17" s="177" t="str">
        <f t="shared" si="0"/>
        <v>2004Q4</v>
      </c>
      <c r="O17" s="184">
        <v>118914.68</v>
      </c>
      <c r="P17" s="251">
        <v>1651.4670000000001</v>
      </c>
      <c r="Q17" s="251">
        <v>1651.4670000000001</v>
      </c>
      <c r="R17" s="189">
        <v>37306.699921138053</v>
      </c>
      <c r="S17" s="189"/>
      <c r="T17" s="253">
        <f t="shared" si="3"/>
        <v>4164.3810000000003</v>
      </c>
      <c r="U17" s="189">
        <v>433.56350000000003</v>
      </c>
      <c r="V17" s="189">
        <v>4164.3810000000003</v>
      </c>
      <c r="W17" s="177">
        <f t="shared" si="4"/>
        <v>0.26253234245673696</v>
      </c>
      <c r="X17" s="177">
        <f t="shared" si="4"/>
        <v>2.5216253185803894</v>
      </c>
    </row>
    <row r="18" spans="1:24" x14ac:dyDescent="0.2">
      <c r="A18" s="153">
        <v>2002</v>
      </c>
      <c r="B18" s="153">
        <v>5</v>
      </c>
      <c r="C18" s="153" t="str">
        <f t="shared" si="1"/>
        <v>20025</v>
      </c>
      <c r="D18" s="153" t="str">
        <f t="shared" si="7"/>
        <v>Q2</v>
      </c>
      <c r="E18" s="153">
        <f t="shared" si="2"/>
        <v>114074.546</v>
      </c>
      <c r="F18" s="153">
        <f t="shared" si="2"/>
        <v>35596.576099127022</v>
      </c>
      <c r="G18" s="153">
        <f t="shared" si="2"/>
        <v>4089.875</v>
      </c>
      <c r="H18" s="153" t="e">
        <f t="shared" si="2"/>
        <v>#N/A</v>
      </c>
      <c r="L18" s="153">
        <f t="shared" si="5"/>
        <v>2005</v>
      </c>
      <c r="M18" s="177" t="str">
        <f t="shared" si="6"/>
        <v>Q1</v>
      </c>
      <c r="N18" s="177" t="str">
        <f t="shared" si="0"/>
        <v>2005Q1</v>
      </c>
      <c r="O18" s="184">
        <v>118334.43</v>
      </c>
      <c r="P18" s="251">
        <v>1654.7090000000001</v>
      </c>
      <c r="Q18" s="251">
        <v>1654.7090000000001</v>
      </c>
      <c r="R18" s="189">
        <v>36497.743140651095</v>
      </c>
      <c r="S18" s="189"/>
      <c r="T18" s="253">
        <f t="shared" si="3"/>
        <v>4173.5519999999997</v>
      </c>
      <c r="U18" s="189">
        <v>435.23075</v>
      </c>
      <c r="V18" s="189">
        <v>4173.5519999999997</v>
      </c>
      <c r="W18" s="177">
        <f t="shared" si="4"/>
        <v>0.26302555313351167</v>
      </c>
      <c r="X18" s="177">
        <f t="shared" si="4"/>
        <v>2.5222271710614974</v>
      </c>
    </row>
    <row r="19" spans="1:24" x14ac:dyDescent="0.2">
      <c r="A19" s="153">
        <v>2002</v>
      </c>
      <c r="B19" s="153">
        <v>6</v>
      </c>
      <c r="C19" s="153" t="str">
        <f t="shared" si="1"/>
        <v>20026</v>
      </c>
      <c r="D19" s="153" t="str">
        <f t="shared" si="7"/>
        <v>Q2</v>
      </c>
      <c r="E19" s="153">
        <f t="shared" si="2"/>
        <v>114074.546</v>
      </c>
      <c r="F19" s="153">
        <f t="shared" si="2"/>
        <v>35596.576099127022</v>
      </c>
      <c r="G19" s="153">
        <f t="shared" si="2"/>
        <v>4089.875</v>
      </c>
      <c r="H19" s="153" t="e">
        <f t="shared" si="2"/>
        <v>#N/A</v>
      </c>
      <c r="L19" s="153">
        <f t="shared" si="5"/>
        <v>2005</v>
      </c>
      <c r="M19" s="177" t="str">
        <f t="shared" si="6"/>
        <v>Q2</v>
      </c>
      <c r="N19" s="177" t="str">
        <f t="shared" si="0"/>
        <v>2005Q2</v>
      </c>
      <c r="O19" s="184">
        <v>119333.414</v>
      </c>
      <c r="P19" s="251">
        <v>1657.9570000000001</v>
      </c>
      <c r="Q19" s="251">
        <v>1657.9570000000001</v>
      </c>
      <c r="R19" s="189">
        <v>36925.598833112439</v>
      </c>
      <c r="S19" s="189"/>
      <c r="T19" s="253">
        <f t="shared" si="3"/>
        <v>4182.7420000000002</v>
      </c>
      <c r="U19" s="189">
        <v>436.89800000000002</v>
      </c>
      <c r="V19" s="189">
        <v>4182.7420000000002</v>
      </c>
      <c r="W19" s="177">
        <f t="shared" si="4"/>
        <v>0.26351588129245812</v>
      </c>
      <c r="X19" s="177">
        <f t="shared" si="4"/>
        <v>2.5228289997870874</v>
      </c>
    </row>
    <row r="20" spans="1:24" x14ac:dyDescent="0.2">
      <c r="A20" s="153">
        <v>2002</v>
      </c>
      <c r="B20" s="153">
        <v>7</v>
      </c>
      <c r="C20" s="153" t="str">
        <f t="shared" si="1"/>
        <v>20027</v>
      </c>
      <c r="D20" s="153" t="str">
        <f t="shared" si="7"/>
        <v>Q3</v>
      </c>
      <c r="E20" s="153">
        <f t="shared" si="2"/>
        <v>114002.70699999999</v>
      </c>
      <c r="F20" s="153">
        <f t="shared" si="2"/>
        <v>35529.120654001694</v>
      </c>
      <c r="G20" s="153">
        <f t="shared" si="2"/>
        <v>4096.6819999999998</v>
      </c>
      <c r="H20" s="153" t="e">
        <f t="shared" si="2"/>
        <v>#N/A</v>
      </c>
      <c r="L20" s="153">
        <f t="shared" si="5"/>
        <v>2005</v>
      </c>
      <c r="M20" s="177" t="str">
        <f t="shared" si="6"/>
        <v>Q3</v>
      </c>
      <c r="N20" s="177" t="str">
        <f t="shared" si="0"/>
        <v>2005Q3</v>
      </c>
      <c r="O20" s="184">
        <v>119379.652</v>
      </c>
      <c r="P20" s="251">
        <v>1657.652</v>
      </c>
      <c r="Q20" s="251">
        <v>1657.652</v>
      </c>
      <c r="R20" s="189">
        <v>37050.927192459436</v>
      </c>
      <c r="S20" s="189"/>
      <c r="T20" s="253">
        <f t="shared" si="3"/>
        <v>4191.8370000000004</v>
      </c>
      <c r="U20" s="189">
        <v>439.09474999999986</v>
      </c>
      <c r="V20" s="189">
        <v>4191.8370000000004</v>
      </c>
      <c r="W20" s="177">
        <f t="shared" si="4"/>
        <v>0.26488958478619146</v>
      </c>
      <c r="X20" s="177">
        <f t="shared" si="4"/>
        <v>2.5287798645312769</v>
      </c>
    </row>
    <row r="21" spans="1:24" x14ac:dyDescent="0.2">
      <c r="A21" s="153">
        <v>2002</v>
      </c>
      <c r="B21" s="153">
        <v>8</v>
      </c>
      <c r="C21" s="153" t="str">
        <f t="shared" si="1"/>
        <v>20028</v>
      </c>
      <c r="D21" s="153" t="str">
        <f t="shared" si="7"/>
        <v>Q3</v>
      </c>
      <c r="E21" s="153">
        <f t="shared" si="2"/>
        <v>114002.70699999999</v>
      </c>
      <c r="F21" s="153">
        <f t="shared" si="2"/>
        <v>35529.120654001694</v>
      </c>
      <c r="G21" s="153">
        <f t="shared" si="2"/>
        <v>4096.6819999999998</v>
      </c>
      <c r="H21" s="153" t="e">
        <f t="shared" si="2"/>
        <v>#N/A</v>
      </c>
      <c r="L21" s="153">
        <f t="shared" si="5"/>
        <v>2005</v>
      </c>
      <c r="M21" s="177" t="str">
        <f t="shared" si="6"/>
        <v>Q4</v>
      </c>
      <c r="N21" s="177" t="str">
        <f t="shared" si="0"/>
        <v>2005Q4</v>
      </c>
      <c r="O21" s="184">
        <v>119542.07799999999</v>
      </c>
      <c r="P21" s="251">
        <v>1657.348</v>
      </c>
      <c r="Q21" s="251">
        <v>1657.348</v>
      </c>
      <c r="R21" s="189">
        <v>37214.08364461326</v>
      </c>
      <c r="S21" s="189"/>
      <c r="T21" s="253">
        <f t="shared" si="3"/>
        <v>4200.951</v>
      </c>
      <c r="U21" s="189">
        <v>441.29150000000004</v>
      </c>
      <c r="V21" s="189">
        <v>4200.951</v>
      </c>
      <c r="W21" s="177">
        <f t="shared" si="4"/>
        <v>0.26626363322609375</v>
      </c>
      <c r="X21" s="177">
        <f t="shared" si="4"/>
        <v>2.5347428542466641</v>
      </c>
    </row>
    <row r="22" spans="1:24" x14ac:dyDescent="0.2">
      <c r="A22" s="153">
        <v>2002</v>
      </c>
      <c r="B22" s="153">
        <v>9</v>
      </c>
      <c r="C22" s="153" t="str">
        <f t="shared" si="1"/>
        <v>20029</v>
      </c>
      <c r="D22" s="153" t="str">
        <f t="shared" si="7"/>
        <v>Q3</v>
      </c>
      <c r="E22" s="153">
        <f t="shared" si="2"/>
        <v>114002.70699999999</v>
      </c>
      <c r="F22" s="153">
        <f t="shared" si="2"/>
        <v>35529.120654001694</v>
      </c>
      <c r="G22" s="153">
        <f t="shared" si="2"/>
        <v>4096.6819999999998</v>
      </c>
      <c r="H22" s="153" t="e">
        <f t="shared" si="2"/>
        <v>#N/A</v>
      </c>
      <c r="L22" s="153">
        <f t="shared" si="5"/>
        <v>2006</v>
      </c>
      <c r="M22" s="177" t="str">
        <f t="shared" si="6"/>
        <v>Q1</v>
      </c>
      <c r="N22" s="177" t="str">
        <f t="shared" si="0"/>
        <v>2006Q1</v>
      </c>
      <c r="O22" s="184">
        <v>121891.27099999999</v>
      </c>
      <c r="P22" s="251">
        <v>1657.0429999999999</v>
      </c>
      <c r="Q22" s="251">
        <v>1657.0429999999999</v>
      </c>
      <c r="R22" s="189">
        <v>38232.076121240505</v>
      </c>
      <c r="S22" s="189"/>
      <c r="T22" s="253">
        <f t="shared" si="3"/>
        <v>4210.085</v>
      </c>
      <c r="U22" s="189">
        <v>443.48824999999999</v>
      </c>
      <c r="V22" s="189">
        <v>4210.085</v>
      </c>
      <c r="W22" s="177">
        <f t="shared" si="4"/>
        <v>0.26763834734524089</v>
      </c>
      <c r="X22" s="177">
        <f t="shared" si="4"/>
        <v>2.540721634864032</v>
      </c>
    </row>
    <row r="23" spans="1:24" x14ac:dyDescent="0.2">
      <c r="A23" s="153">
        <v>2002</v>
      </c>
      <c r="B23" s="153">
        <v>10</v>
      </c>
      <c r="C23" s="153" t="str">
        <f t="shared" si="1"/>
        <v>200210</v>
      </c>
      <c r="D23" s="153" t="str">
        <f t="shared" si="7"/>
        <v>Q4</v>
      </c>
      <c r="E23" s="153">
        <f t="shared" si="2"/>
        <v>114407.613</v>
      </c>
      <c r="F23" s="153">
        <f t="shared" si="2"/>
        <v>35618.929902433476</v>
      </c>
      <c r="G23" s="153">
        <f t="shared" si="2"/>
        <v>4103.5</v>
      </c>
      <c r="H23" s="153" t="e">
        <f t="shared" si="2"/>
        <v>#N/A</v>
      </c>
      <c r="L23" s="153">
        <f t="shared" si="5"/>
        <v>2006</v>
      </c>
      <c r="M23" s="177" t="str">
        <f t="shared" si="6"/>
        <v>Q2</v>
      </c>
      <c r="N23" s="177" t="str">
        <f t="shared" si="0"/>
        <v>2006Q2</v>
      </c>
      <c r="O23" s="184">
        <v>123006.787</v>
      </c>
      <c r="P23" s="251">
        <v>1656.7380000000001</v>
      </c>
      <c r="Q23" s="251">
        <v>1656.7380000000001</v>
      </c>
      <c r="R23" s="189">
        <v>38551.986971371545</v>
      </c>
      <c r="S23" s="189"/>
      <c r="T23" s="253">
        <f t="shared" si="3"/>
        <v>4219.2389999999996</v>
      </c>
      <c r="U23" s="189">
        <v>445.685</v>
      </c>
      <c r="V23" s="189">
        <v>4219.2389999999996</v>
      </c>
      <c r="W23" s="177">
        <f t="shared" si="4"/>
        <v>0.26901356762505596</v>
      </c>
      <c r="X23" s="177">
        <f t="shared" si="4"/>
        <v>2.5467146887437839</v>
      </c>
    </row>
    <row r="24" spans="1:24" x14ac:dyDescent="0.2">
      <c r="A24" s="153">
        <v>2002</v>
      </c>
      <c r="B24" s="153">
        <v>11</v>
      </c>
      <c r="C24" s="153" t="str">
        <f t="shared" si="1"/>
        <v>200211</v>
      </c>
      <c r="D24" s="153" t="str">
        <f t="shared" si="7"/>
        <v>Q4</v>
      </c>
      <c r="E24" s="153">
        <f t="shared" si="2"/>
        <v>114407.613</v>
      </c>
      <c r="F24" s="153">
        <f t="shared" si="2"/>
        <v>35618.929902433476</v>
      </c>
      <c r="G24" s="153">
        <f t="shared" si="2"/>
        <v>4103.5</v>
      </c>
      <c r="H24" s="153" t="e">
        <f t="shared" si="2"/>
        <v>#N/A</v>
      </c>
      <c r="L24" s="153">
        <f t="shared" si="5"/>
        <v>2006</v>
      </c>
      <c r="M24" s="177" t="str">
        <f t="shared" si="6"/>
        <v>Q3</v>
      </c>
      <c r="N24" s="177" t="str">
        <f t="shared" si="0"/>
        <v>2006Q3</v>
      </c>
      <c r="O24" s="184">
        <v>123530.77899999999</v>
      </c>
      <c r="P24" s="251">
        <v>1657.8969999999999</v>
      </c>
      <c r="Q24" s="251">
        <v>1657.8969999999999</v>
      </c>
      <c r="R24" s="189">
        <v>38698.21171607422</v>
      </c>
      <c r="S24" s="189"/>
      <c r="T24" s="253">
        <f t="shared" si="3"/>
        <v>4228.5659999999998</v>
      </c>
      <c r="U24" s="189">
        <v>447.29824999999994</v>
      </c>
      <c r="V24" s="189">
        <v>4228.5659999999998</v>
      </c>
      <c r="W24" s="177">
        <f t="shared" si="4"/>
        <v>0.26979857614797537</v>
      </c>
      <c r="X24" s="177">
        <f t="shared" si="4"/>
        <v>2.5505601373306064</v>
      </c>
    </row>
    <row r="25" spans="1:24" x14ac:dyDescent="0.2">
      <c r="A25" s="153">
        <v>2002</v>
      </c>
      <c r="B25" s="153">
        <v>12</v>
      </c>
      <c r="C25" s="153" t="str">
        <f t="shared" si="1"/>
        <v>200212</v>
      </c>
      <c r="D25" s="153" t="str">
        <f t="shared" si="7"/>
        <v>Q4</v>
      </c>
      <c r="E25" s="153">
        <f t="shared" si="2"/>
        <v>114407.613</v>
      </c>
      <c r="F25" s="153">
        <f t="shared" si="2"/>
        <v>35618.929902433476</v>
      </c>
      <c r="G25" s="153">
        <f t="shared" si="2"/>
        <v>4103.5</v>
      </c>
      <c r="H25" s="153" t="e">
        <f t="shared" si="2"/>
        <v>#N/A</v>
      </c>
      <c r="L25" s="153">
        <f t="shared" si="5"/>
        <v>2006</v>
      </c>
      <c r="M25" s="177" t="str">
        <f t="shared" si="6"/>
        <v>Q4</v>
      </c>
      <c r="N25" s="177" t="str">
        <f t="shared" si="0"/>
        <v>2006Q4</v>
      </c>
      <c r="O25" s="184">
        <v>124988.379</v>
      </c>
      <c r="P25" s="251">
        <v>1659.057</v>
      </c>
      <c r="Q25" s="251">
        <v>1659.057</v>
      </c>
      <c r="R25" s="189">
        <v>39120.882163460956</v>
      </c>
      <c r="S25" s="189"/>
      <c r="T25" s="253">
        <f t="shared" si="3"/>
        <v>4237.9139999999998</v>
      </c>
      <c r="U25" s="189">
        <v>448.91149999999993</v>
      </c>
      <c r="V25" s="189">
        <v>4237.9139999999998</v>
      </c>
      <c r="W25" s="177">
        <f t="shared" si="4"/>
        <v>0.27058232477847349</v>
      </c>
      <c r="X25" s="177">
        <f t="shared" si="4"/>
        <v>2.5544113312562495</v>
      </c>
    </row>
    <row r="26" spans="1:24" x14ac:dyDescent="0.2">
      <c r="A26" s="153">
        <v>2003</v>
      </c>
      <c r="B26" s="153">
        <v>1</v>
      </c>
      <c r="C26" s="153" t="str">
        <f t="shared" si="1"/>
        <v>20031</v>
      </c>
      <c r="D26" s="153" t="str">
        <f t="shared" si="7"/>
        <v>Q1</v>
      </c>
      <c r="E26" s="153">
        <f t="shared" si="2"/>
        <v>113801.59699999999</v>
      </c>
      <c r="F26" s="153">
        <f t="shared" si="2"/>
        <v>35646.967823316591</v>
      </c>
      <c r="G26" s="153">
        <f t="shared" si="2"/>
        <v>4110.3289999999997</v>
      </c>
      <c r="H26" s="153" t="e">
        <f t="shared" si="2"/>
        <v>#N/A</v>
      </c>
      <c r="L26" s="153">
        <f t="shared" si="5"/>
        <v>2007</v>
      </c>
      <c r="M26" s="177" t="str">
        <f t="shared" si="6"/>
        <v>Q1</v>
      </c>
      <c r="N26" s="177" t="str">
        <f t="shared" si="0"/>
        <v>2007Q1</v>
      </c>
      <c r="O26" s="184">
        <v>125421.274</v>
      </c>
      <c r="P26" s="251">
        <v>1660.2180000000001</v>
      </c>
      <c r="Q26" s="251">
        <v>1660.2180000000001</v>
      </c>
      <c r="R26" s="189">
        <v>39207.939116974187</v>
      </c>
      <c r="S26" s="189"/>
      <c r="T26" s="253">
        <f t="shared" si="3"/>
        <v>4247.2830000000004</v>
      </c>
      <c r="U26" s="189">
        <v>450.52474999999998</v>
      </c>
      <c r="V26" s="189">
        <v>4247.2830000000004</v>
      </c>
      <c r="W26" s="177">
        <f t="shared" si="4"/>
        <v>0.27136481474119661</v>
      </c>
      <c r="X26" s="177">
        <f t="shared" si="4"/>
        <v>2.5582682515187765</v>
      </c>
    </row>
    <row r="27" spans="1:24" x14ac:dyDescent="0.2">
      <c r="A27" s="153">
        <v>2003</v>
      </c>
      <c r="B27" s="153">
        <v>2</v>
      </c>
      <c r="C27" s="153" t="str">
        <f t="shared" si="1"/>
        <v>20032</v>
      </c>
      <c r="D27" s="153" t="str">
        <f t="shared" si="7"/>
        <v>Q1</v>
      </c>
      <c r="E27" s="153">
        <f t="shared" si="2"/>
        <v>113801.59699999999</v>
      </c>
      <c r="F27" s="153">
        <f t="shared" si="2"/>
        <v>35646.967823316591</v>
      </c>
      <c r="G27" s="153">
        <f t="shared" si="2"/>
        <v>4110.3289999999997</v>
      </c>
      <c r="H27" s="153" t="e">
        <f t="shared" si="2"/>
        <v>#N/A</v>
      </c>
      <c r="L27" s="153">
        <f t="shared" si="5"/>
        <v>2007</v>
      </c>
      <c r="M27" s="177" t="str">
        <f t="shared" si="6"/>
        <v>Q2</v>
      </c>
      <c r="N27" s="177" t="str">
        <f t="shared" si="0"/>
        <v>2007Q2</v>
      </c>
      <c r="O27" s="184">
        <v>125696.571</v>
      </c>
      <c r="P27" s="251">
        <v>1661.3789999999999</v>
      </c>
      <c r="Q27" s="251">
        <v>1661.3789999999999</v>
      </c>
      <c r="R27" s="189">
        <v>39146.160290129192</v>
      </c>
      <c r="S27" s="189"/>
      <c r="T27" s="253">
        <f t="shared" si="3"/>
        <v>4256.6719999999996</v>
      </c>
      <c r="U27" s="189">
        <v>452.13799999999998</v>
      </c>
      <c r="V27" s="189">
        <v>4256.6719999999996</v>
      </c>
      <c r="W27" s="177">
        <f t="shared" si="4"/>
        <v>0.27214621106923825</v>
      </c>
      <c r="X27" s="177">
        <f t="shared" si="4"/>
        <v>2.5621318194102609</v>
      </c>
    </row>
    <row r="28" spans="1:24" x14ac:dyDescent="0.2">
      <c r="A28" s="153">
        <v>2003</v>
      </c>
      <c r="B28" s="153">
        <v>3</v>
      </c>
      <c r="C28" s="153" t="str">
        <f t="shared" si="1"/>
        <v>20033</v>
      </c>
      <c r="D28" s="153" t="str">
        <f t="shared" si="7"/>
        <v>Q1</v>
      </c>
      <c r="E28" s="153">
        <f t="shared" si="2"/>
        <v>113801.59699999999</v>
      </c>
      <c r="F28" s="153">
        <f t="shared" si="2"/>
        <v>35646.967823316591</v>
      </c>
      <c r="G28" s="153">
        <f t="shared" si="2"/>
        <v>4110.3289999999997</v>
      </c>
      <c r="H28" s="153" t="e">
        <f t="shared" si="2"/>
        <v>#N/A</v>
      </c>
      <c r="L28" s="153">
        <f t="shared" si="5"/>
        <v>2007</v>
      </c>
      <c r="M28" s="177" t="str">
        <f t="shared" si="6"/>
        <v>Q3</v>
      </c>
      <c r="N28" s="177" t="str">
        <f t="shared" si="0"/>
        <v>2007Q3</v>
      </c>
      <c r="O28" s="184">
        <v>125601.717</v>
      </c>
      <c r="P28" s="251">
        <v>1669.175</v>
      </c>
      <c r="Q28" s="251">
        <v>1669.175</v>
      </c>
      <c r="R28" s="189">
        <v>39001.852326761655</v>
      </c>
      <c r="S28" s="189"/>
      <c r="T28" s="253">
        <f t="shared" si="3"/>
        <v>4264.9489999999996</v>
      </c>
      <c r="U28" s="189">
        <v>454.13150000000007</v>
      </c>
      <c r="V28" s="189">
        <v>4264.9489999999996</v>
      </c>
      <c r="W28" s="177">
        <f t="shared" si="4"/>
        <v>0.27206943549957319</v>
      </c>
      <c r="X28" s="177">
        <f t="shared" si="4"/>
        <v>2.5551239384725988</v>
      </c>
    </row>
    <row r="29" spans="1:24" x14ac:dyDescent="0.2">
      <c r="A29" s="153">
        <v>2003</v>
      </c>
      <c r="B29" s="153">
        <v>4</v>
      </c>
      <c r="C29" s="153" t="str">
        <f t="shared" si="1"/>
        <v>20034</v>
      </c>
      <c r="D29" s="153" t="str">
        <f t="shared" si="7"/>
        <v>Q2</v>
      </c>
      <c r="E29" s="153">
        <f t="shared" si="2"/>
        <v>114321.784</v>
      </c>
      <c r="F29" s="153">
        <f t="shared" si="2"/>
        <v>35842.575547320266</v>
      </c>
      <c r="G29" s="153">
        <f t="shared" si="2"/>
        <v>4117.17</v>
      </c>
      <c r="H29" s="153" t="e">
        <f t="shared" si="2"/>
        <v>#N/A</v>
      </c>
      <c r="L29" s="153">
        <f t="shared" si="5"/>
        <v>2007</v>
      </c>
      <c r="M29" s="177" t="str">
        <f t="shared" si="6"/>
        <v>Q4</v>
      </c>
      <c r="N29" s="177" t="str">
        <f t="shared" si="0"/>
        <v>2007Q4</v>
      </c>
      <c r="O29" s="184">
        <v>126411.315</v>
      </c>
      <c r="P29" s="251">
        <v>1677.0070000000001</v>
      </c>
      <c r="Q29" s="251">
        <v>1677.0070000000001</v>
      </c>
      <c r="R29" s="189">
        <v>39135.118262944496</v>
      </c>
      <c r="S29" s="189"/>
      <c r="T29" s="253">
        <f t="shared" si="3"/>
        <v>4273.2430000000004</v>
      </c>
      <c r="U29" s="189">
        <v>456.125</v>
      </c>
      <c r="V29" s="189">
        <v>4273.2430000000004</v>
      </c>
      <c r="W29" s="177">
        <f t="shared" si="4"/>
        <v>0.27198753493575162</v>
      </c>
      <c r="X29" s="177">
        <f t="shared" si="4"/>
        <v>2.548136650592395</v>
      </c>
    </row>
    <row r="30" spans="1:24" x14ac:dyDescent="0.2">
      <c r="A30" s="153">
        <v>2003</v>
      </c>
      <c r="B30" s="153">
        <v>5</v>
      </c>
      <c r="C30" s="153" t="str">
        <f t="shared" si="1"/>
        <v>20035</v>
      </c>
      <c r="D30" s="153" t="str">
        <f t="shared" si="7"/>
        <v>Q2</v>
      </c>
      <c r="E30" s="153">
        <f t="shared" si="2"/>
        <v>114321.784</v>
      </c>
      <c r="F30" s="153">
        <f t="shared" si="2"/>
        <v>35842.575547320266</v>
      </c>
      <c r="G30" s="153">
        <f t="shared" si="2"/>
        <v>4117.17</v>
      </c>
      <c r="H30" s="153" t="e">
        <f t="shared" si="2"/>
        <v>#N/A</v>
      </c>
      <c r="L30" s="153">
        <f t="shared" si="5"/>
        <v>2008</v>
      </c>
      <c r="M30" s="177" t="str">
        <f t="shared" si="6"/>
        <v>Q1</v>
      </c>
      <c r="N30" s="177" t="str">
        <f t="shared" si="0"/>
        <v>2008Q1</v>
      </c>
      <c r="O30" s="184">
        <v>128364.796</v>
      </c>
      <c r="P30" s="251">
        <v>1684.875</v>
      </c>
      <c r="Q30" s="251">
        <v>1684.875</v>
      </c>
      <c r="R30" s="189">
        <v>39632.680925057175</v>
      </c>
      <c r="S30" s="189"/>
      <c r="T30" s="253">
        <f t="shared" si="3"/>
        <v>4281.5519999999997</v>
      </c>
      <c r="U30" s="189">
        <v>458.11849999999993</v>
      </c>
      <c r="V30" s="189">
        <v>4281.5519999999997</v>
      </c>
      <c r="W30" s="177">
        <f t="shared" si="4"/>
        <v>0.27190058609689144</v>
      </c>
      <c r="X30" s="177">
        <f t="shared" si="4"/>
        <v>2.5411689294458042</v>
      </c>
    </row>
    <row r="31" spans="1:24" x14ac:dyDescent="0.2">
      <c r="A31" s="153">
        <v>2003</v>
      </c>
      <c r="B31" s="153">
        <v>6</v>
      </c>
      <c r="C31" s="153" t="str">
        <f t="shared" si="1"/>
        <v>20036</v>
      </c>
      <c r="D31" s="153" t="str">
        <f t="shared" si="7"/>
        <v>Q2</v>
      </c>
      <c r="E31" s="153">
        <f t="shared" si="2"/>
        <v>114321.784</v>
      </c>
      <c r="F31" s="153">
        <f t="shared" si="2"/>
        <v>35842.575547320266</v>
      </c>
      <c r="G31" s="153">
        <f t="shared" si="2"/>
        <v>4117.17</v>
      </c>
      <c r="H31" s="153" t="e">
        <f t="shared" si="2"/>
        <v>#N/A</v>
      </c>
      <c r="L31" s="153">
        <f t="shared" si="5"/>
        <v>2008</v>
      </c>
      <c r="M31" s="177" t="str">
        <f t="shared" si="6"/>
        <v>Q2</v>
      </c>
      <c r="N31" s="177" t="str">
        <f t="shared" si="0"/>
        <v>2008Q2</v>
      </c>
      <c r="O31" s="184">
        <v>129399.736</v>
      </c>
      <c r="P31" s="251">
        <v>1692.7809999999999</v>
      </c>
      <c r="Q31" s="251">
        <v>1692.7809999999999</v>
      </c>
      <c r="R31" s="189">
        <v>39855.727140851915</v>
      </c>
      <c r="S31" s="189"/>
      <c r="T31" s="253">
        <f t="shared" si="3"/>
        <v>4289.8779999999997</v>
      </c>
      <c r="U31" s="189">
        <v>460.11199999999997</v>
      </c>
      <c r="V31" s="189">
        <v>4289.8779999999997</v>
      </c>
      <c r="W31" s="177">
        <f t="shared" si="4"/>
        <v>0.27180834378457697</v>
      </c>
      <c r="X31" s="177">
        <f t="shared" si="4"/>
        <v>2.5342191340758196</v>
      </c>
    </row>
    <row r="32" spans="1:24" x14ac:dyDescent="0.2">
      <c r="A32" s="153">
        <v>2003</v>
      </c>
      <c r="B32" s="153">
        <v>7</v>
      </c>
      <c r="C32" s="153" t="str">
        <f t="shared" si="1"/>
        <v>20037</v>
      </c>
      <c r="D32" s="153" t="str">
        <f t="shared" si="7"/>
        <v>Q3</v>
      </c>
      <c r="E32" s="153">
        <f t="shared" si="2"/>
        <v>114399.553</v>
      </c>
      <c r="F32" s="153">
        <f t="shared" si="2"/>
        <v>35879.356060081816</v>
      </c>
      <c r="G32" s="153">
        <f t="shared" si="2"/>
        <v>4124.384</v>
      </c>
      <c r="H32" s="153" t="e">
        <f t="shared" si="2"/>
        <v>#N/A</v>
      </c>
      <c r="L32" s="153">
        <f t="shared" si="5"/>
        <v>2008</v>
      </c>
      <c r="M32" s="177" t="str">
        <f t="shared" si="6"/>
        <v>Q3</v>
      </c>
      <c r="N32" s="177" t="str">
        <f t="shared" si="0"/>
        <v>2008Q3</v>
      </c>
      <c r="O32" s="184">
        <v>126756.973</v>
      </c>
      <c r="P32" s="251">
        <v>1694.962</v>
      </c>
      <c r="Q32" s="251">
        <v>1694.962</v>
      </c>
      <c r="R32" s="189">
        <v>38971.970554889042</v>
      </c>
      <c r="S32" s="189"/>
      <c r="T32" s="253">
        <f t="shared" si="3"/>
        <v>4296.6610000000001</v>
      </c>
      <c r="U32" s="189">
        <v>461.91600000000005</v>
      </c>
      <c r="V32" s="189">
        <v>4296.6610000000001</v>
      </c>
      <c r="W32" s="177">
        <f t="shared" si="4"/>
        <v>0.27252292381776116</v>
      </c>
      <c r="X32" s="177">
        <f t="shared" si="4"/>
        <v>2.5349600758011093</v>
      </c>
    </row>
    <row r="33" spans="1:24" x14ac:dyDescent="0.2">
      <c r="A33" s="153">
        <v>2003</v>
      </c>
      <c r="B33" s="153">
        <v>8</v>
      </c>
      <c r="C33" s="153" t="str">
        <f t="shared" si="1"/>
        <v>20038</v>
      </c>
      <c r="D33" s="153" t="str">
        <f t="shared" si="7"/>
        <v>Q3</v>
      </c>
      <c r="E33" s="153">
        <f t="shared" si="2"/>
        <v>114399.553</v>
      </c>
      <c r="F33" s="153">
        <f t="shared" si="2"/>
        <v>35879.356060081816</v>
      </c>
      <c r="G33" s="153">
        <f t="shared" si="2"/>
        <v>4124.384</v>
      </c>
      <c r="H33" s="153" t="e">
        <f t="shared" si="2"/>
        <v>#N/A</v>
      </c>
      <c r="L33" s="153">
        <f t="shared" si="5"/>
        <v>2008</v>
      </c>
      <c r="M33" s="177" t="str">
        <f t="shared" si="6"/>
        <v>Q4</v>
      </c>
      <c r="N33" s="177" t="str">
        <f t="shared" si="0"/>
        <v>2008Q4</v>
      </c>
      <c r="O33" s="184">
        <v>127793.833</v>
      </c>
      <c r="P33" s="251">
        <v>1697.1469999999999</v>
      </c>
      <c r="Q33" s="251">
        <v>1697.1469999999999</v>
      </c>
      <c r="R33" s="189">
        <v>39250.753059038092</v>
      </c>
      <c r="S33" s="189"/>
      <c r="T33" s="253">
        <f t="shared" si="3"/>
        <v>4303.4549999999999</v>
      </c>
      <c r="U33" s="189">
        <v>463.72</v>
      </c>
      <c r="V33" s="189">
        <v>4303.4549999999999</v>
      </c>
      <c r="W33" s="177">
        <f t="shared" si="4"/>
        <v>0.27323502324783888</v>
      </c>
      <c r="X33" s="177">
        <f t="shared" si="4"/>
        <v>2.5356996182416727</v>
      </c>
    </row>
    <row r="34" spans="1:24" x14ac:dyDescent="0.2">
      <c r="A34" s="153">
        <v>2003</v>
      </c>
      <c r="B34" s="153">
        <v>9</v>
      </c>
      <c r="C34" s="153" t="str">
        <f t="shared" si="1"/>
        <v>20039</v>
      </c>
      <c r="D34" s="153" t="str">
        <f t="shared" si="7"/>
        <v>Q3</v>
      </c>
      <c r="E34" s="153">
        <f t="shared" si="2"/>
        <v>114399.553</v>
      </c>
      <c r="F34" s="153">
        <f t="shared" si="2"/>
        <v>35879.356060081816</v>
      </c>
      <c r="G34" s="153">
        <f t="shared" si="2"/>
        <v>4124.384</v>
      </c>
      <c r="H34" s="153" t="e">
        <f t="shared" si="2"/>
        <v>#N/A</v>
      </c>
      <c r="L34" s="153">
        <f t="shared" si="5"/>
        <v>2009</v>
      </c>
      <c r="M34" s="177" t="str">
        <f t="shared" si="6"/>
        <v>Q1</v>
      </c>
      <c r="N34" s="177" t="str">
        <f t="shared" si="0"/>
        <v>2009Q1</v>
      </c>
      <c r="O34" s="184">
        <v>126804.629</v>
      </c>
      <c r="P34" s="251">
        <v>1699.3340000000001</v>
      </c>
      <c r="Q34" s="251">
        <v>1699.3340000000001</v>
      </c>
      <c r="R34" s="189">
        <v>39351.75300796557</v>
      </c>
      <c r="S34" s="189"/>
      <c r="T34" s="253">
        <f t="shared" si="3"/>
        <v>4310.259</v>
      </c>
      <c r="U34" s="189">
        <v>465.524</v>
      </c>
      <c r="V34" s="189">
        <v>4310.259</v>
      </c>
      <c r="W34" s="177">
        <f t="shared" si="4"/>
        <v>0.27394496902904314</v>
      </c>
      <c r="X34" s="177">
        <f t="shared" si="4"/>
        <v>2.5364401583208478</v>
      </c>
    </row>
    <row r="35" spans="1:24" x14ac:dyDescent="0.2">
      <c r="A35" s="153">
        <v>2003</v>
      </c>
      <c r="B35" s="153">
        <v>10</v>
      </c>
      <c r="C35" s="153" t="str">
        <f t="shared" si="1"/>
        <v>200310</v>
      </c>
      <c r="D35" s="153" t="str">
        <f t="shared" si="7"/>
        <v>Q4</v>
      </c>
      <c r="E35" s="153">
        <f t="shared" ref="E35:H66" si="8">VLOOKUP($A35&amp;$D35,$N$1:$T$169,MATCH(E$1,$N$1:$T$1,0),0)</f>
        <v>115855.962</v>
      </c>
      <c r="F35" s="153">
        <f t="shared" si="8"/>
        <v>36361.519986701038</v>
      </c>
      <c r="G35" s="153">
        <f t="shared" si="8"/>
        <v>4131.6099999999997</v>
      </c>
      <c r="H35" s="153" t="e">
        <f t="shared" si="8"/>
        <v>#N/A</v>
      </c>
      <c r="L35" s="153">
        <f t="shared" si="5"/>
        <v>2009</v>
      </c>
      <c r="M35" s="177" t="str">
        <f t="shared" si="6"/>
        <v>Q2</v>
      </c>
      <c r="N35" s="177" t="str">
        <f t="shared" si="0"/>
        <v>2009Q2</v>
      </c>
      <c r="O35" s="184">
        <v>127078.37</v>
      </c>
      <c r="P35" s="251">
        <v>1701.5239999999999</v>
      </c>
      <c r="Q35" s="251">
        <v>1701.5239999999999</v>
      </c>
      <c r="R35" s="189">
        <v>39473.581717535344</v>
      </c>
      <c r="S35" s="189"/>
      <c r="T35" s="253">
        <f t="shared" si="3"/>
        <v>4317.0739999999996</v>
      </c>
      <c r="U35" s="189">
        <v>467.32800000000003</v>
      </c>
      <c r="V35" s="189">
        <v>4317.0739999999996</v>
      </c>
      <c r="W35" s="177">
        <f t="shared" si="4"/>
        <v>0.27465260554655713</v>
      </c>
      <c r="X35" s="177">
        <f t="shared" si="4"/>
        <v>2.5371807861658136</v>
      </c>
    </row>
    <row r="36" spans="1:24" x14ac:dyDescent="0.2">
      <c r="A36" s="153">
        <v>2003</v>
      </c>
      <c r="B36" s="153">
        <v>11</v>
      </c>
      <c r="C36" s="153" t="str">
        <f t="shared" si="1"/>
        <v>200311</v>
      </c>
      <c r="D36" s="153" t="str">
        <f t="shared" si="7"/>
        <v>Q4</v>
      </c>
      <c r="E36" s="153">
        <f t="shared" si="8"/>
        <v>115855.962</v>
      </c>
      <c r="F36" s="153">
        <f t="shared" si="8"/>
        <v>36361.519986701038</v>
      </c>
      <c r="G36" s="153">
        <f t="shared" si="8"/>
        <v>4131.6099999999997</v>
      </c>
      <c r="H36" s="153" t="e">
        <f t="shared" si="8"/>
        <v>#N/A</v>
      </c>
      <c r="L36" s="153">
        <f t="shared" si="5"/>
        <v>2009</v>
      </c>
      <c r="M36" s="177" t="str">
        <f t="shared" si="6"/>
        <v>Q3</v>
      </c>
      <c r="N36" s="177" t="str">
        <f t="shared" si="0"/>
        <v>2009Q3</v>
      </c>
      <c r="O36" s="184">
        <v>125951.257</v>
      </c>
      <c r="P36" s="251">
        <v>1707.499</v>
      </c>
      <c r="Q36" s="251">
        <v>1707.499</v>
      </c>
      <c r="R36" s="189">
        <v>39137.875476073954</v>
      </c>
      <c r="S36" s="189"/>
      <c r="T36" s="253">
        <f t="shared" si="3"/>
        <v>4324.5050000000001</v>
      </c>
      <c r="U36" s="189">
        <v>468.91833333333329</v>
      </c>
      <c r="V36" s="189">
        <v>4324.5050000000001</v>
      </c>
      <c r="W36" s="177">
        <f t="shared" si="4"/>
        <v>0.27462290363469222</v>
      </c>
      <c r="X36" s="177">
        <f t="shared" si="4"/>
        <v>2.5326544847171215</v>
      </c>
    </row>
    <row r="37" spans="1:24" x14ac:dyDescent="0.2">
      <c r="A37" s="153">
        <v>2003</v>
      </c>
      <c r="B37" s="153">
        <v>12</v>
      </c>
      <c r="C37" s="153" t="str">
        <f t="shared" si="1"/>
        <v>200312</v>
      </c>
      <c r="D37" s="153" t="str">
        <f t="shared" si="7"/>
        <v>Q4</v>
      </c>
      <c r="E37" s="153">
        <f t="shared" si="8"/>
        <v>115855.962</v>
      </c>
      <c r="F37" s="153">
        <f t="shared" si="8"/>
        <v>36361.519986701038</v>
      </c>
      <c r="G37" s="153">
        <f t="shared" si="8"/>
        <v>4131.6099999999997</v>
      </c>
      <c r="H37" s="153" t="e">
        <f t="shared" si="8"/>
        <v>#N/A</v>
      </c>
      <c r="L37" s="153">
        <f t="shared" si="5"/>
        <v>2009</v>
      </c>
      <c r="M37" s="177" t="str">
        <f t="shared" si="6"/>
        <v>Q4</v>
      </c>
      <c r="N37" s="177" t="str">
        <f t="shared" si="0"/>
        <v>2009Q4</v>
      </c>
      <c r="O37" s="184">
        <v>125669.07</v>
      </c>
      <c r="P37" s="251">
        <v>1713.644</v>
      </c>
      <c r="Q37" s="251">
        <v>1713.644</v>
      </c>
      <c r="R37" s="189">
        <v>39094.688351422847</v>
      </c>
      <c r="S37" s="189"/>
      <c r="T37" s="253">
        <f t="shared" si="3"/>
        <v>4331.9359999999997</v>
      </c>
      <c r="U37" s="189">
        <v>470.50866666666684</v>
      </c>
      <c r="V37" s="189">
        <v>4331.9359999999997</v>
      </c>
      <c r="W37" s="177">
        <f t="shared" si="4"/>
        <v>0.27456616815783608</v>
      </c>
      <c r="X37" s="177">
        <f t="shared" si="4"/>
        <v>2.5279089472492533</v>
      </c>
    </row>
    <row r="38" spans="1:24" x14ac:dyDescent="0.2">
      <c r="A38" s="153">
        <v>2004</v>
      </c>
      <c r="B38" s="153">
        <v>1</v>
      </c>
      <c r="C38" s="153" t="str">
        <f t="shared" si="1"/>
        <v>20041</v>
      </c>
      <c r="D38" s="153" t="str">
        <f t="shared" si="7"/>
        <v>Q1</v>
      </c>
      <c r="E38" s="153">
        <f t="shared" si="8"/>
        <v>116263.073</v>
      </c>
      <c r="F38" s="153">
        <f t="shared" si="8"/>
        <v>36644.026083426186</v>
      </c>
      <c r="G38" s="153">
        <f t="shared" si="8"/>
        <v>4138.8490000000002</v>
      </c>
      <c r="H38" s="153" t="e">
        <f t="shared" si="8"/>
        <v>#N/A</v>
      </c>
      <c r="L38" s="153">
        <f t="shared" si="5"/>
        <v>2010</v>
      </c>
      <c r="M38" s="177" t="str">
        <f t="shared" si="6"/>
        <v>Q1</v>
      </c>
      <c r="N38" s="177" t="str">
        <f t="shared" si="0"/>
        <v>2010Q1</v>
      </c>
      <c r="O38" s="184">
        <v>124919.205</v>
      </c>
      <c r="P38" s="251">
        <v>1719.9649999999999</v>
      </c>
      <c r="Q38" s="251">
        <v>1719.9649999999999</v>
      </c>
      <c r="R38" s="189">
        <v>38849.752908087466</v>
      </c>
      <c r="S38" s="189"/>
      <c r="T38" s="253">
        <f t="shared" si="3"/>
        <v>4339.3670000000002</v>
      </c>
      <c r="U38" s="189">
        <v>472.0990000000001</v>
      </c>
      <c r="V38" s="189">
        <v>4339.3670000000002</v>
      </c>
      <c r="W38" s="177">
        <f t="shared" si="4"/>
        <v>0.27448174817510829</v>
      </c>
      <c r="X38" s="177">
        <f t="shared" si="4"/>
        <v>2.5229391295753114</v>
      </c>
    </row>
    <row r="39" spans="1:24" x14ac:dyDescent="0.2">
      <c r="A39" s="153">
        <v>2004</v>
      </c>
      <c r="B39" s="153">
        <v>2</v>
      </c>
      <c r="C39" s="153" t="str">
        <f t="shared" si="1"/>
        <v>20042</v>
      </c>
      <c r="D39" s="153" t="str">
        <f t="shared" si="7"/>
        <v>Q1</v>
      </c>
      <c r="E39" s="153">
        <f t="shared" si="8"/>
        <v>116263.073</v>
      </c>
      <c r="F39" s="153">
        <f t="shared" si="8"/>
        <v>36644.026083426186</v>
      </c>
      <c r="G39" s="153">
        <f t="shared" si="8"/>
        <v>4138.8490000000002</v>
      </c>
      <c r="H39" s="153" t="e">
        <f t="shared" si="8"/>
        <v>#N/A</v>
      </c>
      <c r="L39" s="153">
        <f t="shared" si="5"/>
        <v>2010</v>
      </c>
      <c r="M39" s="177" t="str">
        <f t="shared" si="6"/>
        <v>Q2</v>
      </c>
      <c r="N39" s="177" t="str">
        <f t="shared" si="0"/>
        <v>2010Q2</v>
      </c>
      <c r="O39" s="184">
        <v>126480.192</v>
      </c>
      <c r="P39" s="251">
        <v>1722.9169999999999</v>
      </c>
      <c r="Q39" s="251">
        <v>1722.9169999999999</v>
      </c>
      <c r="R39" s="189">
        <v>39352.623912366878</v>
      </c>
      <c r="S39" s="189"/>
      <c r="T39" s="253">
        <f t="shared" si="3"/>
        <v>4347.223</v>
      </c>
      <c r="U39" s="189">
        <v>473.74394922397329</v>
      </c>
      <c r="V39" s="189">
        <v>4347.223</v>
      </c>
      <c r="W39" s="177">
        <f t="shared" si="4"/>
        <v>0.27496620511839709</v>
      </c>
      <c r="X39" s="177">
        <f t="shared" si="4"/>
        <v>2.5231761019248173</v>
      </c>
    </row>
    <row r="40" spans="1:24" x14ac:dyDescent="0.2">
      <c r="A40" s="153">
        <v>2004</v>
      </c>
      <c r="B40" s="153">
        <v>3</v>
      </c>
      <c r="C40" s="153" t="str">
        <f t="shared" si="1"/>
        <v>20043</v>
      </c>
      <c r="D40" s="153" t="str">
        <f t="shared" si="7"/>
        <v>Q1</v>
      </c>
      <c r="E40" s="153">
        <f t="shared" si="8"/>
        <v>116263.073</v>
      </c>
      <c r="F40" s="153">
        <f t="shared" si="8"/>
        <v>36644.026083426186</v>
      </c>
      <c r="G40" s="153">
        <f t="shared" si="8"/>
        <v>4138.8490000000002</v>
      </c>
      <c r="H40" s="153" t="e">
        <f t="shared" si="8"/>
        <v>#N/A</v>
      </c>
      <c r="L40" s="153">
        <f t="shared" si="5"/>
        <v>2010</v>
      </c>
      <c r="M40" s="177" t="str">
        <f t="shared" si="6"/>
        <v>Q3</v>
      </c>
      <c r="N40" s="177" t="str">
        <f t="shared" si="0"/>
        <v>2010Q3</v>
      </c>
      <c r="O40" s="184">
        <v>127650.806</v>
      </c>
      <c r="P40" s="251">
        <v>1724.191</v>
      </c>
      <c r="Q40" s="251">
        <v>1724.191</v>
      </c>
      <c r="R40" s="189">
        <v>39753.15333007311</v>
      </c>
      <c r="S40" s="189"/>
      <c r="T40" s="253">
        <f t="shared" si="3"/>
        <v>4352.7560000000003</v>
      </c>
      <c r="U40" s="189">
        <v>475.14385549795145</v>
      </c>
      <c r="V40" s="189">
        <v>4352.7560000000003</v>
      </c>
      <c r="W40" s="177">
        <f t="shared" si="4"/>
        <v>0.27557495399172799</v>
      </c>
      <c r="X40" s="177">
        <f t="shared" si="4"/>
        <v>2.5245207752505379</v>
      </c>
    </row>
    <row r="41" spans="1:24" x14ac:dyDescent="0.2">
      <c r="A41" s="153">
        <v>2004</v>
      </c>
      <c r="B41" s="153">
        <v>4</v>
      </c>
      <c r="C41" s="153" t="str">
        <f t="shared" si="1"/>
        <v>20044</v>
      </c>
      <c r="D41" s="153" t="str">
        <f t="shared" si="7"/>
        <v>Q2</v>
      </c>
      <c r="E41" s="153">
        <f t="shared" si="8"/>
        <v>116694.558</v>
      </c>
      <c r="F41" s="153">
        <f t="shared" si="8"/>
        <v>36771.492378685805</v>
      </c>
      <c r="G41" s="153">
        <f t="shared" si="8"/>
        <v>4146.1009999999997</v>
      </c>
      <c r="H41" s="153" t="e">
        <f t="shared" si="8"/>
        <v>#N/A</v>
      </c>
      <c r="L41" s="153">
        <f t="shared" si="5"/>
        <v>2010</v>
      </c>
      <c r="M41" s="177" t="str">
        <f t="shared" si="6"/>
        <v>Q4</v>
      </c>
      <c r="N41" s="177" t="str">
        <f t="shared" si="0"/>
        <v>2010Q4</v>
      </c>
      <c r="O41" s="184">
        <v>127503.515</v>
      </c>
      <c r="P41" s="251">
        <v>1725.0830000000001</v>
      </c>
      <c r="Q41" s="251">
        <v>1725.0830000000001</v>
      </c>
      <c r="R41" s="189">
        <v>39757.383833693879</v>
      </c>
      <c r="S41" s="189"/>
      <c r="T41" s="253">
        <f t="shared" si="3"/>
        <v>4358.29</v>
      </c>
      <c r="U41" s="189">
        <v>476.55146399433579</v>
      </c>
      <c r="V41" s="189">
        <v>4358.29</v>
      </c>
      <c r="W41" s="177">
        <f t="shared" si="4"/>
        <v>0.27624842630432028</v>
      </c>
      <c r="X41" s="177">
        <f t="shared" si="4"/>
        <v>2.5264233662959983</v>
      </c>
    </row>
    <row r="42" spans="1:24" x14ac:dyDescent="0.2">
      <c r="A42" s="153">
        <v>2004</v>
      </c>
      <c r="B42" s="153">
        <v>5</v>
      </c>
      <c r="C42" s="153" t="str">
        <f t="shared" si="1"/>
        <v>20045</v>
      </c>
      <c r="D42" s="153" t="str">
        <f t="shared" si="7"/>
        <v>Q2</v>
      </c>
      <c r="E42" s="153">
        <f t="shared" si="8"/>
        <v>116694.558</v>
      </c>
      <c r="F42" s="153">
        <f t="shared" si="8"/>
        <v>36771.492378685805</v>
      </c>
      <c r="G42" s="153">
        <f t="shared" si="8"/>
        <v>4146.1009999999997</v>
      </c>
      <c r="H42" s="153" t="e">
        <f t="shared" si="8"/>
        <v>#N/A</v>
      </c>
      <c r="L42" s="153">
        <f t="shared" si="5"/>
        <v>2011</v>
      </c>
      <c r="M42" s="177" t="str">
        <f t="shared" si="6"/>
        <v>Q1</v>
      </c>
      <c r="N42" s="177" t="str">
        <f t="shared" si="0"/>
        <v>2011Q1</v>
      </c>
      <c r="O42" s="184">
        <v>128893.008</v>
      </c>
      <c r="P42" s="251">
        <v>1728.1579999999999</v>
      </c>
      <c r="Q42" s="251">
        <v>1728.1579999999999</v>
      </c>
      <c r="R42" s="189">
        <v>39737.516530036453</v>
      </c>
      <c r="S42" s="189"/>
      <c r="T42" s="253">
        <f t="shared" si="3"/>
        <v>4363.8230000000003</v>
      </c>
      <c r="U42" s="189">
        <v>477.96681763895879</v>
      </c>
      <c r="V42" s="189">
        <v>4363.8230000000003</v>
      </c>
      <c r="W42" s="177">
        <f t="shared" si="4"/>
        <v>0.27657587884843793</v>
      </c>
      <c r="X42" s="177">
        <f t="shared" si="4"/>
        <v>2.525129646710544</v>
      </c>
    </row>
    <row r="43" spans="1:24" x14ac:dyDescent="0.2">
      <c r="A43" s="153">
        <v>2004</v>
      </c>
      <c r="B43" s="153">
        <v>6</v>
      </c>
      <c r="C43" s="153" t="str">
        <f t="shared" si="1"/>
        <v>20046</v>
      </c>
      <c r="D43" s="153" t="str">
        <f t="shared" si="7"/>
        <v>Q2</v>
      </c>
      <c r="E43" s="153">
        <f t="shared" si="8"/>
        <v>116694.558</v>
      </c>
      <c r="F43" s="153">
        <f t="shared" si="8"/>
        <v>36771.492378685805</v>
      </c>
      <c r="G43" s="153">
        <f t="shared" si="8"/>
        <v>4146.1009999999997</v>
      </c>
      <c r="H43" s="153" t="e">
        <f t="shared" si="8"/>
        <v>#N/A</v>
      </c>
      <c r="L43" s="153">
        <f t="shared" si="5"/>
        <v>2011</v>
      </c>
      <c r="M43" s="177" t="str">
        <f t="shared" si="6"/>
        <v>Q2</v>
      </c>
      <c r="N43" s="177" t="str">
        <f t="shared" si="0"/>
        <v>2011Q2</v>
      </c>
      <c r="O43" s="184">
        <v>129036.827</v>
      </c>
      <c r="P43" s="251">
        <v>1730.3009999999999</v>
      </c>
      <c r="Q43" s="251">
        <v>1730.3009999999999</v>
      </c>
      <c r="R43" s="189">
        <v>39626.695414935333</v>
      </c>
      <c r="S43" s="189"/>
      <c r="T43" s="253">
        <f t="shared" si="3"/>
        <v>4369.3559999999998</v>
      </c>
      <c r="U43" s="189">
        <v>479.38995939285263</v>
      </c>
      <c r="V43" s="189">
        <v>4369.3559999999998</v>
      </c>
      <c r="W43" s="177">
        <f t="shared" si="4"/>
        <v>0.27705581826101505</v>
      </c>
      <c r="X43" s="177">
        <f t="shared" si="4"/>
        <v>2.5251999507600122</v>
      </c>
    </row>
    <row r="44" spans="1:24" x14ac:dyDescent="0.2">
      <c r="A44" s="153">
        <v>2004</v>
      </c>
      <c r="B44" s="153">
        <v>7</v>
      </c>
      <c r="C44" s="153" t="str">
        <f t="shared" si="1"/>
        <v>20047</v>
      </c>
      <c r="D44" s="153" t="str">
        <f t="shared" si="7"/>
        <v>Q3</v>
      </c>
      <c r="E44" s="153">
        <f t="shared" si="8"/>
        <v>117551.33500000001</v>
      </c>
      <c r="F44" s="153">
        <f t="shared" si="8"/>
        <v>36973.693354213639</v>
      </c>
      <c r="G44" s="153">
        <f t="shared" si="8"/>
        <v>4155.2309999999998</v>
      </c>
      <c r="H44" s="153" t="e">
        <f t="shared" si="8"/>
        <v>#N/A</v>
      </c>
      <c r="L44" s="153">
        <f t="shared" si="5"/>
        <v>2011</v>
      </c>
      <c r="M44" s="177" t="str">
        <f t="shared" si="6"/>
        <v>Q3</v>
      </c>
      <c r="N44" s="177" t="str">
        <f t="shared" si="0"/>
        <v>2011Q3</v>
      </c>
      <c r="O44" s="184">
        <v>128885.583</v>
      </c>
      <c r="P44" s="251">
        <v>1732.7529999999999</v>
      </c>
      <c r="Q44" s="251">
        <v>1732.7529999999999</v>
      </c>
      <c r="R44" s="189">
        <v>39675.467395051506</v>
      </c>
      <c r="S44" s="189"/>
      <c r="T44" s="253">
        <f t="shared" si="3"/>
        <v>4375.2330000000002</v>
      </c>
      <c r="U44" s="189">
        <v>480.85874919674939</v>
      </c>
      <c r="V44" s="189">
        <v>4375.2330000000002</v>
      </c>
      <c r="W44" s="177">
        <f t="shared" si="4"/>
        <v>0.27751142211079677</v>
      </c>
      <c r="X44" s="177">
        <f t="shared" si="4"/>
        <v>2.5250182801587995</v>
      </c>
    </row>
    <row r="45" spans="1:24" x14ac:dyDescent="0.2">
      <c r="A45" s="153">
        <v>2004</v>
      </c>
      <c r="B45" s="153">
        <v>8</v>
      </c>
      <c r="C45" s="153" t="str">
        <f t="shared" si="1"/>
        <v>20048</v>
      </c>
      <c r="D45" s="153" t="str">
        <f t="shared" si="7"/>
        <v>Q3</v>
      </c>
      <c r="E45" s="153">
        <f t="shared" si="8"/>
        <v>117551.33500000001</v>
      </c>
      <c r="F45" s="153">
        <f t="shared" si="8"/>
        <v>36973.693354213639</v>
      </c>
      <c r="G45" s="153">
        <f t="shared" si="8"/>
        <v>4155.2309999999998</v>
      </c>
      <c r="H45" s="153" t="e">
        <f t="shared" si="8"/>
        <v>#N/A</v>
      </c>
      <c r="L45" s="153">
        <f t="shared" si="5"/>
        <v>2011</v>
      </c>
      <c r="M45" s="177" t="str">
        <f t="shared" si="6"/>
        <v>Q4</v>
      </c>
      <c r="N45" s="177" t="str">
        <f t="shared" si="0"/>
        <v>2011Q4</v>
      </c>
      <c r="O45" s="184">
        <v>129177.128</v>
      </c>
      <c r="P45" s="251">
        <v>1735.6120000000001</v>
      </c>
      <c r="Q45" s="251">
        <v>1735.6120000000001</v>
      </c>
      <c r="R45" s="189">
        <v>39786.860383818384</v>
      </c>
      <c r="S45" s="189"/>
      <c r="T45" s="253">
        <f t="shared" si="3"/>
        <v>4381.482</v>
      </c>
      <c r="U45" s="189">
        <v>481.7924771225633</v>
      </c>
      <c r="V45" s="189">
        <v>4381.482</v>
      </c>
      <c r="W45" s="177">
        <f t="shared" si="4"/>
        <v>0.27759227126947916</v>
      </c>
      <c r="X45" s="177">
        <f t="shared" si="4"/>
        <v>2.5244593837793237</v>
      </c>
    </row>
    <row r="46" spans="1:24" x14ac:dyDescent="0.2">
      <c r="A46" s="153">
        <v>2004</v>
      </c>
      <c r="B46" s="153">
        <v>9</v>
      </c>
      <c r="C46" s="153" t="str">
        <f t="shared" si="1"/>
        <v>20049</v>
      </c>
      <c r="D46" s="153" t="str">
        <f t="shared" si="7"/>
        <v>Q3</v>
      </c>
      <c r="E46" s="153">
        <f t="shared" si="8"/>
        <v>117551.33500000001</v>
      </c>
      <c r="F46" s="153">
        <f t="shared" si="8"/>
        <v>36973.693354213639</v>
      </c>
      <c r="G46" s="153">
        <f t="shared" si="8"/>
        <v>4155.2309999999998</v>
      </c>
      <c r="H46" s="153" t="e">
        <f t="shared" si="8"/>
        <v>#N/A</v>
      </c>
      <c r="L46" s="153">
        <f t="shared" si="5"/>
        <v>2012</v>
      </c>
      <c r="M46" s="177" t="str">
        <f t="shared" si="6"/>
        <v>Q1</v>
      </c>
      <c r="N46" s="177" t="str">
        <f t="shared" si="0"/>
        <v>2012Q1</v>
      </c>
      <c r="O46" s="184">
        <v>129516.13400000001</v>
      </c>
      <c r="P46" s="251">
        <v>1738.9960000000001</v>
      </c>
      <c r="Q46" s="251">
        <v>1738.9960000000001</v>
      </c>
      <c r="R46" s="189">
        <v>39800.138297807738</v>
      </c>
      <c r="S46" s="189"/>
      <c r="T46" s="253">
        <f t="shared" si="3"/>
        <v>4387.8289999999997</v>
      </c>
      <c r="U46" s="189">
        <v>483.3171549792832</v>
      </c>
      <c r="V46" s="189">
        <v>4387.8289999999997</v>
      </c>
      <c r="W46" s="177">
        <f t="shared" si="4"/>
        <v>0.27792884801303924</v>
      </c>
      <c r="X46" s="177">
        <f t="shared" si="4"/>
        <v>2.5231967181063095</v>
      </c>
    </row>
    <row r="47" spans="1:24" x14ac:dyDescent="0.2">
      <c r="A47" s="153">
        <v>2004</v>
      </c>
      <c r="B47" s="153">
        <v>10</v>
      </c>
      <c r="C47" s="153" t="str">
        <f t="shared" si="1"/>
        <v>200410</v>
      </c>
      <c r="D47" s="153" t="str">
        <f t="shared" si="7"/>
        <v>Q4</v>
      </c>
      <c r="E47" s="153">
        <f t="shared" si="8"/>
        <v>118914.68</v>
      </c>
      <c r="F47" s="153">
        <f t="shared" si="8"/>
        <v>37306.699921138053</v>
      </c>
      <c r="G47" s="153">
        <f t="shared" si="8"/>
        <v>4164.3810000000003</v>
      </c>
      <c r="H47" s="153" t="e">
        <f t="shared" si="8"/>
        <v>#N/A</v>
      </c>
      <c r="L47" s="153">
        <f t="shared" si="5"/>
        <v>2012</v>
      </c>
      <c r="M47" s="177" t="str">
        <f t="shared" si="6"/>
        <v>Q2</v>
      </c>
      <c r="N47" s="177" t="str">
        <f t="shared" si="0"/>
        <v>2012Q2</v>
      </c>
      <c r="O47" s="184">
        <v>130403.818</v>
      </c>
      <c r="P47" s="251">
        <v>1742.2639999999999</v>
      </c>
      <c r="Q47" s="251">
        <v>1742.2639999999999</v>
      </c>
      <c r="R47" s="189">
        <v>39988.352967991457</v>
      </c>
      <c r="S47" s="189"/>
      <c r="T47" s="253">
        <f t="shared" si="3"/>
        <v>4394.317</v>
      </c>
      <c r="U47" s="189">
        <v>484.85487049310797</v>
      </c>
      <c r="V47" s="189">
        <v>4394.317</v>
      </c>
      <c r="W47" s="177">
        <f t="shared" si="4"/>
        <v>0.27829012738202019</v>
      </c>
      <c r="X47" s="177">
        <f t="shared" si="4"/>
        <v>2.5221877970273163</v>
      </c>
    </row>
    <row r="48" spans="1:24" x14ac:dyDescent="0.2">
      <c r="A48" s="153">
        <v>2004</v>
      </c>
      <c r="B48" s="153">
        <v>11</v>
      </c>
      <c r="C48" s="153" t="str">
        <f t="shared" si="1"/>
        <v>200411</v>
      </c>
      <c r="D48" s="153" t="str">
        <f t="shared" si="7"/>
        <v>Q4</v>
      </c>
      <c r="E48" s="153">
        <f t="shared" si="8"/>
        <v>118914.68</v>
      </c>
      <c r="F48" s="153">
        <f t="shared" si="8"/>
        <v>37306.699921138053</v>
      </c>
      <c r="G48" s="153">
        <f t="shared" si="8"/>
        <v>4164.3810000000003</v>
      </c>
      <c r="H48" s="153" t="e">
        <f t="shared" si="8"/>
        <v>#N/A</v>
      </c>
      <c r="L48" s="153">
        <f t="shared" si="5"/>
        <v>2012</v>
      </c>
      <c r="M48" s="177" t="str">
        <f t="shared" si="6"/>
        <v>Q3</v>
      </c>
      <c r="N48" s="177" t="str">
        <f t="shared" si="0"/>
        <v>2012Q3</v>
      </c>
      <c r="O48" s="184">
        <v>131166.87299999999</v>
      </c>
      <c r="P48" s="251">
        <v>1745.2270000000001</v>
      </c>
      <c r="Q48" s="251">
        <v>1745.2270000000001</v>
      </c>
      <c r="R48" s="189">
        <v>40189.459532165798</v>
      </c>
      <c r="S48" s="189"/>
      <c r="T48" s="253">
        <f t="shared" si="3"/>
        <v>4400.95</v>
      </c>
      <c r="U48" s="189">
        <v>486.39485134618292</v>
      </c>
      <c r="V48" s="189">
        <v>4400.95</v>
      </c>
      <c r="W48" s="177">
        <f t="shared" si="4"/>
        <v>0.27870004953291627</v>
      </c>
      <c r="X48" s="177">
        <f t="shared" si="4"/>
        <v>2.5217063453636688</v>
      </c>
    </row>
    <row r="49" spans="1:24" x14ac:dyDescent="0.2">
      <c r="A49" s="153">
        <v>2004</v>
      </c>
      <c r="B49" s="153">
        <v>12</v>
      </c>
      <c r="C49" s="153" t="str">
        <f t="shared" si="1"/>
        <v>200412</v>
      </c>
      <c r="D49" s="153" t="str">
        <f t="shared" si="7"/>
        <v>Q4</v>
      </c>
      <c r="E49" s="153">
        <f t="shared" si="8"/>
        <v>118914.68</v>
      </c>
      <c r="F49" s="153">
        <f t="shared" si="8"/>
        <v>37306.699921138053</v>
      </c>
      <c r="G49" s="153">
        <f t="shared" si="8"/>
        <v>4164.3810000000003</v>
      </c>
      <c r="H49" s="153" t="e">
        <f t="shared" si="8"/>
        <v>#N/A</v>
      </c>
      <c r="L49" s="153">
        <f t="shared" si="5"/>
        <v>2012</v>
      </c>
      <c r="M49" s="177" t="str">
        <f t="shared" si="6"/>
        <v>Q4</v>
      </c>
      <c r="N49" s="177" t="str">
        <f t="shared" si="0"/>
        <v>2012Q4</v>
      </c>
      <c r="O49" s="184">
        <v>132095.09099999999</v>
      </c>
      <c r="P49" s="251">
        <v>1748.2629999999999</v>
      </c>
      <c r="Q49" s="251">
        <v>1748.2629999999999</v>
      </c>
      <c r="R49" s="189">
        <v>40421.283791564252</v>
      </c>
      <c r="S49" s="189"/>
      <c r="T49" s="253">
        <f t="shared" si="3"/>
        <v>4407.7280000000001</v>
      </c>
      <c r="U49" s="189">
        <v>487.93731470917857</v>
      </c>
      <c r="V49" s="189">
        <v>4407.7280000000001</v>
      </c>
      <c r="W49" s="177">
        <f t="shared" si="4"/>
        <v>0.27909834773668413</v>
      </c>
      <c r="X49" s="177">
        <f t="shared" si="4"/>
        <v>2.5212041895298363</v>
      </c>
    </row>
    <row r="50" spans="1:24" x14ac:dyDescent="0.2">
      <c r="A50" s="153">
        <v>2005</v>
      </c>
      <c r="B50" s="153">
        <v>1</v>
      </c>
      <c r="C50" s="153" t="str">
        <f t="shared" si="1"/>
        <v>20051</v>
      </c>
      <c r="D50" s="153" t="str">
        <f t="shared" si="7"/>
        <v>Q1</v>
      </c>
      <c r="E50" s="153">
        <f t="shared" si="8"/>
        <v>118334.43</v>
      </c>
      <c r="F50" s="153">
        <f t="shared" si="8"/>
        <v>36497.743140651095</v>
      </c>
      <c r="G50" s="153">
        <f t="shared" si="8"/>
        <v>4173.5519999999997</v>
      </c>
      <c r="H50" s="153" t="e">
        <f t="shared" si="8"/>
        <v>#N/A</v>
      </c>
      <c r="L50" s="153">
        <f t="shared" si="5"/>
        <v>2013</v>
      </c>
      <c r="M50" s="177" t="str">
        <f t="shared" si="6"/>
        <v>Q1</v>
      </c>
      <c r="N50" s="177" t="str">
        <f>L50&amp;M50</f>
        <v>2013Q1</v>
      </c>
      <c r="O50" s="184">
        <v>132729.997</v>
      </c>
      <c r="P50" s="251">
        <v>1751.194</v>
      </c>
      <c r="Q50" s="251">
        <v>1751.194</v>
      </c>
      <c r="R50" s="189">
        <v>40466.045989246653</v>
      </c>
      <c r="S50" s="189"/>
      <c r="T50" s="253">
        <f t="shared" si="3"/>
        <v>4414.6940000000004</v>
      </c>
      <c r="U50" s="189">
        <v>489.48665509939298</v>
      </c>
      <c r="V50" s="189">
        <v>4414.6940000000004</v>
      </c>
      <c r="W50" s="177">
        <f t="shared" si="4"/>
        <v>0.27951595031697973</v>
      </c>
      <c r="X50" s="177">
        <f t="shared" si="4"/>
        <v>2.5209622691717768</v>
      </c>
    </row>
    <row r="51" spans="1:24" x14ac:dyDescent="0.2">
      <c r="A51" s="153">
        <v>2005</v>
      </c>
      <c r="B51" s="153">
        <v>2</v>
      </c>
      <c r="C51" s="153" t="str">
        <f t="shared" si="1"/>
        <v>20052</v>
      </c>
      <c r="D51" s="153" t="str">
        <f t="shared" si="7"/>
        <v>Q1</v>
      </c>
      <c r="E51" s="153">
        <f t="shared" si="8"/>
        <v>118334.43</v>
      </c>
      <c r="F51" s="153">
        <f t="shared" si="8"/>
        <v>36497.743140651095</v>
      </c>
      <c r="G51" s="153">
        <f t="shared" si="8"/>
        <v>4173.5519999999997</v>
      </c>
      <c r="H51" s="153" t="e">
        <f t="shared" si="8"/>
        <v>#N/A</v>
      </c>
      <c r="L51" s="153">
        <f t="shared" si="5"/>
        <v>2013</v>
      </c>
      <c r="M51" s="177" t="str">
        <f t="shared" si="6"/>
        <v>Q2</v>
      </c>
      <c r="N51" s="177" t="str">
        <f t="shared" ref="N51:N114" si="9">L51&amp;M51</f>
        <v>2013Q2</v>
      </c>
      <c r="O51" s="184">
        <v>133712.25599999999</v>
      </c>
      <c r="P51" s="251">
        <v>1754.297</v>
      </c>
      <c r="Q51" s="251">
        <v>1754.297</v>
      </c>
      <c r="R51" s="189">
        <v>40674.221991986815</v>
      </c>
      <c r="S51" s="189"/>
      <c r="T51" s="253">
        <f t="shared" si="3"/>
        <v>4421.8450000000003</v>
      </c>
      <c r="U51" s="189">
        <v>491.06492370621629</v>
      </c>
      <c r="V51" s="189">
        <v>4421.8450000000003</v>
      </c>
      <c r="W51" s="177">
        <f t="shared" si="4"/>
        <v>0.27992120131666204</v>
      </c>
      <c r="X51" s="177">
        <f t="shared" si="4"/>
        <v>2.5205794685848519</v>
      </c>
    </row>
    <row r="52" spans="1:24" x14ac:dyDescent="0.2">
      <c r="A52" s="153">
        <v>2005</v>
      </c>
      <c r="B52" s="153">
        <v>3</v>
      </c>
      <c r="C52" s="153" t="str">
        <f t="shared" si="1"/>
        <v>20053</v>
      </c>
      <c r="D52" s="153" t="str">
        <f t="shared" si="7"/>
        <v>Q1</v>
      </c>
      <c r="E52" s="153">
        <f t="shared" si="8"/>
        <v>118334.43</v>
      </c>
      <c r="F52" s="153">
        <f t="shared" si="8"/>
        <v>36497.743140651095</v>
      </c>
      <c r="G52" s="153">
        <f t="shared" si="8"/>
        <v>4173.5519999999997</v>
      </c>
      <c r="H52" s="153" t="e">
        <f t="shared" si="8"/>
        <v>#N/A</v>
      </c>
      <c r="L52" s="153">
        <f t="shared" si="5"/>
        <v>2013</v>
      </c>
      <c r="M52" s="177" t="str">
        <f t="shared" si="6"/>
        <v>Q3</v>
      </c>
      <c r="N52" s="177" t="str">
        <f t="shared" si="9"/>
        <v>2013Q3</v>
      </c>
      <c r="O52" s="184">
        <v>134397.17499999999</v>
      </c>
      <c r="P52" s="251">
        <v>1757.2080000000001</v>
      </c>
      <c r="Q52" s="251">
        <v>1757.2080000000001</v>
      </c>
      <c r="R52" s="189">
        <v>40887.017192114734</v>
      </c>
      <c r="S52" s="189"/>
      <c r="T52" s="253">
        <f t="shared" si="3"/>
        <v>4429.1769999999997</v>
      </c>
      <c r="U52" s="189">
        <v>492.64952505414612</v>
      </c>
      <c r="V52" s="189">
        <v>4429.1769999999997</v>
      </c>
      <c r="W52" s="177">
        <f t="shared" si="4"/>
        <v>0.28035925459828664</v>
      </c>
      <c r="X52" s="177">
        <f t="shared" si="4"/>
        <v>2.5205763916394641</v>
      </c>
    </row>
    <row r="53" spans="1:24" x14ac:dyDescent="0.2">
      <c r="A53" s="153">
        <v>2005</v>
      </c>
      <c r="B53" s="153">
        <v>4</v>
      </c>
      <c r="C53" s="153" t="str">
        <f t="shared" si="1"/>
        <v>20054</v>
      </c>
      <c r="D53" s="153" t="str">
        <f t="shared" si="7"/>
        <v>Q2</v>
      </c>
      <c r="E53" s="153">
        <f t="shared" si="8"/>
        <v>119333.414</v>
      </c>
      <c r="F53" s="153">
        <f t="shared" si="8"/>
        <v>36925.598833112439</v>
      </c>
      <c r="G53" s="153">
        <f t="shared" si="8"/>
        <v>4182.7420000000002</v>
      </c>
      <c r="H53" s="153" t="e">
        <f t="shared" si="8"/>
        <v>#N/A</v>
      </c>
      <c r="L53" s="153">
        <f t="shared" si="5"/>
        <v>2013</v>
      </c>
      <c r="M53" s="177" t="str">
        <f t="shared" si="6"/>
        <v>Q4</v>
      </c>
      <c r="N53" s="177" t="str">
        <f t="shared" si="9"/>
        <v>2013Q4</v>
      </c>
      <c r="O53" s="184">
        <v>135147.93599999999</v>
      </c>
      <c r="P53" s="251">
        <v>1760.5619999999999</v>
      </c>
      <c r="Q53" s="251">
        <v>1760.5619999999999</v>
      </c>
      <c r="R53" s="189">
        <v>41128.895775846191</v>
      </c>
      <c r="S53" s="189"/>
      <c r="T53" s="253">
        <f t="shared" si="3"/>
        <v>4436.7079999999996</v>
      </c>
      <c r="U53" s="189">
        <v>494.20204926318712</v>
      </c>
      <c r="V53" s="189">
        <v>4436.7079999999996</v>
      </c>
      <c r="W53" s="177">
        <f t="shared" si="4"/>
        <v>0.28070698405576577</v>
      </c>
      <c r="X53" s="177">
        <f t="shared" si="4"/>
        <v>2.5200521197208618</v>
      </c>
    </row>
    <row r="54" spans="1:24" x14ac:dyDescent="0.2">
      <c r="A54" s="153">
        <v>2005</v>
      </c>
      <c r="B54" s="153">
        <v>5</v>
      </c>
      <c r="C54" s="153" t="str">
        <f t="shared" si="1"/>
        <v>20055</v>
      </c>
      <c r="D54" s="153" t="str">
        <f t="shared" si="7"/>
        <v>Q2</v>
      </c>
      <c r="E54" s="153">
        <f t="shared" si="8"/>
        <v>119333.414</v>
      </c>
      <c r="F54" s="153">
        <f t="shared" si="8"/>
        <v>36925.598833112439</v>
      </c>
      <c r="G54" s="153">
        <f t="shared" si="8"/>
        <v>4182.7420000000002</v>
      </c>
      <c r="H54" s="153" t="e">
        <f t="shared" si="8"/>
        <v>#N/A</v>
      </c>
      <c r="L54" s="153">
        <f t="shared" si="5"/>
        <v>2014</v>
      </c>
      <c r="M54" s="177" t="str">
        <f t="shared" si="6"/>
        <v>Q1</v>
      </c>
      <c r="N54" s="177" t="str">
        <f t="shared" si="9"/>
        <v>2014Q1</v>
      </c>
      <c r="O54" s="184">
        <v>136646.935</v>
      </c>
      <c r="P54" s="251">
        <v>1763.893</v>
      </c>
      <c r="Q54" s="251">
        <v>1763.893</v>
      </c>
      <c r="R54" s="189">
        <v>41502.915812465311</v>
      </c>
      <c r="S54" s="189"/>
      <c r="T54" s="253">
        <f t="shared" si="3"/>
        <v>4444.3590000000004</v>
      </c>
      <c r="U54" s="189">
        <v>495.647401189238</v>
      </c>
      <c r="V54" s="189">
        <v>4444.3590000000004</v>
      </c>
      <c r="W54" s="177">
        <f t="shared" si="4"/>
        <v>0.28099629693481293</v>
      </c>
      <c r="X54" s="177">
        <f t="shared" si="4"/>
        <v>2.5196307259000408</v>
      </c>
    </row>
    <row r="55" spans="1:24" x14ac:dyDescent="0.2">
      <c r="A55" s="153">
        <v>2005</v>
      </c>
      <c r="B55" s="153">
        <v>6</v>
      </c>
      <c r="C55" s="153" t="str">
        <f t="shared" si="1"/>
        <v>20056</v>
      </c>
      <c r="D55" s="153" t="str">
        <f t="shared" si="7"/>
        <v>Q2</v>
      </c>
      <c r="E55" s="153">
        <f t="shared" si="8"/>
        <v>119333.414</v>
      </c>
      <c r="F55" s="153">
        <f t="shared" si="8"/>
        <v>36925.598833112439</v>
      </c>
      <c r="G55" s="153">
        <f t="shared" si="8"/>
        <v>4182.7420000000002</v>
      </c>
      <c r="H55" s="153" t="e">
        <f t="shared" si="8"/>
        <v>#N/A</v>
      </c>
      <c r="L55" s="153">
        <f t="shared" si="5"/>
        <v>2014</v>
      </c>
      <c r="M55" s="177" t="str">
        <f t="shared" si="6"/>
        <v>Q2</v>
      </c>
      <c r="N55" s="177" t="str">
        <f t="shared" si="9"/>
        <v>2014Q2</v>
      </c>
      <c r="O55" s="184">
        <v>137566.70699999999</v>
      </c>
      <c r="P55" s="251">
        <v>1767.1759999999999</v>
      </c>
      <c r="Q55" s="251">
        <v>1767.1759999999999</v>
      </c>
      <c r="R55" s="189">
        <v>41808.34126836736</v>
      </c>
      <c r="S55" s="189"/>
      <c r="T55" s="253">
        <f t="shared" si="3"/>
        <v>4452.1120000000001</v>
      </c>
      <c r="U55" s="189">
        <v>497.19351131894661</v>
      </c>
      <c r="V55" s="189">
        <v>4452.1120000000001</v>
      </c>
      <c r="W55" s="177">
        <f t="shared" si="4"/>
        <v>0.28134917592755143</v>
      </c>
      <c r="X55" s="177">
        <f t="shared" si="4"/>
        <v>2.5193370665966492</v>
      </c>
    </row>
    <row r="56" spans="1:24" x14ac:dyDescent="0.2">
      <c r="A56" s="153">
        <v>2005</v>
      </c>
      <c r="B56" s="153">
        <v>7</v>
      </c>
      <c r="C56" s="153" t="str">
        <f t="shared" si="1"/>
        <v>20057</v>
      </c>
      <c r="D56" s="153" t="str">
        <f t="shared" si="7"/>
        <v>Q3</v>
      </c>
      <c r="E56" s="153">
        <f t="shared" si="8"/>
        <v>119379.652</v>
      </c>
      <c r="F56" s="153">
        <f t="shared" si="8"/>
        <v>37050.927192459436</v>
      </c>
      <c r="G56" s="153">
        <f t="shared" si="8"/>
        <v>4191.8370000000004</v>
      </c>
      <c r="H56" s="153" t="e">
        <f t="shared" si="8"/>
        <v>#N/A</v>
      </c>
      <c r="L56" s="153">
        <f t="shared" si="5"/>
        <v>2014</v>
      </c>
      <c r="M56" s="177" t="str">
        <f t="shared" si="6"/>
        <v>Q3</v>
      </c>
      <c r="N56" s="177" t="str">
        <f t="shared" si="9"/>
        <v>2014Q3</v>
      </c>
      <c r="O56" s="184">
        <v>138505.228</v>
      </c>
      <c r="P56" s="251">
        <v>1770.816</v>
      </c>
      <c r="Q56" s="251">
        <v>1770.816</v>
      </c>
      <c r="R56" s="189">
        <v>42112.64484379522</v>
      </c>
      <c r="S56" s="189"/>
      <c r="T56" s="253">
        <f t="shared" si="3"/>
        <v>4459.9639999999999</v>
      </c>
      <c r="U56" s="189">
        <v>498.84270062606771</v>
      </c>
      <c r="V56" s="189">
        <v>4459.9639999999999</v>
      </c>
      <c r="W56" s="177">
        <f t="shared" si="4"/>
        <v>0.28170216477943938</v>
      </c>
      <c r="X56" s="177">
        <f t="shared" si="4"/>
        <v>2.5185925584589253</v>
      </c>
    </row>
    <row r="57" spans="1:24" x14ac:dyDescent="0.2">
      <c r="A57" s="153">
        <v>2005</v>
      </c>
      <c r="B57" s="153">
        <v>8</v>
      </c>
      <c r="C57" s="153" t="str">
        <f t="shared" si="1"/>
        <v>20058</v>
      </c>
      <c r="D57" s="153" t="str">
        <f t="shared" si="7"/>
        <v>Q3</v>
      </c>
      <c r="E57" s="153">
        <f t="shared" si="8"/>
        <v>119379.652</v>
      </c>
      <c r="F57" s="153">
        <f t="shared" si="8"/>
        <v>37050.927192459436</v>
      </c>
      <c r="G57" s="153">
        <f t="shared" si="8"/>
        <v>4191.8370000000004</v>
      </c>
      <c r="H57" s="153" t="e">
        <f t="shared" si="8"/>
        <v>#N/A</v>
      </c>
      <c r="L57" s="153">
        <f t="shared" si="5"/>
        <v>2014</v>
      </c>
      <c r="M57" s="177" t="str">
        <f t="shared" si="6"/>
        <v>Q4</v>
      </c>
      <c r="N57" s="177" t="str">
        <f t="shared" si="9"/>
        <v>2014Q4</v>
      </c>
      <c r="O57" s="184">
        <v>139445.223</v>
      </c>
      <c r="P57" s="251">
        <v>1774.326</v>
      </c>
      <c r="Q57" s="251">
        <v>1774.326</v>
      </c>
      <c r="R57" s="189">
        <v>42435.52573788313</v>
      </c>
      <c r="S57" s="189"/>
      <c r="T57" s="253">
        <f t="shared" si="3"/>
        <v>4467.9120000000003</v>
      </c>
      <c r="U57" s="189">
        <v>500.43928707342133</v>
      </c>
      <c r="V57" s="189">
        <v>4467.9120000000003</v>
      </c>
      <c r="W57" s="177">
        <f t="shared" si="4"/>
        <v>0.28204472406616443</v>
      </c>
      <c r="X57" s="177">
        <f t="shared" si="4"/>
        <v>2.5180896858863591</v>
      </c>
    </row>
    <row r="58" spans="1:24" x14ac:dyDescent="0.2">
      <c r="A58" s="153">
        <v>2005</v>
      </c>
      <c r="B58" s="153">
        <v>9</v>
      </c>
      <c r="C58" s="153" t="str">
        <f t="shared" si="1"/>
        <v>20059</v>
      </c>
      <c r="D58" s="153" t="str">
        <f t="shared" si="7"/>
        <v>Q3</v>
      </c>
      <c r="E58" s="153">
        <f t="shared" si="8"/>
        <v>119379.652</v>
      </c>
      <c r="F58" s="153">
        <f t="shared" si="8"/>
        <v>37050.927192459436</v>
      </c>
      <c r="G58" s="153">
        <f t="shared" si="8"/>
        <v>4191.8370000000004</v>
      </c>
      <c r="H58" s="153" t="e">
        <f t="shared" si="8"/>
        <v>#N/A</v>
      </c>
      <c r="L58" s="153">
        <f t="shared" si="5"/>
        <v>2015</v>
      </c>
      <c r="M58" s="177" t="str">
        <f t="shared" si="6"/>
        <v>Q1</v>
      </c>
      <c r="N58" s="177" t="str">
        <f t="shared" si="9"/>
        <v>2015Q1</v>
      </c>
      <c r="O58" s="184">
        <v>140510.76300000001</v>
      </c>
      <c r="P58" s="251">
        <v>1778.097</v>
      </c>
      <c r="Q58" s="251">
        <v>1778.097</v>
      </c>
      <c r="R58" s="189">
        <v>42650.097953529214</v>
      </c>
      <c r="S58" s="189"/>
      <c r="T58" s="253">
        <f t="shared" si="3"/>
        <v>4475.9679999999998</v>
      </c>
      <c r="U58" s="189">
        <v>501.8291618821915</v>
      </c>
      <c r="V58" s="189">
        <v>4475.9679999999998</v>
      </c>
      <c r="W58" s="177">
        <f t="shared" si="4"/>
        <v>0.28222822595291003</v>
      </c>
      <c r="X58" s="177">
        <f t="shared" si="4"/>
        <v>2.5172799909116317</v>
      </c>
    </row>
    <row r="59" spans="1:24" x14ac:dyDescent="0.2">
      <c r="A59" s="153">
        <v>2005</v>
      </c>
      <c r="B59" s="153">
        <v>10</v>
      </c>
      <c r="C59" s="153" t="str">
        <f t="shared" si="1"/>
        <v>200510</v>
      </c>
      <c r="D59" s="153" t="str">
        <f t="shared" si="7"/>
        <v>Q4</v>
      </c>
      <c r="E59" s="153">
        <f t="shared" si="8"/>
        <v>119542.07799999999</v>
      </c>
      <c r="F59" s="153">
        <f t="shared" si="8"/>
        <v>37214.08364461326</v>
      </c>
      <c r="G59" s="153">
        <f t="shared" si="8"/>
        <v>4200.951</v>
      </c>
      <c r="H59" s="153" t="e">
        <f t="shared" si="8"/>
        <v>#N/A</v>
      </c>
      <c r="L59" s="153">
        <f t="shared" si="5"/>
        <v>2015</v>
      </c>
      <c r="M59" s="177" t="str">
        <f t="shared" si="6"/>
        <v>Q2</v>
      </c>
      <c r="N59" s="177" t="str">
        <f t="shared" si="9"/>
        <v>2015Q2</v>
      </c>
      <c r="O59" s="184">
        <v>141224.63399999999</v>
      </c>
      <c r="P59" s="251">
        <v>1782.097</v>
      </c>
      <c r="Q59" s="251">
        <v>1782.097</v>
      </c>
      <c r="R59" s="189">
        <v>42880.981284829548</v>
      </c>
      <c r="S59" s="189"/>
      <c r="T59" s="253">
        <f t="shared" si="3"/>
        <v>4484.1310000000003</v>
      </c>
      <c r="U59" s="189">
        <v>503.37931941722849</v>
      </c>
      <c r="V59" s="189">
        <v>4484.1310000000003</v>
      </c>
      <c r="W59" s="177">
        <f t="shared" si="4"/>
        <v>0.28246460176815769</v>
      </c>
      <c r="X59" s="177">
        <f t="shared" si="4"/>
        <v>2.5162103970771517</v>
      </c>
    </row>
    <row r="60" spans="1:24" x14ac:dyDescent="0.2">
      <c r="A60" s="153">
        <v>2005</v>
      </c>
      <c r="B60" s="153">
        <v>11</v>
      </c>
      <c r="C60" s="153" t="str">
        <f t="shared" si="1"/>
        <v>200511</v>
      </c>
      <c r="D60" s="153" t="str">
        <f t="shared" si="7"/>
        <v>Q4</v>
      </c>
      <c r="E60" s="153">
        <f t="shared" si="8"/>
        <v>119542.07799999999</v>
      </c>
      <c r="F60" s="153">
        <f t="shared" si="8"/>
        <v>37214.08364461326</v>
      </c>
      <c r="G60" s="153">
        <f t="shared" si="8"/>
        <v>4200.951</v>
      </c>
      <c r="H60" s="153" t="e">
        <f t="shared" si="8"/>
        <v>#N/A</v>
      </c>
      <c r="L60" s="153">
        <f t="shared" si="5"/>
        <v>2015</v>
      </c>
      <c r="M60" s="177" t="str">
        <f t="shared" si="6"/>
        <v>Q3</v>
      </c>
      <c r="N60" s="177" t="str">
        <f t="shared" si="9"/>
        <v>2015Q3</v>
      </c>
      <c r="O60" s="184">
        <v>141992.24600000001</v>
      </c>
      <c r="P60" s="251">
        <v>1785.9590000000001</v>
      </c>
      <c r="Q60" s="251">
        <v>1785.9590000000001</v>
      </c>
      <c r="R60" s="189">
        <v>43176.797187660617</v>
      </c>
      <c r="S60" s="189"/>
      <c r="T60" s="253">
        <f t="shared" si="3"/>
        <v>4492.3999999999996</v>
      </c>
      <c r="U60" s="189">
        <v>504.94774529623874</v>
      </c>
      <c r="V60" s="189">
        <v>4492.3999999999996</v>
      </c>
      <c r="W60" s="177">
        <f t="shared" si="4"/>
        <v>0.28273199177374103</v>
      </c>
      <c r="X60" s="177">
        <f t="shared" si="4"/>
        <v>2.515399289681342</v>
      </c>
    </row>
    <row r="61" spans="1:24" x14ac:dyDescent="0.2">
      <c r="A61" s="153">
        <v>2005</v>
      </c>
      <c r="B61" s="153">
        <v>12</v>
      </c>
      <c r="C61" s="153" t="str">
        <f t="shared" si="1"/>
        <v>200512</v>
      </c>
      <c r="D61" s="153" t="str">
        <f t="shared" si="7"/>
        <v>Q4</v>
      </c>
      <c r="E61" s="153">
        <f t="shared" si="8"/>
        <v>119542.07799999999</v>
      </c>
      <c r="F61" s="153">
        <f t="shared" si="8"/>
        <v>37214.08364461326</v>
      </c>
      <c r="G61" s="153">
        <f t="shared" si="8"/>
        <v>4200.951</v>
      </c>
      <c r="H61" s="153" t="e">
        <f t="shared" si="8"/>
        <v>#N/A</v>
      </c>
      <c r="L61" s="153">
        <f t="shared" si="5"/>
        <v>2015</v>
      </c>
      <c r="M61" s="177" t="str">
        <f t="shared" si="6"/>
        <v>Q4</v>
      </c>
      <c r="N61" s="177" t="str">
        <f t="shared" si="9"/>
        <v>2015Q4</v>
      </c>
      <c r="O61" s="184">
        <v>142772.34400000001</v>
      </c>
      <c r="P61" s="251">
        <v>1789.7339999999999</v>
      </c>
      <c r="Q61" s="251">
        <v>1789.7339999999999</v>
      </c>
      <c r="R61" s="189">
        <v>43428.863134860279</v>
      </c>
      <c r="S61" s="189"/>
      <c r="T61" s="253">
        <f t="shared" si="3"/>
        <v>4500.777</v>
      </c>
      <c r="U61" s="189">
        <v>506.36904628060279</v>
      </c>
      <c r="V61" s="189">
        <v>4500.777</v>
      </c>
      <c r="W61" s="177">
        <f t="shared" si="4"/>
        <v>0.28292977966591842</v>
      </c>
      <c r="X61" s="177">
        <f t="shared" si="4"/>
        <v>2.514774262544043</v>
      </c>
    </row>
    <row r="62" spans="1:24" x14ac:dyDescent="0.2">
      <c r="A62" s="153">
        <v>2006</v>
      </c>
      <c r="B62" s="153">
        <v>1</v>
      </c>
      <c r="C62" s="153" t="str">
        <f t="shared" si="1"/>
        <v>20061</v>
      </c>
      <c r="D62" s="153" t="str">
        <f t="shared" si="7"/>
        <v>Q1</v>
      </c>
      <c r="E62" s="153">
        <f t="shared" si="8"/>
        <v>121891.27099999999</v>
      </c>
      <c r="F62" s="153">
        <f t="shared" si="8"/>
        <v>38232.076121240505</v>
      </c>
      <c r="G62" s="153">
        <f t="shared" si="8"/>
        <v>4210.085</v>
      </c>
      <c r="H62" s="153" t="e">
        <f t="shared" si="8"/>
        <v>#N/A</v>
      </c>
      <c r="L62" s="153">
        <f t="shared" si="5"/>
        <v>2016</v>
      </c>
      <c r="M62" s="177" t="str">
        <f t="shared" si="6"/>
        <v>Q1</v>
      </c>
      <c r="N62" s="177" t="str">
        <f t="shared" si="9"/>
        <v>2016Q1</v>
      </c>
      <c r="O62" s="184">
        <v>144227.636</v>
      </c>
      <c r="P62" s="251">
        <v>1793.4010000000001</v>
      </c>
      <c r="Q62" s="251">
        <v>1793.4010000000001</v>
      </c>
      <c r="R62" s="189">
        <v>43755.370741727726</v>
      </c>
      <c r="S62" s="189"/>
      <c r="T62" s="253">
        <f t="shared" si="3"/>
        <v>4509.174</v>
      </c>
      <c r="U62" s="189">
        <v>507.86793941892671</v>
      </c>
      <c r="V62" s="189">
        <v>4509.174</v>
      </c>
      <c r="W62" s="177">
        <f t="shared" si="4"/>
        <v>0.28318705042482228</v>
      </c>
      <c r="X62" s="177">
        <f t="shared" si="4"/>
        <v>2.5143144227085856</v>
      </c>
    </row>
    <row r="63" spans="1:24" x14ac:dyDescent="0.2">
      <c r="A63" s="153">
        <v>2006</v>
      </c>
      <c r="B63" s="153">
        <v>2</v>
      </c>
      <c r="C63" s="153" t="str">
        <f t="shared" si="1"/>
        <v>20062</v>
      </c>
      <c r="D63" s="153" t="str">
        <f t="shared" si="7"/>
        <v>Q1</v>
      </c>
      <c r="E63" s="153">
        <f t="shared" si="8"/>
        <v>121891.27099999999</v>
      </c>
      <c r="F63" s="153">
        <f t="shared" si="8"/>
        <v>38232.076121240505</v>
      </c>
      <c r="G63" s="153">
        <f t="shared" si="8"/>
        <v>4210.085</v>
      </c>
      <c r="H63" s="153" t="e">
        <f t="shared" si="8"/>
        <v>#N/A</v>
      </c>
      <c r="L63" s="153">
        <f t="shared" si="5"/>
        <v>2016</v>
      </c>
      <c r="M63" s="177" t="str">
        <f t="shared" si="6"/>
        <v>Q2</v>
      </c>
      <c r="N63" s="177" t="str">
        <f t="shared" si="9"/>
        <v>2016Q2</v>
      </c>
      <c r="O63" s="184">
        <v>145000.861</v>
      </c>
      <c r="P63" s="251">
        <v>1797.0340000000001</v>
      </c>
      <c r="Q63" s="251">
        <v>1797.0340000000001</v>
      </c>
      <c r="R63" s="189">
        <v>43979.682119470162</v>
      </c>
      <c r="S63" s="189"/>
      <c r="T63" s="253">
        <f t="shared" si="3"/>
        <v>4517.5919999999996</v>
      </c>
      <c r="U63" s="189">
        <v>509.12265081383066</v>
      </c>
      <c r="V63" s="189">
        <v>4517.5919999999996</v>
      </c>
      <c r="W63" s="177">
        <f t="shared" si="4"/>
        <v>0.28331275357830216</v>
      </c>
      <c r="X63" s="177">
        <f t="shared" si="4"/>
        <v>2.513915707771806</v>
      </c>
    </row>
    <row r="64" spans="1:24" x14ac:dyDescent="0.2">
      <c r="A64" s="153">
        <v>2006</v>
      </c>
      <c r="B64" s="153">
        <v>3</v>
      </c>
      <c r="C64" s="153" t="str">
        <f t="shared" si="1"/>
        <v>20063</v>
      </c>
      <c r="D64" s="153" t="str">
        <f t="shared" si="7"/>
        <v>Q1</v>
      </c>
      <c r="E64" s="153">
        <f t="shared" si="8"/>
        <v>121891.27099999999</v>
      </c>
      <c r="F64" s="153">
        <f t="shared" si="8"/>
        <v>38232.076121240505</v>
      </c>
      <c r="G64" s="153">
        <f t="shared" si="8"/>
        <v>4210.085</v>
      </c>
      <c r="H64" s="153" t="e">
        <f t="shared" si="8"/>
        <v>#N/A</v>
      </c>
      <c r="L64" s="153">
        <f t="shared" si="5"/>
        <v>2016</v>
      </c>
      <c r="M64" s="177" t="str">
        <f t="shared" si="6"/>
        <v>Q3</v>
      </c>
      <c r="N64" s="177" t="str">
        <f t="shared" si="9"/>
        <v>2016Q3</v>
      </c>
      <c r="O64" s="184">
        <v>145740.07199999999</v>
      </c>
      <c r="P64" s="251">
        <v>1800.662</v>
      </c>
      <c r="Q64" s="251">
        <v>1800.662</v>
      </c>
      <c r="R64" s="189">
        <v>44190.115651236883</v>
      </c>
      <c r="S64" s="189"/>
      <c r="T64" s="253">
        <f t="shared" si="3"/>
        <v>4526.0309999999999</v>
      </c>
      <c r="U64" s="189">
        <v>510.37312120930113</v>
      </c>
      <c r="V64" s="189">
        <v>4526.0309999999999</v>
      </c>
      <c r="W64" s="177">
        <f t="shared" si="4"/>
        <v>0.28343638129160337</v>
      </c>
      <c r="X64" s="177">
        <f t="shared" si="4"/>
        <v>2.5135372435248815</v>
      </c>
    </row>
    <row r="65" spans="1:24" x14ac:dyDescent="0.2">
      <c r="A65" s="153">
        <v>2006</v>
      </c>
      <c r="B65" s="153">
        <v>4</v>
      </c>
      <c r="C65" s="153" t="str">
        <f t="shared" si="1"/>
        <v>20064</v>
      </c>
      <c r="D65" s="153" t="str">
        <f t="shared" si="7"/>
        <v>Q2</v>
      </c>
      <c r="E65" s="153">
        <f t="shared" si="8"/>
        <v>123006.787</v>
      </c>
      <c r="F65" s="153">
        <f t="shared" si="8"/>
        <v>38551.986971371545</v>
      </c>
      <c r="G65" s="153">
        <f t="shared" si="8"/>
        <v>4219.2389999999996</v>
      </c>
      <c r="H65" s="153" t="e">
        <f t="shared" si="8"/>
        <v>#N/A</v>
      </c>
      <c r="L65" s="153">
        <f t="shared" si="5"/>
        <v>2016</v>
      </c>
      <c r="M65" s="177" t="str">
        <f t="shared" si="6"/>
        <v>Q4</v>
      </c>
      <c r="N65" s="177" t="str">
        <f t="shared" si="9"/>
        <v>2016Q4</v>
      </c>
      <c r="O65" s="184">
        <v>146638.23699999999</v>
      </c>
      <c r="P65" s="251">
        <v>1804.307</v>
      </c>
      <c r="Q65" s="251">
        <v>1804.307</v>
      </c>
      <c r="R65" s="189">
        <v>44479.131361056192</v>
      </c>
      <c r="S65" s="189"/>
      <c r="T65" s="253">
        <f t="shared" si="3"/>
        <v>4534.4889999999996</v>
      </c>
      <c r="U65" s="189">
        <v>511.92023406263525</v>
      </c>
      <c r="V65" s="189">
        <v>4534.4889999999996</v>
      </c>
      <c r="W65" s="177">
        <f t="shared" si="4"/>
        <v>0.28372124813717137</v>
      </c>
      <c r="X65" s="177">
        <f t="shared" si="4"/>
        <v>2.5131471528958205</v>
      </c>
    </row>
    <row r="66" spans="1:24" x14ac:dyDescent="0.2">
      <c r="A66" s="153">
        <v>2006</v>
      </c>
      <c r="B66" s="153">
        <v>5</v>
      </c>
      <c r="C66" s="153" t="str">
        <f t="shared" si="1"/>
        <v>20065</v>
      </c>
      <c r="D66" s="153" t="str">
        <f t="shared" si="7"/>
        <v>Q2</v>
      </c>
      <c r="E66" s="153">
        <f t="shared" si="8"/>
        <v>123006.787</v>
      </c>
      <c r="F66" s="153">
        <f t="shared" si="8"/>
        <v>38551.986971371545</v>
      </c>
      <c r="G66" s="153">
        <f t="shared" si="8"/>
        <v>4219.2389999999996</v>
      </c>
      <c r="H66" s="153" t="e">
        <f t="shared" si="8"/>
        <v>#N/A</v>
      </c>
      <c r="L66" s="153">
        <f t="shared" si="5"/>
        <v>2017</v>
      </c>
      <c r="M66" s="177" t="str">
        <f t="shared" si="6"/>
        <v>Q1</v>
      </c>
      <c r="N66" s="177" t="str">
        <f t="shared" si="9"/>
        <v>2017Q1</v>
      </c>
      <c r="O66" s="184">
        <v>147397.973</v>
      </c>
      <c r="P66" s="251">
        <v>1806.8440000000001</v>
      </c>
      <c r="Q66" s="251">
        <v>1806.8440000000001</v>
      </c>
      <c r="R66" s="189">
        <v>44591.826055215206</v>
      </c>
      <c r="S66" s="189"/>
      <c r="T66" s="253">
        <f t="shared" si="3"/>
        <v>4542.9390000000003</v>
      </c>
      <c r="U66" s="189">
        <v>513.08300928065671</v>
      </c>
      <c r="V66" s="189">
        <v>4542.9390000000003</v>
      </c>
      <c r="W66" s="177">
        <f t="shared" si="4"/>
        <v>0.28396641286168406</v>
      </c>
      <c r="X66" s="177">
        <f t="shared" si="4"/>
        <v>2.5142950913305189</v>
      </c>
    </row>
    <row r="67" spans="1:24" x14ac:dyDescent="0.2">
      <c r="A67" s="153">
        <v>2006</v>
      </c>
      <c r="B67" s="153">
        <v>6</v>
      </c>
      <c r="C67" s="153" t="str">
        <f t="shared" ref="C67:C130" si="10">A67&amp;B67</f>
        <v>20066</v>
      </c>
      <c r="D67" s="153" t="str">
        <f t="shared" si="7"/>
        <v>Q2</v>
      </c>
      <c r="E67" s="153">
        <f t="shared" ref="E67:H98" si="11">VLOOKUP($A67&amp;$D67,$N$1:$T$169,MATCH(E$1,$N$1:$T$1,0),0)</f>
        <v>123006.787</v>
      </c>
      <c r="F67" s="153">
        <f t="shared" si="11"/>
        <v>38551.986971371545</v>
      </c>
      <c r="G67" s="153">
        <f t="shared" si="11"/>
        <v>4219.2389999999996</v>
      </c>
      <c r="H67" s="153" t="e">
        <f t="shared" si="11"/>
        <v>#N/A</v>
      </c>
      <c r="L67" s="153">
        <f t="shared" si="5"/>
        <v>2017</v>
      </c>
      <c r="M67" s="177" t="str">
        <f t="shared" si="6"/>
        <v>Q2</v>
      </c>
      <c r="N67" s="177" t="str">
        <f t="shared" si="9"/>
        <v>2017Q2</v>
      </c>
      <c r="O67" s="184">
        <v>148169.18</v>
      </c>
      <c r="P67" s="251">
        <v>1809.4</v>
      </c>
      <c r="Q67" s="251">
        <v>1809.4</v>
      </c>
      <c r="R67" s="189">
        <v>44904.574224823955</v>
      </c>
      <c r="S67" s="189"/>
      <c r="T67" s="253">
        <f t="shared" ref="T67:T130" si="12">V67</f>
        <v>4551.38</v>
      </c>
      <c r="U67" s="189">
        <v>514.67933105390614</v>
      </c>
      <c r="V67" s="189">
        <v>4551.38</v>
      </c>
      <c r="W67" s="177">
        <f t="shared" ref="W67:X130" si="13">U67/P67</f>
        <v>0.28444751357019238</v>
      </c>
      <c r="X67" s="177">
        <f t="shared" si="13"/>
        <v>2.5154084226815518</v>
      </c>
    </row>
    <row r="68" spans="1:24" x14ac:dyDescent="0.2">
      <c r="A68" s="153">
        <v>2006</v>
      </c>
      <c r="B68" s="153">
        <v>7</v>
      </c>
      <c r="C68" s="153" t="str">
        <f t="shared" si="10"/>
        <v>20067</v>
      </c>
      <c r="D68" s="153" t="str">
        <f t="shared" si="7"/>
        <v>Q3</v>
      </c>
      <c r="E68" s="153">
        <f t="shared" si="11"/>
        <v>123530.77899999999</v>
      </c>
      <c r="F68" s="153">
        <f t="shared" si="11"/>
        <v>38698.21171607422</v>
      </c>
      <c r="G68" s="153">
        <f t="shared" si="11"/>
        <v>4228.5659999999998</v>
      </c>
      <c r="H68" s="153" t="e">
        <f t="shared" si="11"/>
        <v>#N/A</v>
      </c>
      <c r="L68" s="153">
        <f t="shared" si="5"/>
        <v>2017</v>
      </c>
      <c r="M68" s="177" t="str">
        <f t="shared" si="6"/>
        <v>Q3</v>
      </c>
      <c r="N68" s="177" t="str">
        <f t="shared" si="9"/>
        <v>2017Q3</v>
      </c>
      <c r="O68" s="184">
        <v>149003.10200000001</v>
      </c>
      <c r="P68" s="251">
        <v>1811.9380000000001</v>
      </c>
      <c r="Q68" s="251">
        <v>1811.9380000000001</v>
      </c>
      <c r="R68" s="189">
        <v>45194.496478629822</v>
      </c>
      <c r="S68" s="189"/>
      <c r="T68" s="253">
        <f t="shared" si="12"/>
        <v>4559.8130000000001</v>
      </c>
      <c r="U68" s="189">
        <v>515.82043868573078</v>
      </c>
      <c r="V68" s="189">
        <v>4559.8130000000001</v>
      </c>
      <c r="W68" s="177">
        <f t="shared" si="13"/>
        <v>0.2846788569397688</v>
      </c>
      <c r="X68" s="177">
        <f t="shared" si="13"/>
        <v>2.516539197257301</v>
      </c>
    </row>
    <row r="69" spans="1:24" x14ac:dyDescent="0.2">
      <c r="A69" s="153">
        <v>2006</v>
      </c>
      <c r="B69" s="153">
        <v>8</v>
      </c>
      <c r="C69" s="153" t="str">
        <f t="shared" si="10"/>
        <v>20068</v>
      </c>
      <c r="D69" s="153" t="str">
        <f t="shared" si="7"/>
        <v>Q3</v>
      </c>
      <c r="E69" s="153">
        <f t="shared" si="11"/>
        <v>123530.77899999999</v>
      </c>
      <c r="F69" s="153">
        <f t="shared" si="11"/>
        <v>38698.21171607422</v>
      </c>
      <c r="G69" s="153">
        <f t="shared" si="11"/>
        <v>4228.5659999999998</v>
      </c>
      <c r="H69" s="153" t="e">
        <f t="shared" si="11"/>
        <v>#N/A</v>
      </c>
      <c r="L69" s="153">
        <f t="shared" si="5"/>
        <v>2017</v>
      </c>
      <c r="M69" s="177" t="str">
        <f t="shared" si="6"/>
        <v>Q4</v>
      </c>
      <c r="N69" s="177" t="str">
        <f t="shared" si="9"/>
        <v>2017Q4</v>
      </c>
      <c r="O69" s="184">
        <v>149821.88399999999</v>
      </c>
      <c r="P69" s="251">
        <v>1814.3879999999999</v>
      </c>
      <c r="Q69" s="251">
        <v>1814.3879999999999</v>
      </c>
      <c r="R69" s="189">
        <v>45448.674552537363</v>
      </c>
      <c r="S69" s="189"/>
      <c r="T69" s="253">
        <f t="shared" si="12"/>
        <v>4568.2250000000004</v>
      </c>
      <c r="U69" s="189">
        <v>517.2860463041992</v>
      </c>
      <c r="V69" s="189">
        <v>4568.2250000000004</v>
      </c>
      <c r="W69" s="177">
        <f t="shared" si="13"/>
        <v>0.28510221975905881</v>
      </c>
      <c r="X69" s="177">
        <f t="shared" si="13"/>
        <v>2.5177773442064213</v>
      </c>
    </row>
    <row r="70" spans="1:24" x14ac:dyDescent="0.2">
      <c r="A70" s="153">
        <v>2006</v>
      </c>
      <c r="B70" s="153">
        <v>9</v>
      </c>
      <c r="C70" s="153" t="str">
        <f t="shared" si="10"/>
        <v>20069</v>
      </c>
      <c r="D70" s="153" t="str">
        <f t="shared" si="7"/>
        <v>Q3</v>
      </c>
      <c r="E70" s="153">
        <f t="shared" si="11"/>
        <v>123530.77899999999</v>
      </c>
      <c r="F70" s="153">
        <f t="shared" si="11"/>
        <v>38698.21171607422</v>
      </c>
      <c r="G70" s="153">
        <f t="shared" si="11"/>
        <v>4228.5659999999998</v>
      </c>
      <c r="H70" s="153" t="e">
        <f t="shared" si="11"/>
        <v>#N/A</v>
      </c>
      <c r="L70" s="153">
        <f t="shared" si="5"/>
        <v>2018</v>
      </c>
      <c r="M70" s="177" t="str">
        <f t="shared" si="6"/>
        <v>Q1</v>
      </c>
      <c r="N70" s="177" t="str">
        <f t="shared" si="9"/>
        <v>2018Q1</v>
      </c>
      <c r="O70" s="184">
        <v>151159.774</v>
      </c>
      <c r="P70" s="251">
        <v>1817.81</v>
      </c>
      <c r="Q70" s="251">
        <v>1817.81</v>
      </c>
      <c r="R70" s="189">
        <v>45721.18203228699</v>
      </c>
      <c r="S70" s="189"/>
      <c r="T70" s="253">
        <f t="shared" si="12"/>
        <v>4576.63</v>
      </c>
      <c r="U70" s="189">
        <v>518.66652313964676</v>
      </c>
      <c r="V70" s="189">
        <v>4576.63</v>
      </c>
      <c r="W70" s="177">
        <f t="shared" si="13"/>
        <v>0.28532493667635606</v>
      </c>
      <c r="X70" s="177">
        <f t="shared" si="13"/>
        <v>2.5176613617484778</v>
      </c>
    </row>
    <row r="71" spans="1:24" x14ac:dyDescent="0.2">
      <c r="A71" s="153">
        <v>2006</v>
      </c>
      <c r="B71" s="153">
        <v>10</v>
      </c>
      <c r="C71" s="153" t="str">
        <f t="shared" si="10"/>
        <v>200610</v>
      </c>
      <c r="D71" s="153" t="str">
        <f t="shared" si="7"/>
        <v>Q4</v>
      </c>
      <c r="E71" s="153">
        <f t="shared" si="11"/>
        <v>124988.379</v>
      </c>
      <c r="F71" s="153">
        <f t="shared" si="11"/>
        <v>39120.882163460956</v>
      </c>
      <c r="G71" s="153">
        <f t="shared" si="11"/>
        <v>4237.9139999999998</v>
      </c>
      <c r="H71" s="153" t="e">
        <f t="shared" si="11"/>
        <v>#N/A</v>
      </c>
      <c r="L71" s="153">
        <f t="shared" ref="L71:L134" si="14">L67+1</f>
        <v>2018</v>
      </c>
      <c r="M71" s="177" t="str">
        <f t="shared" ref="M71:M134" si="15">M67</f>
        <v>Q2</v>
      </c>
      <c r="N71" s="177" t="str">
        <f t="shared" si="9"/>
        <v>2018Q2</v>
      </c>
      <c r="O71" s="184">
        <v>152014.81099999999</v>
      </c>
      <c r="P71" s="251">
        <v>1821.1880000000001</v>
      </c>
      <c r="Q71" s="251">
        <v>1821.1880000000001</v>
      </c>
      <c r="R71" s="189">
        <v>45952.240193290287</v>
      </c>
      <c r="S71" s="189"/>
      <c r="T71" s="253">
        <f t="shared" si="12"/>
        <v>4585.03</v>
      </c>
      <c r="U71" s="189">
        <v>519.97560455539224</v>
      </c>
      <c r="V71" s="189">
        <v>4585.03</v>
      </c>
      <c r="W71" s="177">
        <f t="shared" si="13"/>
        <v>0.28551451280998569</v>
      </c>
      <c r="X71" s="177">
        <f t="shared" si="13"/>
        <v>2.5176038937221197</v>
      </c>
    </row>
    <row r="72" spans="1:24" x14ac:dyDescent="0.2">
      <c r="A72" s="153">
        <v>2006</v>
      </c>
      <c r="B72" s="153">
        <v>11</v>
      </c>
      <c r="C72" s="153" t="str">
        <f t="shared" si="10"/>
        <v>200611</v>
      </c>
      <c r="D72" s="153" t="str">
        <f t="shared" si="7"/>
        <v>Q4</v>
      </c>
      <c r="E72" s="153">
        <f t="shared" si="11"/>
        <v>124988.379</v>
      </c>
      <c r="F72" s="153">
        <f t="shared" si="11"/>
        <v>39120.882163460956</v>
      </c>
      <c r="G72" s="153">
        <f t="shared" si="11"/>
        <v>4237.9139999999998</v>
      </c>
      <c r="H72" s="153" t="e">
        <f t="shared" si="11"/>
        <v>#N/A</v>
      </c>
      <c r="L72" s="153">
        <f t="shared" si="14"/>
        <v>2018</v>
      </c>
      <c r="M72" s="177" t="str">
        <f t="shared" si="15"/>
        <v>Q3</v>
      </c>
      <c r="N72" s="177" t="str">
        <f t="shared" si="9"/>
        <v>2018Q3</v>
      </c>
      <c r="O72" s="184">
        <v>152840.09</v>
      </c>
      <c r="P72" s="251">
        <v>1824.57</v>
      </c>
      <c r="Q72" s="251">
        <v>1824.57</v>
      </c>
      <c r="R72" s="189">
        <v>46269.534926018147</v>
      </c>
      <c r="S72" s="189"/>
      <c r="T72" s="253">
        <f t="shared" si="12"/>
        <v>4593.4229999999998</v>
      </c>
      <c r="U72" s="189">
        <v>521.40413123458416</v>
      </c>
      <c r="V72" s="189">
        <v>4593.4229999999998</v>
      </c>
      <c r="W72" s="177">
        <f t="shared" si="13"/>
        <v>0.28576822551866149</v>
      </c>
      <c r="X72" s="177">
        <f t="shared" si="13"/>
        <v>2.5175372827570333</v>
      </c>
    </row>
    <row r="73" spans="1:24" x14ac:dyDescent="0.2">
      <c r="A73" s="153">
        <v>2006</v>
      </c>
      <c r="B73" s="153">
        <v>12</v>
      </c>
      <c r="C73" s="153" t="str">
        <f t="shared" si="10"/>
        <v>200612</v>
      </c>
      <c r="D73" s="153" t="str">
        <f t="shared" si="7"/>
        <v>Q4</v>
      </c>
      <c r="E73" s="153">
        <f t="shared" si="11"/>
        <v>124988.379</v>
      </c>
      <c r="F73" s="153">
        <f t="shared" si="11"/>
        <v>39120.882163460956</v>
      </c>
      <c r="G73" s="153">
        <f t="shared" si="11"/>
        <v>4237.9139999999998</v>
      </c>
      <c r="H73" s="153" t="e">
        <f t="shared" si="11"/>
        <v>#N/A</v>
      </c>
      <c r="L73" s="153">
        <f t="shared" si="14"/>
        <v>2018</v>
      </c>
      <c r="M73" s="177" t="str">
        <f t="shared" si="15"/>
        <v>Q4</v>
      </c>
      <c r="N73" s="177" t="str">
        <f t="shared" si="9"/>
        <v>2018Q4</v>
      </c>
      <c r="O73" s="184">
        <v>153691.45300000001</v>
      </c>
      <c r="P73" s="251">
        <v>1827.9390000000001</v>
      </c>
      <c r="Q73" s="251">
        <v>1827.9390000000001</v>
      </c>
      <c r="R73" s="189">
        <v>46499.695892915195</v>
      </c>
      <c r="S73" s="189"/>
      <c r="T73" s="253">
        <f t="shared" si="12"/>
        <v>4601.8090000000002</v>
      </c>
      <c r="U73" s="189">
        <v>522.62622358863541</v>
      </c>
      <c r="V73" s="189">
        <v>4601.8090000000002</v>
      </c>
      <c r="W73" s="177">
        <f t="shared" si="13"/>
        <v>0.28591010071377404</v>
      </c>
      <c r="X73" s="177">
        <f t="shared" si="13"/>
        <v>2.5174849926611338</v>
      </c>
    </row>
    <row r="74" spans="1:24" x14ac:dyDescent="0.2">
      <c r="A74" s="153">
        <v>2007</v>
      </c>
      <c r="B74" s="153">
        <v>1</v>
      </c>
      <c r="C74" s="153" t="str">
        <f t="shared" si="10"/>
        <v>20071</v>
      </c>
      <c r="D74" s="153" t="str">
        <f t="shared" si="7"/>
        <v>Q1</v>
      </c>
      <c r="E74" s="153">
        <f t="shared" si="11"/>
        <v>125421.274</v>
      </c>
      <c r="F74" s="153">
        <f t="shared" si="11"/>
        <v>39207.939116974187</v>
      </c>
      <c r="G74" s="153">
        <f t="shared" si="11"/>
        <v>4247.2830000000004</v>
      </c>
      <c r="H74" s="153" t="e">
        <f t="shared" si="11"/>
        <v>#N/A</v>
      </c>
      <c r="L74" s="153">
        <f t="shared" si="14"/>
        <v>2019</v>
      </c>
      <c r="M74" s="177" t="str">
        <f t="shared" si="15"/>
        <v>Q1</v>
      </c>
      <c r="N74" s="177" t="str">
        <f t="shared" si="9"/>
        <v>2019Q1</v>
      </c>
      <c r="O74" s="184">
        <v>155062.20000000001</v>
      </c>
      <c r="P74" s="251">
        <v>1831.317</v>
      </c>
      <c r="Q74" s="251">
        <v>1831.317</v>
      </c>
      <c r="R74" s="189">
        <v>46951.95820849367</v>
      </c>
      <c r="S74" s="189"/>
      <c r="T74" s="253">
        <f t="shared" si="12"/>
        <v>4610.1880000000001</v>
      </c>
      <c r="U74" s="189">
        <v>524.02248071463271</v>
      </c>
      <c r="V74" s="189">
        <v>4610.1880000000001</v>
      </c>
      <c r="W74" s="177">
        <f t="shared" si="13"/>
        <v>0.28614515166660537</v>
      </c>
      <c r="X74" s="177">
        <f t="shared" si="13"/>
        <v>2.5174167006585972</v>
      </c>
    </row>
    <row r="75" spans="1:24" x14ac:dyDescent="0.2">
      <c r="A75" s="153">
        <v>2007</v>
      </c>
      <c r="B75" s="153">
        <v>2</v>
      </c>
      <c r="C75" s="153" t="str">
        <f t="shared" si="10"/>
        <v>20072</v>
      </c>
      <c r="D75" s="153" t="str">
        <f t="shared" si="7"/>
        <v>Q1</v>
      </c>
      <c r="E75" s="153">
        <f t="shared" si="11"/>
        <v>125421.274</v>
      </c>
      <c r="F75" s="153">
        <f t="shared" si="11"/>
        <v>39207.939116974187</v>
      </c>
      <c r="G75" s="153">
        <f t="shared" si="11"/>
        <v>4247.2830000000004</v>
      </c>
      <c r="H75" s="153" t="e">
        <f t="shared" si="11"/>
        <v>#N/A</v>
      </c>
      <c r="L75" s="153">
        <f t="shared" si="14"/>
        <v>2019</v>
      </c>
      <c r="M75" s="177" t="str">
        <f t="shared" si="15"/>
        <v>Q2</v>
      </c>
      <c r="N75" s="177" t="str">
        <f t="shared" si="9"/>
        <v>2019Q2</v>
      </c>
      <c r="O75" s="184">
        <v>155893.33300000001</v>
      </c>
      <c r="P75" s="251">
        <v>1834.68</v>
      </c>
      <c r="Q75" s="251">
        <v>1834.68</v>
      </c>
      <c r="R75" s="189">
        <v>47295.046546996404</v>
      </c>
      <c r="S75" s="189"/>
      <c r="T75" s="253">
        <f t="shared" si="12"/>
        <v>4618.558</v>
      </c>
      <c r="U75" s="189">
        <v>525.23105771001019</v>
      </c>
      <c r="V75" s="189">
        <v>4618.558</v>
      </c>
      <c r="W75" s="177">
        <f t="shared" si="13"/>
        <v>0.28627938262258823</v>
      </c>
      <c r="X75" s="177">
        <f t="shared" si="13"/>
        <v>2.517364336015</v>
      </c>
    </row>
    <row r="76" spans="1:24" x14ac:dyDescent="0.2">
      <c r="A76" s="153">
        <v>2007</v>
      </c>
      <c r="B76" s="153">
        <v>3</v>
      </c>
      <c r="C76" s="153" t="str">
        <f t="shared" si="10"/>
        <v>20073</v>
      </c>
      <c r="D76" s="153" t="str">
        <f t="shared" si="7"/>
        <v>Q1</v>
      </c>
      <c r="E76" s="153">
        <f t="shared" si="11"/>
        <v>125421.274</v>
      </c>
      <c r="F76" s="153">
        <f t="shared" si="11"/>
        <v>39207.939116974187</v>
      </c>
      <c r="G76" s="153">
        <f t="shared" si="11"/>
        <v>4247.2830000000004</v>
      </c>
      <c r="H76" s="153" t="e">
        <f t="shared" si="11"/>
        <v>#N/A</v>
      </c>
      <c r="L76" s="153">
        <f t="shared" si="14"/>
        <v>2019</v>
      </c>
      <c r="M76" s="177" t="str">
        <f t="shared" si="15"/>
        <v>Q3</v>
      </c>
      <c r="N76" s="177" t="str">
        <f t="shared" si="9"/>
        <v>2019Q3</v>
      </c>
      <c r="O76" s="184">
        <v>156697.22099999999</v>
      </c>
      <c r="P76" s="251">
        <v>1838.0340000000001</v>
      </c>
      <c r="Q76" s="251">
        <v>1838.0340000000001</v>
      </c>
      <c r="R76" s="189">
        <v>47474.511791947109</v>
      </c>
      <c r="S76" s="189"/>
      <c r="T76" s="253">
        <f t="shared" si="12"/>
        <v>4626.9070000000002</v>
      </c>
      <c r="U76" s="189">
        <v>526.52557973637499</v>
      </c>
      <c r="V76" s="189">
        <v>4626.9070000000002</v>
      </c>
      <c r="W76" s="177">
        <f t="shared" si="13"/>
        <v>0.28646128403303472</v>
      </c>
      <c r="X76" s="177">
        <f t="shared" si="13"/>
        <v>2.5173130638497438</v>
      </c>
    </row>
    <row r="77" spans="1:24" x14ac:dyDescent="0.2">
      <c r="A77" s="153">
        <v>2007</v>
      </c>
      <c r="B77" s="153">
        <v>4</v>
      </c>
      <c r="C77" s="153" t="str">
        <f t="shared" si="10"/>
        <v>20074</v>
      </c>
      <c r="D77" s="153" t="str">
        <f t="shared" si="7"/>
        <v>Q2</v>
      </c>
      <c r="E77" s="153">
        <f t="shared" si="11"/>
        <v>125696.571</v>
      </c>
      <c r="F77" s="153">
        <f t="shared" si="11"/>
        <v>39146.160290129192</v>
      </c>
      <c r="G77" s="153">
        <f t="shared" si="11"/>
        <v>4256.6719999999996</v>
      </c>
      <c r="H77" s="153" t="e">
        <f t="shared" si="11"/>
        <v>#N/A</v>
      </c>
      <c r="L77" s="153">
        <f t="shared" si="14"/>
        <v>2019</v>
      </c>
      <c r="M77" s="177" t="str">
        <f t="shared" si="15"/>
        <v>Q4</v>
      </c>
      <c r="N77" s="177" t="str">
        <f t="shared" si="9"/>
        <v>2019Q4</v>
      </c>
      <c r="O77" s="184">
        <v>157503.777</v>
      </c>
      <c r="P77" s="251">
        <v>1841.366</v>
      </c>
      <c r="Q77" s="251">
        <v>1841.366</v>
      </c>
      <c r="R77" s="189">
        <v>47726.545621421916</v>
      </c>
      <c r="S77" s="189"/>
      <c r="T77" s="253">
        <f t="shared" si="12"/>
        <v>4635.2470000000003</v>
      </c>
      <c r="U77" s="189">
        <v>527.97489990513088</v>
      </c>
      <c r="V77" s="189">
        <v>4635.2470000000003</v>
      </c>
      <c r="W77" s="177">
        <f t="shared" si="13"/>
        <v>0.2867300145137528</v>
      </c>
      <c r="X77" s="177">
        <f t="shared" si="13"/>
        <v>2.5172871661581677</v>
      </c>
    </row>
    <row r="78" spans="1:24" x14ac:dyDescent="0.2">
      <c r="A78" s="153">
        <v>2007</v>
      </c>
      <c r="B78" s="153">
        <v>5</v>
      </c>
      <c r="C78" s="153" t="str">
        <f t="shared" si="10"/>
        <v>20075</v>
      </c>
      <c r="D78" s="153" t="str">
        <f t="shared" si="7"/>
        <v>Q2</v>
      </c>
      <c r="E78" s="153">
        <f t="shared" si="11"/>
        <v>125696.571</v>
      </c>
      <c r="F78" s="153">
        <f t="shared" si="11"/>
        <v>39146.160290129192</v>
      </c>
      <c r="G78" s="153">
        <f t="shared" si="11"/>
        <v>4256.6719999999996</v>
      </c>
      <c r="H78" s="153" t="e">
        <f t="shared" si="11"/>
        <v>#N/A</v>
      </c>
      <c r="L78" s="153">
        <f t="shared" si="14"/>
        <v>2020</v>
      </c>
      <c r="M78" s="177" t="str">
        <f t="shared" si="15"/>
        <v>Q1</v>
      </c>
      <c r="N78" s="177" t="str">
        <f t="shared" si="9"/>
        <v>2020Q1</v>
      </c>
      <c r="O78" s="184">
        <v>158898.726</v>
      </c>
      <c r="P78" s="251">
        <v>1844.713</v>
      </c>
      <c r="Q78" s="251">
        <v>1844.713</v>
      </c>
      <c r="R78" s="189">
        <v>48243.78300199988</v>
      </c>
      <c r="S78" s="189"/>
      <c r="T78" s="253">
        <f t="shared" si="12"/>
        <v>4643.5770000000002</v>
      </c>
      <c r="U78" s="189">
        <v>529.18438960096785</v>
      </c>
      <c r="V78" s="189">
        <v>4643.5770000000002</v>
      </c>
      <c r="W78" s="177">
        <f t="shared" si="13"/>
        <v>0.28686543088326905</v>
      </c>
      <c r="X78" s="177">
        <f t="shared" si="13"/>
        <v>2.5172354724013979</v>
      </c>
    </row>
    <row r="79" spans="1:24" x14ac:dyDescent="0.2">
      <c r="A79" s="153">
        <v>2007</v>
      </c>
      <c r="B79" s="153">
        <v>6</v>
      </c>
      <c r="C79" s="153" t="str">
        <f t="shared" si="10"/>
        <v>20076</v>
      </c>
      <c r="D79" s="153" t="str">
        <f t="shared" ref="D79:D142" si="16">D67</f>
        <v>Q2</v>
      </c>
      <c r="E79" s="153">
        <f t="shared" si="11"/>
        <v>125696.571</v>
      </c>
      <c r="F79" s="153">
        <f t="shared" si="11"/>
        <v>39146.160290129192</v>
      </c>
      <c r="G79" s="153">
        <f t="shared" si="11"/>
        <v>4256.6719999999996</v>
      </c>
      <c r="H79" s="153" t="e">
        <f t="shared" si="11"/>
        <v>#N/A</v>
      </c>
      <c r="L79" s="153">
        <f t="shared" si="14"/>
        <v>2020</v>
      </c>
      <c r="M79" s="177" t="str">
        <f t="shared" si="15"/>
        <v>Q2</v>
      </c>
      <c r="N79" s="177" t="str">
        <f t="shared" si="9"/>
        <v>2020Q2</v>
      </c>
      <c r="O79" s="184">
        <v>159849.41</v>
      </c>
      <c r="P79" s="251">
        <v>1847.818</v>
      </c>
      <c r="Q79" s="251">
        <v>1847.818</v>
      </c>
      <c r="R79" s="189">
        <v>48481.970690693073</v>
      </c>
      <c r="S79" s="189"/>
      <c r="T79" s="253">
        <f t="shared" si="12"/>
        <v>4651.8969999999999</v>
      </c>
      <c r="U79" s="189">
        <v>530.5241401390773</v>
      </c>
      <c r="V79" s="189">
        <v>4651.8969999999999</v>
      </c>
      <c r="W79" s="177">
        <f t="shared" si="13"/>
        <v>0.28710843824395982</v>
      </c>
      <c r="X79" s="177">
        <f t="shared" si="13"/>
        <v>2.5175082178006707</v>
      </c>
    </row>
    <row r="80" spans="1:24" x14ac:dyDescent="0.2">
      <c r="A80" s="153">
        <v>2007</v>
      </c>
      <c r="B80" s="153">
        <v>7</v>
      </c>
      <c r="C80" s="153" t="str">
        <f t="shared" si="10"/>
        <v>20077</v>
      </c>
      <c r="D80" s="153" t="str">
        <f t="shared" si="16"/>
        <v>Q3</v>
      </c>
      <c r="E80" s="153">
        <f t="shared" si="11"/>
        <v>125601.717</v>
      </c>
      <c r="F80" s="153">
        <f t="shared" si="11"/>
        <v>39001.852326761655</v>
      </c>
      <c r="G80" s="153">
        <f t="shared" si="11"/>
        <v>4264.9489999999996</v>
      </c>
      <c r="H80" s="153" t="e">
        <f t="shared" si="11"/>
        <v>#N/A</v>
      </c>
      <c r="L80" s="153">
        <f t="shared" si="14"/>
        <v>2020</v>
      </c>
      <c r="M80" s="177" t="str">
        <f t="shared" si="15"/>
        <v>Q3</v>
      </c>
      <c r="N80" s="177" t="str">
        <f t="shared" si="9"/>
        <v>2020Q3</v>
      </c>
      <c r="O80" s="184">
        <v>160644.163</v>
      </c>
      <c r="P80" s="251">
        <v>1850.903</v>
      </c>
      <c r="Q80" s="251">
        <v>1850.903</v>
      </c>
      <c r="R80" s="189">
        <v>48705.682421467725</v>
      </c>
      <c r="S80" s="189"/>
      <c r="T80" s="253">
        <f t="shared" si="12"/>
        <v>4660.2060000000001</v>
      </c>
      <c r="U80" s="189">
        <v>531.85916409426079</v>
      </c>
      <c r="V80" s="189">
        <v>4660.2060000000001</v>
      </c>
      <c r="W80" s="177">
        <f t="shared" si="13"/>
        <v>0.28735118160933382</v>
      </c>
      <c r="X80" s="177">
        <f t="shared" si="13"/>
        <v>2.5178013110357487</v>
      </c>
    </row>
    <row r="81" spans="1:24" x14ac:dyDescent="0.2">
      <c r="A81" s="153">
        <v>2007</v>
      </c>
      <c r="B81" s="153">
        <v>8</v>
      </c>
      <c r="C81" s="153" t="str">
        <f t="shared" si="10"/>
        <v>20078</v>
      </c>
      <c r="D81" s="153" t="str">
        <f t="shared" si="16"/>
        <v>Q3</v>
      </c>
      <c r="E81" s="153">
        <f t="shared" si="11"/>
        <v>125601.717</v>
      </c>
      <c r="F81" s="153">
        <f t="shared" si="11"/>
        <v>39001.852326761655</v>
      </c>
      <c r="G81" s="153">
        <f t="shared" si="11"/>
        <v>4264.9489999999996</v>
      </c>
      <c r="H81" s="153" t="e">
        <f t="shared" si="11"/>
        <v>#N/A</v>
      </c>
      <c r="L81" s="153">
        <f t="shared" si="14"/>
        <v>2020</v>
      </c>
      <c r="M81" s="177" t="str">
        <f t="shared" si="15"/>
        <v>Q4</v>
      </c>
      <c r="N81" s="177" t="str">
        <f t="shared" si="9"/>
        <v>2020Q4</v>
      </c>
      <c r="O81" s="184">
        <v>161348.13399999999</v>
      </c>
      <c r="P81" s="251">
        <v>1853.9760000000001</v>
      </c>
      <c r="Q81" s="251">
        <v>1853.9760000000001</v>
      </c>
      <c r="R81" s="189">
        <v>48829.591308895542</v>
      </c>
      <c r="S81" s="189"/>
      <c r="T81" s="253">
        <f t="shared" si="12"/>
        <v>4668.5039999999999</v>
      </c>
      <c r="U81" s="189">
        <v>533.19423469180015</v>
      </c>
      <c r="V81" s="189">
        <v>4668.5039999999999</v>
      </c>
      <c r="W81" s="177">
        <f t="shared" si="13"/>
        <v>0.28759500376045866</v>
      </c>
      <c r="X81" s="177">
        <f t="shared" si="13"/>
        <v>2.5181037942238733</v>
      </c>
    </row>
    <row r="82" spans="1:24" x14ac:dyDescent="0.2">
      <c r="A82" s="153">
        <v>2007</v>
      </c>
      <c r="B82" s="153">
        <v>9</v>
      </c>
      <c r="C82" s="153" t="str">
        <f t="shared" si="10"/>
        <v>20079</v>
      </c>
      <c r="D82" s="153" t="str">
        <f t="shared" si="16"/>
        <v>Q3</v>
      </c>
      <c r="E82" s="153">
        <f t="shared" si="11"/>
        <v>125601.717</v>
      </c>
      <c r="F82" s="153">
        <f t="shared" si="11"/>
        <v>39001.852326761655</v>
      </c>
      <c r="G82" s="153">
        <f t="shared" si="11"/>
        <v>4264.9489999999996</v>
      </c>
      <c r="H82" s="153" t="e">
        <f t="shared" si="11"/>
        <v>#N/A</v>
      </c>
      <c r="L82" s="153">
        <f t="shared" si="14"/>
        <v>2021</v>
      </c>
      <c r="M82" s="177" t="str">
        <f t="shared" si="15"/>
        <v>Q1</v>
      </c>
      <c r="N82" s="177" t="str">
        <f t="shared" si="9"/>
        <v>2021Q1</v>
      </c>
      <c r="O82" s="184">
        <v>162475.66899999999</v>
      </c>
      <c r="P82" s="251">
        <v>1856.8409999999999</v>
      </c>
      <c r="Q82" s="251">
        <v>1856.8409999999999</v>
      </c>
      <c r="R82" s="189">
        <v>49203.757964168057</v>
      </c>
      <c r="S82" s="189"/>
      <c r="T82" s="253">
        <f t="shared" si="12"/>
        <v>4676.79</v>
      </c>
      <c r="U82" s="189">
        <v>534.67221974965719</v>
      </c>
      <c r="V82" s="189">
        <v>4676.79</v>
      </c>
      <c r="W82" s="177">
        <f t="shared" si="13"/>
        <v>0.28794722851857385</v>
      </c>
      <c r="X82" s="177">
        <f t="shared" si="13"/>
        <v>2.5186809209835417</v>
      </c>
    </row>
    <row r="83" spans="1:24" x14ac:dyDescent="0.2">
      <c r="A83" s="153">
        <v>2007</v>
      </c>
      <c r="B83" s="153">
        <v>10</v>
      </c>
      <c r="C83" s="153" t="str">
        <f t="shared" si="10"/>
        <v>200710</v>
      </c>
      <c r="D83" s="153" t="str">
        <f t="shared" si="16"/>
        <v>Q4</v>
      </c>
      <c r="E83" s="153">
        <f t="shared" si="11"/>
        <v>126411.315</v>
      </c>
      <c r="F83" s="153">
        <f t="shared" si="11"/>
        <v>39135.118262944496</v>
      </c>
      <c r="G83" s="153">
        <f t="shared" si="11"/>
        <v>4273.2430000000004</v>
      </c>
      <c r="H83" s="153" t="e">
        <f t="shared" si="11"/>
        <v>#N/A</v>
      </c>
      <c r="L83" s="153">
        <f t="shared" si="14"/>
        <v>2021</v>
      </c>
      <c r="M83" s="177" t="str">
        <f t="shared" si="15"/>
        <v>Q2</v>
      </c>
      <c r="N83" s="177" t="str">
        <f t="shared" si="9"/>
        <v>2021Q2</v>
      </c>
      <c r="O83" s="184">
        <v>163161.704</v>
      </c>
      <c r="P83" s="251">
        <v>1859.7909999999999</v>
      </c>
      <c r="Q83" s="251">
        <v>1859.7909999999999</v>
      </c>
      <c r="R83" s="189">
        <v>49409.045195684346</v>
      </c>
      <c r="S83" s="189"/>
      <c r="T83" s="253">
        <f t="shared" si="12"/>
        <v>4685.0510000000004</v>
      </c>
      <c r="U83" s="189">
        <v>536.05011678668382</v>
      </c>
      <c r="V83" s="189">
        <v>4685.0510000000004</v>
      </c>
      <c r="W83" s="177">
        <f t="shared" si="13"/>
        <v>0.28823137480861227</v>
      </c>
      <c r="X83" s="177">
        <f t="shared" si="13"/>
        <v>2.5191276869282628</v>
      </c>
    </row>
    <row r="84" spans="1:24" x14ac:dyDescent="0.2">
      <c r="A84" s="153">
        <v>2007</v>
      </c>
      <c r="B84" s="153">
        <v>11</v>
      </c>
      <c r="C84" s="153" t="str">
        <f t="shared" si="10"/>
        <v>200711</v>
      </c>
      <c r="D84" s="153" t="str">
        <f t="shared" si="16"/>
        <v>Q4</v>
      </c>
      <c r="E84" s="153">
        <f t="shared" si="11"/>
        <v>126411.315</v>
      </c>
      <c r="F84" s="153">
        <f t="shared" si="11"/>
        <v>39135.118262944496</v>
      </c>
      <c r="G84" s="153">
        <f t="shared" si="11"/>
        <v>4273.2430000000004</v>
      </c>
      <c r="H84" s="153" t="e">
        <f t="shared" si="11"/>
        <v>#N/A</v>
      </c>
      <c r="L84" s="153">
        <f t="shared" si="14"/>
        <v>2021</v>
      </c>
      <c r="M84" s="177" t="str">
        <f t="shared" si="15"/>
        <v>Q3</v>
      </c>
      <c r="N84" s="177" t="str">
        <f t="shared" si="9"/>
        <v>2021Q3</v>
      </c>
      <c r="O84" s="184">
        <v>163854.01199999999</v>
      </c>
      <c r="P84" s="251">
        <v>1862.693</v>
      </c>
      <c r="Q84" s="251">
        <v>1862.693</v>
      </c>
      <c r="R84" s="189">
        <v>49571.67892035051</v>
      </c>
      <c r="S84" s="189"/>
      <c r="T84" s="253">
        <f t="shared" si="12"/>
        <v>4693.299</v>
      </c>
      <c r="U84" s="189">
        <v>537.54613568352875</v>
      </c>
      <c r="V84" s="189">
        <v>4693.299</v>
      </c>
      <c r="W84" s="177">
        <f t="shared" si="13"/>
        <v>0.28858547043636751</v>
      </c>
      <c r="X84" s="177">
        <f t="shared" si="13"/>
        <v>2.5196309858897843</v>
      </c>
    </row>
    <row r="85" spans="1:24" x14ac:dyDescent="0.2">
      <c r="A85" s="153">
        <v>2007</v>
      </c>
      <c r="B85" s="153">
        <v>12</v>
      </c>
      <c r="C85" s="153" t="str">
        <f t="shared" si="10"/>
        <v>200712</v>
      </c>
      <c r="D85" s="153" t="str">
        <f t="shared" si="16"/>
        <v>Q4</v>
      </c>
      <c r="E85" s="153">
        <f t="shared" si="11"/>
        <v>126411.315</v>
      </c>
      <c r="F85" s="153">
        <f t="shared" si="11"/>
        <v>39135.118262944496</v>
      </c>
      <c r="G85" s="153">
        <f t="shared" si="11"/>
        <v>4273.2430000000004</v>
      </c>
      <c r="H85" s="153" t="e">
        <f t="shared" si="11"/>
        <v>#N/A</v>
      </c>
      <c r="L85" s="153">
        <f t="shared" si="14"/>
        <v>2021</v>
      </c>
      <c r="M85" s="177" t="str">
        <f t="shared" si="15"/>
        <v>Q4</v>
      </c>
      <c r="N85" s="177" t="str">
        <f t="shared" si="9"/>
        <v>2021Q4</v>
      </c>
      <c r="O85" s="184">
        <v>164597.87899999999</v>
      </c>
      <c r="P85" s="251">
        <v>1866.915</v>
      </c>
      <c r="Q85" s="251">
        <v>1866.915</v>
      </c>
      <c r="R85" s="189">
        <v>49908.568796165404</v>
      </c>
      <c r="S85" s="189"/>
      <c r="T85" s="253">
        <f t="shared" si="12"/>
        <v>4701.5330000000004</v>
      </c>
      <c r="U85" s="189">
        <v>538.9246517565972</v>
      </c>
      <c r="V85" s="189">
        <v>4701.5330000000004</v>
      </c>
      <c r="W85" s="177">
        <f t="shared" si="13"/>
        <v>0.28867123128615774</v>
      </c>
      <c r="X85" s="177">
        <f t="shared" si="13"/>
        <v>2.5183433632489964</v>
      </c>
    </row>
    <row r="86" spans="1:24" x14ac:dyDescent="0.2">
      <c r="A86" s="153">
        <v>2008</v>
      </c>
      <c r="B86" s="153">
        <v>1</v>
      </c>
      <c r="C86" s="153" t="str">
        <f t="shared" si="10"/>
        <v>20081</v>
      </c>
      <c r="D86" s="153" t="str">
        <f t="shared" si="16"/>
        <v>Q1</v>
      </c>
      <c r="E86" s="153">
        <f t="shared" si="11"/>
        <v>128364.796</v>
      </c>
      <c r="F86" s="153">
        <f t="shared" si="11"/>
        <v>39632.680925057175</v>
      </c>
      <c r="G86" s="153">
        <f t="shared" si="11"/>
        <v>4281.5519999999997</v>
      </c>
      <c r="H86" s="153" t="e">
        <f t="shared" si="11"/>
        <v>#N/A</v>
      </c>
      <c r="L86" s="153">
        <f t="shared" si="14"/>
        <v>2022</v>
      </c>
      <c r="M86" s="177" t="str">
        <f t="shared" si="15"/>
        <v>Q1</v>
      </c>
      <c r="N86" s="177" t="str">
        <f t="shared" si="9"/>
        <v>2022Q1</v>
      </c>
      <c r="O86" s="184">
        <v>165857.508</v>
      </c>
      <c r="P86" s="251">
        <v>1869.009</v>
      </c>
      <c r="Q86" s="251">
        <v>1869.009</v>
      </c>
      <c r="R86" s="189">
        <v>50229.384400300703</v>
      </c>
      <c r="S86" s="189"/>
      <c r="T86" s="253">
        <f t="shared" si="12"/>
        <v>4709.7529999999997</v>
      </c>
      <c r="U86" s="189">
        <v>540.22864364519683</v>
      </c>
      <c r="V86" s="189">
        <v>4709.7529999999997</v>
      </c>
      <c r="W86" s="177">
        <f t="shared" si="13"/>
        <v>0.28904550146371516</v>
      </c>
      <c r="X86" s="177">
        <f t="shared" si="13"/>
        <v>2.5199199147783662</v>
      </c>
    </row>
    <row r="87" spans="1:24" x14ac:dyDescent="0.2">
      <c r="A87" s="153">
        <v>2008</v>
      </c>
      <c r="B87" s="153">
        <v>2</v>
      </c>
      <c r="C87" s="153" t="str">
        <f t="shared" si="10"/>
        <v>20082</v>
      </c>
      <c r="D87" s="153" t="str">
        <f t="shared" si="16"/>
        <v>Q1</v>
      </c>
      <c r="E87" s="153">
        <f t="shared" si="11"/>
        <v>128364.796</v>
      </c>
      <c r="F87" s="153">
        <f t="shared" si="11"/>
        <v>39632.680925057175</v>
      </c>
      <c r="G87" s="153">
        <f t="shared" si="11"/>
        <v>4281.5519999999997</v>
      </c>
      <c r="H87" s="153" t="e">
        <f t="shared" si="11"/>
        <v>#N/A</v>
      </c>
      <c r="L87" s="153">
        <f t="shared" si="14"/>
        <v>2022</v>
      </c>
      <c r="M87" s="177" t="str">
        <f t="shared" si="15"/>
        <v>Q2</v>
      </c>
      <c r="N87" s="177" t="str">
        <f t="shared" si="9"/>
        <v>2022Q2</v>
      </c>
      <c r="O87" s="184">
        <v>166796.47399999999</v>
      </c>
      <c r="P87" s="251">
        <v>1872.117</v>
      </c>
      <c r="Q87" s="251">
        <v>1872.117</v>
      </c>
      <c r="R87" s="189">
        <v>50462.244962799821</v>
      </c>
      <c r="S87" s="189"/>
      <c r="T87" s="253">
        <f t="shared" si="12"/>
        <v>4717.9579999999996</v>
      </c>
      <c r="U87" s="189">
        <v>541.6057162006723</v>
      </c>
      <c r="V87" s="189">
        <v>4717.9579999999996</v>
      </c>
      <c r="W87" s="177">
        <f t="shared" si="13"/>
        <v>0.28930121151651972</v>
      </c>
      <c r="X87" s="177">
        <f t="shared" si="13"/>
        <v>2.5201192019515872</v>
      </c>
    </row>
    <row r="88" spans="1:24" x14ac:dyDescent="0.2">
      <c r="A88" s="153">
        <v>2008</v>
      </c>
      <c r="B88" s="153">
        <v>3</v>
      </c>
      <c r="C88" s="153" t="str">
        <f t="shared" si="10"/>
        <v>20083</v>
      </c>
      <c r="D88" s="153" t="str">
        <f t="shared" si="16"/>
        <v>Q1</v>
      </c>
      <c r="E88" s="153">
        <f t="shared" si="11"/>
        <v>128364.796</v>
      </c>
      <c r="F88" s="153">
        <f t="shared" si="11"/>
        <v>39632.680925057175</v>
      </c>
      <c r="G88" s="153">
        <f t="shared" si="11"/>
        <v>4281.5519999999997</v>
      </c>
      <c r="H88" s="153" t="e">
        <f t="shared" si="11"/>
        <v>#N/A</v>
      </c>
      <c r="L88" s="153">
        <f t="shared" si="14"/>
        <v>2022</v>
      </c>
      <c r="M88" s="177" t="str">
        <f t="shared" si="15"/>
        <v>Q3</v>
      </c>
      <c r="N88" s="177" t="str">
        <f t="shared" si="9"/>
        <v>2022Q3</v>
      </c>
      <c r="O88" s="184">
        <v>167787.24299999999</v>
      </c>
      <c r="P88" s="251">
        <v>1875.1959999999999</v>
      </c>
      <c r="Q88" s="251">
        <v>1875.1959999999999</v>
      </c>
      <c r="R88" s="189">
        <v>50848.241817321788</v>
      </c>
      <c r="S88" s="189"/>
      <c r="T88" s="253">
        <f t="shared" si="12"/>
        <v>4726.1329999999998</v>
      </c>
      <c r="U88" s="189">
        <v>542.8681305385121</v>
      </c>
      <c r="V88" s="189">
        <v>4726.1329999999998</v>
      </c>
      <c r="W88" s="177">
        <f t="shared" si="13"/>
        <v>0.28949940728249857</v>
      </c>
      <c r="X88" s="177">
        <f t="shared" si="13"/>
        <v>2.5203408070409705</v>
      </c>
    </row>
    <row r="89" spans="1:24" x14ac:dyDescent="0.2">
      <c r="A89" s="158">
        <v>2008</v>
      </c>
      <c r="B89" s="158">
        <v>4</v>
      </c>
      <c r="C89" s="153" t="str">
        <f t="shared" si="10"/>
        <v>20084</v>
      </c>
      <c r="D89" s="153" t="str">
        <f t="shared" si="16"/>
        <v>Q2</v>
      </c>
      <c r="E89" s="153">
        <f t="shared" si="11"/>
        <v>129399.736</v>
      </c>
      <c r="F89" s="153">
        <f t="shared" si="11"/>
        <v>39855.727140851915</v>
      </c>
      <c r="G89" s="153">
        <f t="shared" si="11"/>
        <v>4289.8779999999997</v>
      </c>
      <c r="H89" s="153" t="e">
        <f t="shared" si="11"/>
        <v>#N/A</v>
      </c>
      <c r="J89" s="158"/>
      <c r="K89" s="158"/>
      <c r="L89" s="153">
        <f t="shared" si="14"/>
        <v>2022</v>
      </c>
      <c r="M89" s="177" t="str">
        <f t="shared" si="15"/>
        <v>Q4</v>
      </c>
      <c r="N89" s="177" t="str">
        <f t="shared" si="9"/>
        <v>2022Q4</v>
      </c>
      <c r="O89" s="184">
        <v>168781.15</v>
      </c>
      <c r="P89" s="251">
        <v>1878.357</v>
      </c>
      <c r="Q89" s="251">
        <v>1878.357</v>
      </c>
      <c r="R89" s="189">
        <v>51088.93854491684</v>
      </c>
      <c r="S89" s="189"/>
      <c r="T89" s="253">
        <f t="shared" si="12"/>
        <v>4734.2920000000004</v>
      </c>
      <c r="U89" s="189">
        <v>544.45445662214399</v>
      </c>
      <c r="V89" s="189">
        <v>4734.2920000000004</v>
      </c>
      <c r="W89" s="177">
        <f t="shared" si="13"/>
        <v>0.2898567506720735</v>
      </c>
      <c r="X89" s="177">
        <f t="shared" si="13"/>
        <v>2.5204431319498903</v>
      </c>
    </row>
    <row r="90" spans="1:24" x14ac:dyDescent="0.2">
      <c r="A90" s="153">
        <v>2008</v>
      </c>
      <c r="B90" s="153">
        <v>5</v>
      </c>
      <c r="C90" s="153" t="str">
        <f t="shared" si="10"/>
        <v>20085</v>
      </c>
      <c r="D90" s="153" t="str">
        <f t="shared" si="16"/>
        <v>Q2</v>
      </c>
      <c r="E90" s="153">
        <f t="shared" si="11"/>
        <v>129399.736</v>
      </c>
      <c r="F90" s="153">
        <f t="shared" si="11"/>
        <v>39855.727140851915</v>
      </c>
      <c r="G90" s="153">
        <f t="shared" si="11"/>
        <v>4289.8779999999997</v>
      </c>
      <c r="H90" s="153" t="e">
        <f t="shared" si="11"/>
        <v>#N/A</v>
      </c>
      <c r="L90" s="153">
        <f t="shared" si="14"/>
        <v>2023</v>
      </c>
      <c r="M90" s="177" t="str">
        <f t="shared" si="15"/>
        <v>Q1</v>
      </c>
      <c r="N90" s="177" t="str">
        <f t="shared" si="9"/>
        <v>2023Q1</v>
      </c>
      <c r="O90" s="184">
        <v>170138.21400000001</v>
      </c>
      <c r="P90" s="251">
        <v>1881.624</v>
      </c>
      <c r="Q90" s="251">
        <v>1881.624</v>
      </c>
      <c r="R90" s="189">
        <v>51474.30535634797</v>
      </c>
      <c r="S90" s="189"/>
      <c r="T90" s="253">
        <f t="shared" si="12"/>
        <v>4742.4340000000002</v>
      </c>
      <c r="U90" s="189">
        <v>545.9473307236226</v>
      </c>
      <c r="V90" s="189">
        <v>4742.4340000000002</v>
      </c>
      <c r="W90" s="177">
        <f t="shared" si="13"/>
        <v>0.2901468788257498</v>
      </c>
      <c r="X90" s="177">
        <f t="shared" si="13"/>
        <v>2.5203940851094586</v>
      </c>
    </row>
    <row r="91" spans="1:24" x14ac:dyDescent="0.2">
      <c r="A91" s="153">
        <v>2008</v>
      </c>
      <c r="B91" s="153">
        <v>6</v>
      </c>
      <c r="C91" s="153" t="str">
        <f t="shared" si="10"/>
        <v>20086</v>
      </c>
      <c r="D91" s="153" t="str">
        <f t="shared" si="16"/>
        <v>Q2</v>
      </c>
      <c r="E91" s="153">
        <f t="shared" si="11"/>
        <v>129399.736</v>
      </c>
      <c r="F91" s="153">
        <f t="shared" si="11"/>
        <v>39855.727140851915</v>
      </c>
      <c r="G91" s="153">
        <f t="shared" si="11"/>
        <v>4289.8779999999997</v>
      </c>
      <c r="H91" s="153" t="e">
        <f t="shared" si="11"/>
        <v>#N/A</v>
      </c>
      <c r="L91" s="153">
        <f t="shared" si="14"/>
        <v>2023</v>
      </c>
      <c r="M91" s="177" t="str">
        <f t="shared" si="15"/>
        <v>Q2</v>
      </c>
      <c r="N91" s="177" t="str">
        <f t="shared" si="9"/>
        <v>2023Q2</v>
      </c>
      <c r="O91" s="184">
        <v>171101.02100000001</v>
      </c>
      <c r="P91" s="251">
        <v>1884.9670000000001</v>
      </c>
      <c r="Q91" s="251">
        <v>1884.9670000000001</v>
      </c>
      <c r="R91" s="189">
        <v>51828.21608039493</v>
      </c>
      <c r="S91" s="189"/>
      <c r="T91" s="253">
        <f t="shared" si="12"/>
        <v>4750.558</v>
      </c>
      <c r="U91" s="189">
        <v>547.24893214982171</v>
      </c>
      <c r="V91" s="189">
        <v>4750.558</v>
      </c>
      <c r="W91" s="177">
        <f t="shared" si="13"/>
        <v>0.29032281846304031</v>
      </c>
      <c r="X91" s="177">
        <f t="shared" si="13"/>
        <v>2.5202340412325519</v>
      </c>
    </row>
    <row r="92" spans="1:24" x14ac:dyDescent="0.2">
      <c r="A92" s="153">
        <v>2008</v>
      </c>
      <c r="B92" s="153">
        <v>7</v>
      </c>
      <c r="C92" s="153" t="str">
        <f t="shared" si="10"/>
        <v>20087</v>
      </c>
      <c r="D92" s="153" t="str">
        <f t="shared" si="16"/>
        <v>Q3</v>
      </c>
      <c r="E92" s="153">
        <f t="shared" si="11"/>
        <v>126756.973</v>
      </c>
      <c r="F92" s="153">
        <f t="shared" si="11"/>
        <v>38971.970554889042</v>
      </c>
      <c r="G92" s="153">
        <f t="shared" si="11"/>
        <v>4296.6610000000001</v>
      </c>
      <c r="H92" s="153" t="e">
        <f t="shared" si="11"/>
        <v>#N/A</v>
      </c>
      <c r="L92" s="153">
        <f t="shared" si="14"/>
        <v>2023</v>
      </c>
      <c r="M92" s="177" t="str">
        <f t="shared" si="15"/>
        <v>Q3</v>
      </c>
      <c r="N92" s="177" t="str">
        <f t="shared" si="9"/>
        <v>2023Q3</v>
      </c>
      <c r="O92" s="184">
        <v>172007.791</v>
      </c>
      <c r="P92" s="251">
        <v>1888.2650000000001</v>
      </c>
      <c r="Q92" s="251">
        <v>1888.2650000000001</v>
      </c>
      <c r="R92" s="189">
        <v>52161.614922601206</v>
      </c>
      <c r="S92" s="189"/>
      <c r="T92" s="253">
        <f t="shared" si="12"/>
        <v>4758.6490000000003</v>
      </c>
      <c r="U92" s="189">
        <v>548.62078192226488</v>
      </c>
      <c r="V92" s="189">
        <v>4758.6490000000003</v>
      </c>
      <c r="W92" s="177">
        <f t="shared" si="13"/>
        <v>0.29054226071142814</v>
      </c>
      <c r="X92" s="177">
        <f t="shared" si="13"/>
        <v>2.5201171445745167</v>
      </c>
    </row>
    <row r="93" spans="1:24" x14ac:dyDescent="0.2">
      <c r="A93" s="153">
        <v>2008</v>
      </c>
      <c r="B93" s="153">
        <v>8</v>
      </c>
      <c r="C93" s="153" t="str">
        <f t="shared" si="10"/>
        <v>20088</v>
      </c>
      <c r="D93" s="153" t="str">
        <f t="shared" si="16"/>
        <v>Q3</v>
      </c>
      <c r="E93" s="153">
        <f t="shared" si="11"/>
        <v>126756.973</v>
      </c>
      <c r="F93" s="153">
        <f t="shared" si="11"/>
        <v>38971.970554889042</v>
      </c>
      <c r="G93" s="153">
        <f t="shared" si="11"/>
        <v>4296.6610000000001</v>
      </c>
      <c r="H93" s="153" t="e">
        <f t="shared" si="11"/>
        <v>#N/A</v>
      </c>
      <c r="L93" s="153">
        <f t="shared" si="14"/>
        <v>2023</v>
      </c>
      <c r="M93" s="177" t="str">
        <f t="shared" si="15"/>
        <v>Q4</v>
      </c>
      <c r="N93" s="177" t="str">
        <f t="shared" si="9"/>
        <v>2023Q4</v>
      </c>
      <c r="O93" s="184">
        <v>172918.79399999999</v>
      </c>
      <c r="P93" s="251">
        <v>1893.3720000000001</v>
      </c>
      <c r="Q93" s="251">
        <v>1893.3720000000001</v>
      </c>
      <c r="R93" s="189">
        <v>52372.236748881944</v>
      </c>
      <c r="S93" s="189"/>
      <c r="T93" s="253">
        <f t="shared" si="12"/>
        <v>4766.7089999999998</v>
      </c>
      <c r="U93" s="189">
        <v>550.02989993152096</v>
      </c>
      <c r="V93" s="189">
        <v>4766.7089999999998</v>
      </c>
      <c r="W93" s="177">
        <f t="shared" si="13"/>
        <v>0.29050281715981907</v>
      </c>
      <c r="X93" s="177">
        <f t="shared" si="13"/>
        <v>2.5175765776614418</v>
      </c>
    </row>
    <row r="94" spans="1:24" x14ac:dyDescent="0.2">
      <c r="A94" s="153">
        <v>2008</v>
      </c>
      <c r="B94" s="153">
        <v>9</v>
      </c>
      <c r="C94" s="153" t="str">
        <f t="shared" si="10"/>
        <v>20089</v>
      </c>
      <c r="D94" s="153" t="str">
        <f t="shared" si="16"/>
        <v>Q3</v>
      </c>
      <c r="E94" s="153">
        <f t="shared" si="11"/>
        <v>126756.973</v>
      </c>
      <c r="F94" s="153">
        <f t="shared" si="11"/>
        <v>38971.970554889042</v>
      </c>
      <c r="G94" s="153">
        <f t="shared" si="11"/>
        <v>4296.6610000000001</v>
      </c>
      <c r="H94" s="153" t="e">
        <f t="shared" si="11"/>
        <v>#N/A</v>
      </c>
      <c r="L94" s="153">
        <f t="shared" si="14"/>
        <v>2024</v>
      </c>
      <c r="M94" s="177" t="str">
        <f t="shared" si="15"/>
        <v>Q1</v>
      </c>
      <c r="N94" s="177" t="str">
        <f t="shared" si="9"/>
        <v>2024Q1</v>
      </c>
      <c r="O94" s="184">
        <v>174458.15100000001</v>
      </c>
      <c r="P94" s="251">
        <v>1895.836</v>
      </c>
      <c r="Q94" s="251">
        <v>1895.836</v>
      </c>
      <c r="R94" s="189">
        <v>52955.358119127079</v>
      </c>
      <c r="S94" s="189"/>
      <c r="T94" s="253">
        <f t="shared" si="12"/>
        <v>4774.7489999999998</v>
      </c>
      <c r="U94" s="189">
        <v>551.36102397652587</v>
      </c>
      <c r="V94" s="189">
        <v>4774.7489999999998</v>
      </c>
      <c r="W94" s="177">
        <f t="shared" si="13"/>
        <v>0.29082738379085843</v>
      </c>
      <c r="X94" s="177">
        <f t="shared" si="13"/>
        <v>2.5185453805075966</v>
      </c>
    </row>
    <row r="95" spans="1:24" x14ac:dyDescent="0.2">
      <c r="A95" s="153">
        <v>2008</v>
      </c>
      <c r="B95" s="153">
        <v>10</v>
      </c>
      <c r="C95" s="153" t="str">
        <f t="shared" si="10"/>
        <v>200810</v>
      </c>
      <c r="D95" s="153" t="str">
        <f t="shared" si="16"/>
        <v>Q4</v>
      </c>
      <c r="E95" s="153">
        <f t="shared" si="11"/>
        <v>127793.833</v>
      </c>
      <c r="F95" s="153">
        <f t="shared" si="11"/>
        <v>39250.753059038092</v>
      </c>
      <c r="G95" s="153">
        <f t="shared" si="11"/>
        <v>4303.4549999999999</v>
      </c>
      <c r="H95" s="153" t="e">
        <f t="shared" si="11"/>
        <v>#N/A</v>
      </c>
      <c r="L95" s="153">
        <f t="shared" si="14"/>
        <v>2024</v>
      </c>
      <c r="M95" s="177" t="str">
        <f t="shared" si="15"/>
        <v>Q2</v>
      </c>
      <c r="N95" s="177" t="str">
        <f t="shared" si="9"/>
        <v>2024Q2</v>
      </c>
      <c r="O95" s="184">
        <v>175426.49799999999</v>
      </c>
      <c r="P95" s="251">
        <v>1898.4659999999999</v>
      </c>
      <c r="Q95" s="251">
        <v>1898.4659999999999</v>
      </c>
      <c r="R95" s="189">
        <v>53167.209134536846</v>
      </c>
      <c r="S95" s="189"/>
      <c r="T95" s="253">
        <f t="shared" si="12"/>
        <v>4782.7700000000004</v>
      </c>
      <c r="U95" s="189">
        <v>552.72758362695288</v>
      </c>
      <c r="V95" s="189">
        <v>4782.7700000000004</v>
      </c>
      <c r="W95" s="177">
        <f t="shared" si="13"/>
        <v>0.29114431526661677</v>
      </c>
      <c r="X95" s="177">
        <f t="shared" si="13"/>
        <v>2.5192813566321446</v>
      </c>
    </row>
    <row r="96" spans="1:24" x14ac:dyDescent="0.2">
      <c r="A96" s="153">
        <v>2008</v>
      </c>
      <c r="B96" s="153">
        <v>11</v>
      </c>
      <c r="C96" s="153" t="str">
        <f t="shared" si="10"/>
        <v>200811</v>
      </c>
      <c r="D96" s="153" t="str">
        <f t="shared" si="16"/>
        <v>Q4</v>
      </c>
      <c r="E96" s="153">
        <f t="shared" si="11"/>
        <v>127793.833</v>
      </c>
      <c r="F96" s="153">
        <f t="shared" si="11"/>
        <v>39250.753059038092</v>
      </c>
      <c r="G96" s="153">
        <f t="shared" si="11"/>
        <v>4303.4549999999999</v>
      </c>
      <c r="H96" s="153" t="e">
        <f t="shared" si="11"/>
        <v>#N/A</v>
      </c>
      <c r="L96" s="153">
        <f t="shared" si="14"/>
        <v>2024</v>
      </c>
      <c r="M96" s="177" t="str">
        <f t="shared" si="15"/>
        <v>Q3</v>
      </c>
      <c r="N96" s="177" t="str">
        <f t="shared" si="9"/>
        <v>2024Q3</v>
      </c>
      <c r="O96" s="184">
        <v>176369.43100000001</v>
      </c>
      <c r="P96" s="251">
        <v>1901.0250000000001</v>
      </c>
      <c r="Q96" s="251">
        <v>1901.0250000000001</v>
      </c>
      <c r="R96" s="189">
        <v>53462.846369802268</v>
      </c>
      <c r="S96" s="189"/>
      <c r="T96" s="253">
        <f t="shared" si="12"/>
        <v>4790.7579999999998</v>
      </c>
      <c r="U96" s="189">
        <v>554.09834181426595</v>
      </c>
      <c r="V96" s="189">
        <v>4790.7579999999998</v>
      </c>
      <c r="W96" s="177">
        <f t="shared" si="13"/>
        <v>0.29147346395458551</v>
      </c>
      <c r="X96" s="177">
        <f t="shared" si="13"/>
        <v>2.5200920556015833</v>
      </c>
    </row>
    <row r="97" spans="1:24" x14ac:dyDescent="0.2">
      <c r="A97" s="153">
        <v>2008</v>
      </c>
      <c r="B97" s="153">
        <v>12</v>
      </c>
      <c r="C97" s="153" t="str">
        <f t="shared" si="10"/>
        <v>200812</v>
      </c>
      <c r="D97" s="153" t="str">
        <f t="shared" si="16"/>
        <v>Q4</v>
      </c>
      <c r="E97" s="153">
        <f t="shared" si="11"/>
        <v>127793.833</v>
      </c>
      <c r="F97" s="153">
        <f t="shared" si="11"/>
        <v>39250.753059038092</v>
      </c>
      <c r="G97" s="153">
        <f t="shared" si="11"/>
        <v>4303.4549999999999</v>
      </c>
      <c r="H97" s="153" t="e">
        <f t="shared" si="11"/>
        <v>#N/A</v>
      </c>
      <c r="L97" s="153">
        <f t="shared" si="14"/>
        <v>2024</v>
      </c>
      <c r="M97" s="177" t="str">
        <f t="shared" si="15"/>
        <v>Q4</v>
      </c>
      <c r="N97" s="177" t="str">
        <f t="shared" si="9"/>
        <v>2024Q4</v>
      </c>
      <c r="O97" s="184">
        <v>177331.9</v>
      </c>
      <c r="P97" s="251">
        <v>1903.5609999999999</v>
      </c>
      <c r="Q97" s="251">
        <v>1903.5609999999999</v>
      </c>
      <c r="R97" s="189">
        <v>53789.882915045469</v>
      </c>
      <c r="S97" s="189"/>
      <c r="T97" s="253">
        <f t="shared" si="12"/>
        <v>4798.7250000000004</v>
      </c>
      <c r="U97" s="189">
        <v>555.46391912793047</v>
      </c>
      <c r="V97" s="189">
        <v>4798.7250000000004</v>
      </c>
      <c r="W97" s="177">
        <f t="shared" si="13"/>
        <v>0.2918025317433644</v>
      </c>
      <c r="X97" s="177">
        <f t="shared" si="13"/>
        <v>2.5209200020382854</v>
      </c>
    </row>
    <row r="98" spans="1:24" x14ac:dyDescent="0.2">
      <c r="A98" s="153">
        <v>2009</v>
      </c>
      <c r="B98" s="153">
        <v>1</v>
      </c>
      <c r="C98" s="153" t="str">
        <f t="shared" si="10"/>
        <v>20091</v>
      </c>
      <c r="D98" s="153" t="str">
        <f t="shared" si="16"/>
        <v>Q1</v>
      </c>
      <c r="E98" s="153">
        <f t="shared" si="11"/>
        <v>126804.629</v>
      </c>
      <c r="F98" s="153">
        <f t="shared" si="11"/>
        <v>39351.75300796557</v>
      </c>
      <c r="G98" s="153">
        <f t="shared" si="11"/>
        <v>4310.259</v>
      </c>
      <c r="H98" s="153" t="e">
        <f t="shared" si="11"/>
        <v>#N/A</v>
      </c>
      <c r="L98" s="153">
        <f t="shared" si="14"/>
        <v>2025</v>
      </c>
      <c r="M98" s="177" t="str">
        <f t="shared" si="15"/>
        <v>Q1</v>
      </c>
      <c r="N98" s="177" t="str">
        <f t="shared" si="9"/>
        <v>2025Q1</v>
      </c>
      <c r="O98" s="184">
        <v>178892.09099999999</v>
      </c>
      <c r="P98" s="251">
        <v>1907.3309999999999</v>
      </c>
      <c r="Q98" s="251">
        <v>1907.3309999999999</v>
      </c>
      <c r="R98" s="189">
        <v>54223.677742674183</v>
      </c>
      <c r="S98" s="189"/>
      <c r="T98" s="253">
        <f t="shared" si="12"/>
        <v>4806.6729999999998</v>
      </c>
      <c r="U98" s="189">
        <v>556.94168069036982</v>
      </c>
      <c r="V98" s="189">
        <v>4806.6729999999998</v>
      </c>
      <c r="W98" s="177">
        <f t="shared" si="13"/>
        <v>0.29200053933500258</v>
      </c>
      <c r="X98" s="177">
        <f t="shared" si="13"/>
        <v>2.5201042713613946</v>
      </c>
    </row>
    <row r="99" spans="1:24" x14ac:dyDescent="0.2">
      <c r="A99" s="153">
        <v>2009</v>
      </c>
      <c r="B99" s="153">
        <v>2</v>
      </c>
      <c r="C99" s="153" t="str">
        <f t="shared" si="10"/>
        <v>20092</v>
      </c>
      <c r="D99" s="153" t="str">
        <f t="shared" si="16"/>
        <v>Q1</v>
      </c>
      <c r="E99" s="153">
        <f t="shared" ref="E99:H162" si="17">VLOOKUP($A99&amp;$D99,$N$1:$T$169,MATCH(E$1,$N$1:$T$1,0),0)</f>
        <v>126804.629</v>
      </c>
      <c r="F99" s="153">
        <f t="shared" si="17"/>
        <v>39351.75300796557</v>
      </c>
      <c r="G99" s="153">
        <f t="shared" si="17"/>
        <v>4310.259</v>
      </c>
      <c r="H99" s="153" t="e">
        <f t="shared" si="17"/>
        <v>#N/A</v>
      </c>
      <c r="L99" s="153">
        <f t="shared" si="14"/>
        <v>2025</v>
      </c>
      <c r="M99" s="177" t="str">
        <f t="shared" si="15"/>
        <v>Q2</v>
      </c>
      <c r="N99" s="177" t="str">
        <f t="shared" si="9"/>
        <v>2025Q2</v>
      </c>
      <c r="O99" s="184">
        <v>179884.057</v>
      </c>
      <c r="P99" s="251">
        <v>1911.173</v>
      </c>
      <c r="Q99" s="251">
        <v>1911.173</v>
      </c>
      <c r="R99" s="189">
        <v>54510.190519624688</v>
      </c>
      <c r="S99" s="189"/>
      <c r="T99" s="253">
        <f t="shared" si="12"/>
        <v>4814.6009999999997</v>
      </c>
      <c r="U99" s="189">
        <v>558.30530320823425</v>
      </c>
      <c r="V99" s="189">
        <v>4814.6009999999997</v>
      </c>
      <c r="W99" s="177">
        <f t="shared" si="13"/>
        <v>0.29212703570437332</v>
      </c>
      <c r="X99" s="177">
        <f t="shared" si="13"/>
        <v>2.5191863844874325</v>
      </c>
    </row>
    <row r="100" spans="1:24" x14ac:dyDescent="0.2">
      <c r="A100" s="158">
        <v>2009</v>
      </c>
      <c r="B100" s="158">
        <v>3</v>
      </c>
      <c r="C100" s="153" t="str">
        <f t="shared" si="10"/>
        <v>20093</v>
      </c>
      <c r="D100" s="153" t="str">
        <f t="shared" si="16"/>
        <v>Q1</v>
      </c>
      <c r="E100" s="153">
        <f t="shared" si="17"/>
        <v>126804.629</v>
      </c>
      <c r="F100" s="153">
        <f t="shared" si="17"/>
        <v>39351.75300796557</v>
      </c>
      <c r="G100" s="153">
        <f t="shared" si="17"/>
        <v>4310.259</v>
      </c>
      <c r="H100" s="153" t="e">
        <f t="shared" si="17"/>
        <v>#N/A</v>
      </c>
      <c r="J100" s="158"/>
      <c r="K100" s="158"/>
      <c r="L100" s="153">
        <f t="shared" si="14"/>
        <v>2025</v>
      </c>
      <c r="M100" s="177" t="str">
        <f t="shared" si="15"/>
        <v>Q3</v>
      </c>
      <c r="N100" s="177" t="str">
        <f t="shared" si="9"/>
        <v>2025Q3</v>
      </c>
      <c r="O100" s="184">
        <v>180786.26300000001</v>
      </c>
      <c r="P100" s="251">
        <v>1914.9459999999999</v>
      </c>
      <c r="Q100" s="251">
        <v>1914.9459999999999</v>
      </c>
      <c r="R100" s="189">
        <v>54815.658019537463</v>
      </c>
      <c r="S100" s="189"/>
      <c r="T100" s="253">
        <f t="shared" si="12"/>
        <v>4822.4949999999999</v>
      </c>
      <c r="U100" s="189">
        <v>559.67020193041674</v>
      </c>
      <c r="V100" s="189">
        <v>4822.4949999999999</v>
      </c>
      <c r="W100" s="177">
        <f t="shared" si="13"/>
        <v>0.29226422151351356</v>
      </c>
      <c r="X100" s="177">
        <f t="shared" si="13"/>
        <v>2.518345164824491</v>
      </c>
    </row>
    <row r="101" spans="1:24" x14ac:dyDescent="0.2">
      <c r="A101" s="153">
        <v>2009</v>
      </c>
      <c r="B101" s="153">
        <v>4</v>
      </c>
      <c r="C101" s="153" t="str">
        <f t="shared" si="10"/>
        <v>20094</v>
      </c>
      <c r="D101" s="153" t="str">
        <f t="shared" si="16"/>
        <v>Q2</v>
      </c>
      <c r="E101" s="153">
        <f t="shared" si="17"/>
        <v>127078.37</v>
      </c>
      <c r="F101" s="153">
        <f t="shared" si="17"/>
        <v>39473.581717535344</v>
      </c>
      <c r="G101" s="153">
        <f t="shared" si="17"/>
        <v>4317.0739999999996</v>
      </c>
      <c r="H101" s="153" t="e">
        <f t="shared" si="17"/>
        <v>#N/A</v>
      </c>
      <c r="L101" s="153">
        <f t="shared" si="14"/>
        <v>2025</v>
      </c>
      <c r="M101" s="177" t="str">
        <f t="shared" si="15"/>
        <v>Q4</v>
      </c>
      <c r="N101" s="177" t="str">
        <f t="shared" si="9"/>
        <v>2025Q4</v>
      </c>
      <c r="O101" s="184">
        <v>181695.31</v>
      </c>
      <c r="P101" s="251">
        <v>1918.75</v>
      </c>
      <c r="Q101" s="251">
        <v>1918.75</v>
      </c>
      <c r="R101" s="189">
        <v>55097.083363484009</v>
      </c>
      <c r="S101" s="189"/>
      <c r="T101" s="253">
        <f t="shared" si="12"/>
        <v>4830.3680000000004</v>
      </c>
      <c r="U101" s="189">
        <v>561.21625254453284</v>
      </c>
      <c r="V101" s="189">
        <v>4830.3680000000004</v>
      </c>
      <c r="W101" s="177">
        <f t="shared" si="13"/>
        <v>0.29249055507206922</v>
      </c>
      <c r="X101" s="177">
        <f t="shared" si="13"/>
        <v>2.5174556351791533</v>
      </c>
    </row>
    <row r="102" spans="1:24" x14ac:dyDescent="0.2">
      <c r="A102" s="153">
        <v>2009</v>
      </c>
      <c r="B102" s="153">
        <v>5</v>
      </c>
      <c r="C102" s="153" t="str">
        <f t="shared" si="10"/>
        <v>20095</v>
      </c>
      <c r="D102" s="153" t="str">
        <f t="shared" si="16"/>
        <v>Q2</v>
      </c>
      <c r="E102" s="153">
        <f t="shared" si="17"/>
        <v>127078.37</v>
      </c>
      <c r="F102" s="153">
        <f t="shared" si="17"/>
        <v>39473.581717535344</v>
      </c>
      <c r="G102" s="153">
        <f t="shared" si="17"/>
        <v>4317.0739999999996</v>
      </c>
      <c r="H102" s="153" t="e">
        <f t="shared" si="17"/>
        <v>#N/A</v>
      </c>
      <c r="L102" s="153">
        <f t="shared" si="14"/>
        <v>2026</v>
      </c>
      <c r="M102" s="177" t="str">
        <f t="shared" si="15"/>
        <v>Q1</v>
      </c>
      <c r="N102" s="177" t="str">
        <f t="shared" si="9"/>
        <v>2026Q1</v>
      </c>
      <c r="O102" s="184">
        <v>183193.88699999999</v>
      </c>
      <c r="P102" s="251">
        <v>1922.499</v>
      </c>
      <c r="Q102" s="251">
        <v>1922.499</v>
      </c>
      <c r="R102" s="189">
        <v>55569.291010852481</v>
      </c>
      <c r="S102" s="189"/>
      <c r="T102" s="253">
        <f t="shared" si="12"/>
        <v>4838.2219999999998</v>
      </c>
      <c r="U102" s="189">
        <v>562.17454112653661</v>
      </c>
      <c r="V102" s="189">
        <v>4838.2219999999998</v>
      </c>
      <c r="W102" s="177">
        <f t="shared" si="13"/>
        <v>0.29241863903520188</v>
      </c>
      <c r="X102" s="177">
        <f t="shared" si="13"/>
        <v>2.5166317381699548</v>
      </c>
    </row>
    <row r="103" spans="1:24" x14ac:dyDescent="0.2">
      <c r="A103" s="153">
        <v>2009</v>
      </c>
      <c r="B103" s="153">
        <v>6</v>
      </c>
      <c r="C103" s="153" t="str">
        <f t="shared" si="10"/>
        <v>20096</v>
      </c>
      <c r="D103" s="153" t="str">
        <f t="shared" si="16"/>
        <v>Q2</v>
      </c>
      <c r="E103" s="153">
        <f t="shared" si="17"/>
        <v>127078.37</v>
      </c>
      <c r="F103" s="153">
        <f t="shared" si="17"/>
        <v>39473.581717535344</v>
      </c>
      <c r="G103" s="153">
        <f t="shared" si="17"/>
        <v>4317.0739999999996</v>
      </c>
      <c r="H103" s="153" t="e">
        <f t="shared" si="17"/>
        <v>#N/A</v>
      </c>
      <c r="L103" s="153">
        <f t="shared" si="14"/>
        <v>2026</v>
      </c>
      <c r="M103" s="177" t="str">
        <f t="shared" si="15"/>
        <v>Q2</v>
      </c>
      <c r="N103" s="177" t="str">
        <f t="shared" si="9"/>
        <v>2026Q2</v>
      </c>
      <c r="O103" s="184">
        <v>184162.48300000001</v>
      </c>
      <c r="P103" s="251">
        <v>1926.31</v>
      </c>
      <c r="Q103" s="251">
        <v>1926.31</v>
      </c>
      <c r="R103" s="189">
        <v>55793.331632268848</v>
      </c>
      <c r="S103" s="189"/>
      <c r="T103" s="253">
        <f t="shared" si="12"/>
        <v>4846.0540000000001</v>
      </c>
      <c r="U103" s="189">
        <v>563.53532508921921</v>
      </c>
      <c r="V103" s="189">
        <v>4846.0540000000001</v>
      </c>
      <c r="W103" s="177">
        <f t="shared" si="13"/>
        <v>0.29254653980367606</v>
      </c>
      <c r="X103" s="177">
        <f t="shared" si="13"/>
        <v>2.5157186537992327</v>
      </c>
    </row>
    <row r="104" spans="1:24" x14ac:dyDescent="0.2">
      <c r="A104" s="153">
        <v>2009</v>
      </c>
      <c r="B104" s="153">
        <v>7</v>
      </c>
      <c r="C104" s="153" t="str">
        <f t="shared" si="10"/>
        <v>20097</v>
      </c>
      <c r="D104" s="153" t="str">
        <f t="shared" si="16"/>
        <v>Q3</v>
      </c>
      <c r="E104" s="153">
        <f t="shared" si="17"/>
        <v>125951.257</v>
      </c>
      <c r="F104" s="153">
        <f t="shared" si="17"/>
        <v>39137.875476073954</v>
      </c>
      <c r="G104" s="153">
        <f t="shared" si="17"/>
        <v>4324.5050000000001</v>
      </c>
      <c r="H104" s="153" t="e">
        <f t="shared" si="17"/>
        <v>#N/A</v>
      </c>
      <c r="L104" s="153">
        <f t="shared" si="14"/>
        <v>2026</v>
      </c>
      <c r="M104" s="177" t="str">
        <f t="shared" si="15"/>
        <v>Q3</v>
      </c>
      <c r="N104" s="177" t="str">
        <f t="shared" si="9"/>
        <v>2026Q3</v>
      </c>
      <c r="O104" s="184">
        <v>185034.74600000001</v>
      </c>
      <c r="P104" s="251">
        <v>1930.05</v>
      </c>
      <c r="Q104" s="251">
        <v>1930.05</v>
      </c>
      <c r="R104" s="189">
        <v>56112.35191472694</v>
      </c>
      <c r="S104" s="189"/>
      <c r="T104" s="253">
        <f t="shared" si="12"/>
        <v>4853.84</v>
      </c>
      <c r="U104" s="189">
        <v>565.0105374107394</v>
      </c>
      <c r="V104" s="189">
        <v>4853.84</v>
      </c>
      <c r="W104" s="177">
        <f t="shared" si="13"/>
        <v>0.29274398974676274</v>
      </c>
      <c r="X104" s="177">
        <f t="shared" si="13"/>
        <v>2.5148778529053653</v>
      </c>
    </row>
    <row r="105" spans="1:24" x14ac:dyDescent="0.2">
      <c r="A105" s="153">
        <v>2009</v>
      </c>
      <c r="B105" s="153">
        <v>8</v>
      </c>
      <c r="C105" s="153" t="str">
        <f t="shared" si="10"/>
        <v>20098</v>
      </c>
      <c r="D105" s="153" t="str">
        <f t="shared" si="16"/>
        <v>Q3</v>
      </c>
      <c r="E105" s="153">
        <f t="shared" si="17"/>
        <v>125951.257</v>
      </c>
      <c r="F105" s="153">
        <f t="shared" si="17"/>
        <v>39137.875476073954</v>
      </c>
      <c r="G105" s="153">
        <f t="shared" si="17"/>
        <v>4324.5050000000001</v>
      </c>
      <c r="H105" s="153" t="e">
        <f t="shared" si="17"/>
        <v>#N/A</v>
      </c>
      <c r="L105" s="153">
        <f t="shared" si="14"/>
        <v>2026</v>
      </c>
      <c r="M105" s="177" t="str">
        <f t="shared" si="15"/>
        <v>Q4</v>
      </c>
      <c r="N105" s="177" t="str">
        <f t="shared" si="9"/>
        <v>2026Q4</v>
      </c>
      <c r="O105" s="184">
        <v>185915.33600000001</v>
      </c>
      <c r="P105" s="251">
        <v>1933.8019999999999</v>
      </c>
      <c r="Q105" s="251">
        <v>1933.8019999999999</v>
      </c>
      <c r="R105" s="189">
        <v>56458.331396926224</v>
      </c>
      <c r="S105" s="189"/>
      <c r="T105" s="253">
        <f t="shared" si="12"/>
        <v>4861.6040000000003</v>
      </c>
      <c r="U105" s="189">
        <v>566.36817001628992</v>
      </c>
      <c r="V105" s="189">
        <v>4861.6040000000003</v>
      </c>
      <c r="W105" s="177">
        <f t="shared" si="13"/>
        <v>0.29287805577628423</v>
      </c>
      <c r="X105" s="177">
        <f t="shared" si="13"/>
        <v>2.5140133271141516</v>
      </c>
    </row>
    <row r="106" spans="1:24" x14ac:dyDescent="0.2">
      <c r="A106" s="153">
        <v>2009</v>
      </c>
      <c r="B106" s="153">
        <v>9</v>
      </c>
      <c r="C106" s="153" t="str">
        <f t="shared" si="10"/>
        <v>20099</v>
      </c>
      <c r="D106" s="153" t="str">
        <f t="shared" si="16"/>
        <v>Q3</v>
      </c>
      <c r="E106" s="153">
        <f t="shared" si="17"/>
        <v>125951.257</v>
      </c>
      <c r="F106" s="153">
        <f t="shared" si="17"/>
        <v>39137.875476073954</v>
      </c>
      <c r="G106" s="153">
        <f t="shared" si="17"/>
        <v>4324.5050000000001</v>
      </c>
      <c r="H106" s="153" t="e">
        <f t="shared" si="17"/>
        <v>#N/A</v>
      </c>
      <c r="L106" s="153">
        <f t="shared" si="14"/>
        <v>2027</v>
      </c>
      <c r="M106" s="177" t="str">
        <f t="shared" si="15"/>
        <v>Q1</v>
      </c>
      <c r="N106" s="177" t="str">
        <f t="shared" si="9"/>
        <v>2027Q1</v>
      </c>
      <c r="O106" s="184">
        <v>187484.08600000001</v>
      </c>
      <c r="P106" s="251">
        <v>1937.5239999999999</v>
      </c>
      <c r="Q106" s="251">
        <v>1937.5239999999999</v>
      </c>
      <c r="R106" s="189">
        <v>56964.713161103646</v>
      </c>
      <c r="S106" s="189"/>
      <c r="T106" s="253">
        <f t="shared" si="12"/>
        <v>4869.3490000000002</v>
      </c>
      <c r="U106" s="189">
        <v>567.66960221909108</v>
      </c>
      <c r="V106" s="189">
        <v>4869.3490000000002</v>
      </c>
      <c r="W106" s="177">
        <f t="shared" si="13"/>
        <v>0.2929871331756877</v>
      </c>
      <c r="X106" s="177">
        <f t="shared" si="13"/>
        <v>2.5131812560773441</v>
      </c>
    </row>
    <row r="107" spans="1:24" x14ac:dyDescent="0.2">
      <c r="A107" s="153">
        <v>2009</v>
      </c>
      <c r="B107" s="153">
        <v>10</v>
      </c>
      <c r="C107" s="153" t="str">
        <f t="shared" si="10"/>
        <v>200910</v>
      </c>
      <c r="D107" s="153" t="str">
        <f t="shared" si="16"/>
        <v>Q4</v>
      </c>
      <c r="E107" s="153">
        <f t="shared" si="17"/>
        <v>125669.07</v>
      </c>
      <c r="F107" s="153">
        <f t="shared" si="17"/>
        <v>39094.688351422847</v>
      </c>
      <c r="G107" s="153">
        <f t="shared" si="17"/>
        <v>4331.9359999999997</v>
      </c>
      <c r="H107" s="153" t="e">
        <f t="shared" si="17"/>
        <v>#N/A</v>
      </c>
      <c r="L107" s="153">
        <f t="shared" si="14"/>
        <v>2027</v>
      </c>
      <c r="M107" s="177" t="str">
        <f t="shared" si="15"/>
        <v>Q2</v>
      </c>
      <c r="N107" s="177" t="str">
        <f t="shared" si="9"/>
        <v>2027Q2</v>
      </c>
      <c r="O107" s="184">
        <v>188450.351</v>
      </c>
      <c r="P107" s="251">
        <v>1941.306</v>
      </c>
      <c r="Q107" s="251">
        <v>1941.306</v>
      </c>
      <c r="R107" s="189">
        <v>57254.533685953822</v>
      </c>
      <c r="S107" s="189"/>
      <c r="T107" s="253">
        <f t="shared" si="12"/>
        <v>4877.0720000000001</v>
      </c>
      <c r="U107" s="189">
        <v>568.92392273691587</v>
      </c>
      <c r="V107" s="189">
        <v>4877.0720000000001</v>
      </c>
      <c r="W107" s="177">
        <f t="shared" si="13"/>
        <v>0.2930624655448012</v>
      </c>
      <c r="X107" s="177">
        <f t="shared" si="13"/>
        <v>2.512263393818388</v>
      </c>
    </row>
    <row r="108" spans="1:24" x14ac:dyDescent="0.2">
      <c r="A108" s="153">
        <v>2009</v>
      </c>
      <c r="B108" s="153">
        <v>11</v>
      </c>
      <c r="C108" s="153" t="str">
        <f t="shared" si="10"/>
        <v>200911</v>
      </c>
      <c r="D108" s="153" t="str">
        <f t="shared" si="16"/>
        <v>Q4</v>
      </c>
      <c r="E108" s="153">
        <f t="shared" si="17"/>
        <v>125669.07</v>
      </c>
      <c r="F108" s="153">
        <f t="shared" si="17"/>
        <v>39094.688351422847</v>
      </c>
      <c r="G108" s="153">
        <f t="shared" si="17"/>
        <v>4331.9359999999997</v>
      </c>
      <c r="H108" s="153" t="e">
        <f t="shared" si="17"/>
        <v>#N/A</v>
      </c>
      <c r="L108" s="153">
        <f t="shared" si="14"/>
        <v>2027</v>
      </c>
      <c r="M108" s="177" t="str">
        <f t="shared" si="15"/>
        <v>Q3</v>
      </c>
      <c r="N108" s="177" t="str">
        <f t="shared" si="9"/>
        <v>2027Q3</v>
      </c>
      <c r="O108" s="184">
        <v>189344.48499999999</v>
      </c>
      <c r="P108" s="251">
        <v>1947.4949999999999</v>
      </c>
      <c r="Q108" s="251">
        <v>1947.4949999999999</v>
      </c>
      <c r="R108" s="189">
        <v>57588.191423894845</v>
      </c>
      <c r="S108" s="189"/>
      <c r="T108" s="253">
        <f t="shared" si="12"/>
        <v>4884.7619999999997</v>
      </c>
      <c r="U108" s="189">
        <v>570.26405454610756</v>
      </c>
      <c r="V108" s="189">
        <v>4884.7619999999997</v>
      </c>
      <c r="W108" s="177">
        <f t="shared" si="13"/>
        <v>0.29281926502820682</v>
      </c>
      <c r="X108" s="177">
        <f t="shared" si="13"/>
        <v>2.5082282624602374</v>
      </c>
    </row>
    <row r="109" spans="1:24" x14ac:dyDescent="0.2">
      <c r="A109" s="153">
        <v>2009</v>
      </c>
      <c r="B109" s="153">
        <v>12</v>
      </c>
      <c r="C109" s="153" t="str">
        <f t="shared" si="10"/>
        <v>200912</v>
      </c>
      <c r="D109" s="153" t="str">
        <f t="shared" si="16"/>
        <v>Q4</v>
      </c>
      <c r="E109" s="153">
        <f t="shared" si="17"/>
        <v>125669.07</v>
      </c>
      <c r="F109" s="153">
        <f t="shared" si="17"/>
        <v>39094.688351422847</v>
      </c>
      <c r="G109" s="153">
        <f t="shared" si="17"/>
        <v>4331.9359999999997</v>
      </c>
      <c r="H109" s="153" t="e">
        <f t="shared" si="17"/>
        <v>#N/A</v>
      </c>
      <c r="L109" s="153">
        <f t="shared" si="14"/>
        <v>2027</v>
      </c>
      <c r="M109" s="177" t="str">
        <f t="shared" si="15"/>
        <v>Q4</v>
      </c>
      <c r="N109" s="177" t="str">
        <f t="shared" si="9"/>
        <v>2027Q4</v>
      </c>
      <c r="O109" s="184">
        <v>190254.26500000001</v>
      </c>
      <c r="P109" s="251">
        <v>1950.02</v>
      </c>
      <c r="Q109" s="251">
        <v>1950.02</v>
      </c>
      <c r="R109" s="189">
        <v>57876.059941927051</v>
      </c>
      <c r="S109" s="189"/>
      <c r="T109" s="253">
        <f t="shared" si="12"/>
        <v>4892.43</v>
      </c>
      <c r="U109" s="189">
        <v>571.67727103748598</v>
      </c>
      <c r="V109" s="189">
        <v>4892.43</v>
      </c>
      <c r="W109" s="177">
        <f t="shared" si="13"/>
        <v>0.2931648244825622</v>
      </c>
      <c r="X109" s="177">
        <f t="shared" si="13"/>
        <v>2.5089127291002145</v>
      </c>
    </row>
    <row r="110" spans="1:24" x14ac:dyDescent="0.2">
      <c r="A110" s="153">
        <v>2010</v>
      </c>
      <c r="B110" s="153">
        <v>1</v>
      </c>
      <c r="C110" s="153" t="str">
        <f t="shared" si="10"/>
        <v>20101</v>
      </c>
      <c r="D110" s="153" t="str">
        <f t="shared" si="16"/>
        <v>Q1</v>
      </c>
      <c r="E110" s="153">
        <f t="shared" si="17"/>
        <v>124919.205</v>
      </c>
      <c r="F110" s="153">
        <f t="shared" si="17"/>
        <v>38849.752908087466</v>
      </c>
      <c r="G110" s="153">
        <f t="shared" si="17"/>
        <v>4339.3670000000002</v>
      </c>
      <c r="H110" s="153" t="e">
        <f t="shared" si="17"/>
        <v>#N/A</v>
      </c>
      <c r="L110" s="153">
        <f t="shared" si="14"/>
        <v>2028</v>
      </c>
      <c r="M110" s="177" t="str">
        <f t="shared" si="15"/>
        <v>Q1</v>
      </c>
      <c r="N110" s="177" t="str">
        <f t="shared" si="9"/>
        <v>2028Q1</v>
      </c>
      <c r="O110" s="184">
        <v>191884.976</v>
      </c>
      <c r="P110" s="251">
        <v>1952.6130000000001</v>
      </c>
      <c r="Q110" s="251">
        <v>1952.6130000000001</v>
      </c>
      <c r="R110" s="189">
        <v>58418.654423987813</v>
      </c>
      <c r="S110" s="189"/>
      <c r="T110" s="253">
        <f t="shared" si="12"/>
        <v>4900.0990000000002</v>
      </c>
      <c r="U110" s="189">
        <v>572.9886755770907</v>
      </c>
      <c r="V110" s="189">
        <v>4900.0990000000002</v>
      </c>
      <c r="W110" s="177">
        <f t="shared" si="13"/>
        <v>0.29344712729920913</v>
      </c>
      <c r="X110" s="177">
        <f t="shared" si="13"/>
        <v>2.5095085406068689</v>
      </c>
    </row>
    <row r="111" spans="1:24" x14ac:dyDescent="0.2">
      <c r="A111" s="153">
        <v>2010</v>
      </c>
      <c r="B111" s="153">
        <v>2</v>
      </c>
      <c r="C111" s="153" t="str">
        <f t="shared" si="10"/>
        <v>20102</v>
      </c>
      <c r="D111" s="153" t="str">
        <f t="shared" si="16"/>
        <v>Q1</v>
      </c>
      <c r="E111" s="153">
        <f t="shared" si="17"/>
        <v>124919.205</v>
      </c>
      <c r="F111" s="153">
        <f t="shared" si="17"/>
        <v>38849.752908087466</v>
      </c>
      <c r="G111" s="153">
        <f t="shared" si="17"/>
        <v>4339.3670000000002</v>
      </c>
      <c r="H111" s="153" t="e">
        <f t="shared" si="17"/>
        <v>#N/A</v>
      </c>
      <c r="L111" s="153">
        <f t="shared" si="14"/>
        <v>2028</v>
      </c>
      <c r="M111" s="177" t="str">
        <f t="shared" si="15"/>
        <v>Q2</v>
      </c>
      <c r="N111" s="177" t="str">
        <f t="shared" si="9"/>
        <v>2028Q2</v>
      </c>
      <c r="O111" s="184">
        <v>192867.91899999999</v>
      </c>
      <c r="P111" s="251">
        <v>1955.2370000000001</v>
      </c>
      <c r="Q111" s="251">
        <v>1955.2370000000001</v>
      </c>
      <c r="R111" s="189">
        <v>58713.8376022312</v>
      </c>
      <c r="S111" s="189"/>
      <c r="T111" s="253">
        <f t="shared" si="12"/>
        <v>4907.7340000000004</v>
      </c>
      <c r="U111" s="189">
        <v>574.28786535250674</v>
      </c>
      <c r="V111" s="189">
        <v>4907.7340000000004</v>
      </c>
      <c r="W111" s="177">
        <f t="shared" si="13"/>
        <v>0.29371777710451813</v>
      </c>
      <c r="X111" s="177">
        <f t="shared" si="13"/>
        <v>2.5100455852666457</v>
      </c>
    </row>
    <row r="112" spans="1:24" x14ac:dyDescent="0.2">
      <c r="A112" s="153">
        <v>2010</v>
      </c>
      <c r="B112" s="153">
        <v>3</v>
      </c>
      <c r="C112" s="153" t="str">
        <f t="shared" si="10"/>
        <v>20103</v>
      </c>
      <c r="D112" s="153" t="str">
        <f t="shared" si="16"/>
        <v>Q1</v>
      </c>
      <c r="E112" s="153">
        <f t="shared" si="17"/>
        <v>124919.205</v>
      </c>
      <c r="F112" s="153">
        <f t="shared" si="17"/>
        <v>38849.752908087466</v>
      </c>
      <c r="G112" s="153">
        <f t="shared" si="17"/>
        <v>4339.3670000000002</v>
      </c>
      <c r="H112" s="153" t="e">
        <f t="shared" si="17"/>
        <v>#N/A</v>
      </c>
      <c r="L112" s="153">
        <f t="shared" si="14"/>
        <v>2028</v>
      </c>
      <c r="M112" s="177" t="str">
        <f t="shared" si="15"/>
        <v>Q3</v>
      </c>
      <c r="N112" s="177" t="str">
        <f t="shared" si="9"/>
        <v>2028Q3</v>
      </c>
      <c r="O112" s="184">
        <v>193808.63</v>
      </c>
      <c r="P112" s="251">
        <v>1957.7329999999999</v>
      </c>
      <c r="Q112" s="251">
        <v>1957.7329999999999</v>
      </c>
      <c r="R112" s="189">
        <v>59006.505698010005</v>
      </c>
      <c r="S112" s="189"/>
      <c r="T112" s="253">
        <f t="shared" si="12"/>
        <v>4915.3220000000001</v>
      </c>
      <c r="U112" s="189">
        <v>575.58621584333025</v>
      </c>
      <c r="V112" s="189">
        <v>4915.3220000000001</v>
      </c>
      <c r="W112" s="177">
        <f t="shared" si="13"/>
        <v>0.29400649416612495</v>
      </c>
      <c r="X112" s="177">
        <f t="shared" si="13"/>
        <v>2.5107213292108783</v>
      </c>
    </row>
    <row r="113" spans="1:24" x14ac:dyDescent="0.2">
      <c r="A113" s="153">
        <v>2010</v>
      </c>
      <c r="B113" s="153">
        <v>4</v>
      </c>
      <c r="C113" s="153" t="str">
        <f t="shared" si="10"/>
        <v>20104</v>
      </c>
      <c r="D113" s="153" t="str">
        <f t="shared" si="16"/>
        <v>Q2</v>
      </c>
      <c r="E113" s="153">
        <f t="shared" si="17"/>
        <v>126480.192</v>
      </c>
      <c r="F113" s="153">
        <f t="shared" si="17"/>
        <v>39352.623912366878</v>
      </c>
      <c r="G113" s="153">
        <f t="shared" si="17"/>
        <v>4347.223</v>
      </c>
      <c r="H113" s="153" t="e">
        <f t="shared" si="17"/>
        <v>#N/A</v>
      </c>
      <c r="L113" s="153">
        <f t="shared" si="14"/>
        <v>2028</v>
      </c>
      <c r="M113" s="177" t="str">
        <f t="shared" si="15"/>
        <v>Q4</v>
      </c>
      <c r="N113" s="177" t="str">
        <f t="shared" si="9"/>
        <v>2028Q4</v>
      </c>
      <c r="O113" s="184">
        <v>194786.40400000001</v>
      </c>
      <c r="P113" s="251">
        <v>1961.22</v>
      </c>
      <c r="Q113" s="251">
        <v>1961.22</v>
      </c>
      <c r="R113" s="189">
        <v>59266.994694104913</v>
      </c>
      <c r="S113" s="189"/>
      <c r="T113" s="253">
        <f t="shared" si="12"/>
        <v>4922.8760000000002</v>
      </c>
      <c r="U113" s="189">
        <v>576.89448991787128</v>
      </c>
      <c r="V113" s="189">
        <v>4922.8760000000002</v>
      </c>
      <c r="W113" s="177">
        <f t="shared" si="13"/>
        <v>0.29415082954378974</v>
      </c>
      <c r="X113" s="177">
        <f t="shared" si="13"/>
        <v>2.5101090137771389</v>
      </c>
    </row>
    <row r="114" spans="1:24" x14ac:dyDescent="0.2">
      <c r="A114" s="153">
        <v>2010</v>
      </c>
      <c r="B114" s="153">
        <v>5</v>
      </c>
      <c r="C114" s="153" t="str">
        <f t="shared" si="10"/>
        <v>20105</v>
      </c>
      <c r="D114" s="153" t="str">
        <f t="shared" si="16"/>
        <v>Q2</v>
      </c>
      <c r="E114" s="153">
        <f t="shared" si="17"/>
        <v>126480.192</v>
      </c>
      <c r="F114" s="153">
        <f t="shared" si="17"/>
        <v>39352.623912366878</v>
      </c>
      <c r="G114" s="153">
        <f t="shared" si="17"/>
        <v>4347.223</v>
      </c>
      <c r="H114" s="153" t="e">
        <f t="shared" si="17"/>
        <v>#N/A</v>
      </c>
      <c r="L114" s="153">
        <f t="shared" si="14"/>
        <v>2029</v>
      </c>
      <c r="M114" s="177" t="str">
        <f t="shared" si="15"/>
        <v>Q1</v>
      </c>
      <c r="N114" s="177" t="str">
        <f t="shared" si="9"/>
        <v>2029Q1</v>
      </c>
      <c r="O114" s="184">
        <v>196497.82699999999</v>
      </c>
      <c r="P114" s="251">
        <v>1964.691</v>
      </c>
      <c r="Q114" s="251">
        <v>1964.691</v>
      </c>
      <c r="R114" s="189">
        <v>59877.087698330462</v>
      </c>
      <c r="S114" s="189"/>
      <c r="T114" s="253">
        <f t="shared" si="12"/>
        <v>4930.3969999999999</v>
      </c>
      <c r="U114" s="189">
        <v>578.28422555075372</v>
      </c>
      <c r="V114" s="189">
        <v>4930.3969999999999</v>
      </c>
      <c r="W114" s="177">
        <f t="shared" si="13"/>
        <v>0.29433851203611849</v>
      </c>
      <c r="X114" s="177">
        <f t="shared" si="13"/>
        <v>2.5095025120998669</v>
      </c>
    </row>
    <row r="115" spans="1:24" x14ac:dyDescent="0.2">
      <c r="A115" s="153">
        <v>2010</v>
      </c>
      <c r="B115" s="153">
        <v>6</v>
      </c>
      <c r="C115" s="153" t="str">
        <f t="shared" si="10"/>
        <v>20106</v>
      </c>
      <c r="D115" s="153" t="str">
        <f t="shared" si="16"/>
        <v>Q2</v>
      </c>
      <c r="E115" s="153">
        <f t="shared" si="17"/>
        <v>126480.192</v>
      </c>
      <c r="F115" s="153">
        <f t="shared" si="17"/>
        <v>39352.623912366878</v>
      </c>
      <c r="G115" s="153">
        <f t="shared" si="17"/>
        <v>4347.223</v>
      </c>
      <c r="H115" s="153" t="e">
        <f t="shared" si="17"/>
        <v>#N/A</v>
      </c>
      <c r="L115" s="153">
        <f t="shared" si="14"/>
        <v>2029</v>
      </c>
      <c r="M115" s="177" t="str">
        <f t="shared" si="15"/>
        <v>Q2</v>
      </c>
      <c r="N115" s="177" t="str">
        <f t="shared" ref="N115:N169" si="18">L115&amp;M115</f>
        <v>2029Q2</v>
      </c>
      <c r="O115" s="184">
        <v>197549.33600000001</v>
      </c>
      <c r="P115" s="251">
        <v>1968.1590000000001</v>
      </c>
      <c r="Q115" s="251">
        <v>1968.1590000000001</v>
      </c>
      <c r="R115" s="189">
        <v>60277.737576157888</v>
      </c>
      <c r="S115" s="189"/>
      <c r="T115" s="253">
        <f t="shared" si="12"/>
        <v>4937.8850000000002</v>
      </c>
      <c r="U115" s="189">
        <v>579.57909725160312</v>
      </c>
      <c r="V115" s="189">
        <v>4937.8850000000002</v>
      </c>
      <c r="W115" s="177">
        <f t="shared" si="13"/>
        <v>0.29447778215662612</v>
      </c>
      <c r="X115" s="177">
        <f t="shared" si="13"/>
        <v>2.5088852069370411</v>
      </c>
    </row>
    <row r="116" spans="1:24" x14ac:dyDescent="0.2">
      <c r="A116" s="153">
        <v>2010</v>
      </c>
      <c r="B116" s="153">
        <v>7</v>
      </c>
      <c r="C116" s="153" t="str">
        <f t="shared" si="10"/>
        <v>20107</v>
      </c>
      <c r="D116" s="153" t="str">
        <f t="shared" si="16"/>
        <v>Q3</v>
      </c>
      <c r="E116" s="153">
        <f t="shared" si="17"/>
        <v>127650.806</v>
      </c>
      <c r="F116" s="153">
        <f t="shared" si="17"/>
        <v>39753.15333007311</v>
      </c>
      <c r="G116" s="153">
        <f t="shared" si="17"/>
        <v>4352.7560000000003</v>
      </c>
      <c r="H116" s="153" t="e">
        <f t="shared" si="17"/>
        <v>#N/A</v>
      </c>
      <c r="L116" s="153">
        <f t="shared" si="14"/>
        <v>2029</v>
      </c>
      <c r="M116" s="177" t="str">
        <f t="shared" si="15"/>
        <v>Q3</v>
      </c>
      <c r="N116" s="177" t="str">
        <f t="shared" si="18"/>
        <v>2029Q3</v>
      </c>
      <c r="O116" s="184">
        <v>198516.981</v>
      </c>
      <c r="P116" s="251">
        <v>1971.586</v>
      </c>
      <c r="Q116" s="251">
        <v>1971.586</v>
      </c>
      <c r="R116" s="189">
        <v>60511.781745148182</v>
      </c>
      <c r="S116" s="189"/>
      <c r="T116" s="253">
        <f t="shared" si="12"/>
        <v>4945.34</v>
      </c>
      <c r="U116" s="189">
        <v>580.87075309303168</v>
      </c>
      <c r="V116" s="189">
        <v>4945.34</v>
      </c>
      <c r="W116" s="177">
        <f t="shared" si="13"/>
        <v>0.2946210579163332</v>
      </c>
      <c r="X116" s="177">
        <f t="shared" si="13"/>
        <v>2.5083054961842901</v>
      </c>
    </row>
    <row r="117" spans="1:24" x14ac:dyDescent="0.2">
      <c r="A117" s="153">
        <v>2010</v>
      </c>
      <c r="B117" s="153">
        <v>8</v>
      </c>
      <c r="C117" s="153" t="str">
        <f t="shared" si="10"/>
        <v>20108</v>
      </c>
      <c r="D117" s="153" t="str">
        <f t="shared" si="16"/>
        <v>Q3</v>
      </c>
      <c r="E117" s="153">
        <f t="shared" si="17"/>
        <v>127650.806</v>
      </c>
      <c r="F117" s="153">
        <f t="shared" si="17"/>
        <v>39753.15333007311</v>
      </c>
      <c r="G117" s="153">
        <f t="shared" si="17"/>
        <v>4352.7560000000003</v>
      </c>
      <c r="H117" s="153" t="e">
        <f t="shared" si="17"/>
        <v>#N/A</v>
      </c>
      <c r="L117" s="153">
        <f t="shared" si="14"/>
        <v>2029</v>
      </c>
      <c r="M117" s="177" t="str">
        <f t="shared" si="15"/>
        <v>Q4</v>
      </c>
      <c r="N117" s="177" t="str">
        <f t="shared" si="18"/>
        <v>2029Q4</v>
      </c>
      <c r="O117" s="184">
        <v>199480.13399999999</v>
      </c>
      <c r="P117" s="251">
        <v>1975.02</v>
      </c>
      <c r="Q117" s="251">
        <v>1975.02</v>
      </c>
      <c r="R117" s="189">
        <v>60805.872480766535</v>
      </c>
      <c r="S117" s="189"/>
      <c r="T117" s="253">
        <f t="shared" si="12"/>
        <v>4952.7489999999998</v>
      </c>
      <c r="U117" s="189">
        <v>582.16021898732583</v>
      </c>
      <c r="V117" s="189">
        <v>4952.7489999999998</v>
      </c>
      <c r="W117" s="177">
        <f t="shared" si="13"/>
        <v>0.29476168291324939</v>
      </c>
      <c r="X117" s="177">
        <f t="shared" si="13"/>
        <v>2.5076956182722201</v>
      </c>
    </row>
    <row r="118" spans="1:24" x14ac:dyDescent="0.2">
      <c r="A118" s="153">
        <v>2010</v>
      </c>
      <c r="B118" s="153">
        <v>9</v>
      </c>
      <c r="C118" s="153" t="str">
        <f t="shared" si="10"/>
        <v>20109</v>
      </c>
      <c r="D118" s="153" t="str">
        <f t="shared" si="16"/>
        <v>Q3</v>
      </c>
      <c r="E118" s="153">
        <f t="shared" si="17"/>
        <v>127650.806</v>
      </c>
      <c r="F118" s="153">
        <f t="shared" si="17"/>
        <v>39753.15333007311</v>
      </c>
      <c r="G118" s="153">
        <f t="shared" si="17"/>
        <v>4352.7560000000003</v>
      </c>
      <c r="H118" s="153" t="e">
        <f t="shared" si="17"/>
        <v>#N/A</v>
      </c>
      <c r="L118" s="153">
        <f t="shared" si="14"/>
        <v>2030</v>
      </c>
      <c r="M118" s="177" t="str">
        <f t="shared" si="15"/>
        <v>Q1</v>
      </c>
      <c r="N118" s="177" t="str">
        <f t="shared" si="18"/>
        <v>2030Q1</v>
      </c>
      <c r="O118" s="184">
        <v>201210.11900000001</v>
      </c>
      <c r="P118" s="251">
        <v>1978.5</v>
      </c>
      <c r="Q118" s="251">
        <v>1978.5</v>
      </c>
      <c r="R118" s="189">
        <v>61466.666126746961</v>
      </c>
      <c r="S118" s="189"/>
      <c r="T118" s="253">
        <f t="shared" si="12"/>
        <v>4960.1260000000002</v>
      </c>
      <c r="U118" s="189">
        <v>583.44801513823779</v>
      </c>
      <c r="V118" s="189">
        <v>4960.1260000000002</v>
      </c>
      <c r="W118" s="177">
        <f t="shared" si="13"/>
        <v>0.29489411935215454</v>
      </c>
      <c r="X118" s="177">
        <f t="shared" si="13"/>
        <v>2.5070133939853427</v>
      </c>
    </row>
    <row r="119" spans="1:24" x14ac:dyDescent="0.2">
      <c r="A119" s="153">
        <v>2010</v>
      </c>
      <c r="B119" s="153">
        <v>10</v>
      </c>
      <c r="C119" s="153" t="str">
        <f t="shared" si="10"/>
        <v>201010</v>
      </c>
      <c r="D119" s="153" t="str">
        <f t="shared" si="16"/>
        <v>Q4</v>
      </c>
      <c r="E119" s="153">
        <f t="shared" si="17"/>
        <v>127503.515</v>
      </c>
      <c r="F119" s="153">
        <f t="shared" si="17"/>
        <v>39757.383833693879</v>
      </c>
      <c r="G119" s="153">
        <f t="shared" si="17"/>
        <v>4358.29</v>
      </c>
      <c r="H119" s="153" t="e">
        <f t="shared" si="17"/>
        <v>#N/A</v>
      </c>
      <c r="L119" s="153">
        <f t="shared" si="14"/>
        <v>2030</v>
      </c>
      <c r="M119" s="177" t="str">
        <f t="shared" si="15"/>
        <v>Q2</v>
      </c>
      <c r="N119" s="177" t="str">
        <f t="shared" si="18"/>
        <v>2030Q2</v>
      </c>
      <c r="O119" s="184">
        <v>202357.96400000001</v>
      </c>
      <c r="P119" s="251">
        <v>1982.0429999999999</v>
      </c>
      <c r="Q119" s="251">
        <v>1982.0429999999999</v>
      </c>
      <c r="R119" s="189">
        <v>61814.830377760452</v>
      </c>
      <c r="S119" s="189"/>
      <c r="T119" s="253">
        <f t="shared" si="12"/>
        <v>4967.4709999999995</v>
      </c>
      <c r="U119" s="189">
        <v>584.8193205792528</v>
      </c>
      <c r="V119" s="189">
        <v>4967.4709999999995</v>
      </c>
      <c r="W119" s="177">
        <f t="shared" si="13"/>
        <v>0.29505884613969163</v>
      </c>
      <c r="X119" s="177">
        <f t="shared" si="13"/>
        <v>2.5062377556894577</v>
      </c>
    </row>
    <row r="120" spans="1:24" x14ac:dyDescent="0.2">
      <c r="A120" s="153">
        <v>2010</v>
      </c>
      <c r="B120" s="153">
        <v>11</v>
      </c>
      <c r="C120" s="153" t="str">
        <f t="shared" si="10"/>
        <v>201011</v>
      </c>
      <c r="D120" s="153" t="str">
        <f t="shared" si="16"/>
        <v>Q4</v>
      </c>
      <c r="E120" s="153">
        <f t="shared" si="17"/>
        <v>127503.515</v>
      </c>
      <c r="F120" s="153">
        <f t="shared" si="17"/>
        <v>39757.383833693879</v>
      </c>
      <c r="G120" s="153">
        <f t="shared" si="17"/>
        <v>4358.29</v>
      </c>
      <c r="H120" s="153" t="e">
        <f t="shared" si="17"/>
        <v>#N/A</v>
      </c>
      <c r="L120" s="153">
        <f t="shared" si="14"/>
        <v>2030</v>
      </c>
      <c r="M120" s="177" t="str">
        <f t="shared" si="15"/>
        <v>Q3</v>
      </c>
      <c r="N120" s="177" t="str">
        <f t="shared" si="18"/>
        <v>2030Q3</v>
      </c>
      <c r="O120" s="184">
        <v>203321.337</v>
      </c>
      <c r="P120" s="251">
        <v>1985.5609999999999</v>
      </c>
      <c r="Q120" s="251">
        <v>1985.5609999999999</v>
      </c>
      <c r="R120" s="189">
        <v>62118.659604022723</v>
      </c>
      <c r="S120" s="189"/>
      <c r="T120" s="253">
        <f t="shared" si="12"/>
        <v>4974.7839999999997</v>
      </c>
      <c r="U120" s="189">
        <v>586.10120198955076</v>
      </c>
      <c r="V120" s="189">
        <v>4974.7839999999997</v>
      </c>
      <c r="W120" s="177">
        <f t="shared" si="13"/>
        <v>0.29518166502542648</v>
      </c>
      <c r="X120" s="177">
        <f t="shared" si="13"/>
        <v>2.5054803151351179</v>
      </c>
    </row>
    <row r="121" spans="1:24" x14ac:dyDescent="0.2">
      <c r="A121" s="153">
        <v>2010</v>
      </c>
      <c r="B121" s="153">
        <v>12</v>
      </c>
      <c r="C121" s="153" t="str">
        <f t="shared" si="10"/>
        <v>201012</v>
      </c>
      <c r="D121" s="153" t="str">
        <f t="shared" si="16"/>
        <v>Q4</v>
      </c>
      <c r="E121" s="153">
        <f t="shared" si="17"/>
        <v>127503.515</v>
      </c>
      <c r="F121" s="153">
        <f t="shared" si="17"/>
        <v>39757.383833693879</v>
      </c>
      <c r="G121" s="153">
        <f t="shared" si="17"/>
        <v>4358.29</v>
      </c>
      <c r="H121" s="153" t="e">
        <f t="shared" si="17"/>
        <v>#N/A</v>
      </c>
      <c r="L121" s="153">
        <f t="shared" si="14"/>
        <v>2030</v>
      </c>
      <c r="M121" s="177" t="str">
        <f t="shared" si="15"/>
        <v>Q4</v>
      </c>
      <c r="N121" s="177" t="str">
        <f t="shared" si="18"/>
        <v>2030Q4</v>
      </c>
      <c r="O121" s="184">
        <v>204205.139</v>
      </c>
      <c r="P121" s="251">
        <v>1989.038</v>
      </c>
      <c r="Q121" s="251">
        <v>1989.038</v>
      </c>
      <c r="R121" s="189">
        <v>62422.456993532964</v>
      </c>
      <c r="S121" s="189"/>
      <c r="T121" s="253">
        <f t="shared" si="12"/>
        <v>4982.0529999999999</v>
      </c>
      <c r="U121" s="189">
        <v>587.37919894773302</v>
      </c>
      <c r="V121" s="189">
        <v>4982.0529999999999</v>
      </c>
      <c r="W121" s="177">
        <f t="shared" si="13"/>
        <v>0.29530818362833339</v>
      </c>
      <c r="X121" s="177">
        <f t="shared" si="13"/>
        <v>2.5047550624975492</v>
      </c>
    </row>
    <row r="122" spans="1:24" x14ac:dyDescent="0.2">
      <c r="A122" s="153">
        <v>2011</v>
      </c>
      <c r="B122" s="153">
        <v>1</v>
      </c>
      <c r="C122" s="153" t="str">
        <f t="shared" si="10"/>
        <v>20111</v>
      </c>
      <c r="D122" s="153" t="str">
        <f t="shared" si="16"/>
        <v>Q1</v>
      </c>
      <c r="E122" s="153">
        <f t="shared" si="17"/>
        <v>128893.008</v>
      </c>
      <c r="F122" s="153">
        <f t="shared" si="17"/>
        <v>39737.516530036453</v>
      </c>
      <c r="G122" s="153">
        <f t="shared" si="17"/>
        <v>4363.8230000000003</v>
      </c>
      <c r="H122" s="153" t="e">
        <f t="shared" si="17"/>
        <v>#N/A</v>
      </c>
      <c r="J122" s="177"/>
      <c r="K122" s="177"/>
      <c r="L122" s="153">
        <f t="shared" si="14"/>
        <v>2031</v>
      </c>
      <c r="M122" s="177" t="str">
        <f t="shared" si="15"/>
        <v>Q1</v>
      </c>
      <c r="N122" s="177" t="str">
        <f t="shared" si="18"/>
        <v>2031Q1</v>
      </c>
      <c r="O122" s="184">
        <v>205835.74900000001</v>
      </c>
      <c r="P122" s="251">
        <v>1992.472</v>
      </c>
      <c r="Q122" s="251">
        <v>1992.472</v>
      </c>
      <c r="R122" s="189">
        <v>63011.686044511735</v>
      </c>
      <c r="S122" s="189"/>
      <c r="T122" s="253">
        <f t="shared" si="12"/>
        <v>4989.29</v>
      </c>
      <c r="U122" s="189">
        <v>588.65516986065256</v>
      </c>
      <c r="V122" s="189">
        <v>4989.29</v>
      </c>
      <c r="W122" s="177">
        <f t="shared" si="13"/>
        <v>0.29543961965872173</v>
      </c>
      <c r="X122" s="177">
        <f t="shared" si="13"/>
        <v>2.5040703206870663</v>
      </c>
    </row>
    <row r="123" spans="1:24" x14ac:dyDescent="0.2">
      <c r="A123" s="153">
        <v>2011</v>
      </c>
      <c r="B123" s="153">
        <v>2</v>
      </c>
      <c r="C123" s="153" t="str">
        <f t="shared" si="10"/>
        <v>20112</v>
      </c>
      <c r="D123" s="153" t="str">
        <f t="shared" si="16"/>
        <v>Q1</v>
      </c>
      <c r="E123" s="153">
        <f t="shared" si="17"/>
        <v>128893.008</v>
      </c>
      <c r="F123" s="153">
        <f t="shared" si="17"/>
        <v>39737.516530036453</v>
      </c>
      <c r="G123" s="153">
        <f t="shared" si="17"/>
        <v>4363.8230000000003</v>
      </c>
      <c r="H123" s="153" t="e">
        <f t="shared" si="17"/>
        <v>#N/A</v>
      </c>
      <c r="J123" s="177"/>
      <c r="K123" s="177"/>
      <c r="L123" s="153">
        <f t="shared" si="14"/>
        <v>2031</v>
      </c>
      <c r="M123" s="177" t="str">
        <f t="shared" si="15"/>
        <v>Q2</v>
      </c>
      <c r="N123" s="177" t="str">
        <f t="shared" si="18"/>
        <v>2031Q2</v>
      </c>
      <c r="O123" s="184">
        <v>206821.26699999999</v>
      </c>
      <c r="P123" s="251">
        <v>1995.8920000000001</v>
      </c>
      <c r="Q123" s="251">
        <v>1995.8920000000001</v>
      </c>
      <c r="R123" s="189">
        <v>63354.072173494787</v>
      </c>
      <c r="S123" s="189"/>
      <c r="T123" s="253">
        <f t="shared" si="12"/>
        <v>4996.4970000000003</v>
      </c>
      <c r="U123" s="189">
        <v>589.92872577657442</v>
      </c>
      <c r="V123" s="189">
        <v>4996.4970000000003</v>
      </c>
      <c r="W123" s="177">
        <f t="shared" si="13"/>
        <v>0.29557146668084966</v>
      </c>
      <c r="X123" s="177">
        <f t="shared" si="13"/>
        <v>2.5033904640130831</v>
      </c>
    </row>
    <row r="124" spans="1:24" x14ac:dyDescent="0.2">
      <c r="A124" s="153">
        <v>2011</v>
      </c>
      <c r="B124" s="153">
        <v>3</v>
      </c>
      <c r="C124" s="153" t="str">
        <f t="shared" si="10"/>
        <v>20113</v>
      </c>
      <c r="D124" s="153" t="str">
        <f t="shared" si="16"/>
        <v>Q1</v>
      </c>
      <c r="E124" s="153">
        <f t="shared" si="17"/>
        <v>128893.008</v>
      </c>
      <c r="F124" s="153">
        <f t="shared" si="17"/>
        <v>39737.516530036453</v>
      </c>
      <c r="G124" s="153">
        <f t="shared" si="17"/>
        <v>4363.8230000000003</v>
      </c>
      <c r="H124" s="153" t="e">
        <f t="shared" si="17"/>
        <v>#N/A</v>
      </c>
      <c r="J124" s="177"/>
      <c r="K124" s="177"/>
      <c r="L124" s="153">
        <f t="shared" si="14"/>
        <v>2031</v>
      </c>
      <c r="M124" s="177" t="str">
        <f t="shared" si="15"/>
        <v>Q3</v>
      </c>
      <c r="N124" s="177" t="str">
        <f t="shared" si="18"/>
        <v>2031Q3</v>
      </c>
      <c r="O124" s="184">
        <v>207691.48499999999</v>
      </c>
      <c r="P124" s="251">
        <v>1999.29</v>
      </c>
      <c r="Q124" s="251">
        <v>1999.29</v>
      </c>
      <c r="R124" s="189">
        <v>63686.068810866331</v>
      </c>
      <c r="S124" s="189"/>
      <c r="T124" s="253">
        <f t="shared" si="12"/>
        <v>5003.6859999999997</v>
      </c>
      <c r="U124" s="189">
        <v>591.28432577788192</v>
      </c>
      <c r="V124" s="189">
        <v>5003.6859999999997</v>
      </c>
      <c r="W124" s="177">
        <f t="shared" si="13"/>
        <v>0.29574715312830152</v>
      </c>
      <c r="X124" s="177">
        <f t="shared" si="13"/>
        <v>2.5027314696717333</v>
      </c>
    </row>
    <row r="125" spans="1:24" x14ac:dyDescent="0.2">
      <c r="A125" s="153">
        <v>2011</v>
      </c>
      <c r="B125" s="153">
        <v>4</v>
      </c>
      <c r="C125" s="153" t="str">
        <f t="shared" si="10"/>
        <v>20114</v>
      </c>
      <c r="D125" s="153" t="str">
        <f t="shared" si="16"/>
        <v>Q2</v>
      </c>
      <c r="E125" s="153">
        <f t="shared" si="17"/>
        <v>129036.827</v>
      </c>
      <c r="F125" s="153">
        <f t="shared" si="17"/>
        <v>39626.695414935333</v>
      </c>
      <c r="G125" s="153">
        <f t="shared" si="17"/>
        <v>4369.3559999999998</v>
      </c>
      <c r="H125" s="153" t="e">
        <f t="shared" si="17"/>
        <v>#N/A</v>
      </c>
      <c r="J125" s="177"/>
      <c r="K125" s="177"/>
      <c r="L125" s="153">
        <f t="shared" si="14"/>
        <v>2031</v>
      </c>
      <c r="M125" s="177" t="str">
        <f t="shared" si="15"/>
        <v>Q4</v>
      </c>
      <c r="N125" s="177" t="str">
        <f t="shared" si="18"/>
        <v>2031Q4</v>
      </c>
      <c r="O125" s="184">
        <v>208506.54</v>
      </c>
      <c r="P125" s="251">
        <v>2002.6890000000001</v>
      </c>
      <c r="Q125" s="251">
        <v>2002.6890000000001</v>
      </c>
      <c r="R125" s="189">
        <v>63983.702106726494</v>
      </c>
      <c r="S125" s="189"/>
      <c r="T125" s="253">
        <f t="shared" si="12"/>
        <v>5010.8329999999996</v>
      </c>
      <c r="U125" s="189">
        <v>592.55352794567204</v>
      </c>
      <c r="V125" s="189">
        <v>5010.8329999999996</v>
      </c>
      <c r="W125" s="177">
        <f t="shared" si="13"/>
        <v>0.29587895471821735</v>
      </c>
      <c r="X125" s="177">
        <f t="shared" si="13"/>
        <v>2.502052490426621</v>
      </c>
    </row>
    <row r="126" spans="1:24" x14ac:dyDescent="0.2">
      <c r="A126" s="153">
        <v>2011</v>
      </c>
      <c r="B126" s="153">
        <v>5</v>
      </c>
      <c r="C126" s="153" t="str">
        <f t="shared" si="10"/>
        <v>20115</v>
      </c>
      <c r="D126" s="153" t="str">
        <f t="shared" si="16"/>
        <v>Q2</v>
      </c>
      <c r="E126" s="153">
        <f t="shared" si="17"/>
        <v>129036.827</v>
      </c>
      <c r="F126" s="153">
        <f t="shared" si="17"/>
        <v>39626.695414935333</v>
      </c>
      <c r="G126" s="153">
        <f t="shared" si="17"/>
        <v>4369.3559999999998</v>
      </c>
      <c r="H126" s="153" t="e">
        <f t="shared" si="17"/>
        <v>#N/A</v>
      </c>
      <c r="J126" s="177"/>
      <c r="K126" s="177"/>
      <c r="L126" s="153">
        <f t="shared" si="14"/>
        <v>2032</v>
      </c>
      <c r="M126" s="177" t="str">
        <f t="shared" si="15"/>
        <v>Q1</v>
      </c>
      <c r="N126" s="177" t="str">
        <f t="shared" si="18"/>
        <v>2032Q1</v>
      </c>
      <c r="O126" s="184">
        <v>210181.51699999999</v>
      </c>
      <c r="P126" s="251">
        <v>2006.07</v>
      </c>
      <c r="Q126" s="251">
        <v>2006.07</v>
      </c>
      <c r="R126" s="189">
        <v>64517.895684862429</v>
      </c>
      <c r="S126" s="189"/>
      <c r="T126" s="253">
        <f t="shared" si="12"/>
        <v>5017.95</v>
      </c>
      <c r="U126" s="189">
        <v>593.8205289329336</v>
      </c>
      <c r="V126" s="189">
        <v>5017.95</v>
      </c>
      <c r="W126" s="177">
        <f t="shared" si="13"/>
        <v>0.29601186844573402</v>
      </c>
      <c r="X126" s="177">
        <f t="shared" si="13"/>
        <v>2.5013833016794029</v>
      </c>
    </row>
    <row r="127" spans="1:24" x14ac:dyDescent="0.2">
      <c r="A127" s="153">
        <v>2011</v>
      </c>
      <c r="B127" s="153">
        <v>6</v>
      </c>
      <c r="C127" s="153" t="str">
        <f t="shared" si="10"/>
        <v>20116</v>
      </c>
      <c r="D127" s="153" t="str">
        <f t="shared" si="16"/>
        <v>Q2</v>
      </c>
      <c r="E127" s="153">
        <f t="shared" si="17"/>
        <v>129036.827</v>
      </c>
      <c r="F127" s="153">
        <f t="shared" si="17"/>
        <v>39626.695414935333</v>
      </c>
      <c r="G127" s="153">
        <f t="shared" si="17"/>
        <v>4369.3559999999998</v>
      </c>
      <c r="H127" s="153" t="e">
        <f t="shared" si="17"/>
        <v>#N/A</v>
      </c>
      <c r="J127" s="177"/>
      <c r="K127" s="177"/>
      <c r="L127" s="153">
        <f t="shared" si="14"/>
        <v>2032</v>
      </c>
      <c r="M127" s="177" t="str">
        <f t="shared" si="15"/>
        <v>Q2</v>
      </c>
      <c r="N127" s="177" t="str">
        <f t="shared" si="18"/>
        <v>2032Q2</v>
      </c>
      <c r="O127" s="184">
        <v>211132.98300000001</v>
      </c>
      <c r="P127" s="251">
        <v>2009.4970000000001</v>
      </c>
      <c r="Q127" s="251">
        <v>2009.4970000000001</v>
      </c>
      <c r="R127" s="189">
        <v>64852.902436758101</v>
      </c>
      <c r="S127" s="189"/>
      <c r="T127" s="253">
        <f t="shared" si="12"/>
        <v>5025.0370000000003</v>
      </c>
      <c r="U127" s="189">
        <v>595.08542470246152</v>
      </c>
      <c r="V127" s="189">
        <v>5025.0370000000003</v>
      </c>
      <c r="W127" s="177">
        <f t="shared" si="13"/>
        <v>0.29613650814231696</v>
      </c>
      <c r="X127" s="177">
        <f t="shared" si="13"/>
        <v>2.5006441910587576</v>
      </c>
    </row>
    <row r="128" spans="1:24" x14ac:dyDescent="0.2">
      <c r="A128" s="153">
        <v>2011</v>
      </c>
      <c r="B128" s="153">
        <v>7</v>
      </c>
      <c r="C128" s="153" t="str">
        <f t="shared" si="10"/>
        <v>20117</v>
      </c>
      <c r="D128" s="153" t="str">
        <f t="shared" si="16"/>
        <v>Q3</v>
      </c>
      <c r="E128" s="153">
        <f t="shared" si="17"/>
        <v>128885.583</v>
      </c>
      <c r="F128" s="153">
        <f t="shared" si="17"/>
        <v>39675.467395051506</v>
      </c>
      <c r="G128" s="153">
        <f t="shared" si="17"/>
        <v>4375.2330000000002</v>
      </c>
      <c r="H128" s="153" t="e">
        <f t="shared" si="17"/>
        <v>#N/A</v>
      </c>
      <c r="J128" s="177"/>
      <c r="K128" s="177"/>
      <c r="L128" s="153">
        <f t="shared" si="14"/>
        <v>2032</v>
      </c>
      <c r="M128" s="177" t="str">
        <f t="shared" si="15"/>
        <v>Q3</v>
      </c>
      <c r="N128" s="177" t="str">
        <f t="shared" si="18"/>
        <v>2032Q3</v>
      </c>
      <c r="O128" s="184">
        <v>211990.587</v>
      </c>
      <c r="P128" s="251">
        <v>2014.751</v>
      </c>
      <c r="Q128" s="251">
        <v>2014.751</v>
      </c>
      <c r="R128" s="189">
        <v>65092.663837385568</v>
      </c>
      <c r="S128" s="189"/>
      <c r="T128" s="253">
        <f t="shared" si="12"/>
        <v>5032.0959999999995</v>
      </c>
      <c r="U128" s="189">
        <v>596.34815171082005</v>
      </c>
      <c r="V128" s="189">
        <v>5032.0959999999995</v>
      </c>
      <c r="W128" s="177">
        <f t="shared" si="13"/>
        <v>0.29599099427711911</v>
      </c>
      <c r="X128" s="177">
        <f t="shared" si="13"/>
        <v>2.4976267538767818</v>
      </c>
    </row>
    <row r="129" spans="1:24" x14ac:dyDescent="0.2">
      <c r="A129" s="153">
        <v>2011</v>
      </c>
      <c r="B129" s="153">
        <v>8</v>
      </c>
      <c r="C129" s="153" t="str">
        <f t="shared" si="10"/>
        <v>20118</v>
      </c>
      <c r="D129" s="153" t="str">
        <f t="shared" si="16"/>
        <v>Q3</v>
      </c>
      <c r="E129" s="153">
        <f t="shared" si="17"/>
        <v>128885.583</v>
      </c>
      <c r="F129" s="153">
        <f t="shared" si="17"/>
        <v>39675.467395051506</v>
      </c>
      <c r="G129" s="153">
        <f t="shared" si="17"/>
        <v>4375.2330000000002</v>
      </c>
      <c r="H129" s="153" t="e">
        <f t="shared" si="17"/>
        <v>#N/A</v>
      </c>
      <c r="J129" s="177"/>
      <c r="K129" s="177"/>
      <c r="L129" s="153">
        <f t="shared" si="14"/>
        <v>2032</v>
      </c>
      <c r="M129" s="177" t="str">
        <f t="shared" si="15"/>
        <v>Q4</v>
      </c>
      <c r="N129" s="177" t="str">
        <f t="shared" si="18"/>
        <v>2032Q4</v>
      </c>
      <c r="O129" s="184">
        <v>212819.59099999999</v>
      </c>
      <c r="P129" s="251">
        <v>2017.2260000000001</v>
      </c>
      <c r="Q129" s="251">
        <v>2017.2260000000001</v>
      </c>
      <c r="R129" s="189">
        <v>65379.712563198897</v>
      </c>
      <c r="S129" s="189"/>
      <c r="T129" s="253">
        <f t="shared" si="12"/>
        <v>5039.1130000000003</v>
      </c>
      <c r="U129" s="189">
        <v>597.60723946148869</v>
      </c>
      <c r="V129" s="189">
        <v>5039.1130000000003</v>
      </c>
      <c r="W129" s="177">
        <f t="shared" si="13"/>
        <v>0.29625200124402951</v>
      </c>
      <c r="X129" s="177">
        <f t="shared" si="13"/>
        <v>2.4980408739526458</v>
      </c>
    </row>
    <row r="130" spans="1:24" x14ac:dyDescent="0.2">
      <c r="A130" s="153">
        <v>2011</v>
      </c>
      <c r="B130" s="153">
        <v>9</v>
      </c>
      <c r="C130" s="153" t="str">
        <f t="shared" si="10"/>
        <v>20119</v>
      </c>
      <c r="D130" s="153" t="str">
        <f t="shared" si="16"/>
        <v>Q3</v>
      </c>
      <c r="E130" s="153">
        <f t="shared" si="17"/>
        <v>128885.583</v>
      </c>
      <c r="F130" s="153">
        <f t="shared" si="17"/>
        <v>39675.467395051506</v>
      </c>
      <c r="G130" s="153">
        <f t="shared" si="17"/>
        <v>4375.2330000000002</v>
      </c>
      <c r="H130" s="153" t="e">
        <f t="shared" si="17"/>
        <v>#N/A</v>
      </c>
      <c r="J130" s="177"/>
      <c r="K130" s="177"/>
      <c r="L130" s="153">
        <f t="shared" si="14"/>
        <v>2033</v>
      </c>
      <c r="M130" s="177" t="str">
        <f t="shared" si="15"/>
        <v>Q1</v>
      </c>
      <c r="N130" s="177" t="str">
        <f t="shared" si="18"/>
        <v>2033Q1</v>
      </c>
      <c r="O130" s="184">
        <v>214486.36799999999</v>
      </c>
      <c r="P130" s="251">
        <v>2020.7070000000001</v>
      </c>
      <c r="Q130" s="251">
        <v>2020.7070000000001</v>
      </c>
      <c r="R130" s="189">
        <v>65915.343848067831</v>
      </c>
      <c r="S130" s="189"/>
      <c r="T130" s="253">
        <f t="shared" si="12"/>
        <v>5046.1030000000001</v>
      </c>
      <c r="U130" s="189">
        <v>598.94114556781176</v>
      </c>
      <c r="V130" s="189">
        <v>5046.1030000000001</v>
      </c>
      <c r="W130" s="177">
        <f t="shared" si="13"/>
        <v>0.29640177698588255</v>
      </c>
      <c r="X130" s="177">
        <f t="shared" si="13"/>
        <v>2.4971967732085849</v>
      </c>
    </row>
    <row r="131" spans="1:24" x14ac:dyDescent="0.2">
      <c r="A131" s="153">
        <v>2011</v>
      </c>
      <c r="B131" s="153">
        <v>10</v>
      </c>
      <c r="C131" s="153" t="str">
        <f t="shared" ref="C131:C194" si="19">A131&amp;B131</f>
        <v>201110</v>
      </c>
      <c r="D131" s="153" t="str">
        <f t="shared" si="16"/>
        <v>Q4</v>
      </c>
      <c r="E131" s="153">
        <f t="shared" si="17"/>
        <v>129177.128</v>
      </c>
      <c r="F131" s="153">
        <f t="shared" si="17"/>
        <v>39786.860383818384</v>
      </c>
      <c r="G131" s="153">
        <f t="shared" si="17"/>
        <v>4381.482</v>
      </c>
      <c r="H131" s="153" t="e">
        <f t="shared" si="17"/>
        <v>#N/A</v>
      </c>
      <c r="J131" s="177"/>
      <c r="K131" s="177"/>
      <c r="L131" s="153">
        <f t="shared" si="14"/>
        <v>2033</v>
      </c>
      <c r="M131" s="177" t="str">
        <f t="shared" si="15"/>
        <v>Q2</v>
      </c>
      <c r="N131" s="177" t="str">
        <f t="shared" si="18"/>
        <v>2033Q2</v>
      </c>
      <c r="O131" s="184">
        <v>215382.42600000001</v>
      </c>
      <c r="P131" s="251">
        <v>2024.18</v>
      </c>
      <c r="Q131" s="251">
        <v>2024.18</v>
      </c>
      <c r="R131" s="189">
        <v>66272.860998632343</v>
      </c>
      <c r="S131" s="189"/>
      <c r="T131" s="253">
        <f t="shared" ref="T131:T165" si="20">V131</f>
        <v>5053.0649999999996</v>
      </c>
      <c r="U131" s="189">
        <v>600.1964782787893</v>
      </c>
      <c r="V131" s="189">
        <v>5053.0649999999996</v>
      </c>
      <c r="W131" s="177">
        <f t="shared" ref="W131:X165" si="21">U131/P131</f>
        <v>0.29651339222736578</v>
      </c>
      <c r="X131" s="177">
        <f t="shared" si="21"/>
        <v>2.4963516090466262</v>
      </c>
    </row>
    <row r="132" spans="1:24" x14ac:dyDescent="0.2">
      <c r="A132" s="153">
        <v>2011</v>
      </c>
      <c r="B132" s="153">
        <v>11</v>
      </c>
      <c r="C132" s="153" t="str">
        <f t="shared" si="19"/>
        <v>201111</v>
      </c>
      <c r="D132" s="153" t="str">
        <f t="shared" si="16"/>
        <v>Q4</v>
      </c>
      <c r="E132" s="153">
        <f t="shared" si="17"/>
        <v>129177.128</v>
      </c>
      <c r="F132" s="153">
        <f t="shared" si="17"/>
        <v>39786.860383818384</v>
      </c>
      <c r="G132" s="153">
        <f t="shared" si="17"/>
        <v>4381.482</v>
      </c>
      <c r="H132" s="153" t="e">
        <f t="shared" si="17"/>
        <v>#N/A</v>
      </c>
      <c r="J132" s="177"/>
      <c r="K132" s="177"/>
      <c r="L132" s="153">
        <f t="shared" si="14"/>
        <v>2033</v>
      </c>
      <c r="M132" s="177" t="str">
        <f t="shared" si="15"/>
        <v>Q3</v>
      </c>
      <c r="N132" s="177" t="str">
        <f t="shared" si="18"/>
        <v>2033Q3</v>
      </c>
      <c r="O132" s="184">
        <v>216207.60200000001</v>
      </c>
      <c r="P132" s="251">
        <v>2027.626</v>
      </c>
      <c r="Q132" s="251">
        <v>2027.626</v>
      </c>
      <c r="R132" s="189">
        <v>66575.69117880259</v>
      </c>
      <c r="S132" s="189"/>
      <c r="T132" s="253">
        <f t="shared" si="20"/>
        <v>5060</v>
      </c>
      <c r="U132" s="189">
        <v>601.44988615916668</v>
      </c>
      <c r="V132" s="189">
        <v>5060</v>
      </c>
      <c r="W132" s="177">
        <f t="shared" si="21"/>
        <v>0.29662762568598289</v>
      </c>
      <c r="X132" s="177">
        <f t="shared" si="21"/>
        <v>2.4955292544088508</v>
      </c>
    </row>
    <row r="133" spans="1:24" x14ac:dyDescent="0.2">
      <c r="A133" s="153">
        <v>2011</v>
      </c>
      <c r="B133" s="153">
        <v>12</v>
      </c>
      <c r="C133" s="153" t="str">
        <f t="shared" si="19"/>
        <v>201112</v>
      </c>
      <c r="D133" s="153" t="str">
        <f t="shared" si="16"/>
        <v>Q4</v>
      </c>
      <c r="E133" s="153">
        <f t="shared" si="17"/>
        <v>129177.128</v>
      </c>
      <c r="F133" s="153">
        <f t="shared" si="17"/>
        <v>39786.860383818384</v>
      </c>
      <c r="G133" s="153">
        <f t="shared" si="17"/>
        <v>4381.482</v>
      </c>
      <c r="H133" s="153" t="e">
        <f t="shared" si="17"/>
        <v>#N/A</v>
      </c>
      <c r="J133" s="177"/>
      <c r="K133" s="177"/>
      <c r="L133" s="153">
        <f t="shared" si="14"/>
        <v>2033</v>
      </c>
      <c r="M133" s="177" t="str">
        <f t="shared" si="15"/>
        <v>Q4</v>
      </c>
      <c r="N133" s="177" t="str">
        <f t="shared" si="18"/>
        <v>2033Q4</v>
      </c>
      <c r="O133" s="184">
        <v>217023.29399999999</v>
      </c>
      <c r="P133" s="251">
        <v>2031.1179999999999</v>
      </c>
      <c r="Q133" s="251">
        <v>2031.1179999999999</v>
      </c>
      <c r="R133" s="189">
        <v>66846.031778371878</v>
      </c>
      <c r="S133" s="189"/>
      <c r="T133" s="253">
        <f t="shared" si="20"/>
        <v>5066.8959999999997</v>
      </c>
      <c r="U133" s="189">
        <v>602.69985845966437</v>
      </c>
      <c r="V133" s="189">
        <v>5066.8959999999997</v>
      </c>
      <c r="W133" s="177">
        <f t="shared" si="21"/>
        <v>0.29673305955619733</v>
      </c>
      <c r="X133" s="177">
        <f t="shared" si="21"/>
        <v>2.4946339897534262</v>
      </c>
    </row>
    <row r="134" spans="1:24" x14ac:dyDescent="0.2">
      <c r="A134" s="153">
        <v>2012</v>
      </c>
      <c r="B134" s="153">
        <v>1</v>
      </c>
      <c r="C134" s="153" t="str">
        <f t="shared" si="19"/>
        <v>20121</v>
      </c>
      <c r="D134" s="153" t="str">
        <f t="shared" si="16"/>
        <v>Q1</v>
      </c>
      <c r="E134" s="153">
        <f t="shared" si="17"/>
        <v>129516.13400000001</v>
      </c>
      <c r="F134" s="153">
        <f t="shared" si="17"/>
        <v>39800.138297807738</v>
      </c>
      <c r="G134" s="153">
        <f t="shared" si="17"/>
        <v>4387.8289999999997</v>
      </c>
      <c r="H134" s="153" t="e">
        <f t="shared" si="17"/>
        <v>#N/A</v>
      </c>
      <c r="L134" s="153">
        <f t="shared" si="14"/>
        <v>2034</v>
      </c>
      <c r="M134" s="177" t="str">
        <f t="shared" si="15"/>
        <v>Q1</v>
      </c>
      <c r="N134" s="177" t="str">
        <f t="shared" si="18"/>
        <v>2034Q1</v>
      </c>
      <c r="O134" s="184">
        <v>218712.25599999999</v>
      </c>
      <c r="P134" s="251">
        <v>2034.5630000000001</v>
      </c>
      <c r="Q134" s="251">
        <v>2034.5630000000001</v>
      </c>
      <c r="R134" s="189">
        <v>67408.698459790423</v>
      </c>
      <c r="S134" s="189"/>
      <c r="T134" s="253">
        <f t="shared" si="20"/>
        <v>5073.7650000000003</v>
      </c>
      <c r="U134" s="189">
        <v>604.02085840225141</v>
      </c>
      <c r="V134" s="189">
        <v>5073.7650000000003</v>
      </c>
      <c r="W134" s="177">
        <f t="shared" si="21"/>
        <v>0.29687989922270847</v>
      </c>
      <c r="X134" s="177">
        <f t="shared" si="21"/>
        <v>2.4937861349095605</v>
      </c>
    </row>
    <row r="135" spans="1:24" x14ac:dyDescent="0.2">
      <c r="A135" s="153">
        <v>2012</v>
      </c>
      <c r="B135" s="153">
        <v>2</v>
      </c>
      <c r="C135" s="153" t="str">
        <f t="shared" si="19"/>
        <v>20122</v>
      </c>
      <c r="D135" s="153" t="str">
        <f t="shared" si="16"/>
        <v>Q1</v>
      </c>
      <c r="E135" s="153">
        <f t="shared" si="17"/>
        <v>129516.13400000001</v>
      </c>
      <c r="F135" s="153">
        <f t="shared" si="17"/>
        <v>39800.138297807738</v>
      </c>
      <c r="G135" s="153">
        <f t="shared" si="17"/>
        <v>4387.8289999999997</v>
      </c>
      <c r="H135" s="153" t="e">
        <f t="shared" si="17"/>
        <v>#N/A</v>
      </c>
      <c r="L135" s="153">
        <f t="shared" ref="L135:L169" si="22">L131+1</f>
        <v>2034</v>
      </c>
      <c r="M135" s="177" t="str">
        <f t="shared" ref="M135:M169" si="23">M131</f>
        <v>Q2</v>
      </c>
      <c r="N135" s="177" t="str">
        <f t="shared" si="18"/>
        <v>2034Q2</v>
      </c>
      <c r="O135" s="184">
        <v>219678.68900000001</v>
      </c>
      <c r="P135" s="251">
        <v>2038.0329999999999</v>
      </c>
      <c r="Q135" s="251">
        <v>2038.0329999999999</v>
      </c>
      <c r="R135" s="189">
        <v>67784.731090709829</v>
      </c>
      <c r="S135" s="189"/>
      <c r="T135" s="253">
        <f t="shared" si="20"/>
        <v>5080.6090000000004</v>
      </c>
      <c r="U135" s="189">
        <v>605.26743767300002</v>
      </c>
      <c r="V135" s="189">
        <v>5080.6090000000004</v>
      </c>
      <c r="W135" s="177">
        <f t="shared" si="21"/>
        <v>0.29698608298933338</v>
      </c>
      <c r="X135" s="177">
        <f t="shared" si="21"/>
        <v>2.4928982994877908</v>
      </c>
    </row>
    <row r="136" spans="1:24" x14ac:dyDescent="0.2">
      <c r="A136" s="153">
        <v>2012</v>
      </c>
      <c r="B136" s="153">
        <v>3</v>
      </c>
      <c r="C136" s="153" t="str">
        <f t="shared" si="19"/>
        <v>20123</v>
      </c>
      <c r="D136" s="153" t="str">
        <f t="shared" si="16"/>
        <v>Q1</v>
      </c>
      <c r="E136" s="153">
        <f t="shared" si="17"/>
        <v>129516.13400000001</v>
      </c>
      <c r="F136" s="153">
        <f t="shared" si="17"/>
        <v>39800.138297807738</v>
      </c>
      <c r="G136" s="153">
        <f t="shared" si="17"/>
        <v>4387.8289999999997</v>
      </c>
      <c r="H136" s="153" t="e">
        <f t="shared" si="17"/>
        <v>#N/A</v>
      </c>
      <c r="L136" s="153">
        <f t="shared" si="22"/>
        <v>2034</v>
      </c>
      <c r="M136" s="177" t="str">
        <f t="shared" si="23"/>
        <v>Q3</v>
      </c>
      <c r="N136" s="177" t="str">
        <f t="shared" si="18"/>
        <v>2034Q3</v>
      </c>
      <c r="O136" s="184">
        <v>220588.57</v>
      </c>
      <c r="P136" s="251">
        <v>2043.357</v>
      </c>
      <c r="Q136" s="251">
        <v>2043.357</v>
      </c>
      <c r="R136" s="189">
        <v>68112.672404732177</v>
      </c>
      <c r="S136" s="189"/>
      <c r="T136" s="253">
        <f t="shared" si="20"/>
        <v>5087.4409999999998</v>
      </c>
      <c r="U136" s="189">
        <v>606.51387488154319</v>
      </c>
      <c r="V136" s="189">
        <v>5087.4409999999998</v>
      </c>
      <c r="W136" s="177">
        <f t="shared" si="21"/>
        <v>0.29682227573622388</v>
      </c>
      <c r="X136" s="177">
        <f t="shared" si="21"/>
        <v>2.4897465298525905</v>
      </c>
    </row>
    <row r="137" spans="1:24" x14ac:dyDescent="0.2">
      <c r="A137" s="153">
        <v>2012</v>
      </c>
      <c r="B137" s="153">
        <v>4</v>
      </c>
      <c r="C137" s="153" t="str">
        <f t="shared" si="19"/>
        <v>20124</v>
      </c>
      <c r="D137" s="153" t="str">
        <f t="shared" si="16"/>
        <v>Q2</v>
      </c>
      <c r="E137" s="153">
        <f t="shared" si="17"/>
        <v>130403.818</v>
      </c>
      <c r="F137" s="153">
        <f t="shared" si="17"/>
        <v>39988.352967991457</v>
      </c>
      <c r="G137" s="153">
        <f t="shared" si="17"/>
        <v>4394.317</v>
      </c>
      <c r="H137" s="153" t="e">
        <f t="shared" si="17"/>
        <v>#N/A</v>
      </c>
      <c r="L137" s="153">
        <f t="shared" si="22"/>
        <v>2034</v>
      </c>
      <c r="M137" s="177" t="str">
        <f t="shared" si="23"/>
        <v>Q4</v>
      </c>
      <c r="N137" s="177" t="str">
        <f t="shared" si="18"/>
        <v>2034Q4</v>
      </c>
      <c r="O137" s="184">
        <v>221480.42499999999</v>
      </c>
      <c r="P137" s="251">
        <v>2045.7919999999999</v>
      </c>
      <c r="Q137" s="251">
        <v>2045.7919999999999</v>
      </c>
      <c r="R137" s="189">
        <v>68426.110254572006</v>
      </c>
      <c r="S137" s="189"/>
      <c r="T137" s="253">
        <f t="shared" si="20"/>
        <v>5094.2359999999999</v>
      </c>
      <c r="U137" s="189">
        <v>607.75708718438602</v>
      </c>
      <c r="V137" s="189">
        <v>5094.2359999999999</v>
      </c>
      <c r="W137" s="177">
        <f t="shared" si="21"/>
        <v>0.29707667601808302</v>
      </c>
      <c r="X137" s="177">
        <f t="shared" si="21"/>
        <v>2.4901045658600678</v>
      </c>
    </row>
    <row r="138" spans="1:24" x14ac:dyDescent="0.2">
      <c r="A138" s="153">
        <v>2012</v>
      </c>
      <c r="B138" s="153">
        <v>5</v>
      </c>
      <c r="C138" s="153" t="str">
        <f t="shared" si="19"/>
        <v>20125</v>
      </c>
      <c r="D138" s="153" t="str">
        <f t="shared" si="16"/>
        <v>Q2</v>
      </c>
      <c r="E138" s="153">
        <f t="shared" si="17"/>
        <v>130403.818</v>
      </c>
      <c r="F138" s="153">
        <f t="shared" si="17"/>
        <v>39988.352967991457</v>
      </c>
      <c r="G138" s="153">
        <f t="shared" si="17"/>
        <v>4394.317</v>
      </c>
      <c r="H138" s="153" t="e">
        <f t="shared" si="17"/>
        <v>#N/A</v>
      </c>
      <c r="L138" s="153">
        <f t="shared" si="22"/>
        <v>2035</v>
      </c>
      <c r="M138" s="177" t="str">
        <f t="shared" si="23"/>
        <v>Q1</v>
      </c>
      <c r="N138" s="177" t="str">
        <f t="shared" si="18"/>
        <v>2035Q1</v>
      </c>
      <c r="O138" s="184">
        <v>223274.90299999999</v>
      </c>
      <c r="P138" s="251">
        <v>2049.09</v>
      </c>
      <c r="Q138" s="251">
        <v>2049.09</v>
      </c>
      <c r="R138" s="189">
        <v>69089.969321900251</v>
      </c>
      <c r="S138" s="189"/>
      <c r="T138" s="253">
        <f t="shared" si="20"/>
        <v>5101.0060000000003</v>
      </c>
      <c r="U138" s="189">
        <v>608.99857391944693</v>
      </c>
      <c r="V138" s="189">
        <v>5101.0060000000003</v>
      </c>
      <c r="W138" s="177">
        <f t="shared" si="21"/>
        <v>0.29720440484285554</v>
      </c>
      <c r="X138" s="177">
        <f t="shared" si="21"/>
        <v>2.4894006607811274</v>
      </c>
    </row>
    <row r="139" spans="1:24" x14ac:dyDescent="0.2">
      <c r="A139" s="153">
        <v>2012</v>
      </c>
      <c r="B139" s="153">
        <v>6</v>
      </c>
      <c r="C139" s="153" t="str">
        <f t="shared" si="19"/>
        <v>20126</v>
      </c>
      <c r="D139" s="153" t="str">
        <f t="shared" si="16"/>
        <v>Q2</v>
      </c>
      <c r="E139" s="153">
        <f t="shared" si="17"/>
        <v>130403.818</v>
      </c>
      <c r="F139" s="153">
        <f t="shared" si="17"/>
        <v>39988.352967991457</v>
      </c>
      <c r="G139" s="153">
        <f t="shared" si="17"/>
        <v>4394.317</v>
      </c>
      <c r="H139" s="153" t="e">
        <f t="shared" si="17"/>
        <v>#N/A</v>
      </c>
      <c r="L139" s="153">
        <f t="shared" si="22"/>
        <v>2035</v>
      </c>
      <c r="M139" s="177" t="str">
        <f t="shared" si="23"/>
        <v>Q2</v>
      </c>
      <c r="N139" s="177" t="str">
        <f t="shared" si="18"/>
        <v>2035Q2</v>
      </c>
      <c r="O139" s="184">
        <v>224274.87700000001</v>
      </c>
      <c r="P139" s="251">
        <v>2052.3820000000001</v>
      </c>
      <c r="Q139" s="251">
        <v>2052.3820000000001</v>
      </c>
      <c r="R139" s="189">
        <v>69470.238709459431</v>
      </c>
      <c r="S139" s="189"/>
      <c r="T139" s="253">
        <f t="shared" si="20"/>
        <v>5107.7510000000002</v>
      </c>
      <c r="U139" s="189">
        <v>610.30681877623215</v>
      </c>
      <c r="V139" s="189">
        <v>5107.7510000000002</v>
      </c>
      <c r="W139" s="177">
        <f t="shared" si="21"/>
        <v>0.29736511954218664</v>
      </c>
      <c r="X139" s="177">
        <f t="shared" si="21"/>
        <v>2.488694112499525</v>
      </c>
    </row>
    <row r="140" spans="1:24" x14ac:dyDescent="0.2">
      <c r="A140" s="153">
        <v>2012</v>
      </c>
      <c r="B140" s="153">
        <v>7</v>
      </c>
      <c r="C140" s="153" t="str">
        <f t="shared" si="19"/>
        <v>20127</v>
      </c>
      <c r="D140" s="153" t="str">
        <f t="shared" si="16"/>
        <v>Q3</v>
      </c>
      <c r="E140" s="153">
        <f t="shared" si="17"/>
        <v>131166.87299999999</v>
      </c>
      <c r="F140" s="153">
        <f t="shared" si="17"/>
        <v>40189.459532165798</v>
      </c>
      <c r="G140" s="153">
        <f t="shared" si="17"/>
        <v>4400.95</v>
      </c>
      <c r="H140" s="153" t="e">
        <f t="shared" si="17"/>
        <v>#N/A</v>
      </c>
      <c r="L140" s="153">
        <f t="shared" si="22"/>
        <v>2035</v>
      </c>
      <c r="M140" s="177" t="str">
        <f t="shared" si="23"/>
        <v>Q3</v>
      </c>
      <c r="N140" s="177" t="str">
        <f t="shared" si="18"/>
        <v>2035Q3</v>
      </c>
      <c r="O140" s="184">
        <v>225199.902</v>
      </c>
      <c r="P140" s="251">
        <v>2055.6619999999998</v>
      </c>
      <c r="Q140" s="251">
        <v>2055.6619999999998</v>
      </c>
      <c r="R140" s="189">
        <v>69817.684773173722</v>
      </c>
      <c r="S140" s="189"/>
      <c r="T140" s="253">
        <f t="shared" si="20"/>
        <v>5114.4719999999998</v>
      </c>
      <c r="U140" s="189">
        <v>611.54517106665378</v>
      </c>
      <c r="V140" s="189">
        <v>5114.4719999999998</v>
      </c>
      <c r="W140" s="177">
        <f t="shared" si="21"/>
        <v>0.29749305628389</v>
      </c>
      <c r="X140" s="177">
        <f t="shared" si="21"/>
        <v>2.4879926758387323</v>
      </c>
    </row>
    <row r="141" spans="1:24" x14ac:dyDescent="0.2">
      <c r="A141" s="153">
        <v>2012</v>
      </c>
      <c r="B141" s="153">
        <v>8</v>
      </c>
      <c r="C141" s="153" t="str">
        <f t="shared" si="19"/>
        <v>20128</v>
      </c>
      <c r="D141" s="153" t="str">
        <f t="shared" si="16"/>
        <v>Q3</v>
      </c>
      <c r="E141" s="153">
        <f t="shared" si="17"/>
        <v>131166.87299999999</v>
      </c>
      <c r="F141" s="153">
        <f t="shared" si="17"/>
        <v>40189.459532165798</v>
      </c>
      <c r="G141" s="153">
        <f t="shared" si="17"/>
        <v>4400.95</v>
      </c>
      <c r="H141" s="153" t="e">
        <f t="shared" si="17"/>
        <v>#N/A</v>
      </c>
      <c r="L141" s="153">
        <f t="shared" si="22"/>
        <v>2035</v>
      </c>
      <c r="M141" s="177" t="str">
        <f t="shared" si="23"/>
        <v>Q4</v>
      </c>
      <c r="N141" s="177" t="str">
        <f t="shared" si="18"/>
        <v>2035Q4</v>
      </c>
      <c r="O141" s="184">
        <v>226081.57399999999</v>
      </c>
      <c r="P141" s="251">
        <v>2058.951</v>
      </c>
      <c r="Q141" s="251">
        <v>2058.951</v>
      </c>
      <c r="R141" s="189">
        <v>70167.400418664678</v>
      </c>
      <c r="S141" s="189"/>
      <c r="T141" s="253">
        <f t="shared" si="20"/>
        <v>5121.1570000000002</v>
      </c>
      <c r="U141" s="189">
        <v>612.78041304382668</v>
      </c>
      <c r="V141" s="189">
        <v>5121.1570000000002</v>
      </c>
      <c r="W141" s="177">
        <f t="shared" si="21"/>
        <v>0.29761777382940474</v>
      </c>
      <c r="X141" s="177">
        <f t="shared" si="21"/>
        <v>2.4872651170426106</v>
      </c>
    </row>
    <row r="142" spans="1:24" x14ac:dyDescent="0.2">
      <c r="A142" s="153">
        <v>2012</v>
      </c>
      <c r="B142" s="153">
        <v>9</v>
      </c>
      <c r="C142" s="153" t="str">
        <f t="shared" si="19"/>
        <v>20129</v>
      </c>
      <c r="D142" s="153" t="str">
        <f t="shared" si="16"/>
        <v>Q3</v>
      </c>
      <c r="E142" s="153">
        <f t="shared" si="17"/>
        <v>131166.87299999999</v>
      </c>
      <c r="F142" s="153">
        <f t="shared" si="17"/>
        <v>40189.459532165798</v>
      </c>
      <c r="G142" s="153">
        <f t="shared" si="17"/>
        <v>4400.95</v>
      </c>
      <c r="H142" s="153" t="e">
        <f t="shared" si="17"/>
        <v>#N/A</v>
      </c>
      <c r="L142" s="153">
        <f t="shared" si="22"/>
        <v>2036</v>
      </c>
      <c r="M142" s="177" t="str">
        <f t="shared" si="23"/>
        <v>Q1</v>
      </c>
      <c r="N142" s="177" t="str">
        <f t="shared" si="18"/>
        <v>2036Q1</v>
      </c>
      <c r="O142" s="184">
        <v>227897.829</v>
      </c>
      <c r="P142" s="251">
        <v>2062.277</v>
      </c>
      <c r="Q142" s="251">
        <v>2062.277</v>
      </c>
      <c r="R142" s="189">
        <v>70857.293052576584</v>
      </c>
      <c r="S142" s="189"/>
      <c r="T142" s="253">
        <f t="shared" si="20"/>
        <v>5127.8339999999998</v>
      </c>
      <c r="U142" s="189">
        <v>614.08197123421837</v>
      </c>
      <c r="V142" s="189">
        <v>5127.8339999999998</v>
      </c>
      <c r="W142" s="177">
        <f t="shared" si="21"/>
        <v>0.29776890846099646</v>
      </c>
      <c r="X142" s="177">
        <f t="shared" si="21"/>
        <v>2.486491387917336</v>
      </c>
    </row>
    <row r="143" spans="1:24" x14ac:dyDescent="0.2">
      <c r="A143" s="153">
        <v>2012</v>
      </c>
      <c r="B143" s="153">
        <v>10</v>
      </c>
      <c r="C143" s="153" t="str">
        <f t="shared" si="19"/>
        <v>201210</v>
      </c>
      <c r="D143" s="153" t="str">
        <f t="shared" ref="D143:D206" si="24">D131</f>
        <v>Q4</v>
      </c>
      <c r="E143" s="153">
        <f t="shared" si="17"/>
        <v>132095.09099999999</v>
      </c>
      <c r="F143" s="153">
        <f t="shared" si="17"/>
        <v>40421.283791564252</v>
      </c>
      <c r="G143" s="153">
        <f t="shared" si="17"/>
        <v>4407.7280000000001</v>
      </c>
      <c r="H143" s="153" t="e">
        <f t="shared" si="17"/>
        <v>#N/A</v>
      </c>
      <c r="L143" s="153">
        <f t="shared" si="22"/>
        <v>2036</v>
      </c>
      <c r="M143" s="177" t="str">
        <f t="shared" si="23"/>
        <v>Q2</v>
      </c>
      <c r="N143" s="177" t="str">
        <f t="shared" si="18"/>
        <v>2036Q2</v>
      </c>
      <c r="O143" s="184">
        <v>228888.74400000001</v>
      </c>
      <c r="P143" s="251">
        <v>2065.558</v>
      </c>
      <c r="Q143" s="251">
        <v>2065.558</v>
      </c>
      <c r="R143" s="189">
        <v>71135.634899548866</v>
      </c>
      <c r="S143" s="189"/>
      <c r="T143" s="253">
        <f t="shared" si="20"/>
        <v>5134.5159999999996</v>
      </c>
      <c r="U143" s="189">
        <v>615.31963809007061</v>
      </c>
      <c r="V143" s="189">
        <v>5134.5159999999996</v>
      </c>
      <c r="W143" s="177">
        <f t="shared" si="21"/>
        <v>0.29789511506821431</v>
      </c>
      <c r="X143" s="177">
        <f t="shared" si="21"/>
        <v>2.4857767247397553</v>
      </c>
    </row>
    <row r="144" spans="1:24" x14ac:dyDescent="0.2">
      <c r="A144" s="153">
        <v>2012</v>
      </c>
      <c r="B144" s="153">
        <v>11</v>
      </c>
      <c r="C144" s="153" t="str">
        <f t="shared" si="19"/>
        <v>201211</v>
      </c>
      <c r="D144" s="153" t="str">
        <f t="shared" si="24"/>
        <v>Q4</v>
      </c>
      <c r="E144" s="153">
        <f t="shared" si="17"/>
        <v>132095.09099999999</v>
      </c>
      <c r="F144" s="153">
        <f t="shared" si="17"/>
        <v>40421.283791564252</v>
      </c>
      <c r="G144" s="153">
        <f t="shared" si="17"/>
        <v>4407.7280000000001</v>
      </c>
      <c r="H144" s="153" t="e">
        <f t="shared" si="17"/>
        <v>#N/A</v>
      </c>
      <c r="L144" s="153">
        <f t="shared" si="22"/>
        <v>2036</v>
      </c>
      <c r="M144" s="177" t="str">
        <f t="shared" si="23"/>
        <v>Q3</v>
      </c>
      <c r="N144" s="177" t="str">
        <f t="shared" si="18"/>
        <v>2036Q3</v>
      </c>
      <c r="O144" s="184">
        <v>229812.7</v>
      </c>
      <c r="P144" s="251">
        <v>2068.8319999999999</v>
      </c>
      <c r="Q144" s="251">
        <v>2068.8319999999999</v>
      </c>
      <c r="R144" s="189">
        <v>71458.151592626236</v>
      </c>
      <c r="S144" s="189"/>
      <c r="T144" s="253">
        <f t="shared" si="20"/>
        <v>5141.1930000000002</v>
      </c>
      <c r="U144" s="189">
        <v>616.55778084099461</v>
      </c>
      <c r="V144" s="189">
        <v>5141.1930000000002</v>
      </c>
      <c r="W144" s="177">
        <f t="shared" si="21"/>
        <v>0.29802215976985791</v>
      </c>
      <c r="X144" s="177">
        <f t="shared" si="21"/>
        <v>2.4850703198713093</v>
      </c>
    </row>
    <row r="145" spans="1:24" x14ac:dyDescent="0.2">
      <c r="A145" s="153">
        <v>2012</v>
      </c>
      <c r="B145" s="153">
        <v>12</v>
      </c>
      <c r="C145" s="153" t="str">
        <f t="shared" si="19"/>
        <v>201212</v>
      </c>
      <c r="D145" s="153" t="str">
        <f t="shared" si="24"/>
        <v>Q4</v>
      </c>
      <c r="E145" s="153">
        <f t="shared" si="17"/>
        <v>132095.09099999999</v>
      </c>
      <c r="F145" s="153">
        <f t="shared" si="17"/>
        <v>40421.283791564252</v>
      </c>
      <c r="G145" s="153">
        <f t="shared" si="17"/>
        <v>4407.7280000000001</v>
      </c>
      <c r="H145" s="153" t="e">
        <f t="shared" si="17"/>
        <v>#N/A</v>
      </c>
      <c r="L145" s="153">
        <f t="shared" si="22"/>
        <v>2036</v>
      </c>
      <c r="M145" s="177" t="str">
        <f t="shared" si="23"/>
        <v>Q4</v>
      </c>
      <c r="N145" s="177" t="str">
        <f t="shared" si="18"/>
        <v>2036Q4</v>
      </c>
      <c r="O145" s="184">
        <v>230688.69399999999</v>
      </c>
      <c r="P145" s="251">
        <v>2072.0839999999998</v>
      </c>
      <c r="Q145" s="251">
        <v>2072.0839999999998</v>
      </c>
      <c r="R145" s="189">
        <v>71824.680357699355</v>
      </c>
      <c r="S145" s="189"/>
      <c r="T145" s="253">
        <f t="shared" si="20"/>
        <v>5147.8509999999997</v>
      </c>
      <c r="U145" s="189">
        <v>617.79489039157602</v>
      </c>
      <c r="V145" s="189">
        <v>5147.8509999999997</v>
      </c>
      <c r="W145" s="177">
        <f t="shared" si="21"/>
        <v>0.29815146991703817</v>
      </c>
      <c r="X145" s="177">
        <f t="shared" si="21"/>
        <v>2.484383355114947</v>
      </c>
    </row>
    <row r="146" spans="1:24" x14ac:dyDescent="0.2">
      <c r="A146" s="153">
        <v>2013</v>
      </c>
      <c r="B146" s="153">
        <v>1</v>
      </c>
      <c r="C146" s="153" t="str">
        <f t="shared" si="19"/>
        <v>20131</v>
      </c>
      <c r="D146" s="153" t="str">
        <f t="shared" si="24"/>
        <v>Q1</v>
      </c>
      <c r="E146" s="153">
        <f t="shared" si="17"/>
        <v>132729.997</v>
      </c>
      <c r="F146" s="153">
        <f t="shared" si="17"/>
        <v>40466.045989246653</v>
      </c>
      <c r="G146" s="153">
        <f t="shared" si="17"/>
        <v>4414.6940000000004</v>
      </c>
      <c r="H146" s="153" t="e">
        <f t="shared" si="17"/>
        <v>#N/A</v>
      </c>
      <c r="L146" s="153">
        <f t="shared" si="22"/>
        <v>2037</v>
      </c>
      <c r="M146" s="177" t="str">
        <f t="shared" si="23"/>
        <v>Q1</v>
      </c>
      <c r="N146" s="177" t="str">
        <f t="shared" si="18"/>
        <v>2037Q1</v>
      </c>
      <c r="O146" s="184">
        <v>232435.19899999999</v>
      </c>
      <c r="P146" s="251">
        <v>2076.9920000000002</v>
      </c>
      <c r="Q146" s="251">
        <v>2076.9920000000002</v>
      </c>
      <c r="R146" s="189">
        <v>72447.763150773302</v>
      </c>
      <c r="S146" s="189"/>
      <c r="T146" s="253">
        <f t="shared" si="20"/>
        <v>5154.5029999999997</v>
      </c>
      <c r="U146" s="189">
        <v>619.09722489805438</v>
      </c>
      <c r="V146" s="189">
        <v>5154.5029999999997</v>
      </c>
      <c r="W146" s="177">
        <f t="shared" si="21"/>
        <v>0.2980739573855144</v>
      </c>
      <c r="X146" s="177">
        <f t="shared" si="21"/>
        <v>2.4817153845561268</v>
      </c>
    </row>
    <row r="147" spans="1:24" x14ac:dyDescent="0.2">
      <c r="A147" s="153">
        <v>2013</v>
      </c>
      <c r="B147" s="153">
        <v>2</v>
      </c>
      <c r="C147" s="153" t="str">
        <f t="shared" si="19"/>
        <v>20132</v>
      </c>
      <c r="D147" s="153" t="str">
        <f t="shared" si="24"/>
        <v>Q1</v>
      </c>
      <c r="E147" s="153">
        <f t="shared" si="17"/>
        <v>132729.997</v>
      </c>
      <c r="F147" s="153">
        <f t="shared" si="17"/>
        <v>40466.045989246653</v>
      </c>
      <c r="G147" s="153">
        <f t="shared" si="17"/>
        <v>4414.6940000000004</v>
      </c>
      <c r="H147" s="153" t="e">
        <f t="shared" si="17"/>
        <v>#N/A</v>
      </c>
      <c r="L147" s="153">
        <f t="shared" si="22"/>
        <v>2037</v>
      </c>
      <c r="M147" s="177" t="str">
        <f t="shared" si="23"/>
        <v>Q2</v>
      </c>
      <c r="N147" s="177" t="str">
        <f t="shared" si="18"/>
        <v>2037Q2</v>
      </c>
      <c r="O147" s="184">
        <v>233443.413</v>
      </c>
      <c r="P147" s="251">
        <v>2079.442</v>
      </c>
      <c r="Q147" s="251">
        <v>2079.442</v>
      </c>
      <c r="R147" s="189">
        <v>72741.245498345263</v>
      </c>
      <c r="S147" s="189"/>
      <c r="T147" s="253">
        <f t="shared" si="20"/>
        <v>5161.152</v>
      </c>
      <c r="U147" s="189">
        <v>620.33591978819868</v>
      </c>
      <c r="V147" s="189">
        <v>5161.152</v>
      </c>
      <c r="W147" s="177">
        <f t="shared" si="21"/>
        <v>0.2983184526369087</v>
      </c>
      <c r="X147" s="177">
        <f t="shared" si="21"/>
        <v>2.4819889181809351</v>
      </c>
    </row>
    <row r="148" spans="1:24" x14ac:dyDescent="0.2">
      <c r="A148" s="153">
        <v>2013</v>
      </c>
      <c r="B148" s="153">
        <v>3</v>
      </c>
      <c r="C148" s="153" t="str">
        <f t="shared" si="19"/>
        <v>20133</v>
      </c>
      <c r="D148" s="153" t="str">
        <f t="shared" si="24"/>
        <v>Q1</v>
      </c>
      <c r="E148" s="153">
        <f t="shared" si="17"/>
        <v>132729.997</v>
      </c>
      <c r="F148" s="153">
        <f t="shared" si="17"/>
        <v>40466.045989246653</v>
      </c>
      <c r="G148" s="153">
        <f t="shared" si="17"/>
        <v>4414.6940000000004</v>
      </c>
      <c r="H148" s="153" t="e">
        <f t="shared" si="17"/>
        <v>#N/A</v>
      </c>
      <c r="L148" s="153">
        <f t="shared" si="22"/>
        <v>2037</v>
      </c>
      <c r="M148" s="177" t="str">
        <f t="shared" si="23"/>
        <v>Q3</v>
      </c>
      <c r="N148" s="177" t="str">
        <f t="shared" si="18"/>
        <v>2037Q3</v>
      </c>
      <c r="O148" s="184">
        <v>234353.842</v>
      </c>
      <c r="P148" s="251">
        <v>2082.4160000000002</v>
      </c>
      <c r="Q148" s="251">
        <v>2082.4160000000002</v>
      </c>
      <c r="R148" s="189">
        <v>73102.722593319864</v>
      </c>
      <c r="S148" s="189"/>
      <c r="T148" s="253">
        <f t="shared" si="20"/>
        <v>5167.8109999999997</v>
      </c>
      <c r="U148" s="189">
        <v>621.57704803638842</v>
      </c>
      <c r="V148" s="189">
        <v>5167.8109999999997</v>
      </c>
      <c r="W148" s="177">
        <f t="shared" si="21"/>
        <v>0.29848841347568805</v>
      </c>
      <c r="X148" s="177">
        <f t="shared" si="21"/>
        <v>2.4816419966039445</v>
      </c>
    </row>
    <row r="149" spans="1:24" x14ac:dyDescent="0.2">
      <c r="A149" s="153">
        <v>2013</v>
      </c>
      <c r="B149" s="153">
        <v>4</v>
      </c>
      <c r="C149" s="153" t="str">
        <f t="shared" si="19"/>
        <v>20134</v>
      </c>
      <c r="D149" s="153" t="str">
        <f t="shared" si="24"/>
        <v>Q2</v>
      </c>
      <c r="E149" s="153">
        <f t="shared" si="17"/>
        <v>133712.25599999999</v>
      </c>
      <c r="F149" s="153">
        <f t="shared" si="17"/>
        <v>40674.221991986815</v>
      </c>
      <c r="G149" s="153">
        <f t="shared" si="17"/>
        <v>4421.8450000000003</v>
      </c>
      <c r="H149" s="153" t="e">
        <f t="shared" si="17"/>
        <v>#N/A</v>
      </c>
      <c r="L149" s="153">
        <f t="shared" si="22"/>
        <v>2037</v>
      </c>
      <c r="M149" s="177" t="str">
        <f t="shared" si="23"/>
        <v>Q4</v>
      </c>
      <c r="N149" s="177" t="str">
        <f t="shared" si="18"/>
        <v>2037Q4</v>
      </c>
      <c r="O149" s="184">
        <v>235229.45199999999</v>
      </c>
      <c r="P149" s="251">
        <v>2085.3620000000001</v>
      </c>
      <c r="Q149" s="251">
        <v>2085.3620000000001</v>
      </c>
      <c r="R149" s="189">
        <v>73402.360419798119</v>
      </c>
      <c r="S149" s="189"/>
      <c r="T149" s="253">
        <f t="shared" si="20"/>
        <v>5174.4539999999997</v>
      </c>
      <c r="U149" s="189">
        <v>622.81751671910899</v>
      </c>
      <c r="V149" s="189">
        <v>5174.4539999999997</v>
      </c>
      <c r="W149" s="177">
        <f t="shared" si="21"/>
        <v>0.29866158332179688</v>
      </c>
      <c r="X149" s="177">
        <f t="shared" si="21"/>
        <v>2.4813217081734487</v>
      </c>
    </row>
    <row r="150" spans="1:24" x14ac:dyDescent="0.2">
      <c r="A150" s="153">
        <v>2013</v>
      </c>
      <c r="B150" s="153">
        <v>5</v>
      </c>
      <c r="C150" s="153" t="str">
        <f t="shared" si="19"/>
        <v>20135</v>
      </c>
      <c r="D150" s="153" t="str">
        <f t="shared" si="24"/>
        <v>Q2</v>
      </c>
      <c r="E150" s="153">
        <f t="shared" si="17"/>
        <v>133712.25599999999</v>
      </c>
      <c r="F150" s="153">
        <f t="shared" si="17"/>
        <v>40674.221991986815</v>
      </c>
      <c r="G150" s="153">
        <f t="shared" si="17"/>
        <v>4421.8450000000003</v>
      </c>
      <c r="H150" s="153" t="e">
        <f t="shared" si="17"/>
        <v>#N/A</v>
      </c>
      <c r="L150" s="153">
        <f t="shared" si="22"/>
        <v>2038</v>
      </c>
      <c r="M150" s="177" t="str">
        <f t="shared" si="23"/>
        <v>Q1</v>
      </c>
      <c r="N150" s="177" t="str">
        <f t="shared" si="18"/>
        <v>2038Q1</v>
      </c>
      <c r="O150" s="184">
        <v>237001.329</v>
      </c>
      <c r="P150" s="251">
        <v>2088.3440000000001</v>
      </c>
      <c r="Q150" s="251">
        <v>2088.3440000000001</v>
      </c>
      <c r="R150" s="189">
        <v>74168.296997856392</v>
      </c>
      <c r="S150" s="189"/>
      <c r="T150" s="253">
        <f t="shared" si="20"/>
        <v>5181.1000000000004</v>
      </c>
      <c r="U150" s="189">
        <v>624.12307531534395</v>
      </c>
      <c r="V150" s="189">
        <v>5181.1000000000004</v>
      </c>
      <c r="W150" s="177">
        <f t="shared" si="21"/>
        <v>0.29886028131157699</v>
      </c>
      <c r="X150" s="177">
        <f t="shared" si="21"/>
        <v>2.480960991101083</v>
      </c>
    </row>
    <row r="151" spans="1:24" x14ac:dyDescent="0.2">
      <c r="A151" s="153">
        <v>2013</v>
      </c>
      <c r="B151" s="153">
        <v>6</v>
      </c>
      <c r="C151" s="153" t="str">
        <f t="shared" si="19"/>
        <v>20136</v>
      </c>
      <c r="D151" s="153" t="str">
        <f t="shared" si="24"/>
        <v>Q2</v>
      </c>
      <c r="E151" s="153">
        <f t="shared" si="17"/>
        <v>133712.25599999999</v>
      </c>
      <c r="F151" s="153">
        <f t="shared" si="17"/>
        <v>40674.221991986815</v>
      </c>
      <c r="G151" s="153">
        <f t="shared" si="17"/>
        <v>4421.8450000000003</v>
      </c>
      <c r="H151" s="153" t="e">
        <f t="shared" si="17"/>
        <v>#N/A</v>
      </c>
      <c r="L151" s="153">
        <f t="shared" si="22"/>
        <v>2038</v>
      </c>
      <c r="M151" s="177" t="str">
        <f t="shared" si="23"/>
        <v>Q2</v>
      </c>
      <c r="N151" s="177" t="str">
        <f t="shared" si="18"/>
        <v>2038Q2</v>
      </c>
      <c r="O151" s="184">
        <v>237918.01</v>
      </c>
      <c r="P151" s="251">
        <v>2091.375</v>
      </c>
      <c r="Q151" s="251">
        <v>2091.375</v>
      </c>
      <c r="R151" s="189">
        <v>74450.486243109015</v>
      </c>
      <c r="S151" s="189"/>
      <c r="T151" s="253">
        <f t="shared" si="20"/>
        <v>5187.7489999999998</v>
      </c>
      <c r="U151" s="189">
        <v>625.36688214467949</v>
      </c>
      <c r="V151" s="189">
        <v>5187.7489999999998</v>
      </c>
      <c r="W151" s="177">
        <f t="shared" si="21"/>
        <v>0.29902187897659649</v>
      </c>
      <c r="X151" s="177">
        <f t="shared" si="21"/>
        <v>2.4805446177753869</v>
      </c>
    </row>
    <row r="152" spans="1:24" x14ac:dyDescent="0.2">
      <c r="A152" s="153">
        <v>2013</v>
      </c>
      <c r="B152" s="153">
        <v>7</v>
      </c>
      <c r="C152" s="153" t="str">
        <f t="shared" si="19"/>
        <v>20137</v>
      </c>
      <c r="D152" s="153" t="str">
        <f t="shared" si="24"/>
        <v>Q3</v>
      </c>
      <c r="E152" s="153">
        <f t="shared" si="17"/>
        <v>134397.17499999999</v>
      </c>
      <c r="F152" s="153">
        <f t="shared" si="17"/>
        <v>40887.017192114734</v>
      </c>
      <c r="G152" s="153">
        <f t="shared" si="17"/>
        <v>4429.1769999999997</v>
      </c>
      <c r="H152" s="153" t="e">
        <f t="shared" si="17"/>
        <v>#N/A</v>
      </c>
      <c r="L152" s="153">
        <f t="shared" si="22"/>
        <v>2038</v>
      </c>
      <c r="M152" s="177" t="str">
        <f t="shared" si="23"/>
        <v>Q3</v>
      </c>
      <c r="N152" s="177" t="str">
        <f t="shared" si="18"/>
        <v>2038Q3</v>
      </c>
      <c r="O152" s="184">
        <v>238774.076</v>
      </c>
      <c r="P152" s="251">
        <v>2094.3809999999999</v>
      </c>
      <c r="Q152" s="251">
        <v>2094.3809999999999</v>
      </c>
      <c r="R152" s="189">
        <v>74816.632055130074</v>
      </c>
      <c r="S152" s="189"/>
      <c r="T152" s="253">
        <f t="shared" si="20"/>
        <v>5194.402</v>
      </c>
      <c r="U152" s="189">
        <v>626.6757622102748</v>
      </c>
      <c r="V152" s="189">
        <v>5194.402</v>
      </c>
      <c r="W152" s="177">
        <f t="shared" si="21"/>
        <v>0.29921765056609795</v>
      </c>
      <c r="X152" s="177">
        <f t="shared" si="21"/>
        <v>2.4801609640270801</v>
      </c>
    </row>
    <row r="153" spans="1:24" x14ac:dyDescent="0.2">
      <c r="A153" s="153">
        <v>2013</v>
      </c>
      <c r="B153" s="153">
        <v>8</v>
      </c>
      <c r="C153" s="153" t="str">
        <f t="shared" si="19"/>
        <v>20138</v>
      </c>
      <c r="D153" s="153" t="str">
        <f t="shared" si="24"/>
        <v>Q3</v>
      </c>
      <c r="E153" s="153">
        <f t="shared" si="17"/>
        <v>134397.17499999999</v>
      </c>
      <c r="F153" s="153">
        <f t="shared" si="17"/>
        <v>40887.017192114734</v>
      </c>
      <c r="G153" s="153">
        <f t="shared" si="17"/>
        <v>4429.1769999999997</v>
      </c>
      <c r="H153" s="153" t="e">
        <f t="shared" si="17"/>
        <v>#N/A</v>
      </c>
      <c r="L153" s="153">
        <f t="shared" si="22"/>
        <v>2038</v>
      </c>
      <c r="M153" s="177" t="str">
        <f t="shared" si="23"/>
        <v>Q4</v>
      </c>
      <c r="N153" s="177" t="str">
        <f t="shared" si="18"/>
        <v>2038Q4</v>
      </c>
      <c r="O153" s="184">
        <v>239533.158</v>
      </c>
      <c r="P153" s="251">
        <v>2097.3989999999999</v>
      </c>
      <c r="Q153" s="251">
        <v>2097.3989999999999</v>
      </c>
      <c r="R153" s="189">
        <v>75064.067244100908</v>
      </c>
      <c r="S153" s="189"/>
      <c r="T153" s="253">
        <f t="shared" si="20"/>
        <v>5201.0860000000002</v>
      </c>
      <c r="U153" s="189">
        <v>627.92641844128025</v>
      </c>
      <c r="V153" s="189">
        <v>5201.0860000000002</v>
      </c>
      <c r="W153" s="177">
        <f t="shared" si="21"/>
        <v>0.29938338792060082</v>
      </c>
      <c r="X153" s="177">
        <f t="shared" si="21"/>
        <v>2.479779002469249</v>
      </c>
    </row>
    <row r="154" spans="1:24" x14ac:dyDescent="0.2">
      <c r="A154" s="153">
        <v>2013</v>
      </c>
      <c r="B154" s="153">
        <v>9</v>
      </c>
      <c r="C154" s="153" t="str">
        <f t="shared" si="19"/>
        <v>20139</v>
      </c>
      <c r="D154" s="153" t="str">
        <f t="shared" si="24"/>
        <v>Q3</v>
      </c>
      <c r="E154" s="153">
        <f t="shared" si="17"/>
        <v>134397.17499999999</v>
      </c>
      <c r="F154" s="153">
        <f t="shared" si="17"/>
        <v>40887.017192114734</v>
      </c>
      <c r="G154" s="153">
        <f t="shared" si="17"/>
        <v>4429.1769999999997</v>
      </c>
      <c r="H154" s="153" t="e">
        <f t="shared" si="17"/>
        <v>#N/A</v>
      </c>
      <c r="L154" s="153">
        <f t="shared" si="22"/>
        <v>2039</v>
      </c>
      <c r="M154" s="177" t="str">
        <f t="shared" si="23"/>
        <v>Q1</v>
      </c>
      <c r="N154" s="177" t="str">
        <f t="shared" si="18"/>
        <v>2039Q1</v>
      </c>
      <c r="O154" s="184">
        <v>241255.864</v>
      </c>
      <c r="P154" s="251">
        <v>2100.3829999999998</v>
      </c>
      <c r="Q154" s="251">
        <v>2100.3829999999998</v>
      </c>
      <c r="R154" s="189">
        <v>75840.568404815305</v>
      </c>
      <c r="S154" s="189"/>
      <c r="T154" s="253">
        <f t="shared" si="20"/>
        <v>5207.7619999999997</v>
      </c>
      <c r="U154" s="189">
        <v>629.17800150538812</v>
      </c>
      <c r="V154" s="189">
        <v>5207.7619999999997</v>
      </c>
      <c r="W154" s="177">
        <f t="shared" si="21"/>
        <v>0.29955393921269985</v>
      </c>
      <c r="X154" s="177">
        <f t="shared" si="21"/>
        <v>2.4794344650475653</v>
      </c>
    </row>
    <row r="155" spans="1:24" x14ac:dyDescent="0.2">
      <c r="A155" s="153">
        <v>2013</v>
      </c>
      <c r="B155" s="153">
        <v>10</v>
      </c>
      <c r="C155" s="153" t="str">
        <f t="shared" si="19"/>
        <v>201310</v>
      </c>
      <c r="D155" s="153" t="str">
        <f t="shared" si="24"/>
        <v>Q4</v>
      </c>
      <c r="E155" s="153">
        <f t="shared" si="17"/>
        <v>135147.93599999999</v>
      </c>
      <c r="F155" s="153">
        <f t="shared" si="17"/>
        <v>41128.895775846191</v>
      </c>
      <c r="G155" s="153">
        <f t="shared" si="17"/>
        <v>4436.7079999999996</v>
      </c>
      <c r="H155" s="153" t="e">
        <f t="shared" si="17"/>
        <v>#N/A</v>
      </c>
      <c r="L155" s="153">
        <f t="shared" si="22"/>
        <v>2039</v>
      </c>
      <c r="M155" s="177" t="str">
        <f t="shared" si="23"/>
        <v>Q2</v>
      </c>
      <c r="N155" s="177" t="str">
        <f t="shared" si="18"/>
        <v>2039Q2</v>
      </c>
      <c r="O155" s="184">
        <v>242089.55</v>
      </c>
      <c r="P155" s="251">
        <v>2103.498</v>
      </c>
      <c r="Q155" s="251">
        <v>2103.498</v>
      </c>
      <c r="R155" s="189">
        <v>76141.322355622717</v>
      </c>
      <c r="S155" s="189"/>
      <c r="T155" s="253">
        <f t="shared" si="20"/>
        <v>5214.4319999999998</v>
      </c>
      <c r="U155" s="189">
        <v>630.42944147805736</v>
      </c>
      <c r="V155" s="189">
        <v>5214.4319999999998</v>
      </c>
      <c r="W155" s="177">
        <f t="shared" si="21"/>
        <v>0.29970527258787855</v>
      </c>
      <c r="X155" s="177">
        <f t="shared" si="21"/>
        <v>2.4789336619288442</v>
      </c>
    </row>
    <row r="156" spans="1:24" x14ac:dyDescent="0.2">
      <c r="A156" s="153">
        <v>2013</v>
      </c>
      <c r="B156" s="153">
        <v>11</v>
      </c>
      <c r="C156" s="153" t="str">
        <f t="shared" si="19"/>
        <v>201311</v>
      </c>
      <c r="D156" s="153" t="str">
        <f t="shared" si="24"/>
        <v>Q4</v>
      </c>
      <c r="E156" s="153">
        <f t="shared" si="17"/>
        <v>135147.93599999999</v>
      </c>
      <c r="F156" s="153">
        <f t="shared" si="17"/>
        <v>41128.895775846191</v>
      </c>
      <c r="G156" s="153">
        <f t="shared" si="17"/>
        <v>4436.7079999999996</v>
      </c>
      <c r="H156" s="153" t="e">
        <f t="shared" si="17"/>
        <v>#N/A</v>
      </c>
      <c r="L156" s="153">
        <f t="shared" si="22"/>
        <v>2039</v>
      </c>
      <c r="M156" s="177" t="str">
        <f t="shared" si="23"/>
        <v>Q3</v>
      </c>
      <c r="N156" s="177" t="str">
        <f t="shared" si="18"/>
        <v>2039Q3</v>
      </c>
      <c r="O156" s="184">
        <v>242952.587</v>
      </c>
      <c r="P156" s="251">
        <v>2106.587</v>
      </c>
      <c r="Q156" s="251">
        <v>2106.587</v>
      </c>
      <c r="R156" s="189">
        <v>76492.965770602008</v>
      </c>
      <c r="S156" s="189"/>
      <c r="T156" s="253">
        <f t="shared" si="20"/>
        <v>5221.0969999999998</v>
      </c>
      <c r="U156" s="189">
        <v>631.80927700202119</v>
      </c>
      <c r="V156" s="189">
        <v>5221.0969999999998</v>
      </c>
      <c r="W156" s="177">
        <f t="shared" si="21"/>
        <v>0.29992080887332029</v>
      </c>
      <c r="X156" s="177">
        <f t="shared" si="21"/>
        <v>2.4784625557833593</v>
      </c>
    </row>
    <row r="157" spans="1:24" x14ac:dyDescent="0.2">
      <c r="A157" s="153">
        <v>2013</v>
      </c>
      <c r="B157" s="153">
        <v>12</v>
      </c>
      <c r="C157" s="153" t="str">
        <f t="shared" si="19"/>
        <v>201312</v>
      </c>
      <c r="D157" s="153" t="str">
        <f t="shared" si="24"/>
        <v>Q4</v>
      </c>
      <c r="E157" s="153">
        <f t="shared" si="17"/>
        <v>135147.93599999999</v>
      </c>
      <c r="F157" s="153">
        <f t="shared" si="17"/>
        <v>41128.895775846191</v>
      </c>
      <c r="G157" s="153">
        <f t="shared" si="17"/>
        <v>4436.7079999999996</v>
      </c>
      <c r="H157" s="153" t="e">
        <f t="shared" si="17"/>
        <v>#N/A</v>
      </c>
      <c r="L157" s="153">
        <f t="shared" si="22"/>
        <v>2039</v>
      </c>
      <c r="M157" s="177" t="str">
        <f t="shared" si="23"/>
        <v>Q4</v>
      </c>
      <c r="N157" s="177" t="str">
        <f t="shared" si="18"/>
        <v>2039Q4</v>
      </c>
      <c r="O157" s="184">
        <v>243706.79399999999</v>
      </c>
      <c r="P157" s="251">
        <v>2109.66</v>
      </c>
      <c r="Q157" s="251">
        <v>2109.66</v>
      </c>
      <c r="R157" s="189">
        <v>76695.004703515413</v>
      </c>
      <c r="S157" s="189"/>
      <c r="T157" s="253">
        <f t="shared" si="20"/>
        <v>5227.7560000000003</v>
      </c>
      <c r="U157" s="189">
        <v>633.06216126926881</v>
      </c>
      <c r="V157" s="189">
        <v>5227.7560000000003</v>
      </c>
      <c r="W157" s="177">
        <f t="shared" si="21"/>
        <v>0.30007781408817952</v>
      </c>
      <c r="X157" s="177">
        <f t="shared" si="21"/>
        <v>2.4780087786657568</v>
      </c>
    </row>
    <row r="158" spans="1:24" x14ac:dyDescent="0.2">
      <c r="A158" s="153">
        <v>2014</v>
      </c>
      <c r="B158" s="153">
        <v>1</v>
      </c>
      <c r="C158" s="153" t="str">
        <f t="shared" si="19"/>
        <v>20141</v>
      </c>
      <c r="D158" s="153" t="str">
        <f t="shared" si="24"/>
        <v>Q1</v>
      </c>
      <c r="E158" s="153">
        <f t="shared" si="17"/>
        <v>136646.935</v>
      </c>
      <c r="F158" s="153">
        <f t="shared" si="17"/>
        <v>41502.915812465311</v>
      </c>
      <c r="G158" s="153">
        <f t="shared" si="17"/>
        <v>4444.3590000000004</v>
      </c>
      <c r="H158" s="153" t="e">
        <f t="shared" si="17"/>
        <v>#N/A</v>
      </c>
      <c r="L158" s="153">
        <f t="shared" si="22"/>
        <v>2040</v>
      </c>
      <c r="M158" s="177" t="str">
        <f t="shared" si="23"/>
        <v>Q1</v>
      </c>
      <c r="N158" s="177" t="str">
        <f t="shared" si="18"/>
        <v>2040Q1</v>
      </c>
      <c r="O158" s="184">
        <v>245424.038</v>
      </c>
      <c r="P158" s="251">
        <v>2112.6480000000001</v>
      </c>
      <c r="Q158" s="251">
        <v>2112.6480000000001</v>
      </c>
      <c r="R158" s="189">
        <v>77513.638711835636</v>
      </c>
      <c r="S158" s="189"/>
      <c r="T158" s="253">
        <f t="shared" si="20"/>
        <v>5234.41</v>
      </c>
      <c r="U158" s="189">
        <v>634.25135022203006</v>
      </c>
      <c r="V158" s="189">
        <v>5234.41</v>
      </c>
      <c r="W158" s="177">
        <f t="shared" si="21"/>
        <v>0.30021629264412719</v>
      </c>
      <c r="X158" s="177">
        <f t="shared" si="21"/>
        <v>2.4776536365736268</v>
      </c>
    </row>
    <row r="159" spans="1:24" x14ac:dyDescent="0.2">
      <c r="A159" s="153">
        <v>2014</v>
      </c>
      <c r="B159" s="153">
        <v>2</v>
      </c>
      <c r="C159" s="153" t="str">
        <f t="shared" si="19"/>
        <v>20142</v>
      </c>
      <c r="D159" s="153" t="str">
        <f t="shared" si="24"/>
        <v>Q1</v>
      </c>
      <c r="E159" s="153">
        <f t="shared" si="17"/>
        <v>136646.935</v>
      </c>
      <c r="F159" s="153">
        <f t="shared" si="17"/>
        <v>41502.915812465311</v>
      </c>
      <c r="G159" s="153">
        <f t="shared" si="17"/>
        <v>4444.3590000000004</v>
      </c>
      <c r="H159" s="153" t="e">
        <f t="shared" si="17"/>
        <v>#N/A</v>
      </c>
      <c r="L159" s="153">
        <f t="shared" si="22"/>
        <v>2040</v>
      </c>
      <c r="M159" s="177" t="str">
        <f t="shared" si="23"/>
        <v>Q2</v>
      </c>
      <c r="N159" s="177" t="str">
        <f t="shared" si="18"/>
        <v>2040Q2</v>
      </c>
      <c r="O159" s="184">
        <v>246375.226</v>
      </c>
      <c r="P159" s="251">
        <v>2115.703</v>
      </c>
      <c r="Q159" s="251">
        <v>2115.703</v>
      </c>
      <c r="R159" s="189">
        <v>77841.976074505961</v>
      </c>
      <c r="S159" s="189"/>
      <c r="T159" s="253">
        <f t="shared" si="20"/>
        <v>5241.0609999999997</v>
      </c>
      <c r="U159" s="189">
        <v>635.50431009664203</v>
      </c>
      <c r="V159" s="189">
        <v>5241.0609999999997</v>
      </c>
      <c r="W159" s="177">
        <f t="shared" si="21"/>
        <v>0.30037501014870333</v>
      </c>
      <c r="X159" s="177">
        <f t="shared" si="21"/>
        <v>2.477219628652982</v>
      </c>
    </row>
    <row r="160" spans="1:24" x14ac:dyDescent="0.2">
      <c r="A160" s="153">
        <v>2014</v>
      </c>
      <c r="B160" s="153">
        <v>3</v>
      </c>
      <c r="C160" s="153" t="str">
        <f t="shared" si="19"/>
        <v>20143</v>
      </c>
      <c r="D160" s="153" t="str">
        <f t="shared" si="24"/>
        <v>Q1</v>
      </c>
      <c r="E160" s="153">
        <f t="shared" si="17"/>
        <v>136646.935</v>
      </c>
      <c r="F160" s="153">
        <f t="shared" si="17"/>
        <v>41502.915812465311</v>
      </c>
      <c r="G160" s="153">
        <f t="shared" si="17"/>
        <v>4444.3590000000004</v>
      </c>
      <c r="H160" s="153" t="e">
        <f t="shared" si="17"/>
        <v>#N/A</v>
      </c>
      <c r="L160" s="153">
        <f t="shared" si="22"/>
        <v>2040</v>
      </c>
      <c r="M160" s="177" t="str">
        <f t="shared" si="23"/>
        <v>Q3</v>
      </c>
      <c r="N160" s="177" t="str">
        <f t="shared" si="18"/>
        <v>2040Q3</v>
      </c>
      <c r="O160" s="184">
        <v>247249.16699999999</v>
      </c>
      <c r="P160" s="251">
        <v>2118.7440000000001</v>
      </c>
      <c r="Q160" s="251">
        <v>2118.7440000000001</v>
      </c>
      <c r="R160" s="189">
        <v>78204.146715535113</v>
      </c>
      <c r="S160" s="189"/>
      <c r="T160" s="253">
        <f t="shared" si="20"/>
        <v>5247.7089999999998</v>
      </c>
      <c r="U160" s="189">
        <v>636.950438588221</v>
      </c>
      <c r="V160" s="189">
        <v>5247.7089999999998</v>
      </c>
      <c r="W160" s="177">
        <f t="shared" si="21"/>
        <v>0.30062642706632842</v>
      </c>
      <c r="X160" s="177">
        <f t="shared" si="21"/>
        <v>2.4768018222116495</v>
      </c>
    </row>
    <row r="161" spans="1:24" x14ac:dyDescent="0.2">
      <c r="A161" s="153">
        <v>2014</v>
      </c>
      <c r="B161" s="153">
        <v>4</v>
      </c>
      <c r="C161" s="153" t="str">
        <f t="shared" si="19"/>
        <v>20144</v>
      </c>
      <c r="D161" s="153" t="str">
        <f t="shared" si="24"/>
        <v>Q2</v>
      </c>
      <c r="E161" s="153">
        <f t="shared" si="17"/>
        <v>137566.70699999999</v>
      </c>
      <c r="F161" s="153">
        <f t="shared" si="17"/>
        <v>41808.34126836736</v>
      </c>
      <c r="G161" s="153">
        <f t="shared" si="17"/>
        <v>4452.1120000000001</v>
      </c>
      <c r="H161" s="153" t="e">
        <f t="shared" si="17"/>
        <v>#N/A</v>
      </c>
      <c r="L161" s="153">
        <f t="shared" si="22"/>
        <v>2040</v>
      </c>
      <c r="M161" s="177" t="str">
        <f t="shared" si="23"/>
        <v>Q4</v>
      </c>
      <c r="N161" s="177" t="str">
        <f t="shared" si="18"/>
        <v>2040Q4</v>
      </c>
      <c r="O161" s="184">
        <v>247944.00599999999</v>
      </c>
      <c r="P161" s="251">
        <v>2121.819</v>
      </c>
      <c r="Q161" s="251">
        <v>2121.819</v>
      </c>
      <c r="R161" s="189">
        <v>78353.210632927832</v>
      </c>
      <c r="S161" s="189"/>
      <c r="T161" s="253">
        <f t="shared" si="20"/>
        <v>5254.3540000000003</v>
      </c>
      <c r="U161" s="189">
        <v>638.20565882033202</v>
      </c>
      <c r="V161" s="189">
        <v>5254.3540000000003</v>
      </c>
      <c r="W161" s="177">
        <f t="shared" si="21"/>
        <v>0.30078232819120387</v>
      </c>
      <c r="X161" s="177">
        <f t="shared" si="21"/>
        <v>2.4763441179478551</v>
      </c>
    </row>
    <row r="162" spans="1:24" x14ac:dyDescent="0.2">
      <c r="A162" s="153">
        <v>2014</v>
      </c>
      <c r="B162" s="153">
        <v>5</v>
      </c>
      <c r="C162" s="153" t="str">
        <f t="shared" si="19"/>
        <v>20145</v>
      </c>
      <c r="D162" s="153" t="str">
        <f t="shared" si="24"/>
        <v>Q2</v>
      </c>
      <c r="E162" s="153">
        <f t="shared" si="17"/>
        <v>137566.70699999999</v>
      </c>
      <c r="F162" s="153">
        <f t="shared" si="17"/>
        <v>41808.34126836736</v>
      </c>
      <c r="G162" s="153">
        <f t="shared" si="17"/>
        <v>4452.1120000000001</v>
      </c>
      <c r="H162" s="153" t="e">
        <f t="shared" ref="F162:H225" si="25">VLOOKUP($A162&amp;$D162,$N$1:$T$169,MATCH(H$1,$N$1:$T$1,0),0)</f>
        <v>#N/A</v>
      </c>
      <c r="L162" s="153">
        <f t="shared" si="22"/>
        <v>2041</v>
      </c>
      <c r="M162" s="177" t="str">
        <f t="shared" si="23"/>
        <v>Q1</v>
      </c>
      <c r="N162" s="177" t="str">
        <f t="shared" si="18"/>
        <v>2041Q1</v>
      </c>
      <c r="O162" s="188">
        <v>249612.27900000001</v>
      </c>
      <c r="P162" s="252">
        <v>2125.2959999999998</v>
      </c>
      <c r="Q162" s="252">
        <v>2125.2959999999998</v>
      </c>
      <c r="R162" s="189">
        <v>79359.287038077135</v>
      </c>
      <c r="S162" s="189"/>
      <c r="T162" s="253">
        <f t="shared" si="20"/>
        <v>5261</v>
      </c>
      <c r="U162" s="189">
        <v>639.33871660719103</v>
      </c>
      <c r="V162" s="189">
        <v>5261</v>
      </c>
      <c r="W162" s="177">
        <f t="shared" si="21"/>
        <v>0.30082337547672938</v>
      </c>
      <c r="X162" s="177">
        <f t="shared" si="21"/>
        <v>2.4754198944523496</v>
      </c>
    </row>
    <row r="163" spans="1:24" x14ac:dyDescent="0.2">
      <c r="A163" s="153">
        <v>2014</v>
      </c>
      <c r="B163" s="153">
        <v>6</v>
      </c>
      <c r="C163" s="153" t="str">
        <f t="shared" si="19"/>
        <v>20146</v>
      </c>
      <c r="D163" s="153" t="str">
        <f t="shared" si="24"/>
        <v>Q2</v>
      </c>
      <c r="E163" s="153">
        <f t="shared" ref="E163:H226" si="26">VLOOKUP($A163&amp;$D163,$N$1:$T$169,MATCH(E$1,$N$1:$T$1,0),0)</f>
        <v>137566.70699999999</v>
      </c>
      <c r="F163" s="153">
        <f t="shared" si="25"/>
        <v>41808.34126836736</v>
      </c>
      <c r="G163" s="153">
        <f t="shared" si="25"/>
        <v>4452.1120000000001</v>
      </c>
      <c r="H163" s="153" t="e">
        <f t="shared" si="25"/>
        <v>#N/A</v>
      </c>
      <c r="L163" s="153">
        <f t="shared" si="22"/>
        <v>2041</v>
      </c>
      <c r="M163" s="177" t="str">
        <f t="shared" si="23"/>
        <v>Q2</v>
      </c>
      <c r="N163" s="177" t="str">
        <f t="shared" si="18"/>
        <v>2041Q2</v>
      </c>
      <c r="O163" s="188">
        <v>250429.492</v>
      </c>
      <c r="P163" s="252">
        <v>2128.549</v>
      </c>
      <c r="Q163" s="252">
        <v>2128.549</v>
      </c>
      <c r="R163" s="189">
        <v>79663.055240366433</v>
      </c>
      <c r="S163" s="189"/>
      <c r="T163" s="253">
        <f t="shared" si="20"/>
        <v>5267.6459999999997</v>
      </c>
      <c r="U163" s="189">
        <v>640.59501436949245</v>
      </c>
      <c r="V163" s="189">
        <v>5267.6459999999997</v>
      </c>
      <c r="W163" s="177">
        <f t="shared" si="21"/>
        <v>0.30095384901615724</v>
      </c>
      <c r="X163" s="177">
        <f t="shared" si="21"/>
        <v>2.4747590964549087</v>
      </c>
    </row>
    <row r="164" spans="1:24" x14ac:dyDescent="0.2">
      <c r="A164" s="153">
        <v>2014</v>
      </c>
      <c r="B164" s="153">
        <v>7</v>
      </c>
      <c r="C164" s="153" t="str">
        <f t="shared" si="19"/>
        <v>20147</v>
      </c>
      <c r="D164" s="153" t="str">
        <f t="shared" si="24"/>
        <v>Q3</v>
      </c>
      <c r="E164" s="153">
        <f t="shared" si="26"/>
        <v>138505.228</v>
      </c>
      <c r="F164" s="153">
        <f t="shared" si="25"/>
        <v>42112.64484379522</v>
      </c>
      <c r="G164" s="153">
        <f t="shared" si="25"/>
        <v>4459.9639999999999</v>
      </c>
      <c r="H164" s="153" t="e">
        <f t="shared" si="25"/>
        <v>#N/A</v>
      </c>
      <c r="L164" s="153">
        <f t="shared" si="22"/>
        <v>2041</v>
      </c>
      <c r="M164" s="177" t="str">
        <f t="shared" si="23"/>
        <v>Q3</v>
      </c>
      <c r="N164" s="177" t="str">
        <f t="shared" si="18"/>
        <v>2041Q3</v>
      </c>
      <c r="O164" s="188">
        <v>251394.72700000001</v>
      </c>
      <c r="P164" s="252">
        <v>2131.8040000000001</v>
      </c>
      <c r="Q164" s="252">
        <v>2131.8040000000001</v>
      </c>
      <c r="R164" s="189">
        <v>80091.173605845252</v>
      </c>
      <c r="S164" s="189"/>
      <c r="T164" s="253">
        <f t="shared" si="20"/>
        <v>5274.2950000000001</v>
      </c>
      <c r="U164" s="189">
        <v>642.11068526836198</v>
      </c>
      <c r="V164" s="189">
        <v>5274.2950000000001</v>
      </c>
      <c r="W164" s="177">
        <f t="shared" si="21"/>
        <v>0.301205310276349</v>
      </c>
      <c r="X164" s="177">
        <f t="shared" si="21"/>
        <v>2.4740994012582771</v>
      </c>
    </row>
    <row r="165" spans="1:24" x14ac:dyDescent="0.2">
      <c r="A165" s="153">
        <v>2014</v>
      </c>
      <c r="B165" s="153">
        <v>8</v>
      </c>
      <c r="C165" s="153" t="str">
        <f t="shared" si="19"/>
        <v>20148</v>
      </c>
      <c r="D165" s="153" t="str">
        <f t="shared" si="24"/>
        <v>Q3</v>
      </c>
      <c r="E165" s="153">
        <f t="shared" si="26"/>
        <v>138505.228</v>
      </c>
      <c r="F165" s="153">
        <f t="shared" si="25"/>
        <v>42112.64484379522</v>
      </c>
      <c r="G165" s="153">
        <f t="shared" si="25"/>
        <v>4459.9639999999999</v>
      </c>
      <c r="H165" s="153" t="e">
        <f t="shared" si="25"/>
        <v>#N/A</v>
      </c>
      <c r="L165" s="153">
        <f t="shared" si="22"/>
        <v>2041</v>
      </c>
      <c r="M165" s="177" t="str">
        <f t="shared" si="23"/>
        <v>Q4</v>
      </c>
      <c r="N165" s="177" t="str">
        <f t="shared" si="18"/>
        <v>2041Q4</v>
      </c>
      <c r="O165" s="188">
        <v>252359.43400000001</v>
      </c>
      <c r="P165" s="252">
        <v>2135.0920000000001</v>
      </c>
      <c r="Q165" s="252">
        <v>2135.0920000000001</v>
      </c>
      <c r="R165" s="189">
        <v>80240.833138693764</v>
      </c>
      <c r="S165" s="189"/>
      <c r="T165" s="253">
        <f t="shared" si="20"/>
        <v>5280.9449999999997</v>
      </c>
      <c r="U165" s="189">
        <v>643.37052213524282</v>
      </c>
      <c r="V165" s="189">
        <v>5280.9449999999997</v>
      </c>
      <c r="W165" s="177">
        <f t="shared" si="21"/>
        <v>0.30133152207738251</v>
      </c>
      <c r="X165" s="177">
        <f t="shared" si="21"/>
        <v>2.4734039563634727</v>
      </c>
    </row>
    <row r="166" spans="1:24" x14ac:dyDescent="0.2">
      <c r="A166" s="153">
        <v>2014</v>
      </c>
      <c r="B166" s="153">
        <v>9</v>
      </c>
      <c r="C166" s="153" t="str">
        <f t="shared" si="19"/>
        <v>20149</v>
      </c>
      <c r="D166" s="153" t="str">
        <f t="shared" si="24"/>
        <v>Q3</v>
      </c>
      <c r="E166" s="153">
        <f t="shared" si="26"/>
        <v>138505.228</v>
      </c>
      <c r="F166" s="153">
        <f t="shared" si="25"/>
        <v>42112.64484379522</v>
      </c>
      <c r="G166" s="153">
        <f t="shared" si="25"/>
        <v>4459.9639999999999</v>
      </c>
      <c r="H166" s="153" t="e">
        <f t="shared" si="25"/>
        <v>#N/A</v>
      </c>
      <c r="L166" s="153">
        <f t="shared" si="22"/>
        <v>2042</v>
      </c>
      <c r="M166" s="177" t="str">
        <f t="shared" si="23"/>
        <v>Q1</v>
      </c>
      <c r="N166" s="177" t="str">
        <f t="shared" si="18"/>
        <v>2042Q1</v>
      </c>
      <c r="O166" s="188">
        <f>O165+O174</f>
        <v>254274.40215799998</v>
      </c>
      <c r="P166" s="187">
        <f>P161*(1.0075)</f>
        <v>2137.7326425000001</v>
      </c>
      <c r="Q166" s="187"/>
      <c r="R166" s="187">
        <f>R162*(1.024)</f>
        <v>81263.909926990993</v>
      </c>
      <c r="S166" s="189"/>
      <c r="T166" s="187">
        <f>T162*(1.024)</f>
        <v>5387.2640000000001</v>
      </c>
    </row>
    <row r="167" spans="1:24" x14ac:dyDescent="0.2">
      <c r="A167" s="153">
        <v>2014</v>
      </c>
      <c r="B167" s="153">
        <v>10</v>
      </c>
      <c r="C167" s="153" t="str">
        <f t="shared" si="19"/>
        <v>201410</v>
      </c>
      <c r="D167" s="153" t="str">
        <f t="shared" si="24"/>
        <v>Q4</v>
      </c>
      <c r="E167" s="153">
        <f t="shared" si="26"/>
        <v>139445.223</v>
      </c>
      <c r="F167" s="153">
        <f t="shared" si="25"/>
        <v>42435.52573788313</v>
      </c>
      <c r="G167" s="153">
        <f t="shared" si="25"/>
        <v>4467.9120000000003</v>
      </c>
      <c r="H167" s="153" t="e">
        <f t="shared" si="25"/>
        <v>#N/A</v>
      </c>
      <c r="L167" s="153">
        <f t="shared" si="22"/>
        <v>2042</v>
      </c>
      <c r="M167" s="177" t="str">
        <f t="shared" si="23"/>
        <v>Q2</v>
      </c>
      <c r="N167" s="177" t="str">
        <f t="shared" si="18"/>
        <v>2042Q2</v>
      </c>
      <c r="O167" s="187">
        <f t="shared" ref="O167:O169" si="27">O163*(1.023)</f>
        <v>256189.37031599999</v>
      </c>
      <c r="P167" s="187">
        <f>P162*(1.0075)</f>
        <v>2141.2357200000001</v>
      </c>
      <c r="Q167" s="187"/>
      <c r="R167" s="187">
        <f t="shared" ref="R167:T169" si="28">R163*(1.024)</f>
        <v>81574.968566135227</v>
      </c>
      <c r="S167" s="189"/>
      <c r="T167" s="187">
        <f t="shared" si="28"/>
        <v>5394.0695040000001</v>
      </c>
    </row>
    <row r="168" spans="1:24" x14ac:dyDescent="0.2">
      <c r="A168" s="153">
        <v>2014</v>
      </c>
      <c r="B168" s="153">
        <v>11</v>
      </c>
      <c r="C168" s="153" t="str">
        <f t="shared" si="19"/>
        <v>201411</v>
      </c>
      <c r="D168" s="153" t="str">
        <f t="shared" si="24"/>
        <v>Q4</v>
      </c>
      <c r="E168" s="153">
        <f t="shared" si="26"/>
        <v>139445.223</v>
      </c>
      <c r="F168" s="153">
        <f t="shared" si="25"/>
        <v>42435.52573788313</v>
      </c>
      <c r="G168" s="153">
        <f t="shared" si="25"/>
        <v>4467.9120000000003</v>
      </c>
      <c r="H168" s="153" t="e">
        <f t="shared" si="25"/>
        <v>#N/A</v>
      </c>
      <c r="L168" s="153">
        <f t="shared" si="22"/>
        <v>2042</v>
      </c>
      <c r="M168" s="177" t="str">
        <f t="shared" si="23"/>
        <v>Q3</v>
      </c>
      <c r="N168" s="177" t="str">
        <f t="shared" si="18"/>
        <v>2042Q3</v>
      </c>
      <c r="O168" s="187">
        <f t="shared" si="27"/>
        <v>257176.80572099998</v>
      </c>
      <c r="P168" s="187">
        <f t="shared" ref="P168:P169" si="29">P163*(1.0075)</f>
        <v>2144.5131175000001</v>
      </c>
      <c r="Q168" s="187"/>
      <c r="R168" s="187">
        <f t="shared" si="28"/>
        <v>82013.361772385542</v>
      </c>
      <c r="S168" s="189"/>
      <c r="T168" s="187">
        <f t="shared" si="28"/>
        <v>5400.8780800000004</v>
      </c>
    </row>
    <row r="169" spans="1:24" x14ac:dyDescent="0.2">
      <c r="A169" s="153">
        <v>2014</v>
      </c>
      <c r="B169" s="153">
        <v>12</v>
      </c>
      <c r="C169" s="153" t="str">
        <f t="shared" si="19"/>
        <v>201412</v>
      </c>
      <c r="D169" s="153" t="str">
        <f t="shared" si="24"/>
        <v>Q4</v>
      </c>
      <c r="E169" s="153">
        <f t="shared" si="26"/>
        <v>139445.223</v>
      </c>
      <c r="F169" s="153">
        <f t="shared" si="25"/>
        <v>42435.52573788313</v>
      </c>
      <c r="G169" s="153">
        <f t="shared" si="25"/>
        <v>4467.9120000000003</v>
      </c>
      <c r="H169" s="153" t="e">
        <f t="shared" si="25"/>
        <v>#N/A</v>
      </c>
      <c r="L169" s="153">
        <f t="shared" si="22"/>
        <v>2042</v>
      </c>
      <c r="M169" s="177" t="str">
        <f t="shared" si="23"/>
        <v>Q4</v>
      </c>
      <c r="N169" s="177" t="str">
        <f t="shared" si="18"/>
        <v>2042Q4</v>
      </c>
      <c r="O169" s="187">
        <f t="shared" si="27"/>
        <v>258163.70098199998</v>
      </c>
      <c r="P169" s="187">
        <f t="shared" si="29"/>
        <v>2147.7925300000002</v>
      </c>
      <c r="Q169" s="187"/>
      <c r="R169" s="187">
        <f t="shared" si="28"/>
        <v>82166.613134022409</v>
      </c>
      <c r="S169" s="189"/>
      <c r="T169" s="187">
        <f t="shared" si="28"/>
        <v>5407.68768</v>
      </c>
    </row>
    <row r="170" spans="1:24" x14ac:dyDescent="0.2">
      <c r="A170" s="153">
        <v>2015</v>
      </c>
      <c r="B170" s="153">
        <v>1</v>
      </c>
      <c r="C170" s="153" t="str">
        <f t="shared" si="19"/>
        <v>20151</v>
      </c>
      <c r="D170" s="153" t="str">
        <f t="shared" si="24"/>
        <v>Q1</v>
      </c>
      <c r="E170" s="153">
        <f t="shared" si="26"/>
        <v>140510.76300000001</v>
      </c>
      <c r="F170" s="153">
        <f t="shared" si="25"/>
        <v>42650.097953529214</v>
      </c>
      <c r="G170" s="153">
        <f t="shared" si="25"/>
        <v>4475.9679999999998</v>
      </c>
      <c r="H170" s="153" t="e">
        <f t="shared" si="25"/>
        <v>#N/A</v>
      </c>
      <c r="O170" s="155"/>
      <c r="P170" s="186"/>
      <c r="Q170" s="186"/>
      <c r="R170" s="181"/>
      <c r="S170" s="189"/>
    </row>
    <row r="171" spans="1:24" x14ac:dyDescent="0.2">
      <c r="A171" s="153">
        <v>2015</v>
      </c>
      <c r="B171" s="153">
        <v>2</v>
      </c>
      <c r="C171" s="153" t="str">
        <f t="shared" si="19"/>
        <v>20152</v>
      </c>
      <c r="D171" s="153" t="str">
        <f t="shared" si="24"/>
        <v>Q1</v>
      </c>
      <c r="E171" s="153">
        <f t="shared" si="26"/>
        <v>140510.76300000001</v>
      </c>
      <c r="F171" s="153">
        <f t="shared" si="25"/>
        <v>42650.097953529214</v>
      </c>
      <c r="G171" s="153">
        <f t="shared" si="25"/>
        <v>4475.9679999999998</v>
      </c>
      <c r="H171" s="153" t="e">
        <f t="shared" si="25"/>
        <v>#N/A</v>
      </c>
      <c r="O171" s="155"/>
      <c r="P171" s="185"/>
      <c r="Q171" s="185"/>
      <c r="R171" s="191"/>
      <c r="S171" s="191"/>
      <c r="T171" s="191"/>
    </row>
    <row r="172" spans="1:24" x14ac:dyDescent="0.2">
      <c r="A172" s="153">
        <v>2015</v>
      </c>
      <c r="B172" s="153">
        <v>3</v>
      </c>
      <c r="C172" s="153" t="str">
        <f t="shared" si="19"/>
        <v>20153</v>
      </c>
      <c r="D172" s="153" t="str">
        <f t="shared" si="24"/>
        <v>Q1</v>
      </c>
      <c r="E172" s="153">
        <f t="shared" si="26"/>
        <v>140510.76300000001</v>
      </c>
      <c r="F172" s="153">
        <f t="shared" si="25"/>
        <v>42650.097953529214</v>
      </c>
      <c r="G172" s="153">
        <f t="shared" si="25"/>
        <v>4475.9679999999998</v>
      </c>
      <c r="H172" s="153" t="e">
        <f t="shared" si="25"/>
        <v>#N/A</v>
      </c>
      <c r="O172" s="186"/>
      <c r="P172" s="185"/>
      <c r="Q172" s="185"/>
      <c r="R172" s="181"/>
      <c r="S172" s="189"/>
    </row>
    <row r="173" spans="1:24" x14ac:dyDescent="0.2">
      <c r="A173" s="153">
        <v>2015</v>
      </c>
      <c r="B173" s="153">
        <v>4</v>
      </c>
      <c r="C173" s="153" t="str">
        <f t="shared" si="19"/>
        <v>20154</v>
      </c>
      <c r="D173" s="153" t="str">
        <f t="shared" si="24"/>
        <v>Q2</v>
      </c>
      <c r="E173" s="153">
        <f t="shared" si="26"/>
        <v>141224.63399999999</v>
      </c>
      <c r="F173" s="153">
        <f t="shared" si="25"/>
        <v>42880.981284829548</v>
      </c>
      <c r="G173" s="153">
        <f t="shared" si="25"/>
        <v>4484.1310000000003</v>
      </c>
      <c r="H173" s="153" t="e">
        <f t="shared" si="25"/>
        <v>#N/A</v>
      </c>
      <c r="O173" s="155">
        <f>O167-O165</f>
        <v>3829.9363159999775</v>
      </c>
      <c r="P173" s="185"/>
      <c r="Q173" s="185"/>
      <c r="R173" s="181"/>
      <c r="S173" s="189"/>
    </row>
    <row r="174" spans="1:24" x14ac:dyDescent="0.2">
      <c r="A174" s="153">
        <v>2015</v>
      </c>
      <c r="B174" s="153">
        <v>5</v>
      </c>
      <c r="C174" s="153" t="str">
        <f t="shared" si="19"/>
        <v>20155</v>
      </c>
      <c r="D174" s="153" t="str">
        <f t="shared" si="24"/>
        <v>Q2</v>
      </c>
      <c r="E174" s="153">
        <f t="shared" si="26"/>
        <v>141224.63399999999</v>
      </c>
      <c r="F174" s="153">
        <f t="shared" si="25"/>
        <v>42880.981284829548</v>
      </c>
      <c r="G174" s="153">
        <f t="shared" si="25"/>
        <v>4484.1310000000003</v>
      </c>
      <c r="H174" s="153" t="e">
        <f t="shared" si="25"/>
        <v>#N/A</v>
      </c>
      <c r="O174" s="155">
        <f>O173/2</f>
        <v>1914.9681579999888</v>
      </c>
      <c r="P174" s="185"/>
      <c r="Q174" s="185"/>
      <c r="R174" s="181"/>
      <c r="S174" s="189"/>
    </row>
    <row r="175" spans="1:24" x14ac:dyDescent="0.2">
      <c r="A175" s="153">
        <v>2015</v>
      </c>
      <c r="B175" s="153">
        <v>6</v>
      </c>
      <c r="C175" s="153" t="str">
        <f t="shared" si="19"/>
        <v>20156</v>
      </c>
      <c r="D175" s="153" t="str">
        <f t="shared" si="24"/>
        <v>Q2</v>
      </c>
      <c r="E175" s="153">
        <f t="shared" si="26"/>
        <v>141224.63399999999</v>
      </c>
      <c r="F175" s="153">
        <f t="shared" si="25"/>
        <v>42880.981284829548</v>
      </c>
      <c r="G175" s="153">
        <f t="shared" si="25"/>
        <v>4484.1310000000003</v>
      </c>
      <c r="H175" s="153" t="e">
        <f t="shared" si="25"/>
        <v>#N/A</v>
      </c>
      <c r="O175" s="186"/>
      <c r="P175" s="186"/>
      <c r="Q175" s="186"/>
      <c r="R175" s="181"/>
      <c r="S175" s="189"/>
    </row>
    <row r="176" spans="1:24" x14ac:dyDescent="0.2">
      <c r="A176" s="153">
        <v>2015</v>
      </c>
      <c r="B176" s="153">
        <v>7</v>
      </c>
      <c r="C176" s="153" t="str">
        <f t="shared" si="19"/>
        <v>20157</v>
      </c>
      <c r="D176" s="153" t="str">
        <f t="shared" si="24"/>
        <v>Q3</v>
      </c>
      <c r="E176" s="153">
        <f t="shared" si="26"/>
        <v>141992.24600000001</v>
      </c>
      <c r="F176" s="153">
        <f t="shared" si="25"/>
        <v>43176.797187660617</v>
      </c>
      <c r="G176" s="153">
        <f t="shared" si="25"/>
        <v>4492.3999999999996</v>
      </c>
      <c r="H176" s="153" t="e">
        <f t="shared" si="25"/>
        <v>#N/A</v>
      </c>
      <c r="O176" s="186"/>
      <c r="P176" s="186"/>
      <c r="Q176" s="186"/>
      <c r="R176" s="181"/>
      <c r="S176" s="189"/>
    </row>
    <row r="177" spans="1:19" x14ac:dyDescent="0.2">
      <c r="A177" s="153">
        <v>2015</v>
      </c>
      <c r="B177" s="153">
        <v>8</v>
      </c>
      <c r="C177" s="153" t="str">
        <f t="shared" si="19"/>
        <v>20158</v>
      </c>
      <c r="D177" s="153" t="str">
        <f t="shared" si="24"/>
        <v>Q3</v>
      </c>
      <c r="E177" s="153">
        <f t="shared" si="26"/>
        <v>141992.24600000001</v>
      </c>
      <c r="F177" s="153">
        <f t="shared" si="25"/>
        <v>43176.797187660617</v>
      </c>
      <c r="G177" s="153">
        <f t="shared" si="25"/>
        <v>4492.3999999999996</v>
      </c>
      <c r="H177" s="153" t="e">
        <f t="shared" si="25"/>
        <v>#N/A</v>
      </c>
      <c r="O177" s="186"/>
      <c r="P177" s="186"/>
      <c r="Q177" s="186"/>
      <c r="R177" s="181"/>
      <c r="S177" s="189"/>
    </row>
    <row r="178" spans="1:19" x14ac:dyDescent="0.2">
      <c r="A178" s="153">
        <v>2015</v>
      </c>
      <c r="B178" s="153">
        <v>9</v>
      </c>
      <c r="C178" s="153" t="str">
        <f t="shared" si="19"/>
        <v>20159</v>
      </c>
      <c r="D178" s="153" t="str">
        <f t="shared" si="24"/>
        <v>Q3</v>
      </c>
      <c r="E178" s="153">
        <f t="shared" si="26"/>
        <v>141992.24600000001</v>
      </c>
      <c r="F178" s="153">
        <f t="shared" si="25"/>
        <v>43176.797187660617</v>
      </c>
      <c r="G178" s="153">
        <f t="shared" si="25"/>
        <v>4492.3999999999996</v>
      </c>
      <c r="H178" s="153" t="e">
        <f t="shared" si="25"/>
        <v>#N/A</v>
      </c>
      <c r="O178" s="155"/>
      <c r="P178" s="155"/>
      <c r="Q178" s="155"/>
      <c r="R178" s="181"/>
      <c r="S178" s="189"/>
    </row>
    <row r="179" spans="1:19" x14ac:dyDescent="0.2">
      <c r="A179" s="153">
        <v>2015</v>
      </c>
      <c r="B179" s="153">
        <v>10</v>
      </c>
      <c r="C179" s="153" t="str">
        <f t="shared" si="19"/>
        <v>201510</v>
      </c>
      <c r="D179" s="153" t="str">
        <f t="shared" si="24"/>
        <v>Q4</v>
      </c>
      <c r="E179" s="153">
        <f t="shared" si="26"/>
        <v>142772.34400000001</v>
      </c>
      <c r="F179" s="153">
        <f t="shared" si="25"/>
        <v>43428.863134860279</v>
      </c>
      <c r="G179" s="153">
        <f t="shared" si="25"/>
        <v>4500.777</v>
      </c>
      <c r="H179" s="153" t="e">
        <f t="shared" si="25"/>
        <v>#N/A</v>
      </c>
      <c r="O179" s="155"/>
      <c r="P179" s="155"/>
      <c r="Q179" s="155"/>
      <c r="R179" s="181"/>
      <c r="S179" s="189"/>
    </row>
    <row r="180" spans="1:19" x14ac:dyDescent="0.2">
      <c r="A180" s="153">
        <v>2015</v>
      </c>
      <c r="B180" s="153">
        <v>11</v>
      </c>
      <c r="C180" s="153" t="str">
        <f t="shared" si="19"/>
        <v>201511</v>
      </c>
      <c r="D180" s="153" t="str">
        <f t="shared" si="24"/>
        <v>Q4</v>
      </c>
      <c r="E180" s="153">
        <f t="shared" si="26"/>
        <v>142772.34400000001</v>
      </c>
      <c r="F180" s="153">
        <f t="shared" si="25"/>
        <v>43428.863134860279</v>
      </c>
      <c r="G180" s="153">
        <f t="shared" si="25"/>
        <v>4500.777</v>
      </c>
      <c r="H180" s="153" t="e">
        <f t="shared" si="25"/>
        <v>#N/A</v>
      </c>
      <c r="O180" s="155"/>
      <c r="P180" s="155"/>
      <c r="Q180" s="155"/>
      <c r="R180" s="181"/>
      <c r="S180" s="189"/>
    </row>
    <row r="181" spans="1:19" x14ac:dyDescent="0.2">
      <c r="A181" s="153">
        <v>2015</v>
      </c>
      <c r="B181" s="153">
        <v>12</v>
      </c>
      <c r="C181" s="153" t="str">
        <f t="shared" si="19"/>
        <v>201512</v>
      </c>
      <c r="D181" s="153" t="str">
        <f t="shared" si="24"/>
        <v>Q4</v>
      </c>
      <c r="E181" s="153">
        <f t="shared" si="26"/>
        <v>142772.34400000001</v>
      </c>
      <c r="F181" s="153">
        <f t="shared" si="25"/>
        <v>43428.863134860279</v>
      </c>
      <c r="G181" s="153">
        <f t="shared" si="25"/>
        <v>4500.777</v>
      </c>
      <c r="H181" s="153" t="e">
        <f t="shared" si="25"/>
        <v>#N/A</v>
      </c>
      <c r="O181" s="155"/>
      <c r="P181" s="155"/>
      <c r="Q181" s="155"/>
      <c r="R181" s="181"/>
      <c r="S181" s="189"/>
    </row>
    <row r="182" spans="1:19" x14ac:dyDescent="0.2">
      <c r="A182" s="153">
        <v>2016</v>
      </c>
      <c r="B182" s="153">
        <v>1</v>
      </c>
      <c r="C182" s="153" t="str">
        <f t="shared" si="19"/>
        <v>20161</v>
      </c>
      <c r="D182" s="153" t="str">
        <f t="shared" si="24"/>
        <v>Q1</v>
      </c>
      <c r="E182" s="153">
        <f t="shared" si="26"/>
        <v>144227.636</v>
      </c>
      <c r="F182" s="153">
        <f t="shared" si="25"/>
        <v>43755.370741727726</v>
      </c>
      <c r="G182" s="153">
        <f t="shared" si="25"/>
        <v>4509.174</v>
      </c>
      <c r="H182" s="153" t="e">
        <f t="shared" si="25"/>
        <v>#N/A</v>
      </c>
      <c r="O182" s="155"/>
      <c r="P182" s="155"/>
      <c r="Q182" s="155"/>
      <c r="R182" s="181"/>
      <c r="S182" s="189"/>
    </row>
    <row r="183" spans="1:19" x14ac:dyDescent="0.2">
      <c r="A183" s="153">
        <v>2016</v>
      </c>
      <c r="B183" s="153">
        <v>2</v>
      </c>
      <c r="C183" s="153" t="str">
        <f t="shared" si="19"/>
        <v>20162</v>
      </c>
      <c r="D183" s="153" t="str">
        <f t="shared" si="24"/>
        <v>Q1</v>
      </c>
      <c r="E183" s="153">
        <f t="shared" si="26"/>
        <v>144227.636</v>
      </c>
      <c r="F183" s="153">
        <f t="shared" si="25"/>
        <v>43755.370741727726</v>
      </c>
      <c r="G183" s="153">
        <f t="shared" si="25"/>
        <v>4509.174</v>
      </c>
      <c r="H183" s="153" t="e">
        <f t="shared" si="25"/>
        <v>#N/A</v>
      </c>
      <c r="O183" s="155"/>
      <c r="P183" s="155"/>
      <c r="Q183" s="155"/>
      <c r="R183" s="181"/>
      <c r="S183" s="189"/>
    </row>
    <row r="184" spans="1:19" x14ac:dyDescent="0.2">
      <c r="A184" s="153">
        <v>2016</v>
      </c>
      <c r="B184" s="153">
        <v>3</v>
      </c>
      <c r="C184" s="153" t="str">
        <f t="shared" si="19"/>
        <v>20163</v>
      </c>
      <c r="D184" s="153" t="str">
        <f t="shared" si="24"/>
        <v>Q1</v>
      </c>
      <c r="E184" s="153">
        <f t="shared" si="26"/>
        <v>144227.636</v>
      </c>
      <c r="F184" s="153">
        <f t="shared" si="25"/>
        <v>43755.370741727726</v>
      </c>
      <c r="G184" s="153">
        <f t="shared" si="25"/>
        <v>4509.174</v>
      </c>
      <c r="H184" s="153" t="e">
        <f t="shared" si="25"/>
        <v>#N/A</v>
      </c>
      <c r="O184" s="155"/>
      <c r="P184" s="155"/>
      <c r="Q184" s="155"/>
      <c r="R184" s="181"/>
      <c r="S184" s="189"/>
    </row>
    <row r="185" spans="1:19" x14ac:dyDescent="0.2">
      <c r="A185" s="153">
        <v>2016</v>
      </c>
      <c r="B185" s="153">
        <v>4</v>
      </c>
      <c r="C185" s="153" t="str">
        <f t="shared" si="19"/>
        <v>20164</v>
      </c>
      <c r="D185" s="153" t="str">
        <f t="shared" si="24"/>
        <v>Q2</v>
      </c>
      <c r="E185" s="153">
        <f t="shared" si="26"/>
        <v>145000.861</v>
      </c>
      <c r="F185" s="153">
        <f t="shared" si="25"/>
        <v>43979.682119470162</v>
      </c>
      <c r="G185" s="153">
        <f t="shared" si="25"/>
        <v>4517.5919999999996</v>
      </c>
      <c r="H185" s="153" t="e">
        <f t="shared" si="25"/>
        <v>#N/A</v>
      </c>
      <c r="O185" s="155"/>
      <c r="P185" s="155"/>
      <c r="Q185" s="155"/>
      <c r="R185" s="181"/>
      <c r="S185" s="189"/>
    </row>
    <row r="186" spans="1:19" x14ac:dyDescent="0.2">
      <c r="A186" s="153">
        <v>2016</v>
      </c>
      <c r="B186" s="153">
        <v>5</v>
      </c>
      <c r="C186" s="153" t="str">
        <f t="shared" si="19"/>
        <v>20165</v>
      </c>
      <c r="D186" s="153" t="str">
        <f t="shared" si="24"/>
        <v>Q2</v>
      </c>
      <c r="E186" s="153">
        <f t="shared" si="26"/>
        <v>145000.861</v>
      </c>
      <c r="F186" s="153">
        <f t="shared" si="25"/>
        <v>43979.682119470162</v>
      </c>
      <c r="G186" s="153">
        <f t="shared" si="25"/>
        <v>4517.5919999999996</v>
      </c>
      <c r="H186" s="153" t="e">
        <f t="shared" si="25"/>
        <v>#N/A</v>
      </c>
      <c r="O186" s="155"/>
      <c r="P186" s="155"/>
      <c r="Q186" s="155"/>
      <c r="R186" s="181"/>
      <c r="S186" s="189"/>
    </row>
    <row r="187" spans="1:19" x14ac:dyDescent="0.2">
      <c r="A187" s="153">
        <v>2016</v>
      </c>
      <c r="B187" s="153">
        <v>6</v>
      </c>
      <c r="C187" s="153" t="str">
        <f t="shared" si="19"/>
        <v>20166</v>
      </c>
      <c r="D187" s="153" t="str">
        <f t="shared" si="24"/>
        <v>Q2</v>
      </c>
      <c r="E187" s="153">
        <f t="shared" si="26"/>
        <v>145000.861</v>
      </c>
      <c r="F187" s="153">
        <f t="shared" si="25"/>
        <v>43979.682119470162</v>
      </c>
      <c r="G187" s="153">
        <f t="shared" si="25"/>
        <v>4517.5919999999996</v>
      </c>
      <c r="H187" s="153" t="e">
        <f t="shared" si="25"/>
        <v>#N/A</v>
      </c>
      <c r="O187" s="155"/>
      <c r="P187" s="155"/>
      <c r="Q187" s="155"/>
      <c r="R187" s="181"/>
      <c r="S187" s="189"/>
    </row>
    <row r="188" spans="1:19" x14ac:dyDescent="0.2">
      <c r="A188" s="153">
        <v>2016</v>
      </c>
      <c r="B188" s="153">
        <v>7</v>
      </c>
      <c r="C188" s="153" t="str">
        <f t="shared" si="19"/>
        <v>20167</v>
      </c>
      <c r="D188" s="153" t="str">
        <f t="shared" si="24"/>
        <v>Q3</v>
      </c>
      <c r="E188" s="153">
        <f t="shared" si="26"/>
        <v>145740.07199999999</v>
      </c>
      <c r="F188" s="153">
        <f t="shared" si="25"/>
        <v>44190.115651236883</v>
      </c>
      <c r="G188" s="153">
        <f t="shared" si="25"/>
        <v>4526.0309999999999</v>
      </c>
      <c r="H188" s="153" t="e">
        <f t="shared" si="25"/>
        <v>#N/A</v>
      </c>
      <c r="O188" s="155"/>
      <c r="P188" s="155"/>
      <c r="Q188" s="155"/>
      <c r="R188" s="181"/>
      <c r="S188" s="189"/>
    </row>
    <row r="189" spans="1:19" x14ac:dyDescent="0.2">
      <c r="A189" s="153">
        <v>2016</v>
      </c>
      <c r="B189" s="153">
        <v>8</v>
      </c>
      <c r="C189" s="153" t="str">
        <f t="shared" si="19"/>
        <v>20168</v>
      </c>
      <c r="D189" s="153" t="str">
        <f t="shared" si="24"/>
        <v>Q3</v>
      </c>
      <c r="E189" s="153">
        <f t="shared" si="26"/>
        <v>145740.07199999999</v>
      </c>
      <c r="F189" s="153">
        <f t="shared" si="25"/>
        <v>44190.115651236883</v>
      </c>
      <c r="G189" s="153">
        <f t="shared" si="25"/>
        <v>4526.0309999999999</v>
      </c>
      <c r="H189" s="153" t="e">
        <f t="shared" si="25"/>
        <v>#N/A</v>
      </c>
      <c r="O189" s="155"/>
      <c r="P189" s="155"/>
      <c r="Q189" s="155"/>
      <c r="R189" s="181"/>
      <c r="S189" s="189"/>
    </row>
    <row r="190" spans="1:19" x14ac:dyDescent="0.2">
      <c r="A190" s="153">
        <v>2016</v>
      </c>
      <c r="B190" s="153">
        <v>9</v>
      </c>
      <c r="C190" s="153" t="str">
        <f t="shared" si="19"/>
        <v>20169</v>
      </c>
      <c r="D190" s="153" t="str">
        <f t="shared" si="24"/>
        <v>Q3</v>
      </c>
      <c r="E190" s="153">
        <f t="shared" si="26"/>
        <v>145740.07199999999</v>
      </c>
      <c r="F190" s="153">
        <f t="shared" si="25"/>
        <v>44190.115651236883</v>
      </c>
      <c r="G190" s="153">
        <f t="shared" si="25"/>
        <v>4526.0309999999999</v>
      </c>
      <c r="H190" s="153" t="e">
        <f t="shared" si="25"/>
        <v>#N/A</v>
      </c>
      <c r="O190" s="155"/>
      <c r="P190" s="155"/>
      <c r="Q190" s="155"/>
      <c r="R190" s="181"/>
      <c r="S190" s="189"/>
    </row>
    <row r="191" spans="1:19" x14ac:dyDescent="0.2">
      <c r="A191" s="153">
        <v>2016</v>
      </c>
      <c r="B191" s="153">
        <v>10</v>
      </c>
      <c r="C191" s="153" t="str">
        <f t="shared" si="19"/>
        <v>201610</v>
      </c>
      <c r="D191" s="153" t="str">
        <f t="shared" si="24"/>
        <v>Q4</v>
      </c>
      <c r="E191" s="153">
        <f t="shared" si="26"/>
        <v>146638.23699999999</v>
      </c>
      <c r="F191" s="153">
        <f t="shared" si="25"/>
        <v>44479.131361056192</v>
      </c>
      <c r="G191" s="153">
        <f t="shared" si="25"/>
        <v>4534.4889999999996</v>
      </c>
      <c r="H191" s="153" t="e">
        <f t="shared" si="25"/>
        <v>#N/A</v>
      </c>
      <c r="O191" s="155"/>
      <c r="P191" s="155"/>
      <c r="Q191" s="155"/>
      <c r="R191" s="181"/>
      <c r="S191" s="189"/>
    </row>
    <row r="192" spans="1:19" x14ac:dyDescent="0.2">
      <c r="A192" s="153">
        <v>2016</v>
      </c>
      <c r="B192" s="153">
        <v>11</v>
      </c>
      <c r="C192" s="153" t="str">
        <f t="shared" si="19"/>
        <v>201611</v>
      </c>
      <c r="D192" s="153" t="str">
        <f t="shared" si="24"/>
        <v>Q4</v>
      </c>
      <c r="E192" s="153">
        <f t="shared" si="26"/>
        <v>146638.23699999999</v>
      </c>
      <c r="F192" s="153">
        <f t="shared" si="25"/>
        <v>44479.131361056192</v>
      </c>
      <c r="G192" s="153">
        <f t="shared" si="25"/>
        <v>4534.4889999999996</v>
      </c>
      <c r="H192" s="153" t="e">
        <f t="shared" si="25"/>
        <v>#N/A</v>
      </c>
      <c r="O192" s="155"/>
      <c r="P192" s="155"/>
      <c r="Q192" s="155"/>
      <c r="R192" s="181"/>
      <c r="S192" s="189"/>
    </row>
    <row r="193" spans="1:19" x14ac:dyDescent="0.2">
      <c r="A193" s="153">
        <v>2016</v>
      </c>
      <c r="B193" s="153">
        <v>12</v>
      </c>
      <c r="C193" s="153" t="str">
        <f t="shared" si="19"/>
        <v>201612</v>
      </c>
      <c r="D193" s="153" t="str">
        <f t="shared" si="24"/>
        <v>Q4</v>
      </c>
      <c r="E193" s="153">
        <f t="shared" si="26"/>
        <v>146638.23699999999</v>
      </c>
      <c r="F193" s="153">
        <f t="shared" si="25"/>
        <v>44479.131361056192</v>
      </c>
      <c r="G193" s="153">
        <f t="shared" si="25"/>
        <v>4534.4889999999996</v>
      </c>
      <c r="H193" s="153" t="e">
        <f t="shared" si="25"/>
        <v>#N/A</v>
      </c>
      <c r="O193" s="155"/>
      <c r="P193" s="155"/>
      <c r="Q193" s="155"/>
      <c r="R193" s="181"/>
      <c r="S193" s="189"/>
    </row>
    <row r="194" spans="1:19" x14ac:dyDescent="0.2">
      <c r="A194" s="153">
        <v>2017</v>
      </c>
      <c r="B194" s="153">
        <v>1</v>
      </c>
      <c r="C194" s="153" t="str">
        <f t="shared" si="19"/>
        <v>20171</v>
      </c>
      <c r="D194" s="153" t="str">
        <f t="shared" si="24"/>
        <v>Q1</v>
      </c>
      <c r="E194" s="153">
        <f t="shared" si="26"/>
        <v>147397.973</v>
      </c>
      <c r="F194" s="153">
        <f t="shared" si="25"/>
        <v>44591.826055215206</v>
      </c>
      <c r="G194" s="153">
        <f t="shared" si="25"/>
        <v>4542.9390000000003</v>
      </c>
      <c r="H194" s="153" t="e">
        <f t="shared" si="25"/>
        <v>#N/A</v>
      </c>
      <c r="O194" s="155"/>
      <c r="P194" s="155"/>
      <c r="Q194" s="155"/>
      <c r="R194" s="181"/>
      <c r="S194" s="189"/>
    </row>
    <row r="195" spans="1:19" x14ac:dyDescent="0.2">
      <c r="A195" s="153">
        <v>2017</v>
      </c>
      <c r="B195" s="153">
        <v>2</v>
      </c>
      <c r="C195" s="153" t="str">
        <f t="shared" ref="C195:C258" si="30">A195&amp;B195</f>
        <v>20172</v>
      </c>
      <c r="D195" s="153" t="str">
        <f t="shared" si="24"/>
        <v>Q1</v>
      </c>
      <c r="E195" s="153">
        <f t="shared" si="26"/>
        <v>147397.973</v>
      </c>
      <c r="F195" s="153">
        <f t="shared" si="25"/>
        <v>44591.826055215206</v>
      </c>
      <c r="G195" s="153">
        <f t="shared" si="25"/>
        <v>4542.9390000000003</v>
      </c>
      <c r="H195" s="153" t="e">
        <f t="shared" si="25"/>
        <v>#N/A</v>
      </c>
      <c r="O195" s="155"/>
      <c r="P195" s="155"/>
      <c r="Q195" s="155"/>
      <c r="R195" s="181"/>
      <c r="S195" s="189"/>
    </row>
    <row r="196" spans="1:19" x14ac:dyDescent="0.2">
      <c r="A196" s="153">
        <v>2017</v>
      </c>
      <c r="B196" s="153">
        <v>3</v>
      </c>
      <c r="C196" s="153" t="str">
        <f t="shared" si="30"/>
        <v>20173</v>
      </c>
      <c r="D196" s="153" t="str">
        <f t="shared" si="24"/>
        <v>Q1</v>
      </c>
      <c r="E196" s="153">
        <f t="shared" si="26"/>
        <v>147397.973</v>
      </c>
      <c r="F196" s="153">
        <f t="shared" si="25"/>
        <v>44591.826055215206</v>
      </c>
      <c r="G196" s="153">
        <f t="shared" si="25"/>
        <v>4542.9390000000003</v>
      </c>
      <c r="H196" s="153" t="e">
        <f t="shared" si="25"/>
        <v>#N/A</v>
      </c>
      <c r="O196" s="155"/>
      <c r="P196" s="155"/>
      <c r="Q196" s="155"/>
      <c r="R196" s="181"/>
      <c r="S196" s="189"/>
    </row>
    <row r="197" spans="1:19" x14ac:dyDescent="0.2">
      <c r="A197" s="153">
        <v>2017</v>
      </c>
      <c r="B197" s="153">
        <v>4</v>
      </c>
      <c r="C197" s="153" t="str">
        <f t="shared" si="30"/>
        <v>20174</v>
      </c>
      <c r="D197" s="153" t="str">
        <f t="shared" si="24"/>
        <v>Q2</v>
      </c>
      <c r="E197" s="153">
        <f t="shared" si="26"/>
        <v>148169.18</v>
      </c>
      <c r="F197" s="153">
        <f t="shared" si="25"/>
        <v>44904.574224823955</v>
      </c>
      <c r="G197" s="153">
        <f t="shared" si="25"/>
        <v>4551.38</v>
      </c>
      <c r="H197" s="153" t="e">
        <f t="shared" si="25"/>
        <v>#N/A</v>
      </c>
      <c r="O197" s="155"/>
      <c r="P197" s="155"/>
      <c r="Q197" s="155"/>
      <c r="R197" s="181"/>
      <c r="S197" s="189"/>
    </row>
    <row r="198" spans="1:19" x14ac:dyDescent="0.2">
      <c r="A198" s="153">
        <v>2017</v>
      </c>
      <c r="B198" s="153">
        <v>5</v>
      </c>
      <c r="C198" s="153" t="str">
        <f t="shared" si="30"/>
        <v>20175</v>
      </c>
      <c r="D198" s="153" t="str">
        <f t="shared" si="24"/>
        <v>Q2</v>
      </c>
      <c r="E198" s="153">
        <f t="shared" si="26"/>
        <v>148169.18</v>
      </c>
      <c r="F198" s="153">
        <f t="shared" si="25"/>
        <v>44904.574224823955</v>
      </c>
      <c r="G198" s="153">
        <f t="shared" si="25"/>
        <v>4551.38</v>
      </c>
      <c r="H198" s="153" t="e">
        <f t="shared" si="25"/>
        <v>#N/A</v>
      </c>
      <c r="O198" s="155"/>
      <c r="P198" s="155"/>
      <c r="Q198" s="155"/>
      <c r="R198" s="181"/>
      <c r="S198" s="189"/>
    </row>
    <row r="199" spans="1:19" x14ac:dyDescent="0.2">
      <c r="A199" s="153">
        <v>2017</v>
      </c>
      <c r="B199" s="153">
        <v>6</v>
      </c>
      <c r="C199" s="153" t="str">
        <f t="shared" si="30"/>
        <v>20176</v>
      </c>
      <c r="D199" s="153" t="str">
        <f t="shared" si="24"/>
        <v>Q2</v>
      </c>
      <c r="E199" s="153">
        <f t="shared" si="26"/>
        <v>148169.18</v>
      </c>
      <c r="F199" s="153">
        <f t="shared" si="25"/>
        <v>44904.574224823955</v>
      </c>
      <c r="G199" s="153">
        <f t="shared" si="25"/>
        <v>4551.38</v>
      </c>
      <c r="H199" s="153" t="e">
        <f t="shared" si="25"/>
        <v>#N/A</v>
      </c>
      <c r="O199" s="155"/>
      <c r="P199" s="155"/>
      <c r="Q199" s="155"/>
      <c r="R199" s="181"/>
      <c r="S199" s="189"/>
    </row>
    <row r="200" spans="1:19" x14ac:dyDescent="0.2">
      <c r="A200" s="153">
        <v>2017</v>
      </c>
      <c r="B200" s="153">
        <v>7</v>
      </c>
      <c r="C200" s="153" t="str">
        <f t="shared" si="30"/>
        <v>20177</v>
      </c>
      <c r="D200" s="153" t="str">
        <f t="shared" si="24"/>
        <v>Q3</v>
      </c>
      <c r="E200" s="153">
        <f t="shared" si="26"/>
        <v>149003.10200000001</v>
      </c>
      <c r="F200" s="153">
        <f t="shared" si="25"/>
        <v>45194.496478629822</v>
      </c>
      <c r="G200" s="153">
        <f t="shared" si="25"/>
        <v>4559.8130000000001</v>
      </c>
      <c r="H200" s="153" t="e">
        <f t="shared" si="25"/>
        <v>#N/A</v>
      </c>
      <c r="O200" s="155"/>
      <c r="P200" s="155"/>
      <c r="Q200" s="155"/>
      <c r="R200" s="181"/>
      <c r="S200" s="189"/>
    </row>
    <row r="201" spans="1:19" x14ac:dyDescent="0.2">
      <c r="A201" s="153">
        <v>2017</v>
      </c>
      <c r="B201" s="153">
        <v>8</v>
      </c>
      <c r="C201" s="153" t="str">
        <f t="shared" si="30"/>
        <v>20178</v>
      </c>
      <c r="D201" s="153" t="str">
        <f t="shared" si="24"/>
        <v>Q3</v>
      </c>
      <c r="E201" s="153">
        <f t="shared" si="26"/>
        <v>149003.10200000001</v>
      </c>
      <c r="F201" s="153">
        <f t="shared" si="25"/>
        <v>45194.496478629822</v>
      </c>
      <c r="G201" s="153">
        <f t="shared" si="25"/>
        <v>4559.8130000000001</v>
      </c>
      <c r="H201" s="153" t="e">
        <f t="shared" si="25"/>
        <v>#N/A</v>
      </c>
      <c r="O201" s="155"/>
      <c r="P201" s="155"/>
      <c r="Q201" s="155"/>
      <c r="R201" s="181"/>
      <c r="S201" s="189"/>
    </row>
    <row r="202" spans="1:19" x14ac:dyDescent="0.2">
      <c r="A202" s="153">
        <v>2017</v>
      </c>
      <c r="B202" s="153">
        <v>9</v>
      </c>
      <c r="C202" s="153" t="str">
        <f t="shared" si="30"/>
        <v>20179</v>
      </c>
      <c r="D202" s="153" t="str">
        <f t="shared" si="24"/>
        <v>Q3</v>
      </c>
      <c r="E202" s="153">
        <f t="shared" si="26"/>
        <v>149003.10200000001</v>
      </c>
      <c r="F202" s="153">
        <f t="shared" si="25"/>
        <v>45194.496478629822</v>
      </c>
      <c r="G202" s="153">
        <f t="shared" si="25"/>
        <v>4559.8130000000001</v>
      </c>
      <c r="H202" s="153" t="e">
        <f t="shared" si="25"/>
        <v>#N/A</v>
      </c>
      <c r="O202" s="155"/>
      <c r="P202" s="155"/>
      <c r="Q202" s="155"/>
      <c r="R202" s="181"/>
      <c r="S202" s="189"/>
    </row>
    <row r="203" spans="1:19" x14ac:dyDescent="0.2">
      <c r="A203" s="153">
        <v>2017</v>
      </c>
      <c r="B203" s="153">
        <v>10</v>
      </c>
      <c r="C203" s="153" t="str">
        <f t="shared" si="30"/>
        <v>201710</v>
      </c>
      <c r="D203" s="153" t="str">
        <f t="shared" si="24"/>
        <v>Q4</v>
      </c>
      <c r="E203" s="153">
        <f t="shared" si="26"/>
        <v>149821.88399999999</v>
      </c>
      <c r="F203" s="153">
        <f t="shared" si="25"/>
        <v>45448.674552537363</v>
      </c>
      <c r="G203" s="153">
        <f t="shared" si="25"/>
        <v>4568.2250000000004</v>
      </c>
      <c r="H203" s="153" t="e">
        <f t="shared" si="25"/>
        <v>#N/A</v>
      </c>
      <c r="O203" s="155"/>
      <c r="P203" s="155"/>
      <c r="Q203" s="155"/>
      <c r="R203" s="181"/>
      <c r="S203" s="189"/>
    </row>
    <row r="204" spans="1:19" x14ac:dyDescent="0.2">
      <c r="A204" s="153">
        <v>2017</v>
      </c>
      <c r="B204" s="153">
        <v>11</v>
      </c>
      <c r="C204" s="153" t="str">
        <f t="shared" si="30"/>
        <v>201711</v>
      </c>
      <c r="D204" s="153" t="str">
        <f t="shared" si="24"/>
        <v>Q4</v>
      </c>
      <c r="E204" s="153">
        <f t="shared" si="26"/>
        <v>149821.88399999999</v>
      </c>
      <c r="F204" s="153">
        <f t="shared" si="25"/>
        <v>45448.674552537363</v>
      </c>
      <c r="G204" s="153">
        <f t="shared" si="25"/>
        <v>4568.2250000000004</v>
      </c>
      <c r="H204" s="153" t="e">
        <f t="shared" si="25"/>
        <v>#N/A</v>
      </c>
      <c r="O204" s="155"/>
      <c r="P204" s="155"/>
      <c r="Q204" s="155"/>
      <c r="R204" s="181"/>
      <c r="S204" s="189"/>
    </row>
    <row r="205" spans="1:19" x14ac:dyDescent="0.2">
      <c r="A205" s="153">
        <v>2017</v>
      </c>
      <c r="B205" s="153">
        <v>12</v>
      </c>
      <c r="C205" s="153" t="str">
        <f t="shared" si="30"/>
        <v>201712</v>
      </c>
      <c r="D205" s="153" t="str">
        <f t="shared" si="24"/>
        <v>Q4</v>
      </c>
      <c r="E205" s="153">
        <f t="shared" si="26"/>
        <v>149821.88399999999</v>
      </c>
      <c r="F205" s="153">
        <f t="shared" si="25"/>
        <v>45448.674552537363</v>
      </c>
      <c r="G205" s="153">
        <f t="shared" si="25"/>
        <v>4568.2250000000004</v>
      </c>
      <c r="H205" s="153" t="e">
        <f t="shared" si="25"/>
        <v>#N/A</v>
      </c>
      <c r="O205" s="155"/>
      <c r="P205" s="155"/>
      <c r="Q205" s="155"/>
      <c r="R205" s="181"/>
      <c r="S205" s="189"/>
    </row>
    <row r="206" spans="1:19" x14ac:dyDescent="0.2">
      <c r="A206" s="153">
        <v>2018</v>
      </c>
      <c r="B206" s="153">
        <v>1</v>
      </c>
      <c r="C206" s="153" t="str">
        <f t="shared" si="30"/>
        <v>20181</v>
      </c>
      <c r="D206" s="153" t="str">
        <f t="shared" si="24"/>
        <v>Q1</v>
      </c>
      <c r="E206" s="153">
        <f t="shared" si="26"/>
        <v>151159.774</v>
      </c>
      <c r="F206" s="153">
        <f t="shared" si="25"/>
        <v>45721.18203228699</v>
      </c>
      <c r="G206" s="153">
        <f t="shared" si="25"/>
        <v>4576.63</v>
      </c>
      <c r="H206" s="153" t="e">
        <f t="shared" si="25"/>
        <v>#N/A</v>
      </c>
      <c r="O206" s="155"/>
      <c r="P206" s="155"/>
      <c r="Q206" s="155"/>
      <c r="R206" s="181"/>
      <c r="S206" s="189"/>
    </row>
    <row r="207" spans="1:19" x14ac:dyDescent="0.2">
      <c r="A207" s="153">
        <v>2018</v>
      </c>
      <c r="B207" s="153">
        <v>2</v>
      </c>
      <c r="C207" s="153" t="str">
        <f t="shared" si="30"/>
        <v>20182</v>
      </c>
      <c r="D207" s="153" t="str">
        <f t="shared" ref="D207:D270" si="31">D195</f>
        <v>Q1</v>
      </c>
      <c r="E207" s="153">
        <f t="shared" si="26"/>
        <v>151159.774</v>
      </c>
      <c r="F207" s="153">
        <f t="shared" si="25"/>
        <v>45721.18203228699</v>
      </c>
      <c r="G207" s="153">
        <f t="shared" si="25"/>
        <v>4576.63</v>
      </c>
      <c r="H207" s="153" t="e">
        <f t="shared" si="25"/>
        <v>#N/A</v>
      </c>
      <c r="O207" s="155"/>
      <c r="P207" s="155"/>
      <c r="Q207" s="155"/>
      <c r="R207" s="181"/>
      <c r="S207" s="189"/>
    </row>
    <row r="208" spans="1:19" x14ac:dyDescent="0.2">
      <c r="A208" s="153">
        <v>2018</v>
      </c>
      <c r="B208" s="153">
        <v>3</v>
      </c>
      <c r="C208" s="153" t="str">
        <f t="shared" si="30"/>
        <v>20183</v>
      </c>
      <c r="D208" s="153" t="str">
        <f t="shared" si="31"/>
        <v>Q1</v>
      </c>
      <c r="E208" s="153">
        <f t="shared" si="26"/>
        <v>151159.774</v>
      </c>
      <c r="F208" s="153">
        <f t="shared" si="25"/>
        <v>45721.18203228699</v>
      </c>
      <c r="G208" s="153">
        <f t="shared" si="25"/>
        <v>4576.63</v>
      </c>
      <c r="H208" s="153" t="e">
        <f t="shared" si="25"/>
        <v>#N/A</v>
      </c>
      <c r="O208" s="155"/>
      <c r="P208" s="155"/>
      <c r="Q208" s="155"/>
      <c r="R208" s="181"/>
      <c r="S208" s="189"/>
    </row>
    <row r="209" spans="1:17" x14ac:dyDescent="0.2">
      <c r="A209" s="153">
        <v>2018</v>
      </c>
      <c r="B209" s="153">
        <v>4</v>
      </c>
      <c r="C209" s="153" t="str">
        <f t="shared" si="30"/>
        <v>20184</v>
      </c>
      <c r="D209" s="153" t="str">
        <f t="shared" si="31"/>
        <v>Q2</v>
      </c>
      <c r="E209" s="153">
        <f t="shared" si="26"/>
        <v>152014.81099999999</v>
      </c>
      <c r="F209" s="153">
        <f t="shared" si="25"/>
        <v>45952.240193290287</v>
      </c>
      <c r="G209" s="153">
        <f t="shared" si="25"/>
        <v>4585.03</v>
      </c>
      <c r="H209" s="153" t="e">
        <f t="shared" si="25"/>
        <v>#N/A</v>
      </c>
      <c r="O209" s="159"/>
      <c r="P209" s="159"/>
      <c r="Q209" s="159"/>
    </row>
    <row r="210" spans="1:17" x14ac:dyDescent="0.2">
      <c r="A210" s="153">
        <v>2018</v>
      </c>
      <c r="B210" s="153">
        <v>5</v>
      </c>
      <c r="C210" s="153" t="str">
        <f t="shared" si="30"/>
        <v>20185</v>
      </c>
      <c r="D210" s="153" t="str">
        <f t="shared" si="31"/>
        <v>Q2</v>
      </c>
      <c r="E210" s="153">
        <f t="shared" si="26"/>
        <v>152014.81099999999</v>
      </c>
      <c r="F210" s="153">
        <f t="shared" si="25"/>
        <v>45952.240193290287</v>
      </c>
      <c r="G210" s="153">
        <f t="shared" si="25"/>
        <v>4585.03</v>
      </c>
      <c r="H210" s="153" t="e">
        <f t="shared" si="25"/>
        <v>#N/A</v>
      </c>
      <c r="O210" s="159"/>
      <c r="P210" s="159"/>
      <c r="Q210" s="159"/>
    </row>
    <row r="211" spans="1:17" x14ac:dyDescent="0.2">
      <c r="A211" s="153">
        <v>2018</v>
      </c>
      <c r="B211" s="153">
        <v>6</v>
      </c>
      <c r="C211" s="153" t="str">
        <f t="shared" si="30"/>
        <v>20186</v>
      </c>
      <c r="D211" s="153" t="str">
        <f t="shared" si="31"/>
        <v>Q2</v>
      </c>
      <c r="E211" s="153">
        <f t="shared" si="26"/>
        <v>152014.81099999999</v>
      </c>
      <c r="F211" s="153">
        <f t="shared" si="25"/>
        <v>45952.240193290287</v>
      </c>
      <c r="G211" s="153">
        <f t="shared" si="25"/>
        <v>4585.03</v>
      </c>
      <c r="H211" s="153" t="e">
        <f t="shared" si="25"/>
        <v>#N/A</v>
      </c>
      <c r="O211" s="159"/>
      <c r="P211" s="159"/>
      <c r="Q211" s="159"/>
    </row>
    <row r="212" spans="1:17" x14ac:dyDescent="0.2">
      <c r="A212" s="153">
        <v>2018</v>
      </c>
      <c r="B212" s="153">
        <v>7</v>
      </c>
      <c r="C212" s="153" t="str">
        <f t="shared" si="30"/>
        <v>20187</v>
      </c>
      <c r="D212" s="153" t="str">
        <f t="shared" si="31"/>
        <v>Q3</v>
      </c>
      <c r="E212" s="153">
        <f t="shared" si="26"/>
        <v>152840.09</v>
      </c>
      <c r="F212" s="153">
        <f t="shared" si="25"/>
        <v>46269.534926018147</v>
      </c>
      <c r="G212" s="153">
        <f t="shared" si="25"/>
        <v>4593.4229999999998</v>
      </c>
      <c r="H212" s="153" t="e">
        <f t="shared" si="25"/>
        <v>#N/A</v>
      </c>
      <c r="O212" s="159"/>
      <c r="P212" s="159"/>
      <c r="Q212" s="159"/>
    </row>
    <row r="213" spans="1:17" x14ac:dyDescent="0.2">
      <c r="A213" s="153">
        <v>2018</v>
      </c>
      <c r="B213" s="153">
        <v>8</v>
      </c>
      <c r="C213" s="153" t="str">
        <f t="shared" si="30"/>
        <v>20188</v>
      </c>
      <c r="D213" s="153" t="str">
        <f t="shared" si="31"/>
        <v>Q3</v>
      </c>
      <c r="E213" s="153">
        <f t="shared" si="26"/>
        <v>152840.09</v>
      </c>
      <c r="F213" s="153">
        <f t="shared" si="25"/>
        <v>46269.534926018147</v>
      </c>
      <c r="G213" s="153">
        <f t="shared" si="25"/>
        <v>4593.4229999999998</v>
      </c>
      <c r="H213" s="153" t="e">
        <f t="shared" si="25"/>
        <v>#N/A</v>
      </c>
      <c r="O213" s="159"/>
      <c r="P213" s="159"/>
      <c r="Q213" s="159"/>
    </row>
    <row r="214" spans="1:17" x14ac:dyDescent="0.2">
      <c r="A214" s="153">
        <v>2018</v>
      </c>
      <c r="B214" s="153">
        <v>9</v>
      </c>
      <c r="C214" s="153" t="str">
        <f t="shared" si="30"/>
        <v>20189</v>
      </c>
      <c r="D214" s="153" t="str">
        <f t="shared" si="31"/>
        <v>Q3</v>
      </c>
      <c r="E214" s="153">
        <f t="shared" si="26"/>
        <v>152840.09</v>
      </c>
      <c r="F214" s="153">
        <f t="shared" si="25"/>
        <v>46269.534926018147</v>
      </c>
      <c r="G214" s="153">
        <f t="shared" si="25"/>
        <v>4593.4229999999998</v>
      </c>
      <c r="H214" s="153" t="e">
        <f t="shared" si="25"/>
        <v>#N/A</v>
      </c>
      <c r="O214" s="159"/>
      <c r="P214" s="159"/>
      <c r="Q214" s="159"/>
    </row>
    <row r="215" spans="1:17" x14ac:dyDescent="0.2">
      <c r="A215" s="153">
        <v>2018</v>
      </c>
      <c r="B215" s="153">
        <v>10</v>
      </c>
      <c r="C215" s="153" t="str">
        <f t="shared" si="30"/>
        <v>201810</v>
      </c>
      <c r="D215" s="153" t="str">
        <f t="shared" si="31"/>
        <v>Q4</v>
      </c>
      <c r="E215" s="153">
        <f t="shared" si="26"/>
        <v>153691.45300000001</v>
      </c>
      <c r="F215" s="153">
        <f t="shared" si="25"/>
        <v>46499.695892915195</v>
      </c>
      <c r="G215" s="153">
        <f t="shared" si="25"/>
        <v>4601.8090000000002</v>
      </c>
      <c r="H215" s="153" t="e">
        <f t="shared" si="25"/>
        <v>#N/A</v>
      </c>
      <c r="O215" s="159"/>
      <c r="P215" s="159"/>
      <c r="Q215" s="159"/>
    </row>
    <row r="216" spans="1:17" x14ac:dyDescent="0.2">
      <c r="A216" s="153">
        <v>2018</v>
      </c>
      <c r="B216" s="153">
        <v>11</v>
      </c>
      <c r="C216" s="153" t="str">
        <f t="shared" si="30"/>
        <v>201811</v>
      </c>
      <c r="D216" s="153" t="str">
        <f t="shared" si="31"/>
        <v>Q4</v>
      </c>
      <c r="E216" s="153">
        <f t="shared" si="26"/>
        <v>153691.45300000001</v>
      </c>
      <c r="F216" s="153">
        <f t="shared" si="25"/>
        <v>46499.695892915195</v>
      </c>
      <c r="G216" s="153">
        <f t="shared" si="25"/>
        <v>4601.8090000000002</v>
      </c>
      <c r="H216" s="153" t="e">
        <f t="shared" si="25"/>
        <v>#N/A</v>
      </c>
      <c r="O216" s="159"/>
      <c r="P216" s="159"/>
      <c r="Q216" s="159"/>
    </row>
    <row r="217" spans="1:17" x14ac:dyDescent="0.2">
      <c r="A217" s="153">
        <v>2018</v>
      </c>
      <c r="B217" s="153">
        <v>12</v>
      </c>
      <c r="C217" s="153" t="str">
        <f t="shared" si="30"/>
        <v>201812</v>
      </c>
      <c r="D217" s="153" t="str">
        <f t="shared" si="31"/>
        <v>Q4</v>
      </c>
      <c r="E217" s="153">
        <f t="shared" si="26"/>
        <v>153691.45300000001</v>
      </c>
      <c r="F217" s="153">
        <f t="shared" si="25"/>
        <v>46499.695892915195</v>
      </c>
      <c r="G217" s="153">
        <f t="shared" si="25"/>
        <v>4601.8090000000002</v>
      </c>
      <c r="H217" s="153" t="e">
        <f t="shared" si="25"/>
        <v>#N/A</v>
      </c>
      <c r="O217" s="159"/>
      <c r="P217" s="159"/>
      <c r="Q217" s="159"/>
    </row>
    <row r="218" spans="1:17" x14ac:dyDescent="0.2">
      <c r="A218" s="153">
        <v>2019</v>
      </c>
      <c r="B218" s="153">
        <v>1</v>
      </c>
      <c r="C218" s="153" t="str">
        <f t="shared" si="30"/>
        <v>20191</v>
      </c>
      <c r="D218" s="153" t="str">
        <f t="shared" si="31"/>
        <v>Q1</v>
      </c>
      <c r="E218" s="153">
        <f t="shared" si="26"/>
        <v>155062.20000000001</v>
      </c>
      <c r="F218" s="153">
        <f t="shared" si="25"/>
        <v>46951.95820849367</v>
      </c>
      <c r="G218" s="153">
        <f t="shared" si="25"/>
        <v>4610.1880000000001</v>
      </c>
      <c r="H218" s="153" t="e">
        <f t="shared" si="25"/>
        <v>#N/A</v>
      </c>
    </row>
    <row r="219" spans="1:17" x14ac:dyDescent="0.2">
      <c r="A219" s="153">
        <v>2019</v>
      </c>
      <c r="B219" s="153">
        <v>2</v>
      </c>
      <c r="C219" s="153" t="str">
        <f t="shared" si="30"/>
        <v>20192</v>
      </c>
      <c r="D219" s="153" t="str">
        <f t="shared" si="31"/>
        <v>Q1</v>
      </c>
      <c r="E219" s="153">
        <f t="shared" si="26"/>
        <v>155062.20000000001</v>
      </c>
      <c r="F219" s="153">
        <f t="shared" si="25"/>
        <v>46951.95820849367</v>
      </c>
      <c r="G219" s="153">
        <f t="shared" si="25"/>
        <v>4610.1880000000001</v>
      </c>
      <c r="H219" s="153" t="e">
        <f t="shared" si="25"/>
        <v>#N/A</v>
      </c>
      <c r="O219" s="155"/>
      <c r="P219" s="155"/>
      <c r="Q219" s="155"/>
    </row>
    <row r="220" spans="1:17" x14ac:dyDescent="0.2">
      <c r="A220" s="153">
        <v>2019</v>
      </c>
      <c r="B220" s="153">
        <v>3</v>
      </c>
      <c r="C220" s="153" t="str">
        <f t="shared" si="30"/>
        <v>20193</v>
      </c>
      <c r="D220" s="153" t="str">
        <f t="shared" si="31"/>
        <v>Q1</v>
      </c>
      <c r="E220" s="153">
        <f t="shared" si="26"/>
        <v>155062.20000000001</v>
      </c>
      <c r="F220" s="153">
        <f t="shared" si="25"/>
        <v>46951.95820849367</v>
      </c>
      <c r="G220" s="153">
        <f t="shared" si="25"/>
        <v>4610.1880000000001</v>
      </c>
      <c r="H220" s="153" t="e">
        <f t="shared" si="25"/>
        <v>#N/A</v>
      </c>
      <c r="O220" s="155"/>
      <c r="P220" s="155"/>
      <c r="Q220" s="155"/>
    </row>
    <row r="221" spans="1:17" x14ac:dyDescent="0.2">
      <c r="A221" s="153">
        <v>2019</v>
      </c>
      <c r="B221" s="153">
        <v>4</v>
      </c>
      <c r="C221" s="153" t="str">
        <f t="shared" si="30"/>
        <v>20194</v>
      </c>
      <c r="D221" s="153" t="str">
        <f t="shared" si="31"/>
        <v>Q2</v>
      </c>
      <c r="E221" s="153">
        <f t="shared" si="26"/>
        <v>155893.33300000001</v>
      </c>
      <c r="F221" s="153">
        <f t="shared" si="25"/>
        <v>47295.046546996404</v>
      </c>
      <c r="G221" s="153">
        <f t="shared" si="25"/>
        <v>4618.558</v>
      </c>
      <c r="H221" s="153" t="e">
        <f t="shared" si="25"/>
        <v>#N/A</v>
      </c>
      <c r="O221" s="155"/>
      <c r="P221" s="155"/>
      <c r="Q221" s="155"/>
    </row>
    <row r="222" spans="1:17" x14ac:dyDescent="0.2">
      <c r="A222" s="153">
        <v>2019</v>
      </c>
      <c r="B222" s="153">
        <v>5</v>
      </c>
      <c r="C222" s="153" t="str">
        <f t="shared" si="30"/>
        <v>20195</v>
      </c>
      <c r="D222" s="153" t="str">
        <f t="shared" si="31"/>
        <v>Q2</v>
      </c>
      <c r="E222" s="153">
        <f t="shared" si="26"/>
        <v>155893.33300000001</v>
      </c>
      <c r="F222" s="153">
        <f t="shared" si="25"/>
        <v>47295.046546996404</v>
      </c>
      <c r="G222" s="153">
        <f t="shared" si="25"/>
        <v>4618.558</v>
      </c>
      <c r="H222" s="153" t="e">
        <f t="shared" si="25"/>
        <v>#N/A</v>
      </c>
      <c r="O222" s="155"/>
      <c r="P222" s="155"/>
      <c r="Q222" s="155"/>
    </row>
    <row r="223" spans="1:17" x14ac:dyDescent="0.2">
      <c r="A223" s="153">
        <v>2019</v>
      </c>
      <c r="B223" s="153">
        <v>6</v>
      </c>
      <c r="C223" s="153" t="str">
        <f t="shared" si="30"/>
        <v>20196</v>
      </c>
      <c r="D223" s="153" t="str">
        <f t="shared" si="31"/>
        <v>Q2</v>
      </c>
      <c r="E223" s="153">
        <f t="shared" si="26"/>
        <v>155893.33300000001</v>
      </c>
      <c r="F223" s="153">
        <f t="shared" si="25"/>
        <v>47295.046546996404</v>
      </c>
      <c r="G223" s="153">
        <f t="shared" si="25"/>
        <v>4618.558</v>
      </c>
      <c r="H223" s="153" t="e">
        <f t="shared" si="25"/>
        <v>#N/A</v>
      </c>
      <c r="O223" s="155"/>
      <c r="P223" s="155"/>
      <c r="Q223" s="155"/>
    </row>
    <row r="224" spans="1:17" x14ac:dyDescent="0.2">
      <c r="A224" s="153">
        <v>2019</v>
      </c>
      <c r="B224" s="153">
        <v>7</v>
      </c>
      <c r="C224" s="153" t="str">
        <f t="shared" si="30"/>
        <v>20197</v>
      </c>
      <c r="D224" s="153" t="str">
        <f t="shared" si="31"/>
        <v>Q3</v>
      </c>
      <c r="E224" s="153">
        <f t="shared" si="26"/>
        <v>156697.22099999999</v>
      </c>
      <c r="F224" s="153">
        <f t="shared" si="25"/>
        <v>47474.511791947109</v>
      </c>
      <c r="G224" s="153">
        <f t="shared" si="25"/>
        <v>4626.9070000000002</v>
      </c>
      <c r="H224" s="153" t="e">
        <f t="shared" si="25"/>
        <v>#N/A</v>
      </c>
      <c r="O224" s="155"/>
      <c r="P224" s="155"/>
      <c r="Q224" s="155"/>
    </row>
    <row r="225" spans="1:19" x14ac:dyDescent="0.2">
      <c r="A225" s="153">
        <v>2019</v>
      </c>
      <c r="B225" s="153">
        <v>8</v>
      </c>
      <c r="C225" s="153" t="str">
        <f t="shared" si="30"/>
        <v>20198</v>
      </c>
      <c r="D225" s="153" t="str">
        <f t="shared" si="31"/>
        <v>Q3</v>
      </c>
      <c r="E225" s="153">
        <f t="shared" si="26"/>
        <v>156697.22099999999</v>
      </c>
      <c r="F225" s="153">
        <f t="shared" si="25"/>
        <v>47474.511791947109</v>
      </c>
      <c r="G225" s="153">
        <f t="shared" si="25"/>
        <v>4626.9070000000002</v>
      </c>
      <c r="H225" s="153" t="e">
        <f t="shared" si="25"/>
        <v>#N/A</v>
      </c>
      <c r="O225" s="155"/>
      <c r="P225" s="155"/>
      <c r="Q225" s="155"/>
    </row>
    <row r="226" spans="1:19" x14ac:dyDescent="0.2">
      <c r="A226" s="153">
        <v>2019</v>
      </c>
      <c r="B226" s="153">
        <v>9</v>
      </c>
      <c r="C226" s="153" t="str">
        <f t="shared" si="30"/>
        <v>20199</v>
      </c>
      <c r="D226" s="153" t="str">
        <f t="shared" si="31"/>
        <v>Q3</v>
      </c>
      <c r="E226" s="153">
        <f t="shared" si="26"/>
        <v>156697.22099999999</v>
      </c>
      <c r="F226" s="153">
        <f t="shared" si="26"/>
        <v>47474.511791947109</v>
      </c>
      <c r="G226" s="153">
        <f t="shared" si="26"/>
        <v>4626.9070000000002</v>
      </c>
      <c r="H226" s="153" t="e">
        <f t="shared" si="26"/>
        <v>#N/A</v>
      </c>
      <c r="O226" s="155"/>
      <c r="P226" s="155"/>
      <c r="Q226" s="155"/>
    </row>
    <row r="227" spans="1:19" x14ac:dyDescent="0.2">
      <c r="A227" s="153">
        <v>2019</v>
      </c>
      <c r="B227" s="153">
        <v>10</v>
      </c>
      <c r="C227" s="153" t="str">
        <f t="shared" si="30"/>
        <v>201910</v>
      </c>
      <c r="D227" s="153" t="str">
        <f t="shared" si="31"/>
        <v>Q4</v>
      </c>
      <c r="E227" s="153">
        <f t="shared" ref="E227:H290" si="32">VLOOKUP($A227&amp;$D227,$N$1:$T$169,MATCH(E$1,$N$1:$T$1,0),0)</f>
        <v>157503.777</v>
      </c>
      <c r="F227" s="153">
        <f t="shared" si="32"/>
        <v>47726.545621421916</v>
      </c>
      <c r="G227" s="153">
        <f t="shared" si="32"/>
        <v>4635.2470000000003</v>
      </c>
      <c r="H227" s="153" t="e">
        <f t="shared" si="32"/>
        <v>#N/A</v>
      </c>
      <c r="O227" s="155"/>
      <c r="P227" s="155"/>
      <c r="Q227" s="155"/>
    </row>
    <row r="228" spans="1:19" x14ac:dyDescent="0.2">
      <c r="A228" s="153">
        <v>2019</v>
      </c>
      <c r="B228" s="153">
        <v>11</v>
      </c>
      <c r="C228" s="153" t="str">
        <f t="shared" si="30"/>
        <v>201911</v>
      </c>
      <c r="D228" s="153" t="str">
        <f t="shared" si="31"/>
        <v>Q4</v>
      </c>
      <c r="E228" s="153">
        <f t="shared" si="32"/>
        <v>157503.777</v>
      </c>
      <c r="F228" s="153">
        <f t="shared" si="32"/>
        <v>47726.545621421916</v>
      </c>
      <c r="G228" s="153">
        <f t="shared" si="32"/>
        <v>4635.2470000000003</v>
      </c>
      <c r="H228" s="153" t="e">
        <f t="shared" si="32"/>
        <v>#N/A</v>
      </c>
      <c r="O228" s="155"/>
      <c r="P228" s="155"/>
      <c r="Q228" s="155"/>
    </row>
    <row r="229" spans="1:19" x14ac:dyDescent="0.2">
      <c r="A229" s="153">
        <v>2019</v>
      </c>
      <c r="B229" s="153">
        <v>12</v>
      </c>
      <c r="C229" s="153" t="str">
        <f t="shared" si="30"/>
        <v>201912</v>
      </c>
      <c r="D229" s="153" t="str">
        <f t="shared" si="31"/>
        <v>Q4</v>
      </c>
      <c r="E229" s="153">
        <f t="shared" si="32"/>
        <v>157503.777</v>
      </c>
      <c r="F229" s="153">
        <f t="shared" si="32"/>
        <v>47726.545621421916</v>
      </c>
      <c r="G229" s="153">
        <f t="shared" si="32"/>
        <v>4635.2470000000003</v>
      </c>
      <c r="H229" s="153" t="e">
        <f t="shared" si="32"/>
        <v>#N/A</v>
      </c>
      <c r="O229" s="155"/>
      <c r="P229" s="155"/>
      <c r="Q229" s="155"/>
    </row>
    <row r="230" spans="1:19" x14ac:dyDescent="0.2">
      <c r="A230" s="153">
        <v>2020</v>
      </c>
      <c r="B230" s="153">
        <v>1</v>
      </c>
      <c r="C230" s="153" t="str">
        <f t="shared" si="30"/>
        <v>20201</v>
      </c>
      <c r="D230" s="153" t="str">
        <f t="shared" si="31"/>
        <v>Q1</v>
      </c>
      <c r="E230" s="153">
        <f t="shared" si="32"/>
        <v>158898.726</v>
      </c>
      <c r="F230" s="153">
        <f t="shared" si="32"/>
        <v>48243.78300199988</v>
      </c>
      <c r="G230" s="153">
        <f t="shared" si="32"/>
        <v>4643.5770000000002</v>
      </c>
      <c r="H230" s="153" t="e">
        <f t="shared" si="32"/>
        <v>#N/A</v>
      </c>
      <c r="O230" s="155"/>
      <c r="P230" s="155"/>
      <c r="Q230" s="155"/>
    </row>
    <row r="231" spans="1:19" x14ac:dyDescent="0.2">
      <c r="A231" s="153">
        <v>2020</v>
      </c>
      <c r="B231" s="153">
        <v>2</v>
      </c>
      <c r="C231" s="153" t="str">
        <f t="shared" si="30"/>
        <v>20202</v>
      </c>
      <c r="D231" s="153" t="str">
        <f t="shared" si="31"/>
        <v>Q1</v>
      </c>
      <c r="E231" s="153">
        <f t="shared" si="32"/>
        <v>158898.726</v>
      </c>
      <c r="F231" s="153">
        <f t="shared" si="32"/>
        <v>48243.78300199988</v>
      </c>
      <c r="G231" s="153">
        <f t="shared" si="32"/>
        <v>4643.5770000000002</v>
      </c>
      <c r="H231" s="153" t="e">
        <f t="shared" si="32"/>
        <v>#N/A</v>
      </c>
      <c r="O231" s="155"/>
      <c r="P231" s="155"/>
      <c r="Q231" s="155"/>
    </row>
    <row r="232" spans="1:19" x14ac:dyDescent="0.2">
      <c r="A232" s="153">
        <v>2020</v>
      </c>
      <c r="B232" s="153">
        <v>3</v>
      </c>
      <c r="C232" s="153" t="str">
        <f t="shared" si="30"/>
        <v>20203</v>
      </c>
      <c r="D232" s="153" t="str">
        <f t="shared" si="31"/>
        <v>Q1</v>
      </c>
      <c r="E232" s="153">
        <f t="shared" si="32"/>
        <v>158898.726</v>
      </c>
      <c r="F232" s="153">
        <f t="shared" si="32"/>
        <v>48243.78300199988</v>
      </c>
      <c r="G232" s="153">
        <f t="shared" si="32"/>
        <v>4643.5770000000002</v>
      </c>
      <c r="H232" s="153" t="e">
        <f t="shared" si="32"/>
        <v>#N/A</v>
      </c>
      <c r="O232" s="155"/>
      <c r="P232" s="155"/>
      <c r="Q232" s="155"/>
    </row>
    <row r="233" spans="1:19" x14ac:dyDescent="0.2">
      <c r="A233" s="153">
        <v>2020</v>
      </c>
      <c r="B233" s="153">
        <v>4</v>
      </c>
      <c r="C233" s="153" t="str">
        <f t="shared" si="30"/>
        <v>20204</v>
      </c>
      <c r="D233" s="153" t="str">
        <f t="shared" si="31"/>
        <v>Q2</v>
      </c>
      <c r="E233" s="153">
        <f t="shared" si="32"/>
        <v>159849.41</v>
      </c>
      <c r="F233" s="153">
        <f t="shared" si="32"/>
        <v>48481.970690693073</v>
      </c>
      <c r="G233" s="153">
        <f t="shared" si="32"/>
        <v>4651.8969999999999</v>
      </c>
      <c r="H233" s="153" t="e">
        <f t="shared" si="32"/>
        <v>#N/A</v>
      </c>
      <c r="O233" s="155"/>
      <c r="P233" s="155"/>
      <c r="Q233" s="155"/>
      <c r="R233" s="180"/>
      <c r="S233" s="180"/>
    </row>
    <row r="234" spans="1:19" x14ac:dyDescent="0.2">
      <c r="A234" s="153">
        <v>2020</v>
      </c>
      <c r="B234" s="153">
        <v>5</v>
      </c>
      <c r="C234" s="153" t="str">
        <f t="shared" si="30"/>
        <v>20205</v>
      </c>
      <c r="D234" s="153" t="str">
        <f t="shared" si="31"/>
        <v>Q2</v>
      </c>
      <c r="E234" s="153">
        <f t="shared" si="32"/>
        <v>159849.41</v>
      </c>
      <c r="F234" s="153">
        <f t="shared" si="32"/>
        <v>48481.970690693073</v>
      </c>
      <c r="G234" s="153">
        <f t="shared" si="32"/>
        <v>4651.8969999999999</v>
      </c>
      <c r="H234" s="153" t="e">
        <f t="shared" si="32"/>
        <v>#N/A</v>
      </c>
      <c r="O234" s="155"/>
      <c r="P234" s="155"/>
      <c r="Q234" s="155"/>
      <c r="R234" s="180"/>
      <c r="S234" s="180"/>
    </row>
    <row r="235" spans="1:19" x14ac:dyDescent="0.2">
      <c r="A235" s="153">
        <v>2020</v>
      </c>
      <c r="B235" s="153">
        <v>6</v>
      </c>
      <c r="C235" s="153" t="str">
        <f t="shared" si="30"/>
        <v>20206</v>
      </c>
      <c r="D235" s="153" t="str">
        <f t="shared" si="31"/>
        <v>Q2</v>
      </c>
      <c r="E235" s="153">
        <f t="shared" si="32"/>
        <v>159849.41</v>
      </c>
      <c r="F235" s="153">
        <f t="shared" si="32"/>
        <v>48481.970690693073</v>
      </c>
      <c r="G235" s="153">
        <f t="shared" si="32"/>
        <v>4651.8969999999999</v>
      </c>
      <c r="H235" s="153" t="e">
        <f t="shared" si="32"/>
        <v>#N/A</v>
      </c>
      <c r="O235" s="155"/>
      <c r="P235" s="155"/>
      <c r="Q235" s="155"/>
      <c r="R235" s="180"/>
      <c r="S235" s="180"/>
    </row>
    <row r="236" spans="1:19" x14ac:dyDescent="0.2">
      <c r="A236" s="153">
        <v>2020</v>
      </c>
      <c r="B236" s="153">
        <v>7</v>
      </c>
      <c r="C236" s="153" t="str">
        <f t="shared" si="30"/>
        <v>20207</v>
      </c>
      <c r="D236" s="153" t="str">
        <f t="shared" si="31"/>
        <v>Q3</v>
      </c>
      <c r="E236" s="153">
        <f t="shared" si="32"/>
        <v>160644.163</v>
      </c>
      <c r="F236" s="153">
        <f t="shared" si="32"/>
        <v>48705.682421467725</v>
      </c>
      <c r="G236" s="153">
        <f t="shared" si="32"/>
        <v>4660.2060000000001</v>
      </c>
      <c r="H236" s="153" t="e">
        <f t="shared" si="32"/>
        <v>#N/A</v>
      </c>
      <c r="O236" s="155"/>
      <c r="P236" s="155"/>
      <c r="Q236" s="155"/>
      <c r="R236" s="180"/>
      <c r="S236" s="180"/>
    </row>
    <row r="237" spans="1:19" x14ac:dyDescent="0.2">
      <c r="A237" s="153">
        <v>2020</v>
      </c>
      <c r="B237" s="153">
        <v>8</v>
      </c>
      <c r="C237" s="153" t="str">
        <f t="shared" si="30"/>
        <v>20208</v>
      </c>
      <c r="D237" s="153" t="str">
        <f t="shared" si="31"/>
        <v>Q3</v>
      </c>
      <c r="E237" s="153">
        <f t="shared" si="32"/>
        <v>160644.163</v>
      </c>
      <c r="F237" s="153">
        <f t="shared" si="32"/>
        <v>48705.682421467725</v>
      </c>
      <c r="G237" s="153">
        <f t="shared" si="32"/>
        <v>4660.2060000000001</v>
      </c>
      <c r="H237" s="153" t="e">
        <f t="shared" si="32"/>
        <v>#N/A</v>
      </c>
      <c r="O237" s="155"/>
      <c r="P237" s="155"/>
      <c r="Q237" s="155"/>
      <c r="R237" s="180"/>
      <c r="S237" s="180"/>
    </row>
    <row r="238" spans="1:19" x14ac:dyDescent="0.2">
      <c r="A238" s="153">
        <v>2020</v>
      </c>
      <c r="B238" s="153">
        <v>9</v>
      </c>
      <c r="C238" s="153" t="str">
        <f t="shared" si="30"/>
        <v>20209</v>
      </c>
      <c r="D238" s="153" t="str">
        <f t="shared" si="31"/>
        <v>Q3</v>
      </c>
      <c r="E238" s="153">
        <f t="shared" si="32"/>
        <v>160644.163</v>
      </c>
      <c r="F238" s="153">
        <f t="shared" si="32"/>
        <v>48705.682421467725</v>
      </c>
      <c r="G238" s="153">
        <f t="shared" si="32"/>
        <v>4660.2060000000001</v>
      </c>
      <c r="H238" s="153" t="e">
        <f t="shared" si="32"/>
        <v>#N/A</v>
      </c>
      <c r="O238" s="155"/>
      <c r="P238" s="155"/>
      <c r="Q238" s="155"/>
      <c r="R238" s="180"/>
      <c r="S238" s="180"/>
    </row>
    <row r="239" spans="1:19" x14ac:dyDescent="0.2">
      <c r="A239" s="153">
        <v>2020</v>
      </c>
      <c r="B239" s="153">
        <v>10</v>
      </c>
      <c r="C239" s="153" t="str">
        <f t="shared" si="30"/>
        <v>202010</v>
      </c>
      <c r="D239" s="153" t="str">
        <f t="shared" si="31"/>
        <v>Q4</v>
      </c>
      <c r="E239" s="153">
        <f t="shared" si="32"/>
        <v>161348.13399999999</v>
      </c>
      <c r="F239" s="153">
        <f t="shared" si="32"/>
        <v>48829.591308895542</v>
      </c>
      <c r="G239" s="153">
        <f t="shared" si="32"/>
        <v>4668.5039999999999</v>
      </c>
      <c r="H239" s="153" t="e">
        <f t="shared" si="32"/>
        <v>#N/A</v>
      </c>
      <c r="O239" s="155"/>
      <c r="P239" s="155"/>
      <c r="Q239" s="155"/>
      <c r="R239" s="180"/>
      <c r="S239" s="180"/>
    </row>
    <row r="240" spans="1:19" x14ac:dyDescent="0.2">
      <c r="A240" s="153">
        <v>2020</v>
      </c>
      <c r="B240" s="153">
        <v>11</v>
      </c>
      <c r="C240" s="153" t="str">
        <f t="shared" si="30"/>
        <v>202011</v>
      </c>
      <c r="D240" s="153" t="str">
        <f t="shared" si="31"/>
        <v>Q4</v>
      </c>
      <c r="E240" s="153">
        <f t="shared" si="32"/>
        <v>161348.13399999999</v>
      </c>
      <c r="F240" s="153">
        <f t="shared" si="32"/>
        <v>48829.591308895542</v>
      </c>
      <c r="G240" s="153">
        <f t="shared" si="32"/>
        <v>4668.5039999999999</v>
      </c>
      <c r="H240" s="153" t="e">
        <f t="shared" si="32"/>
        <v>#N/A</v>
      </c>
      <c r="O240" s="155"/>
      <c r="P240" s="155"/>
      <c r="Q240" s="155"/>
      <c r="R240" s="180"/>
      <c r="S240" s="180"/>
    </row>
    <row r="241" spans="1:17" x14ac:dyDescent="0.2">
      <c r="A241" s="153">
        <v>2020</v>
      </c>
      <c r="B241" s="153">
        <v>12</v>
      </c>
      <c r="C241" s="153" t="str">
        <f t="shared" si="30"/>
        <v>202012</v>
      </c>
      <c r="D241" s="153" t="str">
        <f t="shared" si="31"/>
        <v>Q4</v>
      </c>
      <c r="E241" s="153">
        <f t="shared" si="32"/>
        <v>161348.13399999999</v>
      </c>
      <c r="F241" s="153">
        <f t="shared" si="32"/>
        <v>48829.591308895542</v>
      </c>
      <c r="G241" s="153">
        <f t="shared" si="32"/>
        <v>4668.5039999999999</v>
      </c>
      <c r="H241" s="153" t="e">
        <f t="shared" si="32"/>
        <v>#N/A</v>
      </c>
      <c r="O241" s="159"/>
      <c r="P241" s="159"/>
      <c r="Q241" s="159"/>
    </row>
    <row r="242" spans="1:17" x14ac:dyDescent="0.2">
      <c r="A242" s="153">
        <v>2021</v>
      </c>
      <c r="B242" s="153">
        <v>1</v>
      </c>
      <c r="C242" s="153" t="str">
        <f t="shared" si="30"/>
        <v>20211</v>
      </c>
      <c r="D242" s="153" t="str">
        <f t="shared" si="31"/>
        <v>Q1</v>
      </c>
      <c r="E242" s="153">
        <f t="shared" si="32"/>
        <v>162475.66899999999</v>
      </c>
      <c r="F242" s="153">
        <f t="shared" si="32"/>
        <v>49203.757964168057</v>
      </c>
      <c r="G242" s="153">
        <f t="shared" si="32"/>
        <v>4676.79</v>
      </c>
      <c r="H242" s="153" t="e">
        <f t="shared" si="32"/>
        <v>#N/A</v>
      </c>
      <c r="O242" s="159"/>
      <c r="P242" s="159"/>
      <c r="Q242" s="159"/>
    </row>
    <row r="243" spans="1:17" x14ac:dyDescent="0.2">
      <c r="A243" s="153">
        <v>2021</v>
      </c>
      <c r="B243" s="153">
        <v>2</v>
      </c>
      <c r="C243" s="153" t="str">
        <f t="shared" si="30"/>
        <v>20212</v>
      </c>
      <c r="D243" s="153" t="str">
        <f t="shared" si="31"/>
        <v>Q1</v>
      </c>
      <c r="E243" s="153">
        <f t="shared" si="32"/>
        <v>162475.66899999999</v>
      </c>
      <c r="F243" s="153">
        <f t="shared" si="32"/>
        <v>49203.757964168057</v>
      </c>
      <c r="G243" s="153">
        <f t="shared" si="32"/>
        <v>4676.79</v>
      </c>
      <c r="H243" s="153" t="e">
        <f t="shared" si="32"/>
        <v>#N/A</v>
      </c>
      <c r="O243" s="159"/>
      <c r="P243" s="159"/>
      <c r="Q243" s="159"/>
    </row>
    <row r="244" spans="1:17" x14ac:dyDescent="0.2">
      <c r="A244" s="153">
        <v>2021</v>
      </c>
      <c r="B244" s="153">
        <v>3</v>
      </c>
      <c r="C244" s="153" t="str">
        <f t="shared" si="30"/>
        <v>20213</v>
      </c>
      <c r="D244" s="153" t="str">
        <f t="shared" si="31"/>
        <v>Q1</v>
      </c>
      <c r="E244" s="153">
        <f t="shared" si="32"/>
        <v>162475.66899999999</v>
      </c>
      <c r="F244" s="153">
        <f t="shared" si="32"/>
        <v>49203.757964168057</v>
      </c>
      <c r="G244" s="153">
        <f t="shared" si="32"/>
        <v>4676.79</v>
      </c>
      <c r="H244" s="153" t="e">
        <f t="shared" si="32"/>
        <v>#N/A</v>
      </c>
      <c r="O244" s="159"/>
      <c r="P244" s="159"/>
      <c r="Q244" s="159"/>
    </row>
    <row r="245" spans="1:17" x14ac:dyDescent="0.2">
      <c r="A245" s="153">
        <v>2021</v>
      </c>
      <c r="B245" s="153">
        <v>4</v>
      </c>
      <c r="C245" s="153" t="str">
        <f t="shared" si="30"/>
        <v>20214</v>
      </c>
      <c r="D245" s="153" t="str">
        <f t="shared" si="31"/>
        <v>Q2</v>
      </c>
      <c r="E245" s="153">
        <f t="shared" si="32"/>
        <v>163161.704</v>
      </c>
      <c r="F245" s="153">
        <f t="shared" si="32"/>
        <v>49409.045195684346</v>
      </c>
      <c r="G245" s="153">
        <f t="shared" si="32"/>
        <v>4685.0510000000004</v>
      </c>
      <c r="H245" s="153" t="e">
        <f t="shared" si="32"/>
        <v>#N/A</v>
      </c>
      <c r="O245" s="159"/>
      <c r="P245" s="159"/>
      <c r="Q245" s="159"/>
    </row>
    <row r="246" spans="1:17" x14ac:dyDescent="0.2">
      <c r="A246" s="153">
        <v>2021</v>
      </c>
      <c r="B246" s="153">
        <v>5</v>
      </c>
      <c r="C246" s="153" t="str">
        <f t="shared" si="30"/>
        <v>20215</v>
      </c>
      <c r="D246" s="153" t="str">
        <f t="shared" si="31"/>
        <v>Q2</v>
      </c>
      <c r="E246" s="153">
        <f t="shared" si="32"/>
        <v>163161.704</v>
      </c>
      <c r="F246" s="153">
        <f t="shared" si="32"/>
        <v>49409.045195684346</v>
      </c>
      <c r="G246" s="153">
        <f t="shared" si="32"/>
        <v>4685.0510000000004</v>
      </c>
      <c r="H246" s="153" t="e">
        <f t="shared" si="32"/>
        <v>#N/A</v>
      </c>
      <c r="O246" s="159"/>
      <c r="P246" s="159"/>
      <c r="Q246" s="159"/>
    </row>
    <row r="247" spans="1:17" x14ac:dyDescent="0.2">
      <c r="A247" s="153">
        <v>2021</v>
      </c>
      <c r="B247" s="153">
        <v>6</v>
      </c>
      <c r="C247" s="153" t="str">
        <f t="shared" si="30"/>
        <v>20216</v>
      </c>
      <c r="D247" s="153" t="str">
        <f t="shared" si="31"/>
        <v>Q2</v>
      </c>
      <c r="E247" s="153">
        <f t="shared" si="32"/>
        <v>163161.704</v>
      </c>
      <c r="F247" s="153">
        <f t="shared" si="32"/>
        <v>49409.045195684346</v>
      </c>
      <c r="G247" s="153">
        <f t="shared" si="32"/>
        <v>4685.0510000000004</v>
      </c>
      <c r="H247" s="153" t="e">
        <f t="shared" si="32"/>
        <v>#N/A</v>
      </c>
      <c r="O247" s="159"/>
      <c r="P247" s="159"/>
      <c r="Q247" s="159"/>
    </row>
    <row r="248" spans="1:17" x14ac:dyDescent="0.2">
      <c r="A248" s="153">
        <v>2021</v>
      </c>
      <c r="B248" s="153">
        <v>7</v>
      </c>
      <c r="C248" s="153" t="str">
        <f t="shared" si="30"/>
        <v>20217</v>
      </c>
      <c r="D248" s="153" t="str">
        <f t="shared" si="31"/>
        <v>Q3</v>
      </c>
      <c r="E248" s="153">
        <f t="shared" si="32"/>
        <v>163854.01199999999</v>
      </c>
      <c r="F248" s="153">
        <f t="shared" si="32"/>
        <v>49571.67892035051</v>
      </c>
      <c r="G248" s="153">
        <f t="shared" si="32"/>
        <v>4693.299</v>
      </c>
      <c r="H248" s="153" t="e">
        <f t="shared" si="32"/>
        <v>#N/A</v>
      </c>
      <c r="O248" s="159"/>
      <c r="P248" s="159"/>
      <c r="Q248" s="159"/>
    </row>
    <row r="249" spans="1:17" x14ac:dyDescent="0.2">
      <c r="A249" s="153">
        <v>2021</v>
      </c>
      <c r="B249" s="153">
        <v>8</v>
      </c>
      <c r="C249" s="153" t="str">
        <f t="shared" si="30"/>
        <v>20218</v>
      </c>
      <c r="D249" s="153" t="str">
        <f t="shared" si="31"/>
        <v>Q3</v>
      </c>
      <c r="E249" s="153">
        <f t="shared" si="32"/>
        <v>163854.01199999999</v>
      </c>
      <c r="F249" s="153">
        <f t="shared" si="32"/>
        <v>49571.67892035051</v>
      </c>
      <c r="G249" s="153">
        <f t="shared" si="32"/>
        <v>4693.299</v>
      </c>
      <c r="H249" s="153" t="e">
        <f t="shared" si="32"/>
        <v>#N/A</v>
      </c>
      <c r="O249" s="159"/>
      <c r="P249" s="159"/>
      <c r="Q249" s="159"/>
    </row>
    <row r="250" spans="1:17" x14ac:dyDescent="0.2">
      <c r="A250" s="153">
        <v>2021</v>
      </c>
      <c r="B250" s="153">
        <v>9</v>
      </c>
      <c r="C250" s="153" t="str">
        <f t="shared" si="30"/>
        <v>20219</v>
      </c>
      <c r="D250" s="153" t="str">
        <f t="shared" si="31"/>
        <v>Q3</v>
      </c>
      <c r="E250" s="153">
        <f t="shared" si="32"/>
        <v>163854.01199999999</v>
      </c>
      <c r="F250" s="153">
        <f t="shared" si="32"/>
        <v>49571.67892035051</v>
      </c>
      <c r="G250" s="153">
        <f t="shared" si="32"/>
        <v>4693.299</v>
      </c>
      <c r="H250" s="153" t="e">
        <f t="shared" si="32"/>
        <v>#N/A</v>
      </c>
      <c r="L250" s="177"/>
    </row>
    <row r="251" spans="1:17" x14ac:dyDescent="0.2">
      <c r="A251" s="153">
        <v>2021</v>
      </c>
      <c r="B251" s="153">
        <v>10</v>
      </c>
      <c r="C251" s="153" t="str">
        <f t="shared" si="30"/>
        <v>202110</v>
      </c>
      <c r="D251" s="153" t="str">
        <f t="shared" si="31"/>
        <v>Q4</v>
      </c>
      <c r="E251" s="153">
        <f t="shared" si="32"/>
        <v>164597.87899999999</v>
      </c>
      <c r="F251" s="153">
        <f t="shared" si="32"/>
        <v>49908.568796165404</v>
      </c>
      <c r="G251" s="153">
        <f t="shared" si="32"/>
        <v>4701.5330000000004</v>
      </c>
      <c r="H251" s="153" t="e">
        <f t="shared" si="32"/>
        <v>#N/A</v>
      </c>
      <c r="L251" s="177"/>
    </row>
    <row r="252" spans="1:17" x14ac:dyDescent="0.2">
      <c r="A252" s="153">
        <v>2021</v>
      </c>
      <c r="B252" s="153">
        <v>11</v>
      </c>
      <c r="C252" s="153" t="str">
        <f t="shared" si="30"/>
        <v>202111</v>
      </c>
      <c r="D252" s="153" t="str">
        <f t="shared" si="31"/>
        <v>Q4</v>
      </c>
      <c r="E252" s="153">
        <f t="shared" si="32"/>
        <v>164597.87899999999</v>
      </c>
      <c r="F252" s="153">
        <f t="shared" si="32"/>
        <v>49908.568796165404</v>
      </c>
      <c r="G252" s="153">
        <f t="shared" si="32"/>
        <v>4701.5330000000004</v>
      </c>
      <c r="H252" s="153" t="e">
        <f t="shared" si="32"/>
        <v>#N/A</v>
      </c>
      <c r="L252" s="177"/>
    </row>
    <row r="253" spans="1:17" x14ac:dyDescent="0.2">
      <c r="A253" s="153">
        <v>2021</v>
      </c>
      <c r="B253" s="153">
        <v>12</v>
      </c>
      <c r="C253" s="153" t="str">
        <f t="shared" si="30"/>
        <v>202112</v>
      </c>
      <c r="D253" s="153" t="str">
        <f t="shared" si="31"/>
        <v>Q4</v>
      </c>
      <c r="E253" s="153">
        <f t="shared" si="32"/>
        <v>164597.87899999999</v>
      </c>
      <c r="F253" s="153">
        <f t="shared" si="32"/>
        <v>49908.568796165404</v>
      </c>
      <c r="G253" s="153">
        <f t="shared" si="32"/>
        <v>4701.5330000000004</v>
      </c>
      <c r="H253" s="153" t="e">
        <f t="shared" si="32"/>
        <v>#N/A</v>
      </c>
      <c r="L253" s="177"/>
    </row>
    <row r="254" spans="1:17" x14ac:dyDescent="0.2">
      <c r="A254" s="153">
        <v>2022</v>
      </c>
      <c r="B254" s="153">
        <v>1</v>
      </c>
      <c r="C254" s="153" t="str">
        <f t="shared" si="30"/>
        <v>20221</v>
      </c>
      <c r="D254" s="153" t="str">
        <f t="shared" si="31"/>
        <v>Q1</v>
      </c>
      <c r="E254" s="153">
        <f t="shared" si="32"/>
        <v>165857.508</v>
      </c>
      <c r="F254" s="153">
        <f t="shared" si="32"/>
        <v>50229.384400300703</v>
      </c>
      <c r="G254" s="153">
        <f t="shared" si="32"/>
        <v>4709.7529999999997</v>
      </c>
      <c r="H254" s="153" t="e">
        <f t="shared" si="32"/>
        <v>#N/A</v>
      </c>
      <c r="L254" s="177"/>
    </row>
    <row r="255" spans="1:17" x14ac:dyDescent="0.2">
      <c r="A255" s="153">
        <v>2022</v>
      </c>
      <c r="B255" s="153">
        <v>2</v>
      </c>
      <c r="C255" s="153" t="str">
        <f t="shared" si="30"/>
        <v>20222</v>
      </c>
      <c r="D255" s="153" t="str">
        <f t="shared" si="31"/>
        <v>Q1</v>
      </c>
      <c r="E255" s="153">
        <f t="shared" si="32"/>
        <v>165857.508</v>
      </c>
      <c r="F255" s="153">
        <f t="shared" si="32"/>
        <v>50229.384400300703</v>
      </c>
      <c r="G255" s="153">
        <f t="shared" si="32"/>
        <v>4709.7529999999997</v>
      </c>
      <c r="H255" s="153" t="e">
        <f t="shared" si="32"/>
        <v>#N/A</v>
      </c>
      <c r="L255" s="177"/>
    </row>
    <row r="256" spans="1:17" x14ac:dyDescent="0.2">
      <c r="A256" s="153">
        <v>2022</v>
      </c>
      <c r="B256" s="153">
        <v>3</v>
      </c>
      <c r="C256" s="153" t="str">
        <f t="shared" si="30"/>
        <v>20223</v>
      </c>
      <c r="D256" s="153" t="str">
        <f t="shared" si="31"/>
        <v>Q1</v>
      </c>
      <c r="E256" s="153">
        <f t="shared" si="32"/>
        <v>165857.508</v>
      </c>
      <c r="F256" s="153">
        <f t="shared" si="32"/>
        <v>50229.384400300703</v>
      </c>
      <c r="G256" s="153">
        <f t="shared" si="32"/>
        <v>4709.7529999999997</v>
      </c>
      <c r="H256" s="153" t="e">
        <f t="shared" si="32"/>
        <v>#N/A</v>
      </c>
      <c r="L256" s="177"/>
    </row>
    <row r="257" spans="1:12" x14ac:dyDescent="0.2">
      <c r="A257" s="153">
        <v>2022</v>
      </c>
      <c r="B257" s="153">
        <v>4</v>
      </c>
      <c r="C257" s="153" t="str">
        <f t="shared" si="30"/>
        <v>20224</v>
      </c>
      <c r="D257" s="153" t="str">
        <f t="shared" si="31"/>
        <v>Q2</v>
      </c>
      <c r="E257" s="153">
        <f t="shared" si="32"/>
        <v>166796.47399999999</v>
      </c>
      <c r="F257" s="153">
        <f t="shared" si="32"/>
        <v>50462.244962799821</v>
      </c>
      <c r="G257" s="153">
        <f t="shared" si="32"/>
        <v>4717.9579999999996</v>
      </c>
      <c r="H257" s="153" t="e">
        <f t="shared" si="32"/>
        <v>#N/A</v>
      </c>
      <c r="L257" s="177"/>
    </row>
    <row r="258" spans="1:12" x14ac:dyDescent="0.2">
      <c r="A258" s="153">
        <v>2022</v>
      </c>
      <c r="B258" s="153">
        <v>5</v>
      </c>
      <c r="C258" s="153" t="str">
        <f t="shared" si="30"/>
        <v>20225</v>
      </c>
      <c r="D258" s="153" t="str">
        <f t="shared" si="31"/>
        <v>Q2</v>
      </c>
      <c r="E258" s="153">
        <f t="shared" si="32"/>
        <v>166796.47399999999</v>
      </c>
      <c r="F258" s="153">
        <f t="shared" si="32"/>
        <v>50462.244962799821</v>
      </c>
      <c r="G258" s="153">
        <f t="shared" si="32"/>
        <v>4717.9579999999996</v>
      </c>
      <c r="H258" s="153" t="e">
        <f t="shared" si="32"/>
        <v>#N/A</v>
      </c>
      <c r="L258" s="177"/>
    </row>
    <row r="259" spans="1:12" x14ac:dyDescent="0.2">
      <c r="A259" s="153">
        <v>2022</v>
      </c>
      <c r="B259" s="153">
        <v>6</v>
      </c>
      <c r="C259" s="153" t="str">
        <f t="shared" ref="C259:C322" si="33">A259&amp;B259</f>
        <v>20226</v>
      </c>
      <c r="D259" s="153" t="str">
        <f t="shared" si="31"/>
        <v>Q2</v>
      </c>
      <c r="E259" s="153">
        <f t="shared" si="32"/>
        <v>166796.47399999999</v>
      </c>
      <c r="F259" s="153">
        <f t="shared" si="32"/>
        <v>50462.244962799821</v>
      </c>
      <c r="G259" s="153">
        <f t="shared" si="32"/>
        <v>4717.9579999999996</v>
      </c>
      <c r="H259" s="153" t="e">
        <f t="shared" si="32"/>
        <v>#N/A</v>
      </c>
      <c r="L259" s="177"/>
    </row>
    <row r="260" spans="1:12" x14ac:dyDescent="0.2">
      <c r="A260" s="153">
        <v>2022</v>
      </c>
      <c r="B260" s="153">
        <v>7</v>
      </c>
      <c r="C260" s="153" t="str">
        <f t="shared" si="33"/>
        <v>20227</v>
      </c>
      <c r="D260" s="153" t="str">
        <f t="shared" si="31"/>
        <v>Q3</v>
      </c>
      <c r="E260" s="153">
        <f t="shared" si="32"/>
        <v>167787.24299999999</v>
      </c>
      <c r="F260" s="153">
        <f t="shared" si="32"/>
        <v>50848.241817321788</v>
      </c>
      <c r="G260" s="153">
        <f t="shared" si="32"/>
        <v>4726.1329999999998</v>
      </c>
      <c r="H260" s="153" t="e">
        <f t="shared" si="32"/>
        <v>#N/A</v>
      </c>
      <c r="L260" s="177"/>
    </row>
    <row r="261" spans="1:12" x14ac:dyDescent="0.2">
      <c r="A261" s="153">
        <v>2022</v>
      </c>
      <c r="B261" s="153">
        <v>8</v>
      </c>
      <c r="C261" s="153" t="str">
        <f t="shared" si="33"/>
        <v>20228</v>
      </c>
      <c r="D261" s="153" t="str">
        <f t="shared" si="31"/>
        <v>Q3</v>
      </c>
      <c r="E261" s="153">
        <f t="shared" si="32"/>
        <v>167787.24299999999</v>
      </c>
      <c r="F261" s="153">
        <f t="shared" si="32"/>
        <v>50848.241817321788</v>
      </c>
      <c r="G261" s="153">
        <f t="shared" si="32"/>
        <v>4726.1329999999998</v>
      </c>
      <c r="H261" s="153" t="e">
        <f t="shared" si="32"/>
        <v>#N/A</v>
      </c>
      <c r="L261" s="177"/>
    </row>
    <row r="262" spans="1:12" x14ac:dyDescent="0.2">
      <c r="A262" s="153">
        <v>2022</v>
      </c>
      <c r="B262" s="153">
        <v>9</v>
      </c>
      <c r="C262" s="153" t="str">
        <f t="shared" si="33"/>
        <v>20229</v>
      </c>
      <c r="D262" s="153" t="str">
        <f t="shared" si="31"/>
        <v>Q3</v>
      </c>
      <c r="E262" s="153">
        <f t="shared" si="32"/>
        <v>167787.24299999999</v>
      </c>
      <c r="F262" s="153">
        <f t="shared" si="32"/>
        <v>50848.241817321788</v>
      </c>
      <c r="G262" s="153">
        <f t="shared" si="32"/>
        <v>4726.1329999999998</v>
      </c>
      <c r="H262" s="153" t="e">
        <f t="shared" si="32"/>
        <v>#N/A</v>
      </c>
      <c r="L262" s="177"/>
    </row>
    <row r="263" spans="1:12" x14ac:dyDescent="0.2">
      <c r="A263" s="153">
        <v>2022</v>
      </c>
      <c r="B263" s="153">
        <v>10</v>
      </c>
      <c r="C263" s="153" t="str">
        <f t="shared" si="33"/>
        <v>202210</v>
      </c>
      <c r="D263" s="153" t="str">
        <f t="shared" si="31"/>
        <v>Q4</v>
      </c>
      <c r="E263" s="153">
        <f t="shared" si="32"/>
        <v>168781.15</v>
      </c>
      <c r="F263" s="153">
        <f t="shared" si="32"/>
        <v>51088.93854491684</v>
      </c>
      <c r="G263" s="153">
        <f t="shared" si="32"/>
        <v>4734.2920000000004</v>
      </c>
      <c r="H263" s="153" t="e">
        <f t="shared" si="32"/>
        <v>#N/A</v>
      </c>
      <c r="L263" s="177"/>
    </row>
    <row r="264" spans="1:12" x14ac:dyDescent="0.2">
      <c r="A264" s="153">
        <v>2022</v>
      </c>
      <c r="B264" s="153">
        <v>11</v>
      </c>
      <c r="C264" s="153" t="str">
        <f t="shared" si="33"/>
        <v>202211</v>
      </c>
      <c r="D264" s="153" t="str">
        <f t="shared" si="31"/>
        <v>Q4</v>
      </c>
      <c r="E264" s="153">
        <f t="shared" si="32"/>
        <v>168781.15</v>
      </c>
      <c r="F264" s="153">
        <f t="shared" si="32"/>
        <v>51088.93854491684</v>
      </c>
      <c r="G264" s="153">
        <f t="shared" si="32"/>
        <v>4734.2920000000004</v>
      </c>
      <c r="H264" s="153" t="e">
        <f t="shared" si="32"/>
        <v>#N/A</v>
      </c>
      <c r="L264" s="177"/>
    </row>
    <row r="265" spans="1:12" x14ac:dyDescent="0.2">
      <c r="A265" s="153">
        <v>2022</v>
      </c>
      <c r="B265" s="153">
        <v>12</v>
      </c>
      <c r="C265" s="153" t="str">
        <f t="shared" si="33"/>
        <v>202212</v>
      </c>
      <c r="D265" s="153" t="str">
        <f t="shared" si="31"/>
        <v>Q4</v>
      </c>
      <c r="E265" s="153">
        <f t="shared" si="32"/>
        <v>168781.15</v>
      </c>
      <c r="F265" s="153">
        <f t="shared" si="32"/>
        <v>51088.93854491684</v>
      </c>
      <c r="G265" s="153">
        <f t="shared" si="32"/>
        <v>4734.2920000000004</v>
      </c>
      <c r="H265" s="153" t="e">
        <f t="shared" si="32"/>
        <v>#N/A</v>
      </c>
      <c r="L265" s="177"/>
    </row>
    <row r="266" spans="1:12" x14ac:dyDescent="0.2">
      <c r="A266" s="153">
        <v>2023</v>
      </c>
      <c r="B266" s="153">
        <v>1</v>
      </c>
      <c r="C266" s="153" t="str">
        <f t="shared" si="33"/>
        <v>20231</v>
      </c>
      <c r="D266" s="153" t="str">
        <f t="shared" si="31"/>
        <v>Q1</v>
      </c>
      <c r="E266" s="153">
        <f t="shared" si="32"/>
        <v>170138.21400000001</v>
      </c>
      <c r="F266" s="153">
        <f t="shared" si="32"/>
        <v>51474.30535634797</v>
      </c>
      <c r="G266" s="153">
        <f t="shared" si="32"/>
        <v>4742.4340000000002</v>
      </c>
      <c r="H266" s="153" t="e">
        <f t="shared" si="32"/>
        <v>#N/A</v>
      </c>
      <c r="L266" s="177"/>
    </row>
    <row r="267" spans="1:12" x14ac:dyDescent="0.2">
      <c r="A267" s="153">
        <v>2023</v>
      </c>
      <c r="B267" s="153">
        <v>2</v>
      </c>
      <c r="C267" s="153" t="str">
        <f t="shared" si="33"/>
        <v>20232</v>
      </c>
      <c r="D267" s="153" t="str">
        <f t="shared" si="31"/>
        <v>Q1</v>
      </c>
      <c r="E267" s="153">
        <f t="shared" si="32"/>
        <v>170138.21400000001</v>
      </c>
      <c r="F267" s="153">
        <f t="shared" si="32"/>
        <v>51474.30535634797</v>
      </c>
      <c r="G267" s="153">
        <f t="shared" si="32"/>
        <v>4742.4340000000002</v>
      </c>
      <c r="H267" s="153" t="e">
        <f t="shared" si="32"/>
        <v>#N/A</v>
      </c>
      <c r="L267" s="177"/>
    </row>
    <row r="268" spans="1:12" x14ac:dyDescent="0.2">
      <c r="A268" s="153">
        <v>2023</v>
      </c>
      <c r="B268" s="153">
        <v>3</v>
      </c>
      <c r="C268" s="153" t="str">
        <f t="shared" si="33"/>
        <v>20233</v>
      </c>
      <c r="D268" s="153" t="str">
        <f t="shared" si="31"/>
        <v>Q1</v>
      </c>
      <c r="E268" s="153">
        <f t="shared" si="32"/>
        <v>170138.21400000001</v>
      </c>
      <c r="F268" s="153">
        <f t="shared" si="32"/>
        <v>51474.30535634797</v>
      </c>
      <c r="G268" s="153">
        <f t="shared" si="32"/>
        <v>4742.4340000000002</v>
      </c>
      <c r="H268" s="153" t="e">
        <f t="shared" si="32"/>
        <v>#N/A</v>
      </c>
      <c r="L268" s="177"/>
    </row>
    <row r="269" spans="1:12" x14ac:dyDescent="0.2">
      <c r="A269" s="153">
        <v>2023</v>
      </c>
      <c r="B269" s="153">
        <v>4</v>
      </c>
      <c r="C269" s="153" t="str">
        <f t="shared" si="33"/>
        <v>20234</v>
      </c>
      <c r="D269" s="153" t="str">
        <f t="shared" si="31"/>
        <v>Q2</v>
      </c>
      <c r="E269" s="153">
        <f t="shared" si="32"/>
        <v>171101.02100000001</v>
      </c>
      <c r="F269" s="153">
        <f t="shared" si="32"/>
        <v>51828.21608039493</v>
      </c>
      <c r="G269" s="153">
        <f t="shared" si="32"/>
        <v>4750.558</v>
      </c>
      <c r="H269" s="153" t="e">
        <f t="shared" si="32"/>
        <v>#N/A</v>
      </c>
      <c r="L269" s="177"/>
    </row>
    <row r="270" spans="1:12" x14ac:dyDescent="0.2">
      <c r="A270" s="153">
        <v>2023</v>
      </c>
      <c r="B270" s="153">
        <v>5</v>
      </c>
      <c r="C270" s="153" t="str">
        <f t="shared" si="33"/>
        <v>20235</v>
      </c>
      <c r="D270" s="153" t="str">
        <f t="shared" si="31"/>
        <v>Q2</v>
      </c>
      <c r="E270" s="153">
        <f t="shared" si="32"/>
        <v>171101.02100000001</v>
      </c>
      <c r="F270" s="153">
        <f t="shared" si="32"/>
        <v>51828.21608039493</v>
      </c>
      <c r="G270" s="153">
        <f t="shared" si="32"/>
        <v>4750.558</v>
      </c>
      <c r="H270" s="153" t="e">
        <f t="shared" si="32"/>
        <v>#N/A</v>
      </c>
      <c r="L270" s="177"/>
    </row>
    <row r="271" spans="1:12" x14ac:dyDescent="0.2">
      <c r="A271" s="153">
        <v>2023</v>
      </c>
      <c r="B271" s="153">
        <v>6</v>
      </c>
      <c r="C271" s="153" t="str">
        <f t="shared" si="33"/>
        <v>20236</v>
      </c>
      <c r="D271" s="153" t="str">
        <f t="shared" ref="D271:D334" si="34">D259</f>
        <v>Q2</v>
      </c>
      <c r="E271" s="153">
        <f t="shared" si="32"/>
        <v>171101.02100000001</v>
      </c>
      <c r="F271" s="153">
        <f t="shared" si="32"/>
        <v>51828.21608039493</v>
      </c>
      <c r="G271" s="153">
        <f t="shared" si="32"/>
        <v>4750.558</v>
      </c>
      <c r="H271" s="153" t="e">
        <f t="shared" si="32"/>
        <v>#N/A</v>
      </c>
      <c r="L271" s="177"/>
    </row>
    <row r="272" spans="1:12" x14ac:dyDescent="0.2">
      <c r="A272" s="153">
        <v>2023</v>
      </c>
      <c r="B272" s="153">
        <v>7</v>
      </c>
      <c r="C272" s="153" t="str">
        <f t="shared" si="33"/>
        <v>20237</v>
      </c>
      <c r="D272" s="153" t="str">
        <f t="shared" si="34"/>
        <v>Q3</v>
      </c>
      <c r="E272" s="153">
        <f t="shared" si="32"/>
        <v>172007.791</v>
      </c>
      <c r="F272" s="153">
        <f t="shared" si="32"/>
        <v>52161.614922601206</v>
      </c>
      <c r="G272" s="153">
        <f t="shared" si="32"/>
        <v>4758.6490000000003</v>
      </c>
      <c r="H272" s="153" t="e">
        <f t="shared" si="32"/>
        <v>#N/A</v>
      </c>
      <c r="L272" s="177"/>
    </row>
    <row r="273" spans="1:12" x14ac:dyDescent="0.2">
      <c r="A273" s="153">
        <v>2023</v>
      </c>
      <c r="B273" s="153">
        <v>8</v>
      </c>
      <c r="C273" s="153" t="str">
        <f t="shared" si="33"/>
        <v>20238</v>
      </c>
      <c r="D273" s="153" t="str">
        <f t="shared" si="34"/>
        <v>Q3</v>
      </c>
      <c r="E273" s="153">
        <f t="shared" si="32"/>
        <v>172007.791</v>
      </c>
      <c r="F273" s="153">
        <f t="shared" si="32"/>
        <v>52161.614922601206</v>
      </c>
      <c r="G273" s="153">
        <f t="shared" si="32"/>
        <v>4758.6490000000003</v>
      </c>
      <c r="H273" s="153" t="e">
        <f t="shared" si="32"/>
        <v>#N/A</v>
      </c>
      <c r="L273" s="177"/>
    </row>
    <row r="274" spans="1:12" x14ac:dyDescent="0.2">
      <c r="A274" s="153">
        <v>2023</v>
      </c>
      <c r="B274" s="153">
        <v>9</v>
      </c>
      <c r="C274" s="153" t="str">
        <f t="shared" si="33"/>
        <v>20239</v>
      </c>
      <c r="D274" s="153" t="str">
        <f t="shared" si="34"/>
        <v>Q3</v>
      </c>
      <c r="E274" s="153">
        <f t="shared" si="32"/>
        <v>172007.791</v>
      </c>
      <c r="F274" s="153">
        <f t="shared" si="32"/>
        <v>52161.614922601206</v>
      </c>
      <c r="G274" s="153">
        <f t="shared" si="32"/>
        <v>4758.6490000000003</v>
      </c>
      <c r="H274" s="153" t="e">
        <f t="shared" si="32"/>
        <v>#N/A</v>
      </c>
      <c r="L274" s="177"/>
    </row>
    <row r="275" spans="1:12" x14ac:dyDescent="0.2">
      <c r="A275" s="153">
        <v>2023</v>
      </c>
      <c r="B275" s="153">
        <v>10</v>
      </c>
      <c r="C275" s="153" t="str">
        <f t="shared" si="33"/>
        <v>202310</v>
      </c>
      <c r="D275" s="153" t="str">
        <f t="shared" si="34"/>
        <v>Q4</v>
      </c>
      <c r="E275" s="153">
        <f t="shared" si="32"/>
        <v>172918.79399999999</v>
      </c>
      <c r="F275" s="153">
        <f t="shared" si="32"/>
        <v>52372.236748881944</v>
      </c>
      <c r="G275" s="153">
        <f t="shared" si="32"/>
        <v>4766.7089999999998</v>
      </c>
      <c r="H275" s="153" t="e">
        <f t="shared" si="32"/>
        <v>#N/A</v>
      </c>
      <c r="L275" s="177"/>
    </row>
    <row r="276" spans="1:12" x14ac:dyDescent="0.2">
      <c r="A276" s="153">
        <v>2023</v>
      </c>
      <c r="B276" s="153">
        <v>11</v>
      </c>
      <c r="C276" s="153" t="str">
        <f t="shared" si="33"/>
        <v>202311</v>
      </c>
      <c r="D276" s="153" t="str">
        <f t="shared" si="34"/>
        <v>Q4</v>
      </c>
      <c r="E276" s="153">
        <f t="shared" si="32"/>
        <v>172918.79399999999</v>
      </c>
      <c r="F276" s="153">
        <f t="shared" si="32"/>
        <v>52372.236748881944</v>
      </c>
      <c r="G276" s="153">
        <f t="shared" si="32"/>
        <v>4766.7089999999998</v>
      </c>
      <c r="H276" s="153" t="e">
        <f t="shared" si="32"/>
        <v>#N/A</v>
      </c>
      <c r="L276" s="177"/>
    </row>
    <row r="277" spans="1:12" x14ac:dyDescent="0.2">
      <c r="A277" s="153">
        <v>2023</v>
      </c>
      <c r="B277" s="153">
        <v>12</v>
      </c>
      <c r="C277" s="153" t="str">
        <f t="shared" si="33"/>
        <v>202312</v>
      </c>
      <c r="D277" s="153" t="str">
        <f t="shared" si="34"/>
        <v>Q4</v>
      </c>
      <c r="E277" s="153">
        <f t="shared" si="32"/>
        <v>172918.79399999999</v>
      </c>
      <c r="F277" s="153">
        <f t="shared" si="32"/>
        <v>52372.236748881944</v>
      </c>
      <c r="G277" s="153">
        <f t="shared" si="32"/>
        <v>4766.7089999999998</v>
      </c>
      <c r="H277" s="153" t="e">
        <f t="shared" si="32"/>
        <v>#N/A</v>
      </c>
      <c r="L277" s="177"/>
    </row>
    <row r="278" spans="1:12" x14ac:dyDescent="0.2">
      <c r="A278" s="153">
        <v>2024</v>
      </c>
      <c r="B278" s="153">
        <v>1</v>
      </c>
      <c r="C278" s="153" t="str">
        <f t="shared" si="33"/>
        <v>20241</v>
      </c>
      <c r="D278" s="153" t="str">
        <f t="shared" si="34"/>
        <v>Q1</v>
      </c>
      <c r="E278" s="153">
        <f t="shared" si="32"/>
        <v>174458.15100000001</v>
      </c>
      <c r="F278" s="153">
        <f t="shared" si="32"/>
        <v>52955.358119127079</v>
      </c>
      <c r="G278" s="153">
        <f t="shared" si="32"/>
        <v>4774.7489999999998</v>
      </c>
      <c r="H278" s="153" t="e">
        <f t="shared" si="32"/>
        <v>#N/A</v>
      </c>
      <c r="L278" s="177"/>
    </row>
    <row r="279" spans="1:12" x14ac:dyDescent="0.2">
      <c r="A279" s="153">
        <v>2024</v>
      </c>
      <c r="B279" s="153">
        <v>2</v>
      </c>
      <c r="C279" s="153" t="str">
        <f t="shared" si="33"/>
        <v>20242</v>
      </c>
      <c r="D279" s="153" t="str">
        <f t="shared" si="34"/>
        <v>Q1</v>
      </c>
      <c r="E279" s="153">
        <f t="shared" si="32"/>
        <v>174458.15100000001</v>
      </c>
      <c r="F279" s="153">
        <f t="shared" si="32"/>
        <v>52955.358119127079</v>
      </c>
      <c r="G279" s="153">
        <f t="shared" si="32"/>
        <v>4774.7489999999998</v>
      </c>
      <c r="H279" s="153" t="e">
        <f t="shared" si="32"/>
        <v>#N/A</v>
      </c>
      <c r="L279" s="177"/>
    </row>
    <row r="280" spans="1:12" x14ac:dyDescent="0.2">
      <c r="A280" s="153">
        <v>2024</v>
      </c>
      <c r="B280" s="153">
        <v>3</v>
      </c>
      <c r="C280" s="153" t="str">
        <f t="shared" si="33"/>
        <v>20243</v>
      </c>
      <c r="D280" s="153" t="str">
        <f t="shared" si="34"/>
        <v>Q1</v>
      </c>
      <c r="E280" s="153">
        <f t="shared" si="32"/>
        <v>174458.15100000001</v>
      </c>
      <c r="F280" s="153">
        <f t="shared" si="32"/>
        <v>52955.358119127079</v>
      </c>
      <c r="G280" s="153">
        <f t="shared" si="32"/>
        <v>4774.7489999999998</v>
      </c>
      <c r="H280" s="153" t="e">
        <f t="shared" si="32"/>
        <v>#N/A</v>
      </c>
      <c r="L280" s="177"/>
    </row>
    <row r="281" spans="1:12" x14ac:dyDescent="0.2">
      <c r="A281" s="153">
        <v>2024</v>
      </c>
      <c r="B281" s="153">
        <v>4</v>
      </c>
      <c r="C281" s="153" t="str">
        <f t="shared" si="33"/>
        <v>20244</v>
      </c>
      <c r="D281" s="153" t="str">
        <f t="shared" si="34"/>
        <v>Q2</v>
      </c>
      <c r="E281" s="153">
        <f t="shared" si="32"/>
        <v>175426.49799999999</v>
      </c>
      <c r="F281" s="153">
        <f t="shared" si="32"/>
        <v>53167.209134536846</v>
      </c>
      <c r="G281" s="153">
        <f t="shared" si="32"/>
        <v>4782.7700000000004</v>
      </c>
      <c r="H281" s="153" t="e">
        <f t="shared" si="32"/>
        <v>#N/A</v>
      </c>
      <c r="L281" s="177"/>
    </row>
    <row r="282" spans="1:12" x14ac:dyDescent="0.2">
      <c r="A282" s="153">
        <v>2024</v>
      </c>
      <c r="B282" s="153">
        <v>5</v>
      </c>
      <c r="C282" s="153" t="str">
        <f t="shared" si="33"/>
        <v>20245</v>
      </c>
      <c r="D282" s="153" t="str">
        <f t="shared" si="34"/>
        <v>Q2</v>
      </c>
      <c r="E282" s="153">
        <f t="shared" si="32"/>
        <v>175426.49799999999</v>
      </c>
      <c r="F282" s="153">
        <f t="shared" si="32"/>
        <v>53167.209134536846</v>
      </c>
      <c r="G282" s="153">
        <f t="shared" si="32"/>
        <v>4782.7700000000004</v>
      </c>
      <c r="H282" s="153" t="e">
        <f t="shared" si="32"/>
        <v>#N/A</v>
      </c>
      <c r="L282" s="177"/>
    </row>
    <row r="283" spans="1:12" x14ac:dyDescent="0.2">
      <c r="A283" s="153">
        <v>2024</v>
      </c>
      <c r="B283" s="153">
        <v>6</v>
      </c>
      <c r="C283" s="153" t="str">
        <f t="shared" si="33"/>
        <v>20246</v>
      </c>
      <c r="D283" s="153" t="str">
        <f t="shared" si="34"/>
        <v>Q2</v>
      </c>
      <c r="E283" s="153">
        <f t="shared" si="32"/>
        <v>175426.49799999999</v>
      </c>
      <c r="F283" s="153">
        <f t="shared" si="32"/>
        <v>53167.209134536846</v>
      </c>
      <c r="G283" s="153">
        <f t="shared" si="32"/>
        <v>4782.7700000000004</v>
      </c>
      <c r="H283" s="153" t="e">
        <f t="shared" si="32"/>
        <v>#N/A</v>
      </c>
      <c r="L283" s="177"/>
    </row>
    <row r="284" spans="1:12" x14ac:dyDescent="0.2">
      <c r="A284" s="153">
        <v>2024</v>
      </c>
      <c r="B284" s="153">
        <v>7</v>
      </c>
      <c r="C284" s="153" t="str">
        <f t="shared" si="33"/>
        <v>20247</v>
      </c>
      <c r="D284" s="153" t="str">
        <f t="shared" si="34"/>
        <v>Q3</v>
      </c>
      <c r="E284" s="153">
        <f t="shared" si="32"/>
        <v>176369.43100000001</v>
      </c>
      <c r="F284" s="153">
        <f t="shared" si="32"/>
        <v>53462.846369802268</v>
      </c>
      <c r="G284" s="153">
        <f t="shared" si="32"/>
        <v>4790.7579999999998</v>
      </c>
      <c r="H284" s="153" t="e">
        <f t="shared" si="32"/>
        <v>#N/A</v>
      </c>
      <c r="L284" s="177"/>
    </row>
    <row r="285" spans="1:12" x14ac:dyDescent="0.2">
      <c r="A285" s="153">
        <v>2024</v>
      </c>
      <c r="B285" s="153">
        <v>8</v>
      </c>
      <c r="C285" s="153" t="str">
        <f t="shared" si="33"/>
        <v>20248</v>
      </c>
      <c r="D285" s="153" t="str">
        <f t="shared" si="34"/>
        <v>Q3</v>
      </c>
      <c r="E285" s="153">
        <f t="shared" si="32"/>
        <v>176369.43100000001</v>
      </c>
      <c r="F285" s="153">
        <f t="shared" si="32"/>
        <v>53462.846369802268</v>
      </c>
      <c r="G285" s="153">
        <f t="shared" si="32"/>
        <v>4790.7579999999998</v>
      </c>
      <c r="H285" s="153" t="e">
        <f t="shared" si="32"/>
        <v>#N/A</v>
      </c>
      <c r="L285" s="177"/>
    </row>
    <row r="286" spans="1:12" x14ac:dyDescent="0.2">
      <c r="A286" s="153">
        <v>2024</v>
      </c>
      <c r="B286" s="153">
        <v>9</v>
      </c>
      <c r="C286" s="153" t="str">
        <f t="shared" si="33"/>
        <v>20249</v>
      </c>
      <c r="D286" s="153" t="str">
        <f t="shared" si="34"/>
        <v>Q3</v>
      </c>
      <c r="E286" s="153">
        <f t="shared" si="32"/>
        <v>176369.43100000001</v>
      </c>
      <c r="F286" s="153">
        <f t="shared" si="32"/>
        <v>53462.846369802268</v>
      </c>
      <c r="G286" s="153">
        <f t="shared" si="32"/>
        <v>4790.7579999999998</v>
      </c>
      <c r="H286" s="153" t="e">
        <f t="shared" si="32"/>
        <v>#N/A</v>
      </c>
      <c r="L286" s="177"/>
    </row>
    <row r="287" spans="1:12" x14ac:dyDescent="0.2">
      <c r="A287" s="153">
        <v>2024</v>
      </c>
      <c r="B287" s="153">
        <v>10</v>
      </c>
      <c r="C287" s="153" t="str">
        <f t="shared" si="33"/>
        <v>202410</v>
      </c>
      <c r="D287" s="153" t="str">
        <f t="shared" si="34"/>
        <v>Q4</v>
      </c>
      <c r="E287" s="153">
        <f t="shared" si="32"/>
        <v>177331.9</v>
      </c>
      <c r="F287" s="153">
        <f t="shared" si="32"/>
        <v>53789.882915045469</v>
      </c>
      <c r="G287" s="153">
        <f t="shared" si="32"/>
        <v>4798.7250000000004</v>
      </c>
      <c r="H287" s="153" t="e">
        <f t="shared" si="32"/>
        <v>#N/A</v>
      </c>
      <c r="L287" s="177"/>
    </row>
    <row r="288" spans="1:12" x14ac:dyDescent="0.2">
      <c r="A288" s="153">
        <v>2024</v>
      </c>
      <c r="B288" s="153">
        <v>11</v>
      </c>
      <c r="C288" s="153" t="str">
        <f t="shared" si="33"/>
        <v>202411</v>
      </c>
      <c r="D288" s="153" t="str">
        <f t="shared" si="34"/>
        <v>Q4</v>
      </c>
      <c r="E288" s="153">
        <f t="shared" si="32"/>
        <v>177331.9</v>
      </c>
      <c r="F288" s="153">
        <f t="shared" si="32"/>
        <v>53789.882915045469</v>
      </c>
      <c r="G288" s="153">
        <f t="shared" si="32"/>
        <v>4798.7250000000004</v>
      </c>
      <c r="H288" s="153" t="e">
        <f t="shared" si="32"/>
        <v>#N/A</v>
      </c>
      <c r="L288" s="177"/>
    </row>
    <row r="289" spans="1:12" x14ac:dyDescent="0.2">
      <c r="A289" s="153">
        <v>2024</v>
      </c>
      <c r="B289" s="153">
        <v>12</v>
      </c>
      <c r="C289" s="153" t="str">
        <f t="shared" si="33"/>
        <v>202412</v>
      </c>
      <c r="D289" s="153" t="str">
        <f t="shared" si="34"/>
        <v>Q4</v>
      </c>
      <c r="E289" s="153">
        <f t="shared" si="32"/>
        <v>177331.9</v>
      </c>
      <c r="F289" s="153">
        <f t="shared" si="32"/>
        <v>53789.882915045469</v>
      </c>
      <c r="G289" s="153">
        <f t="shared" si="32"/>
        <v>4798.7250000000004</v>
      </c>
      <c r="H289" s="153" t="e">
        <f t="shared" si="32"/>
        <v>#N/A</v>
      </c>
      <c r="L289" s="177"/>
    </row>
    <row r="290" spans="1:12" x14ac:dyDescent="0.2">
      <c r="A290" s="153">
        <v>2025</v>
      </c>
      <c r="B290" s="153">
        <v>1</v>
      </c>
      <c r="C290" s="153" t="str">
        <f t="shared" si="33"/>
        <v>20251</v>
      </c>
      <c r="D290" s="153" t="str">
        <f t="shared" si="34"/>
        <v>Q1</v>
      </c>
      <c r="E290" s="153">
        <f t="shared" si="32"/>
        <v>178892.09099999999</v>
      </c>
      <c r="F290" s="153">
        <f t="shared" si="32"/>
        <v>54223.677742674183</v>
      </c>
      <c r="G290" s="153">
        <f t="shared" si="32"/>
        <v>4806.6729999999998</v>
      </c>
      <c r="H290" s="153" t="e">
        <f t="shared" ref="F290:H353" si="35">VLOOKUP($A290&amp;$D290,$N$1:$T$169,MATCH(H$1,$N$1:$T$1,0),0)</f>
        <v>#N/A</v>
      </c>
      <c r="L290" s="177"/>
    </row>
    <row r="291" spans="1:12" x14ac:dyDescent="0.2">
      <c r="A291" s="153">
        <v>2025</v>
      </c>
      <c r="B291" s="153">
        <v>2</v>
      </c>
      <c r="C291" s="153" t="str">
        <f t="shared" si="33"/>
        <v>20252</v>
      </c>
      <c r="D291" s="153" t="str">
        <f t="shared" si="34"/>
        <v>Q1</v>
      </c>
      <c r="E291" s="153">
        <f t="shared" ref="E291:H354" si="36">VLOOKUP($A291&amp;$D291,$N$1:$T$169,MATCH(E$1,$N$1:$T$1,0),0)</f>
        <v>178892.09099999999</v>
      </c>
      <c r="F291" s="153">
        <f t="shared" si="35"/>
        <v>54223.677742674183</v>
      </c>
      <c r="G291" s="153">
        <f t="shared" si="35"/>
        <v>4806.6729999999998</v>
      </c>
      <c r="H291" s="153" t="e">
        <f t="shared" si="35"/>
        <v>#N/A</v>
      </c>
      <c r="L291" s="177"/>
    </row>
    <row r="292" spans="1:12" x14ac:dyDescent="0.2">
      <c r="A292" s="153">
        <v>2025</v>
      </c>
      <c r="B292" s="153">
        <v>3</v>
      </c>
      <c r="C292" s="153" t="str">
        <f t="shared" si="33"/>
        <v>20253</v>
      </c>
      <c r="D292" s="153" t="str">
        <f t="shared" si="34"/>
        <v>Q1</v>
      </c>
      <c r="E292" s="153">
        <f t="shared" si="36"/>
        <v>178892.09099999999</v>
      </c>
      <c r="F292" s="153">
        <f t="shared" si="35"/>
        <v>54223.677742674183</v>
      </c>
      <c r="G292" s="153">
        <f t="shared" si="35"/>
        <v>4806.6729999999998</v>
      </c>
      <c r="H292" s="153" t="e">
        <f t="shared" si="35"/>
        <v>#N/A</v>
      </c>
      <c r="L292" s="177"/>
    </row>
    <row r="293" spans="1:12" x14ac:dyDescent="0.2">
      <c r="A293" s="153">
        <v>2025</v>
      </c>
      <c r="B293" s="153">
        <v>4</v>
      </c>
      <c r="C293" s="153" t="str">
        <f t="shared" si="33"/>
        <v>20254</v>
      </c>
      <c r="D293" s="153" t="str">
        <f t="shared" si="34"/>
        <v>Q2</v>
      </c>
      <c r="E293" s="153">
        <f t="shared" si="36"/>
        <v>179884.057</v>
      </c>
      <c r="F293" s="153">
        <f t="shared" si="35"/>
        <v>54510.190519624688</v>
      </c>
      <c r="G293" s="153">
        <f t="shared" si="35"/>
        <v>4814.6009999999997</v>
      </c>
      <c r="H293" s="153" t="e">
        <f t="shared" si="35"/>
        <v>#N/A</v>
      </c>
      <c r="L293" s="177"/>
    </row>
    <row r="294" spans="1:12" x14ac:dyDescent="0.2">
      <c r="A294" s="153">
        <v>2025</v>
      </c>
      <c r="B294" s="153">
        <v>5</v>
      </c>
      <c r="C294" s="153" t="str">
        <f t="shared" si="33"/>
        <v>20255</v>
      </c>
      <c r="D294" s="153" t="str">
        <f t="shared" si="34"/>
        <v>Q2</v>
      </c>
      <c r="E294" s="153">
        <f t="shared" si="36"/>
        <v>179884.057</v>
      </c>
      <c r="F294" s="153">
        <f t="shared" si="35"/>
        <v>54510.190519624688</v>
      </c>
      <c r="G294" s="153">
        <f t="shared" si="35"/>
        <v>4814.6009999999997</v>
      </c>
      <c r="H294" s="153" t="e">
        <f t="shared" si="35"/>
        <v>#N/A</v>
      </c>
      <c r="L294" s="177"/>
    </row>
    <row r="295" spans="1:12" x14ac:dyDescent="0.2">
      <c r="A295" s="153">
        <v>2025</v>
      </c>
      <c r="B295" s="153">
        <v>6</v>
      </c>
      <c r="C295" s="153" t="str">
        <f t="shared" si="33"/>
        <v>20256</v>
      </c>
      <c r="D295" s="153" t="str">
        <f t="shared" si="34"/>
        <v>Q2</v>
      </c>
      <c r="E295" s="153">
        <f t="shared" si="36"/>
        <v>179884.057</v>
      </c>
      <c r="F295" s="153">
        <f t="shared" si="35"/>
        <v>54510.190519624688</v>
      </c>
      <c r="G295" s="153">
        <f t="shared" si="35"/>
        <v>4814.6009999999997</v>
      </c>
      <c r="H295" s="153" t="e">
        <f t="shared" si="35"/>
        <v>#N/A</v>
      </c>
      <c r="L295" s="177"/>
    </row>
    <row r="296" spans="1:12" x14ac:dyDescent="0.2">
      <c r="A296" s="153">
        <v>2025</v>
      </c>
      <c r="B296" s="153">
        <v>7</v>
      </c>
      <c r="C296" s="153" t="str">
        <f t="shared" si="33"/>
        <v>20257</v>
      </c>
      <c r="D296" s="153" t="str">
        <f t="shared" si="34"/>
        <v>Q3</v>
      </c>
      <c r="E296" s="153">
        <f t="shared" si="36"/>
        <v>180786.26300000001</v>
      </c>
      <c r="F296" s="153">
        <f t="shared" si="35"/>
        <v>54815.658019537463</v>
      </c>
      <c r="G296" s="153">
        <f t="shared" si="35"/>
        <v>4822.4949999999999</v>
      </c>
      <c r="H296" s="153" t="e">
        <f t="shared" si="35"/>
        <v>#N/A</v>
      </c>
      <c r="L296" s="177"/>
    </row>
    <row r="297" spans="1:12" x14ac:dyDescent="0.2">
      <c r="A297" s="153">
        <v>2025</v>
      </c>
      <c r="B297" s="153">
        <v>8</v>
      </c>
      <c r="C297" s="153" t="str">
        <f t="shared" si="33"/>
        <v>20258</v>
      </c>
      <c r="D297" s="153" t="str">
        <f t="shared" si="34"/>
        <v>Q3</v>
      </c>
      <c r="E297" s="153">
        <f t="shared" si="36"/>
        <v>180786.26300000001</v>
      </c>
      <c r="F297" s="153">
        <f t="shared" si="35"/>
        <v>54815.658019537463</v>
      </c>
      <c r="G297" s="153">
        <f t="shared" si="35"/>
        <v>4822.4949999999999</v>
      </c>
      <c r="H297" s="153" t="e">
        <f t="shared" si="35"/>
        <v>#N/A</v>
      </c>
      <c r="L297" s="177"/>
    </row>
    <row r="298" spans="1:12" x14ac:dyDescent="0.2">
      <c r="A298" s="153">
        <v>2025</v>
      </c>
      <c r="B298" s="153">
        <v>9</v>
      </c>
      <c r="C298" s="153" t="str">
        <f t="shared" si="33"/>
        <v>20259</v>
      </c>
      <c r="D298" s="153" t="str">
        <f t="shared" si="34"/>
        <v>Q3</v>
      </c>
      <c r="E298" s="153">
        <f t="shared" si="36"/>
        <v>180786.26300000001</v>
      </c>
      <c r="F298" s="153">
        <f t="shared" si="35"/>
        <v>54815.658019537463</v>
      </c>
      <c r="G298" s="153">
        <f t="shared" si="35"/>
        <v>4822.4949999999999</v>
      </c>
      <c r="H298" s="153" t="e">
        <f t="shared" si="35"/>
        <v>#N/A</v>
      </c>
      <c r="L298" s="177"/>
    </row>
    <row r="299" spans="1:12" x14ac:dyDescent="0.2">
      <c r="A299" s="153">
        <v>2025</v>
      </c>
      <c r="B299" s="153">
        <v>10</v>
      </c>
      <c r="C299" s="153" t="str">
        <f t="shared" si="33"/>
        <v>202510</v>
      </c>
      <c r="D299" s="153" t="str">
        <f t="shared" si="34"/>
        <v>Q4</v>
      </c>
      <c r="E299" s="153">
        <f t="shared" si="36"/>
        <v>181695.31</v>
      </c>
      <c r="F299" s="153">
        <f t="shared" si="35"/>
        <v>55097.083363484009</v>
      </c>
      <c r="G299" s="153">
        <f t="shared" si="35"/>
        <v>4830.3680000000004</v>
      </c>
      <c r="H299" s="153" t="e">
        <f t="shared" si="35"/>
        <v>#N/A</v>
      </c>
      <c r="L299" s="177"/>
    </row>
    <row r="300" spans="1:12" x14ac:dyDescent="0.2">
      <c r="A300" s="153">
        <v>2025</v>
      </c>
      <c r="B300" s="153">
        <v>11</v>
      </c>
      <c r="C300" s="153" t="str">
        <f t="shared" si="33"/>
        <v>202511</v>
      </c>
      <c r="D300" s="153" t="str">
        <f t="shared" si="34"/>
        <v>Q4</v>
      </c>
      <c r="E300" s="153">
        <f t="shared" si="36"/>
        <v>181695.31</v>
      </c>
      <c r="F300" s="153">
        <f t="shared" si="35"/>
        <v>55097.083363484009</v>
      </c>
      <c r="G300" s="153">
        <f t="shared" si="35"/>
        <v>4830.3680000000004</v>
      </c>
      <c r="H300" s="153" t="e">
        <f t="shared" si="35"/>
        <v>#N/A</v>
      </c>
      <c r="L300" s="177"/>
    </row>
    <row r="301" spans="1:12" x14ac:dyDescent="0.2">
      <c r="A301" s="153">
        <v>2025</v>
      </c>
      <c r="B301" s="153">
        <v>12</v>
      </c>
      <c r="C301" s="153" t="str">
        <f t="shared" si="33"/>
        <v>202512</v>
      </c>
      <c r="D301" s="153" t="str">
        <f t="shared" si="34"/>
        <v>Q4</v>
      </c>
      <c r="E301" s="153">
        <f t="shared" si="36"/>
        <v>181695.31</v>
      </c>
      <c r="F301" s="153">
        <f t="shared" si="35"/>
        <v>55097.083363484009</v>
      </c>
      <c r="G301" s="153">
        <f t="shared" si="35"/>
        <v>4830.3680000000004</v>
      </c>
      <c r="H301" s="153" t="e">
        <f t="shared" si="35"/>
        <v>#N/A</v>
      </c>
      <c r="L301" s="177"/>
    </row>
    <row r="302" spans="1:12" x14ac:dyDescent="0.2">
      <c r="A302" s="153">
        <v>2026</v>
      </c>
      <c r="B302" s="153">
        <v>1</v>
      </c>
      <c r="C302" s="153" t="str">
        <f t="shared" si="33"/>
        <v>20261</v>
      </c>
      <c r="D302" s="153" t="str">
        <f t="shared" si="34"/>
        <v>Q1</v>
      </c>
      <c r="E302" s="153">
        <f t="shared" si="36"/>
        <v>183193.88699999999</v>
      </c>
      <c r="F302" s="153">
        <f t="shared" si="35"/>
        <v>55569.291010852481</v>
      </c>
      <c r="G302" s="153">
        <f t="shared" si="35"/>
        <v>4838.2219999999998</v>
      </c>
      <c r="H302" s="153" t="e">
        <f t="shared" si="35"/>
        <v>#N/A</v>
      </c>
      <c r="L302" s="177"/>
    </row>
    <row r="303" spans="1:12" x14ac:dyDescent="0.2">
      <c r="A303" s="153">
        <v>2026</v>
      </c>
      <c r="B303" s="153">
        <v>2</v>
      </c>
      <c r="C303" s="153" t="str">
        <f t="shared" si="33"/>
        <v>20262</v>
      </c>
      <c r="D303" s="153" t="str">
        <f t="shared" si="34"/>
        <v>Q1</v>
      </c>
      <c r="E303" s="153">
        <f t="shared" si="36"/>
        <v>183193.88699999999</v>
      </c>
      <c r="F303" s="153">
        <f t="shared" si="35"/>
        <v>55569.291010852481</v>
      </c>
      <c r="G303" s="153">
        <f t="shared" si="35"/>
        <v>4838.2219999999998</v>
      </c>
      <c r="H303" s="153" t="e">
        <f t="shared" si="35"/>
        <v>#N/A</v>
      </c>
      <c r="L303" s="177"/>
    </row>
    <row r="304" spans="1:12" x14ac:dyDescent="0.2">
      <c r="A304" s="153">
        <v>2026</v>
      </c>
      <c r="B304" s="153">
        <v>3</v>
      </c>
      <c r="C304" s="153" t="str">
        <f t="shared" si="33"/>
        <v>20263</v>
      </c>
      <c r="D304" s="153" t="str">
        <f t="shared" si="34"/>
        <v>Q1</v>
      </c>
      <c r="E304" s="153">
        <f t="shared" si="36"/>
        <v>183193.88699999999</v>
      </c>
      <c r="F304" s="153">
        <f t="shared" si="35"/>
        <v>55569.291010852481</v>
      </c>
      <c r="G304" s="153">
        <f t="shared" si="35"/>
        <v>4838.2219999999998</v>
      </c>
      <c r="H304" s="153" t="e">
        <f t="shared" si="35"/>
        <v>#N/A</v>
      </c>
      <c r="L304" s="177"/>
    </row>
    <row r="305" spans="1:12" x14ac:dyDescent="0.2">
      <c r="A305" s="153">
        <v>2026</v>
      </c>
      <c r="B305" s="153">
        <v>4</v>
      </c>
      <c r="C305" s="153" t="str">
        <f t="shared" si="33"/>
        <v>20264</v>
      </c>
      <c r="D305" s="153" t="str">
        <f t="shared" si="34"/>
        <v>Q2</v>
      </c>
      <c r="E305" s="153">
        <f t="shared" si="36"/>
        <v>184162.48300000001</v>
      </c>
      <c r="F305" s="153">
        <f t="shared" si="35"/>
        <v>55793.331632268848</v>
      </c>
      <c r="G305" s="153">
        <f t="shared" si="35"/>
        <v>4846.0540000000001</v>
      </c>
      <c r="H305" s="153" t="e">
        <f t="shared" si="35"/>
        <v>#N/A</v>
      </c>
      <c r="L305" s="177"/>
    </row>
    <row r="306" spans="1:12" x14ac:dyDescent="0.2">
      <c r="A306" s="153">
        <v>2026</v>
      </c>
      <c r="B306" s="153">
        <v>5</v>
      </c>
      <c r="C306" s="153" t="str">
        <f t="shared" si="33"/>
        <v>20265</v>
      </c>
      <c r="D306" s="153" t="str">
        <f t="shared" si="34"/>
        <v>Q2</v>
      </c>
      <c r="E306" s="153">
        <f t="shared" si="36"/>
        <v>184162.48300000001</v>
      </c>
      <c r="F306" s="153">
        <f t="shared" si="35"/>
        <v>55793.331632268848</v>
      </c>
      <c r="G306" s="153">
        <f t="shared" si="35"/>
        <v>4846.0540000000001</v>
      </c>
      <c r="H306" s="153" t="e">
        <f t="shared" si="35"/>
        <v>#N/A</v>
      </c>
      <c r="L306" s="177"/>
    </row>
    <row r="307" spans="1:12" x14ac:dyDescent="0.2">
      <c r="A307" s="153">
        <v>2026</v>
      </c>
      <c r="B307" s="153">
        <v>6</v>
      </c>
      <c r="C307" s="153" t="str">
        <f t="shared" si="33"/>
        <v>20266</v>
      </c>
      <c r="D307" s="153" t="str">
        <f t="shared" si="34"/>
        <v>Q2</v>
      </c>
      <c r="E307" s="153">
        <f t="shared" si="36"/>
        <v>184162.48300000001</v>
      </c>
      <c r="F307" s="153">
        <f t="shared" si="35"/>
        <v>55793.331632268848</v>
      </c>
      <c r="G307" s="153">
        <f t="shared" si="35"/>
        <v>4846.0540000000001</v>
      </c>
      <c r="H307" s="153" t="e">
        <f t="shared" si="35"/>
        <v>#N/A</v>
      </c>
      <c r="L307" s="177"/>
    </row>
    <row r="308" spans="1:12" x14ac:dyDescent="0.2">
      <c r="A308" s="153">
        <v>2026</v>
      </c>
      <c r="B308" s="153">
        <v>7</v>
      </c>
      <c r="C308" s="153" t="str">
        <f t="shared" si="33"/>
        <v>20267</v>
      </c>
      <c r="D308" s="153" t="str">
        <f t="shared" si="34"/>
        <v>Q3</v>
      </c>
      <c r="E308" s="153">
        <f t="shared" si="36"/>
        <v>185034.74600000001</v>
      </c>
      <c r="F308" s="153">
        <f t="shared" si="35"/>
        <v>56112.35191472694</v>
      </c>
      <c r="G308" s="153">
        <f t="shared" si="35"/>
        <v>4853.84</v>
      </c>
      <c r="H308" s="153" t="e">
        <f t="shared" si="35"/>
        <v>#N/A</v>
      </c>
      <c r="L308" s="177"/>
    </row>
    <row r="309" spans="1:12" x14ac:dyDescent="0.2">
      <c r="A309" s="153">
        <v>2026</v>
      </c>
      <c r="B309" s="153">
        <v>8</v>
      </c>
      <c r="C309" s="153" t="str">
        <f t="shared" si="33"/>
        <v>20268</v>
      </c>
      <c r="D309" s="153" t="str">
        <f t="shared" si="34"/>
        <v>Q3</v>
      </c>
      <c r="E309" s="153">
        <f t="shared" si="36"/>
        <v>185034.74600000001</v>
      </c>
      <c r="F309" s="153">
        <f t="shared" si="35"/>
        <v>56112.35191472694</v>
      </c>
      <c r="G309" s="153">
        <f t="shared" si="35"/>
        <v>4853.84</v>
      </c>
      <c r="H309" s="153" t="e">
        <f t="shared" si="35"/>
        <v>#N/A</v>
      </c>
      <c r="L309" s="177"/>
    </row>
    <row r="310" spans="1:12" x14ac:dyDescent="0.2">
      <c r="A310" s="153">
        <v>2026</v>
      </c>
      <c r="B310" s="153">
        <v>9</v>
      </c>
      <c r="C310" s="153" t="str">
        <f t="shared" si="33"/>
        <v>20269</v>
      </c>
      <c r="D310" s="153" t="str">
        <f t="shared" si="34"/>
        <v>Q3</v>
      </c>
      <c r="E310" s="153">
        <f t="shared" si="36"/>
        <v>185034.74600000001</v>
      </c>
      <c r="F310" s="153">
        <f t="shared" si="35"/>
        <v>56112.35191472694</v>
      </c>
      <c r="G310" s="153">
        <f t="shared" si="35"/>
        <v>4853.84</v>
      </c>
      <c r="H310" s="153" t="e">
        <f t="shared" si="35"/>
        <v>#N/A</v>
      </c>
      <c r="L310" s="177"/>
    </row>
    <row r="311" spans="1:12" x14ac:dyDescent="0.2">
      <c r="A311" s="153">
        <v>2026</v>
      </c>
      <c r="B311" s="153">
        <v>10</v>
      </c>
      <c r="C311" s="153" t="str">
        <f t="shared" si="33"/>
        <v>202610</v>
      </c>
      <c r="D311" s="153" t="str">
        <f t="shared" si="34"/>
        <v>Q4</v>
      </c>
      <c r="E311" s="153">
        <f t="shared" si="36"/>
        <v>185915.33600000001</v>
      </c>
      <c r="F311" s="153">
        <f t="shared" si="35"/>
        <v>56458.331396926224</v>
      </c>
      <c r="G311" s="153">
        <f t="shared" si="35"/>
        <v>4861.6040000000003</v>
      </c>
      <c r="H311" s="153" t="e">
        <f t="shared" si="35"/>
        <v>#N/A</v>
      </c>
      <c r="L311" s="177"/>
    </row>
    <row r="312" spans="1:12" x14ac:dyDescent="0.2">
      <c r="A312" s="153">
        <v>2026</v>
      </c>
      <c r="B312" s="153">
        <v>11</v>
      </c>
      <c r="C312" s="153" t="str">
        <f t="shared" si="33"/>
        <v>202611</v>
      </c>
      <c r="D312" s="153" t="str">
        <f t="shared" si="34"/>
        <v>Q4</v>
      </c>
      <c r="E312" s="153">
        <f t="shared" si="36"/>
        <v>185915.33600000001</v>
      </c>
      <c r="F312" s="153">
        <f t="shared" si="35"/>
        <v>56458.331396926224</v>
      </c>
      <c r="G312" s="153">
        <f t="shared" si="35"/>
        <v>4861.6040000000003</v>
      </c>
      <c r="H312" s="153" t="e">
        <f t="shared" si="35"/>
        <v>#N/A</v>
      </c>
      <c r="L312" s="177"/>
    </row>
    <row r="313" spans="1:12" x14ac:dyDescent="0.2">
      <c r="A313" s="153">
        <v>2026</v>
      </c>
      <c r="B313" s="153">
        <v>12</v>
      </c>
      <c r="C313" s="153" t="str">
        <f t="shared" si="33"/>
        <v>202612</v>
      </c>
      <c r="D313" s="153" t="str">
        <f t="shared" si="34"/>
        <v>Q4</v>
      </c>
      <c r="E313" s="153">
        <f t="shared" si="36"/>
        <v>185915.33600000001</v>
      </c>
      <c r="F313" s="153">
        <f t="shared" si="35"/>
        <v>56458.331396926224</v>
      </c>
      <c r="G313" s="153">
        <f t="shared" si="35"/>
        <v>4861.6040000000003</v>
      </c>
      <c r="H313" s="153" t="e">
        <f t="shared" si="35"/>
        <v>#N/A</v>
      </c>
      <c r="L313" s="177"/>
    </row>
    <row r="314" spans="1:12" x14ac:dyDescent="0.2">
      <c r="A314" s="153">
        <v>2027</v>
      </c>
      <c r="B314" s="153">
        <v>1</v>
      </c>
      <c r="C314" s="153" t="str">
        <f t="shared" si="33"/>
        <v>20271</v>
      </c>
      <c r="D314" s="153" t="str">
        <f t="shared" si="34"/>
        <v>Q1</v>
      </c>
      <c r="E314" s="153">
        <f t="shared" si="36"/>
        <v>187484.08600000001</v>
      </c>
      <c r="F314" s="153">
        <f t="shared" si="35"/>
        <v>56964.713161103646</v>
      </c>
      <c r="G314" s="153">
        <f t="shared" si="35"/>
        <v>4869.3490000000002</v>
      </c>
      <c r="H314" s="153" t="e">
        <f t="shared" si="35"/>
        <v>#N/A</v>
      </c>
      <c r="L314" s="177"/>
    </row>
    <row r="315" spans="1:12" x14ac:dyDescent="0.2">
      <c r="A315" s="153">
        <v>2027</v>
      </c>
      <c r="B315" s="153">
        <v>2</v>
      </c>
      <c r="C315" s="153" t="str">
        <f t="shared" si="33"/>
        <v>20272</v>
      </c>
      <c r="D315" s="153" t="str">
        <f t="shared" si="34"/>
        <v>Q1</v>
      </c>
      <c r="E315" s="153">
        <f t="shared" si="36"/>
        <v>187484.08600000001</v>
      </c>
      <c r="F315" s="153">
        <f t="shared" si="35"/>
        <v>56964.713161103646</v>
      </c>
      <c r="G315" s="153">
        <f t="shared" si="35"/>
        <v>4869.3490000000002</v>
      </c>
      <c r="H315" s="153" t="e">
        <f t="shared" si="35"/>
        <v>#N/A</v>
      </c>
      <c r="L315" s="177"/>
    </row>
    <row r="316" spans="1:12" x14ac:dyDescent="0.2">
      <c r="A316" s="153">
        <v>2027</v>
      </c>
      <c r="B316" s="153">
        <v>3</v>
      </c>
      <c r="C316" s="153" t="str">
        <f t="shared" si="33"/>
        <v>20273</v>
      </c>
      <c r="D316" s="153" t="str">
        <f t="shared" si="34"/>
        <v>Q1</v>
      </c>
      <c r="E316" s="153">
        <f t="shared" si="36"/>
        <v>187484.08600000001</v>
      </c>
      <c r="F316" s="153">
        <f t="shared" si="35"/>
        <v>56964.713161103646</v>
      </c>
      <c r="G316" s="153">
        <f t="shared" si="35"/>
        <v>4869.3490000000002</v>
      </c>
      <c r="H316" s="153" t="e">
        <f t="shared" si="35"/>
        <v>#N/A</v>
      </c>
      <c r="L316" s="177"/>
    </row>
    <row r="317" spans="1:12" x14ac:dyDescent="0.2">
      <c r="A317" s="153">
        <v>2027</v>
      </c>
      <c r="B317" s="153">
        <v>4</v>
      </c>
      <c r="C317" s="153" t="str">
        <f t="shared" si="33"/>
        <v>20274</v>
      </c>
      <c r="D317" s="153" t="str">
        <f t="shared" si="34"/>
        <v>Q2</v>
      </c>
      <c r="E317" s="153">
        <f t="shared" si="36"/>
        <v>188450.351</v>
      </c>
      <c r="F317" s="153">
        <f t="shared" si="35"/>
        <v>57254.533685953822</v>
      </c>
      <c r="G317" s="153">
        <f t="shared" si="35"/>
        <v>4877.0720000000001</v>
      </c>
      <c r="H317" s="153" t="e">
        <f t="shared" si="35"/>
        <v>#N/A</v>
      </c>
      <c r="L317" s="177"/>
    </row>
    <row r="318" spans="1:12" x14ac:dyDescent="0.2">
      <c r="A318" s="153">
        <v>2027</v>
      </c>
      <c r="B318" s="153">
        <v>5</v>
      </c>
      <c r="C318" s="153" t="str">
        <f t="shared" si="33"/>
        <v>20275</v>
      </c>
      <c r="D318" s="153" t="str">
        <f t="shared" si="34"/>
        <v>Q2</v>
      </c>
      <c r="E318" s="153">
        <f t="shared" si="36"/>
        <v>188450.351</v>
      </c>
      <c r="F318" s="153">
        <f t="shared" si="35"/>
        <v>57254.533685953822</v>
      </c>
      <c r="G318" s="153">
        <f t="shared" si="35"/>
        <v>4877.0720000000001</v>
      </c>
      <c r="H318" s="153" t="e">
        <f t="shared" si="35"/>
        <v>#N/A</v>
      </c>
      <c r="L318" s="177"/>
    </row>
    <row r="319" spans="1:12" x14ac:dyDescent="0.2">
      <c r="A319" s="153">
        <v>2027</v>
      </c>
      <c r="B319" s="153">
        <v>6</v>
      </c>
      <c r="C319" s="153" t="str">
        <f t="shared" si="33"/>
        <v>20276</v>
      </c>
      <c r="D319" s="153" t="str">
        <f t="shared" si="34"/>
        <v>Q2</v>
      </c>
      <c r="E319" s="153">
        <f t="shared" si="36"/>
        <v>188450.351</v>
      </c>
      <c r="F319" s="153">
        <f t="shared" si="35"/>
        <v>57254.533685953822</v>
      </c>
      <c r="G319" s="153">
        <f t="shared" si="35"/>
        <v>4877.0720000000001</v>
      </c>
      <c r="H319" s="153" t="e">
        <f t="shared" si="35"/>
        <v>#N/A</v>
      </c>
      <c r="L319" s="177"/>
    </row>
    <row r="320" spans="1:12" x14ac:dyDescent="0.2">
      <c r="A320" s="153">
        <v>2027</v>
      </c>
      <c r="B320" s="153">
        <v>7</v>
      </c>
      <c r="C320" s="153" t="str">
        <f t="shared" si="33"/>
        <v>20277</v>
      </c>
      <c r="D320" s="153" t="str">
        <f t="shared" si="34"/>
        <v>Q3</v>
      </c>
      <c r="E320" s="153">
        <f t="shared" si="36"/>
        <v>189344.48499999999</v>
      </c>
      <c r="F320" s="153">
        <f t="shared" si="35"/>
        <v>57588.191423894845</v>
      </c>
      <c r="G320" s="153">
        <f t="shared" si="35"/>
        <v>4884.7619999999997</v>
      </c>
      <c r="H320" s="153" t="e">
        <f t="shared" si="35"/>
        <v>#N/A</v>
      </c>
      <c r="L320" s="177"/>
    </row>
    <row r="321" spans="1:12" x14ac:dyDescent="0.2">
      <c r="A321" s="153">
        <v>2027</v>
      </c>
      <c r="B321" s="153">
        <v>8</v>
      </c>
      <c r="C321" s="153" t="str">
        <f t="shared" si="33"/>
        <v>20278</v>
      </c>
      <c r="D321" s="153" t="str">
        <f t="shared" si="34"/>
        <v>Q3</v>
      </c>
      <c r="E321" s="153">
        <f t="shared" si="36"/>
        <v>189344.48499999999</v>
      </c>
      <c r="F321" s="153">
        <f t="shared" si="35"/>
        <v>57588.191423894845</v>
      </c>
      <c r="G321" s="153">
        <f t="shared" si="35"/>
        <v>4884.7619999999997</v>
      </c>
      <c r="H321" s="153" t="e">
        <f t="shared" si="35"/>
        <v>#N/A</v>
      </c>
      <c r="L321" s="177"/>
    </row>
    <row r="322" spans="1:12" x14ac:dyDescent="0.2">
      <c r="A322" s="153">
        <v>2027</v>
      </c>
      <c r="B322" s="153">
        <v>9</v>
      </c>
      <c r="C322" s="153" t="str">
        <f t="shared" si="33"/>
        <v>20279</v>
      </c>
      <c r="D322" s="153" t="str">
        <f t="shared" si="34"/>
        <v>Q3</v>
      </c>
      <c r="E322" s="153">
        <f t="shared" si="36"/>
        <v>189344.48499999999</v>
      </c>
      <c r="F322" s="153">
        <f t="shared" si="35"/>
        <v>57588.191423894845</v>
      </c>
      <c r="G322" s="153">
        <f t="shared" si="35"/>
        <v>4884.7619999999997</v>
      </c>
      <c r="H322" s="153" t="e">
        <f t="shared" si="35"/>
        <v>#N/A</v>
      </c>
      <c r="L322" s="177"/>
    </row>
    <row r="323" spans="1:12" x14ac:dyDescent="0.2">
      <c r="A323" s="153">
        <v>2027</v>
      </c>
      <c r="B323" s="153">
        <v>10</v>
      </c>
      <c r="C323" s="153" t="str">
        <f t="shared" ref="C323:C386" si="37">A323&amp;B323</f>
        <v>202710</v>
      </c>
      <c r="D323" s="153" t="str">
        <f t="shared" si="34"/>
        <v>Q4</v>
      </c>
      <c r="E323" s="153">
        <f t="shared" si="36"/>
        <v>190254.26500000001</v>
      </c>
      <c r="F323" s="153">
        <f t="shared" si="35"/>
        <v>57876.059941927051</v>
      </c>
      <c r="G323" s="153">
        <f t="shared" si="35"/>
        <v>4892.43</v>
      </c>
      <c r="H323" s="153" t="e">
        <f t="shared" si="35"/>
        <v>#N/A</v>
      </c>
      <c r="L323" s="177"/>
    </row>
    <row r="324" spans="1:12" x14ac:dyDescent="0.2">
      <c r="A324" s="153">
        <v>2027</v>
      </c>
      <c r="B324" s="153">
        <v>11</v>
      </c>
      <c r="C324" s="153" t="str">
        <f t="shared" si="37"/>
        <v>202711</v>
      </c>
      <c r="D324" s="153" t="str">
        <f t="shared" si="34"/>
        <v>Q4</v>
      </c>
      <c r="E324" s="153">
        <f t="shared" si="36"/>
        <v>190254.26500000001</v>
      </c>
      <c r="F324" s="153">
        <f t="shared" si="35"/>
        <v>57876.059941927051</v>
      </c>
      <c r="G324" s="153">
        <f t="shared" si="35"/>
        <v>4892.43</v>
      </c>
      <c r="H324" s="153" t="e">
        <f t="shared" si="35"/>
        <v>#N/A</v>
      </c>
      <c r="L324" s="177"/>
    </row>
    <row r="325" spans="1:12" x14ac:dyDescent="0.2">
      <c r="A325" s="153">
        <v>2027</v>
      </c>
      <c r="B325" s="153">
        <v>12</v>
      </c>
      <c r="C325" s="153" t="str">
        <f t="shared" si="37"/>
        <v>202712</v>
      </c>
      <c r="D325" s="153" t="str">
        <f t="shared" si="34"/>
        <v>Q4</v>
      </c>
      <c r="E325" s="153">
        <f t="shared" si="36"/>
        <v>190254.26500000001</v>
      </c>
      <c r="F325" s="153">
        <f t="shared" si="35"/>
        <v>57876.059941927051</v>
      </c>
      <c r="G325" s="153">
        <f t="shared" si="35"/>
        <v>4892.43</v>
      </c>
      <c r="H325" s="153" t="e">
        <f t="shared" si="35"/>
        <v>#N/A</v>
      </c>
      <c r="L325" s="177"/>
    </row>
    <row r="326" spans="1:12" x14ac:dyDescent="0.2">
      <c r="A326" s="153">
        <v>2028</v>
      </c>
      <c r="B326" s="153">
        <v>1</v>
      </c>
      <c r="C326" s="153" t="str">
        <f t="shared" si="37"/>
        <v>20281</v>
      </c>
      <c r="D326" s="153" t="str">
        <f t="shared" si="34"/>
        <v>Q1</v>
      </c>
      <c r="E326" s="153">
        <f t="shared" si="36"/>
        <v>191884.976</v>
      </c>
      <c r="F326" s="153">
        <f t="shared" si="35"/>
        <v>58418.654423987813</v>
      </c>
      <c r="G326" s="153">
        <f t="shared" si="35"/>
        <v>4900.0990000000002</v>
      </c>
      <c r="H326" s="153" t="e">
        <f t="shared" si="35"/>
        <v>#N/A</v>
      </c>
      <c r="L326" s="177"/>
    </row>
    <row r="327" spans="1:12" x14ac:dyDescent="0.2">
      <c r="A327" s="153">
        <v>2028</v>
      </c>
      <c r="B327" s="153">
        <v>2</v>
      </c>
      <c r="C327" s="153" t="str">
        <f t="shared" si="37"/>
        <v>20282</v>
      </c>
      <c r="D327" s="153" t="str">
        <f t="shared" si="34"/>
        <v>Q1</v>
      </c>
      <c r="E327" s="153">
        <f t="shared" si="36"/>
        <v>191884.976</v>
      </c>
      <c r="F327" s="153">
        <f t="shared" si="35"/>
        <v>58418.654423987813</v>
      </c>
      <c r="G327" s="153">
        <f t="shared" si="35"/>
        <v>4900.0990000000002</v>
      </c>
      <c r="H327" s="153" t="e">
        <f t="shared" si="35"/>
        <v>#N/A</v>
      </c>
      <c r="L327" s="177"/>
    </row>
    <row r="328" spans="1:12" x14ac:dyDescent="0.2">
      <c r="A328" s="153">
        <v>2028</v>
      </c>
      <c r="B328" s="153">
        <v>3</v>
      </c>
      <c r="C328" s="153" t="str">
        <f t="shared" si="37"/>
        <v>20283</v>
      </c>
      <c r="D328" s="153" t="str">
        <f t="shared" si="34"/>
        <v>Q1</v>
      </c>
      <c r="E328" s="153">
        <f t="shared" si="36"/>
        <v>191884.976</v>
      </c>
      <c r="F328" s="153">
        <f t="shared" si="35"/>
        <v>58418.654423987813</v>
      </c>
      <c r="G328" s="153">
        <f t="shared" si="35"/>
        <v>4900.0990000000002</v>
      </c>
      <c r="H328" s="153" t="e">
        <f t="shared" si="35"/>
        <v>#N/A</v>
      </c>
      <c r="L328" s="177"/>
    </row>
    <row r="329" spans="1:12" x14ac:dyDescent="0.2">
      <c r="A329" s="153">
        <v>2028</v>
      </c>
      <c r="B329" s="153">
        <v>4</v>
      </c>
      <c r="C329" s="153" t="str">
        <f t="shared" si="37"/>
        <v>20284</v>
      </c>
      <c r="D329" s="153" t="str">
        <f t="shared" si="34"/>
        <v>Q2</v>
      </c>
      <c r="E329" s="153">
        <f t="shared" si="36"/>
        <v>192867.91899999999</v>
      </c>
      <c r="F329" s="153">
        <f t="shared" si="35"/>
        <v>58713.8376022312</v>
      </c>
      <c r="G329" s="153">
        <f t="shared" si="35"/>
        <v>4907.7340000000004</v>
      </c>
      <c r="H329" s="153" t="e">
        <f t="shared" si="35"/>
        <v>#N/A</v>
      </c>
      <c r="L329" s="177"/>
    </row>
    <row r="330" spans="1:12" x14ac:dyDescent="0.2">
      <c r="A330" s="153">
        <v>2028</v>
      </c>
      <c r="B330" s="153">
        <v>5</v>
      </c>
      <c r="C330" s="153" t="str">
        <f t="shared" si="37"/>
        <v>20285</v>
      </c>
      <c r="D330" s="153" t="str">
        <f t="shared" si="34"/>
        <v>Q2</v>
      </c>
      <c r="E330" s="153">
        <f t="shared" si="36"/>
        <v>192867.91899999999</v>
      </c>
      <c r="F330" s="153">
        <f t="shared" si="35"/>
        <v>58713.8376022312</v>
      </c>
      <c r="G330" s="153">
        <f t="shared" si="35"/>
        <v>4907.7340000000004</v>
      </c>
      <c r="H330" s="153" t="e">
        <f t="shared" si="35"/>
        <v>#N/A</v>
      </c>
      <c r="L330" s="177"/>
    </row>
    <row r="331" spans="1:12" x14ac:dyDescent="0.2">
      <c r="A331" s="153">
        <v>2028</v>
      </c>
      <c r="B331" s="153">
        <v>6</v>
      </c>
      <c r="C331" s="153" t="str">
        <f t="shared" si="37"/>
        <v>20286</v>
      </c>
      <c r="D331" s="153" t="str">
        <f t="shared" si="34"/>
        <v>Q2</v>
      </c>
      <c r="E331" s="153">
        <f t="shared" si="36"/>
        <v>192867.91899999999</v>
      </c>
      <c r="F331" s="153">
        <f t="shared" si="35"/>
        <v>58713.8376022312</v>
      </c>
      <c r="G331" s="153">
        <f t="shared" si="35"/>
        <v>4907.7340000000004</v>
      </c>
      <c r="H331" s="153" t="e">
        <f t="shared" si="35"/>
        <v>#N/A</v>
      </c>
      <c r="L331" s="177"/>
    </row>
    <row r="332" spans="1:12" x14ac:dyDescent="0.2">
      <c r="A332" s="153">
        <v>2028</v>
      </c>
      <c r="B332" s="153">
        <v>7</v>
      </c>
      <c r="C332" s="153" t="str">
        <f t="shared" si="37"/>
        <v>20287</v>
      </c>
      <c r="D332" s="153" t="str">
        <f t="shared" si="34"/>
        <v>Q3</v>
      </c>
      <c r="E332" s="153">
        <f t="shared" si="36"/>
        <v>193808.63</v>
      </c>
      <c r="F332" s="153">
        <f t="shared" si="35"/>
        <v>59006.505698010005</v>
      </c>
      <c r="G332" s="153">
        <f t="shared" si="35"/>
        <v>4915.3220000000001</v>
      </c>
      <c r="H332" s="153" t="e">
        <f t="shared" si="35"/>
        <v>#N/A</v>
      </c>
      <c r="L332" s="177"/>
    </row>
    <row r="333" spans="1:12" x14ac:dyDescent="0.2">
      <c r="A333" s="153">
        <v>2028</v>
      </c>
      <c r="B333" s="153">
        <v>8</v>
      </c>
      <c r="C333" s="153" t="str">
        <f t="shared" si="37"/>
        <v>20288</v>
      </c>
      <c r="D333" s="153" t="str">
        <f t="shared" si="34"/>
        <v>Q3</v>
      </c>
      <c r="E333" s="153">
        <f t="shared" si="36"/>
        <v>193808.63</v>
      </c>
      <c r="F333" s="153">
        <f t="shared" si="35"/>
        <v>59006.505698010005</v>
      </c>
      <c r="G333" s="153">
        <f t="shared" si="35"/>
        <v>4915.3220000000001</v>
      </c>
      <c r="H333" s="153" t="e">
        <f t="shared" si="35"/>
        <v>#N/A</v>
      </c>
      <c r="L333" s="177"/>
    </row>
    <row r="334" spans="1:12" x14ac:dyDescent="0.2">
      <c r="A334" s="153">
        <v>2028</v>
      </c>
      <c r="B334" s="153">
        <v>9</v>
      </c>
      <c r="C334" s="153" t="str">
        <f t="shared" si="37"/>
        <v>20289</v>
      </c>
      <c r="D334" s="153" t="str">
        <f t="shared" si="34"/>
        <v>Q3</v>
      </c>
      <c r="E334" s="153">
        <f t="shared" si="36"/>
        <v>193808.63</v>
      </c>
      <c r="F334" s="153">
        <f t="shared" si="35"/>
        <v>59006.505698010005</v>
      </c>
      <c r="G334" s="153">
        <f t="shared" si="35"/>
        <v>4915.3220000000001</v>
      </c>
      <c r="H334" s="153" t="e">
        <f t="shared" si="35"/>
        <v>#N/A</v>
      </c>
      <c r="L334" s="177"/>
    </row>
    <row r="335" spans="1:12" x14ac:dyDescent="0.2">
      <c r="A335" s="153">
        <v>2028</v>
      </c>
      <c r="B335" s="153">
        <v>10</v>
      </c>
      <c r="C335" s="153" t="str">
        <f t="shared" si="37"/>
        <v>202810</v>
      </c>
      <c r="D335" s="153" t="str">
        <f t="shared" ref="D335:D398" si="38">D323</f>
        <v>Q4</v>
      </c>
      <c r="E335" s="153">
        <f t="shared" si="36"/>
        <v>194786.40400000001</v>
      </c>
      <c r="F335" s="153">
        <f t="shared" si="35"/>
        <v>59266.994694104913</v>
      </c>
      <c r="G335" s="153">
        <f t="shared" si="35"/>
        <v>4922.8760000000002</v>
      </c>
      <c r="H335" s="153" t="e">
        <f t="shared" si="35"/>
        <v>#N/A</v>
      </c>
      <c r="L335" s="177"/>
    </row>
    <row r="336" spans="1:12" x14ac:dyDescent="0.2">
      <c r="A336" s="153">
        <v>2028</v>
      </c>
      <c r="B336" s="153">
        <v>11</v>
      </c>
      <c r="C336" s="153" t="str">
        <f t="shared" si="37"/>
        <v>202811</v>
      </c>
      <c r="D336" s="153" t="str">
        <f t="shared" si="38"/>
        <v>Q4</v>
      </c>
      <c r="E336" s="153">
        <f t="shared" si="36"/>
        <v>194786.40400000001</v>
      </c>
      <c r="F336" s="153">
        <f t="shared" si="35"/>
        <v>59266.994694104913</v>
      </c>
      <c r="G336" s="153">
        <f t="shared" si="35"/>
        <v>4922.8760000000002</v>
      </c>
      <c r="H336" s="153" t="e">
        <f t="shared" si="35"/>
        <v>#N/A</v>
      </c>
      <c r="L336" s="177"/>
    </row>
    <row r="337" spans="1:12" x14ac:dyDescent="0.2">
      <c r="A337" s="153">
        <v>2028</v>
      </c>
      <c r="B337" s="153">
        <v>12</v>
      </c>
      <c r="C337" s="153" t="str">
        <f t="shared" si="37"/>
        <v>202812</v>
      </c>
      <c r="D337" s="153" t="str">
        <f t="shared" si="38"/>
        <v>Q4</v>
      </c>
      <c r="E337" s="153">
        <f t="shared" si="36"/>
        <v>194786.40400000001</v>
      </c>
      <c r="F337" s="153">
        <f t="shared" si="35"/>
        <v>59266.994694104913</v>
      </c>
      <c r="G337" s="153">
        <f t="shared" si="35"/>
        <v>4922.8760000000002</v>
      </c>
      <c r="H337" s="153" t="e">
        <f t="shared" si="35"/>
        <v>#N/A</v>
      </c>
      <c r="L337" s="177"/>
    </row>
    <row r="338" spans="1:12" x14ac:dyDescent="0.2">
      <c r="A338" s="153">
        <v>2029</v>
      </c>
      <c r="B338" s="153">
        <v>1</v>
      </c>
      <c r="C338" s="153" t="str">
        <f t="shared" si="37"/>
        <v>20291</v>
      </c>
      <c r="D338" s="153" t="str">
        <f t="shared" si="38"/>
        <v>Q1</v>
      </c>
      <c r="E338" s="153">
        <f t="shared" si="36"/>
        <v>196497.82699999999</v>
      </c>
      <c r="F338" s="153">
        <f t="shared" si="35"/>
        <v>59877.087698330462</v>
      </c>
      <c r="G338" s="153">
        <f t="shared" si="35"/>
        <v>4930.3969999999999</v>
      </c>
      <c r="H338" s="153" t="e">
        <f t="shared" si="35"/>
        <v>#N/A</v>
      </c>
      <c r="L338" s="177"/>
    </row>
    <row r="339" spans="1:12" x14ac:dyDescent="0.2">
      <c r="A339" s="153">
        <v>2029</v>
      </c>
      <c r="B339" s="153">
        <v>2</v>
      </c>
      <c r="C339" s="153" t="str">
        <f t="shared" si="37"/>
        <v>20292</v>
      </c>
      <c r="D339" s="153" t="str">
        <f t="shared" si="38"/>
        <v>Q1</v>
      </c>
      <c r="E339" s="153">
        <f t="shared" si="36"/>
        <v>196497.82699999999</v>
      </c>
      <c r="F339" s="153">
        <f t="shared" si="35"/>
        <v>59877.087698330462</v>
      </c>
      <c r="G339" s="153">
        <f t="shared" si="35"/>
        <v>4930.3969999999999</v>
      </c>
      <c r="H339" s="153" t="e">
        <f t="shared" si="35"/>
        <v>#N/A</v>
      </c>
      <c r="L339" s="177"/>
    </row>
    <row r="340" spans="1:12" x14ac:dyDescent="0.2">
      <c r="A340" s="153">
        <v>2029</v>
      </c>
      <c r="B340" s="153">
        <v>3</v>
      </c>
      <c r="C340" s="153" t="str">
        <f t="shared" si="37"/>
        <v>20293</v>
      </c>
      <c r="D340" s="153" t="str">
        <f t="shared" si="38"/>
        <v>Q1</v>
      </c>
      <c r="E340" s="153">
        <f t="shared" si="36"/>
        <v>196497.82699999999</v>
      </c>
      <c r="F340" s="153">
        <f t="shared" si="35"/>
        <v>59877.087698330462</v>
      </c>
      <c r="G340" s="153">
        <f t="shared" si="35"/>
        <v>4930.3969999999999</v>
      </c>
      <c r="H340" s="153" t="e">
        <f t="shared" si="35"/>
        <v>#N/A</v>
      </c>
      <c r="L340" s="177"/>
    </row>
    <row r="341" spans="1:12" x14ac:dyDescent="0.2">
      <c r="A341" s="153">
        <v>2029</v>
      </c>
      <c r="B341" s="153">
        <v>4</v>
      </c>
      <c r="C341" s="153" t="str">
        <f t="shared" si="37"/>
        <v>20294</v>
      </c>
      <c r="D341" s="153" t="str">
        <f t="shared" si="38"/>
        <v>Q2</v>
      </c>
      <c r="E341" s="153">
        <f t="shared" si="36"/>
        <v>197549.33600000001</v>
      </c>
      <c r="F341" s="153">
        <f t="shared" si="35"/>
        <v>60277.737576157888</v>
      </c>
      <c r="G341" s="153">
        <f t="shared" si="35"/>
        <v>4937.8850000000002</v>
      </c>
      <c r="H341" s="153" t="e">
        <f t="shared" si="35"/>
        <v>#N/A</v>
      </c>
      <c r="L341" s="177"/>
    </row>
    <row r="342" spans="1:12" x14ac:dyDescent="0.2">
      <c r="A342" s="153">
        <v>2029</v>
      </c>
      <c r="B342" s="153">
        <v>5</v>
      </c>
      <c r="C342" s="153" t="str">
        <f t="shared" si="37"/>
        <v>20295</v>
      </c>
      <c r="D342" s="153" t="str">
        <f t="shared" si="38"/>
        <v>Q2</v>
      </c>
      <c r="E342" s="153">
        <f t="shared" si="36"/>
        <v>197549.33600000001</v>
      </c>
      <c r="F342" s="153">
        <f t="shared" si="35"/>
        <v>60277.737576157888</v>
      </c>
      <c r="G342" s="153">
        <f t="shared" si="35"/>
        <v>4937.8850000000002</v>
      </c>
      <c r="H342" s="153" t="e">
        <f t="shared" si="35"/>
        <v>#N/A</v>
      </c>
      <c r="L342" s="177"/>
    </row>
    <row r="343" spans="1:12" x14ac:dyDescent="0.2">
      <c r="A343" s="153">
        <v>2029</v>
      </c>
      <c r="B343" s="153">
        <v>6</v>
      </c>
      <c r="C343" s="153" t="str">
        <f t="shared" si="37"/>
        <v>20296</v>
      </c>
      <c r="D343" s="153" t="str">
        <f t="shared" si="38"/>
        <v>Q2</v>
      </c>
      <c r="E343" s="153">
        <f t="shared" si="36"/>
        <v>197549.33600000001</v>
      </c>
      <c r="F343" s="153">
        <f t="shared" si="35"/>
        <v>60277.737576157888</v>
      </c>
      <c r="G343" s="153">
        <f t="shared" si="35"/>
        <v>4937.8850000000002</v>
      </c>
      <c r="H343" s="153" t="e">
        <f t="shared" si="35"/>
        <v>#N/A</v>
      </c>
      <c r="L343" s="177"/>
    </row>
    <row r="344" spans="1:12" x14ac:dyDescent="0.2">
      <c r="A344" s="153">
        <v>2029</v>
      </c>
      <c r="B344" s="153">
        <v>7</v>
      </c>
      <c r="C344" s="153" t="str">
        <f t="shared" si="37"/>
        <v>20297</v>
      </c>
      <c r="D344" s="153" t="str">
        <f t="shared" si="38"/>
        <v>Q3</v>
      </c>
      <c r="E344" s="153">
        <f t="shared" si="36"/>
        <v>198516.981</v>
      </c>
      <c r="F344" s="153">
        <f t="shared" si="35"/>
        <v>60511.781745148182</v>
      </c>
      <c r="G344" s="153">
        <f t="shared" si="35"/>
        <v>4945.34</v>
      </c>
      <c r="H344" s="153" t="e">
        <f t="shared" si="35"/>
        <v>#N/A</v>
      </c>
      <c r="L344" s="177"/>
    </row>
    <row r="345" spans="1:12" x14ac:dyDescent="0.2">
      <c r="A345" s="153">
        <v>2029</v>
      </c>
      <c r="B345" s="153">
        <v>8</v>
      </c>
      <c r="C345" s="153" t="str">
        <f t="shared" si="37"/>
        <v>20298</v>
      </c>
      <c r="D345" s="153" t="str">
        <f t="shared" si="38"/>
        <v>Q3</v>
      </c>
      <c r="E345" s="153">
        <f t="shared" si="36"/>
        <v>198516.981</v>
      </c>
      <c r="F345" s="153">
        <f t="shared" si="35"/>
        <v>60511.781745148182</v>
      </c>
      <c r="G345" s="153">
        <f t="shared" si="35"/>
        <v>4945.34</v>
      </c>
      <c r="H345" s="153" t="e">
        <f t="shared" si="35"/>
        <v>#N/A</v>
      </c>
      <c r="L345" s="177"/>
    </row>
    <row r="346" spans="1:12" x14ac:dyDescent="0.2">
      <c r="A346" s="153">
        <v>2029</v>
      </c>
      <c r="B346" s="153">
        <v>9</v>
      </c>
      <c r="C346" s="153" t="str">
        <f t="shared" si="37"/>
        <v>20299</v>
      </c>
      <c r="D346" s="153" t="str">
        <f t="shared" si="38"/>
        <v>Q3</v>
      </c>
      <c r="E346" s="153">
        <f t="shared" si="36"/>
        <v>198516.981</v>
      </c>
      <c r="F346" s="153">
        <f t="shared" si="35"/>
        <v>60511.781745148182</v>
      </c>
      <c r="G346" s="153">
        <f t="shared" si="35"/>
        <v>4945.34</v>
      </c>
      <c r="H346" s="153" t="e">
        <f t="shared" si="35"/>
        <v>#N/A</v>
      </c>
      <c r="L346" s="177"/>
    </row>
    <row r="347" spans="1:12" x14ac:dyDescent="0.2">
      <c r="A347" s="153">
        <v>2029</v>
      </c>
      <c r="B347" s="153">
        <v>10</v>
      </c>
      <c r="C347" s="153" t="str">
        <f t="shared" si="37"/>
        <v>202910</v>
      </c>
      <c r="D347" s="153" t="str">
        <f t="shared" si="38"/>
        <v>Q4</v>
      </c>
      <c r="E347" s="153">
        <f t="shared" si="36"/>
        <v>199480.13399999999</v>
      </c>
      <c r="F347" s="153">
        <f t="shared" si="35"/>
        <v>60805.872480766535</v>
      </c>
      <c r="G347" s="153">
        <f t="shared" si="35"/>
        <v>4952.7489999999998</v>
      </c>
      <c r="H347" s="153" t="e">
        <f t="shared" si="35"/>
        <v>#N/A</v>
      </c>
      <c r="L347" s="177"/>
    </row>
    <row r="348" spans="1:12" x14ac:dyDescent="0.2">
      <c r="A348" s="153">
        <v>2029</v>
      </c>
      <c r="B348" s="153">
        <v>11</v>
      </c>
      <c r="C348" s="153" t="str">
        <f t="shared" si="37"/>
        <v>202911</v>
      </c>
      <c r="D348" s="153" t="str">
        <f t="shared" si="38"/>
        <v>Q4</v>
      </c>
      <c r="E348" s="153">
        <f t="shared" si="36"/>
        <v>199480.13399999999</v>
      </c>
      <c r="F348" s="153">
        <f t="shared" si="35"/>
        <v>60805.872480766535</v>
      </c>
      <c r="G348" s="153">
        <f t="shared" si="35"/>
        <v>4952.7489999999998</v>
      </c>
      <c r="H348" s="153" t="e">
        <f t="shared" si="35"/>
        <v>#N/A</v>
      </c>
      <c r="L348" s="177"/>
    </row>
    <row r="349" spans="1:12" x14ac:dyDescent="0.2">
      <c r="A349" s="153">
        <v>2029</v>
      </c>
      <c r="B349" s="153">
        <v>12</v>
      </c>
      <c r="C349" s="153" t="str">
        <f t="shared" si="37"/>
        <v>202912</v>
      </c>
      <c r="D349" s="153" t="str">
        <f t="shared" si="38"/>
        <v>Q4</v>
      </c>
      <c r="E349" s="153">
        <f t="shared" si="36"/>
        <v>199480.13399999999</v>
      </c>
      <c r="F349" s="153">
        <f t="shared" si="35"/>
        <v>60805.872480766535</v>
      </c>
      <c r="G349" s="153">
        <f t="shared" si="35"/>
        <v>4952.7489999999998</v>
      </c>
      <c r="H349" s="153" t="e">
        <f t="shared" si="35"/>
        <v>#N/A</v>
      </c>
      <c r="L349" s="177"/>
    </row>
    <row r="350" spans="1:12" x14ac:dyDescent="0.2">
      <c r="A350" s="153">
        <v>2030</v>
      </c>
      <c r="B350" s="153">
        <v>1</v>
      </c>
      <c r="C350" s="153" t="str">
        <f t="shared" si="37"/>
        <v>20301</v>
      </c>
      <c r="D350" s="153" t="str">
        <f t="shared" si="38"/>
        <v>Q1</v>
      </c>
      <c r="E350" s="153">
        <f t="shared" si="36"/>
        <v>201210.11900000001</v>
      </c>
      <c r="F350" s="153">
        <f t="shared" si="35"/>
        <v>61466.666126746961</v>
      </c>
      <c r="G350" s="153">
        <f t="shared" si="35"/>
        <v>4960.1260000000002</v>
      </c>
      <c r="H350" s="153" t="e">
        <f t="shared" si="35"/>
        <v>#N/A</v>
      </c>
      <c r="L350" s="177"/>
    </row>
    <row r="351" spans="1:12" x14ac:dyDescent="0.2">
      <c r="A351" s="153">
        <v>2030</v>
      </c>
      <c r="B351" s="153">
        <v>2</v>
      </c>
      <c r="C351" s="153" t="str">
        <f t="shared" si="37"/>
        <v>20302</v>
      </c>
      <c r="D351" s="153" t="str">
        <f t="shared" si="38"/>
        <v>Q1</v>
      </c>
      <c r="E351" s="153">
        <f t="shared" si="36"/>
        <v>201210.11900000001</v>
      </c>
      <c r="F351" s="153">
        <f t="shared" si="35"/>
        <v>61466.666126746961</v>
      </c>
      <c r="G351" s="153">
        <f t="shared" si="35"/>
        <v>4960.1260000000002</v>
      </c>
      <c r="H351" s="153" t="e">
        <f t="shared" si="35"/>
        <v>#N/A</v>
      </c>
      <c r="L351" s="177"/>
    </row>
    <row r="352" spans="1:12" x14ac:dyDescent="0.2">
      <c r="A352" s="153">
        <v>2030</v>
      </c>
      <c r="B352" s="153">
        <v>3</v>
      </c>
      <c r="C352" s="153" t="str">
        <f t="shared" si="37"/>
        <v>20303</v>
      </c>
      <c r="D352" s="153" t="str">
        <f t="shared" si="38"/>
        <v>Q1</v>
      </c>
      <c r="E352" s="153">
        <f t="shared" si="36"/>
        <v>201210.11900000001</v>
      </c>
      <c r="F352" s="153">
        <f t="shared" si="35"/>
        <v>61466.666126746961</v>
      </c>
      <c r="G352" s="153">
        <f t="shared" si="35"/>
        <v>4960.1260000000002</v>
      </c>
      <c r="H352" s="153" t="e">
        <f t="shared" si="35"/>
        <v>#N/A</v>
      </c>
      <c r="L352" s="177"/>
    </row>
    <row r="353" spans="1:12" x14ac:dyDescent="0.2">
      <c r="A353" s="153">
        <v>2030</v>
      </c>
      <c r="B353" s="153">
        <v>4</v>
      </c>
      <c r="C353" s="153" t="str">
        <f t="shared" si="37"/>
        <v>20304</v>
      </c>
      <c r="D353" s="153" t="str">
        <f t="shared" si="38"/>
        <v>Q2</v>
      </c>
      <c r="E353" s="153">
        <f t="shared" si="36"/>
        <v>202357.96400000001</v>
      </c>
      <c r="F353" s="153">
        <f t="shared" si="35"/>
        <v>61814.830377760452</v>
      </c>
      <c r="G353" s="153">
        <f t="shared" si="35"/>
        <v>4967.4709999999995</v>
      </c>
      <c r="H353" s="153" t="e">
        <f t="shared" si="35"/>
        <v>#N/A</v>
      </c>
      <c r="L353" s="177"/>
    </row>
    <row r="354" spans="1:12" x14ac:dyDescent="0.2">
      <c r="A354" s="153">
        <v>2030</v>
      </c>
      <c r="B354" s="153">
        <v>5</v>
      </c>
      <c r="C354" s="153" t="str">
        <f t="shared" si="37"/>
        <v>20305</v>
      </c>
      <c r="D354" s="153" t="str">
        <f t="shared" si="38"/>
        <v>Q2</v>
      </c>
      <c r="E354" s="153">
        <f t="shared" si="36"/>
        <v>202357.96400000001</v>
      </c>
      <c r="F354" s="153">
        <f t="shared" si="36"/>
        <v>61814.830377760452</v>
      </c>
      <c r="G354" s="153">
        <f t="shared" si="36"/>
        <v>4967.4709999999995</v>
      </c>
      <c r="H354" s="153" t="e">
        <f t="shared" si="36"/>
        <v>#N/A</v>
      </c>
      <c r="L354" s="177"/>
    </row>
    <row r="355" spans="1:12" x14ac:dyDescent="0.2">
      <c r="A355" s="153">
        <v>2030</v>
      </c>
      <c r="B355" s="153">
        <v>6</v>
      </c>
      <c r="C355" s="153" t="str">
        <f t="shared" si="37"/>
        <v>20306</v>
      </c>
      <c r="D355" s="153" t="str">
        <f t="shared" si="38"/>
        <v>Q2</v>
      </c>
      <c r="E355" s="153">
        <f t="shared" ref="E355:H418" si="39">VLOOKUP($A355&amp;$D355,$N$1:$T$169,MATCH(E$1,$N$1:$T$1,0),0)</f>
        <v>202357.96400000001</v>
      </c>
      <c r="F355" s="153">
        <f t="shared" si="39"/>
        <v>61814.830377760452</v>
      </c>
      <c r="G355" s="153">
        <f t="shared" si="39"/>
        <v>4967.4709999999995</v>
      </c>
      <c r="H355" s="153" t="e">
        <f t="shared" si="39"/>
        <v>#N/A</v>
      </c>
      <c r="L355" s="177"/>
    </row>
    <row r="356" spans="1:12" x14ac:dyDescent="0.2">
      <c r="A356" s="153">
        <v>2030</v>
      </c>
      <c r="B356" s="153">
        <v>7</v>
      </c>
      <c r="C356" s="153" t="str">
        <f t="shared" si="37"/>
        <v>20307</v>
      </c>
      <c r="D356" s="153" t="str">
        <f t="shared" si="38"/>
        <v>Q3</v>
      </c>
      <c r="E356" s="153">
        <f t="shared" si="39"/>
        <v>203321.337</v>
      </c>
      <c r="F356" s="153">
        <f t="shared" si="39"/>
        <v>62118.659604022723</v>
      </c>
      <c r="G356" s="153">
        <f t="shared" si="39"/>
        <v>4974.7839999999997</v>
      </c>
      <c r="H356" s="153" t="e">
        <f t="shared" si="39"/>
        <v>#N/A</v>
      </c>
      <c r="L356" s="177"/>
    </row>
    <row r="357" spans="1:12" x14ac:dyDescent="0.2">
      <c r="A357" s="153">
        <v>2030</v>
      </c>
      <c r="B357" s="153">
        <v>8</v>
      </c>
      <c r="C357" s="153" t="str">
        <f t="shared" si="37"/>
        <v>20308</v>
      </c>
      <c r="D357" s="153" t="str">
        <f t="shared" si="38"/>
        <v>Q3</v>
      </c>
      <c r="E357" s="153">
        <f t="shared" si="39"/>
        <v>203321.337</v>
      </c>
      <c r="F357" s="153">
        <f t="shared" si="39"/>
        <v>62118.659604022723</v>
      </c>
      <c r="G357" s="153">
        <f t="shared" si="39"/>
        <v>4974.7839999999997</v>
      </c>
      <c r="H357" s="153" t="e">
        <f t="shared" si="39"/>
        <v>#N/A</v>
      </c>
      <c r="L357" s="177"/>
    </row>
    <row r="358" spans="1:12" x14ac:dyDescent="0.2">
      <c r="A358" s="153">
        <v>2030</v>
      </c>
      <c r="B358" s="153">
        <v>9</v>
      </c>
      <c r="C358" s="153" t="str">
        <f t="shared" si="37"/>
        <v>20309</v>
      </c>
      <c r="D358" s="153" t="str">
        <f t="shared" si="38"/>
        <v>Q3</v>
      </c>
      <c r="E358" s="153">
        <f t="shared" si="39"/>
        <v>203321.337</v>
      </c>
      <c r="F358" s="153">
        <f t="shared" si="39"/>
        <v>62118.659604022723</v>
      </c>
      <c r="G358" s="153">
        <f t="shared" si="39"/>
        <v>4974.7839999999997</v>
      </c>
      <c r="H358" s="153" t="e">
        <f t="shared" si="39"/>
        <v>#N/A</v>
      </c>
      <c r="L358" s="177"/>
    </row>
    <row r="359" spans="1:12" x14ac:dyDescent="0.2">
      <c r="A359" s="153">
        <v>2030</v>
      </c>
      <c r="B359" s="153">
        <v>10</v>
      </c>
      <c r="C359" s="153" t="str">
        <f t="shared" si="37"/>
        <v>203010</v>
      </c>
      <c r="D359" s="153" t="str">
        <f t="shared" si="38"/>
        <v>Q4</v>
      </c>
      <c r="E359" s="153">
        <f t="shared" si="39"/>
        <v>204205.139</v>
      </c>
      <c r="F359" s="153">
        <f t="shared" si="39"/>
        <v>62422.456993532964</v>
      </c>
      <c r="G359" s="153">
        <f t="shared" si="39"/>
        <v>4982.0529999999999</v>
      </c>
      <c r="H359" s="153" t="e">
        <f t="shared" si="39"/>
        <v>#N/A</v>
      </c>
      <c r="L359" s="177"/>
    </row>
    <row r="360" spans="1:12" x14ac:dyDescent="0.2">
      <c r="A360" s="153">
        <v>2030</v>
      </c>
      <c r="B360" s="153">
        <v>11</v>
      </c>
      <c r="C360" s="153" t="str">
        <f t="shared" si="37"/>
        <v>203011</v>
      </c>
      <c r="D360" s="153" t="str">
        <f t="shared" si="38"/>
        <v>Q4</v>
      </c>
      <c r="E360" s="153">
        <f t="shared" si="39"/>
        <v>204205.139</v>
      </c>
      <c r="F360" s="153">
        <f t="shared" si="39"/>
        <v>62422.456993532964</v>
      </c>
      <c r="G360" s="153">
        <f t="shared" si="39"/>
        <v>4982.0529999999999</v>
      </c>
      <c r="H360" s="153" t="e">
        <f t="shared" si="39"/>
        <v>#N/A</v>
      </c>
      <c r="L360" s="177"/>
    </row>
    <row r="361" spans="1:12" x14ac:dyDescent="0.2">
      <c r="A361" s="153">
        <v>2030</v>
      </c>
      <c r="B361" s="153">
        <v>12</v>
      </c>
      <c r="C361" s="153" t="str">
        <f t="shared" si="37"/>
        <v>203012</v>
      </c>
      <c r="D361" s="153" t="str">
        <f t="shared" si="38"/>
        <v>Q4</v>
      </c>
      <c r="E361" s="153">
        <f t="shared" si="39"/>
        <v>204205.139</v>
      </c>
      <c r="F361" s="153">
        <f t="shared" si="39"/>
        <v>62422.456993532964</v>
      </c>
      <c r="G361" s="153">
        <f t="shared" si="39"/>
        <v>4982.0529999999999</v>
      </c>
      <c r="H361" s="153" t="e">
        <f t="shared" si="39"/>
        <v>#N/A</v>
      </c>
      <c r="L361" s="177"/>
    </row>
    <row r="362" spans="1:12" x14ac:dyDescent="0.2">
      <c r="A362" s="153">
        <v>2031</v>
      </c>
      <c r="B362" s="153">
        <v>1</v>
      </c>
      <c r="C362" s="153" t="str">
        <f t="shared" si="37"/>
        <v>20311</v>
      </c>
      <c r="D362" s="153" t="str">
        <f t="shared" si="38"/>
        <v>Q1</v>
      </c>
      <c r="E362" s="153">
        <f t="shared" si="39"/>
        <v>205835.74900000001</v>
      </c>
      <c r="F362" s="153">
        <f t="shared" si="39"/>
        <v>63011.686044511735</v>
      </c>
      <c r="G362" s="153">
        <f t="shared" si="39"/>
        <v>4989.29</v>
      </c>
      <c r="H362" s="153" t="e">
        <f t="shared" si="39"/>
        <v>#N/A</v>
      </c>
      <c r="L362" s="177"/>
    </row>
    <row r="363" spans="1:12" x14ac:dyDescent="0.2">
      <c r="A363" s="153">
        <v>2031</v>
      </c>
      <c r="B363" s="153">
        <v>2</v>
      </c>
      <c r="C363" s="153" t="str">
        <f t="shared" si="37"/>
        <v>20312</v>
      </c>
      <c r="D363" s="153" t="str">
        <f t="shared" si="38"/>
        <v>Q1</v>
      </c>
      <c r="E363" s="153">
        <f t="shared" si="39"/>
        <v>205835.74900000001</v>
      </c>
      <c r="F363" s="153">
        <f t="shared" si="39"/>
        <v>63011.686044511735</v>
      </c>
      <c r="G363" s="153">
        <f t="shared" si="39"/>
        <v>4989.29</v>
      </c>
      <c r="H363" s="153" t="e">
        <f t="shared" si="39"/>
        <v>#N/A</v>
      </c>
      <c r="L363" s="177"/>
    </row>
    <row r="364" spans="1:12" x14ac:dyDescent="0.2">
      <c r="A364" s="153">
        <v>2031</v>
      </c>
      <c r="B364" s="153">
        <v>3</v>
      </c>
      <c r="C364" s="153" t="str">
        <f t="shared" si="37"/>
        <v>20313</v>
      </c>
      <c r="D364" s="153" t="str">
        <f t="shared" si="38"/>
        <v>Q1</v>
      </c>
      <c r="E364" s="153">
        <f t="shared" si="39"/>
        <v>205835.74900000001</v>
      </c>
      <c r="F364" s="153">
        <f t="shared" si="39"/>
        <v>63011.686044511735</v>
      </c>
      <c r="G364" s="153">
        <f t="shared" si="39"/>
        <v>4989.29</v>
      </c>
      <c r="H364" s="153" t="e">
        <f t="shared" si="39"/>
        <v>#N/A</v>
      </c>
      <c r="L364" s="177"/>
    </row>
    <row r="365" spans="1:12" x14ac:dyDescent="0.2">
      <c r="A365" s="153">
        <v>2031</v>
      </c>
      <c r="B365" s="153">
        <v>4</v>
      </c>
      <c r="C365" s="153" t="str">
        <f t="shared" si="37"/>
        <v>20314</v>
      </c>
      <c r="D365" s="153" t="str">
        <f t="shared" si="38"/>
        <v>Q2</v>
      </c>
      <c r="E365" s="153">
        <f t="shared" si="39"/>
        <v>206821.26699999999</v>
      </c>
      <c r="F365" s="153">
        <f t="shared" si="39"/>
        <v>63354.072173494787</v>
      </c>
      <c r="G365" s="153">
        <f t="shared" si="39"/>
        <v>4996.4970000000003</v>
      </c>
      <c r="H365" s="153" t="e">
        <f t="shared" si="39"/>
        <v>#N/A</v>
      </c>
      <c r="L365" s="177"/>
    </row>
    <row r="366" spans="1:12" x14ac:dyDescent="0.2">
      <c r="A366" s="153">
        <v>2031</v>
      </c>
      <c r="B366" s="153">
        <v>5</v>
      </c>
      <c r="C366" s="153" t="str">
        <f t="shared" si="37"/>
        <v>20315</v>
      </c>
      <c r="D366" s="153" t="str">
        <f t="shared" si="38"/>
        <v>Q2</v>
      </c>
      <c r="E366" s="153">
        <f t="shared" si="39"/>
        <v>206821.26699999999</v>
      </c>
      <c r="F366" s="153">
        <f t="shared" si="39"/>
        <v>63354.072173494787</v>
      </c>
      <c r="G366" s="153">
        <f t="shared" si="39"/>
        <v>4996.4970000000003</v>
      </c>
      <c r="H366" s="153" t="e">
        <f t="shared" si="39"/>
        <v>#N/A</v>
      </c>
      <c r="L366" s="177"/>
    </row>
    <row r="367" spans="1:12" x14ac:dyDescent="0.2">
      <c r="A367" s="153">
        <v>2031</v>
      </c>
      <c r="B367" s="153">
        <v>6</v>
      </c>
      <c r="C367" s="153" t="str">
        <f t="shared" si="37"/>
        <v>20316</v>
      </c>
      <c r="D367" s="153" t="str">
        <f t="shared" si="38"/>
        <v>Q2</v>
      </c>
      <c r="E367" s="153">
        <f t="shared" si="39"/>
        <v>206821.26699999999</v>
      </c>
      <c r="F367" s="153">
        <f t="shared" si="39"/>
        <v>63354.072173494787</v>
      </c>
      <c r="G367" s="153">
        <f t="shared" si="39"/>
        <v>4996.4970000000003</v>
      </c>
      <c r="H367" s="153" t="e">
        <f t="shared" si="39"/>
        <v>#N/A</v>
      </c>
      <c r="L367" s="177"/>
    </row>
    <row r="368" spans="1:12" x14ac:dyDescent="0.2">
      <c r="A368" s="153">
        <v>2031</v>
      </c>
      <c r="B368" s="153">
        <v>7</v>
      </c>
      <c r="C368" s="153" t="str">
        <f t="shared" si="37"/>
        <v>20317</v>
      </c>
      <c r="D368" s="153" t="str">
        <f t="shared" si="38"/>
        <v>Q3</v>
      </c>
      <c r="E368" s="153">
        <f t="shared" si="39"/>
        <v>207691.48499999999</v>
      </c>
      <c r="F368" s="153">
        <f t="shared" si="39"/>
        <v>63686.068810866331</v>
      </c>
      <c r="G368" s="153">
        <f t="shared" si="39"/>
        <v>5003.6859999999997</v>
      </c>
      <c r="H368" s="153" t="e">
        <f t="shared" si="39"/>
        <v>#N/A</v>
      </c>
      <c r="L368" s="177"/>
    </row>
    <row r="369" spans="1:12" x14ac:dyDescent="0.2">
      <c r="A369" s="153">
        <v>2031</v>
      </c>
      <c r="B369" s="153">
        <v>8</v>
      </c>
      <c r="C369" s="153" t="str">
        <f t="shared" si="37"/>
        <v>20318</v>
      </c>
      <c r="D369" s="153" t="str">
        <f t="shared" si="38"/>
        <v>Q3</v>
      </c>
      <c r="E369" s="153">
        <f t="shared" si="39"/>
        <v>207691.48499999999</v>
      </c>
      <c r="F369" s="153">
        <f t="shared" si="39"/>
        <v>63686.068810866331</v>
      </c>
      <c r="G369" s="153">
        <f t="shared" si="39"/>
        <v>5003.6859999999997</v>
      </c>
      <c r="H369" s="153" t="e">
        <f t="shared" si="39"/>
        <v>#N/A</v>
      </c>
      <c r="L369" s="177"/>
    </row>
    <row r="370" spans="1:12" x14ac:dyDescent="0.2">
      <c r="A370" s="153">
        <v>2031</v>
      </c>
      <c r="B370" s="153">
        <v>9</v>
      </c>
      <c r="C370" s="153" t="str">
        <f t="shared" si="37"/>
        <v>20319</v>
      </c>
      <c r="D370" s="153" t="str">
        <f t="shared" si="38"/>
        <v>Q3</v>
      </c>
      <c r="E370" s="153">
        <f t="shared" si="39"/>
        <v>207691.48499999999</v>
      </c>
      <c r="F370" s="153">
        <f t="shared" si="39"/>
        <v>63686.068810866331</v>
      </c>
      <c r="G370" s="153">
        <f t="shared" si="39"/>
        <v>5003.6859999999997</v>
      </c>
      <c r="H370" s="153" t="e">
        <f t="shared" si="39"/>
        <v>#N/A</v>
      </c>
      <c r="L370" s="177"/>
    </row>
    <row r="371" spans="1:12" x14ac:dyDescent="0.2">
      <c r="A371" s="153">
        <v>2031</v>
      </c>
      <c r="B371" s="153">
        <v>10</v>
      </c>
      <c r="C371" s="153" t="str">
        <f t="shared" si="37"/>
        <v>203110</v>
      </c>
      <c r="D371" s="153" t="str">
        <f t="shared" si="38"/>
        <v>Q4</v>
      </c>
      <c r="E371" s="153">
        <f t="shared" si="39"/>
        <v>208506.54</v>
      </c>
      <c r="F371" s="153">
        <f t="shared" si="39"/>
        <v>63983.702106726494</v>
      </c>
      <c r="G371" s="153">
        <f t="shared" si="39"/>
        <v>5010.8329999999996</v>
      </c>
      <c r="H371" s="153" t="e">
        <f t="shared" si="39"/>
        <v>#N/A</v>
      </c>
      <c r="L371" s="177"/>
    </row>
    <row r="372" spans="1:12" x14ac:dyDescent="0.2">
      <c r="A372" s="153">
        <v>2031</v>
      </c>
      <c r="B372" s="153">
        <v>11</v>
      </c>
      <c r="C372" s="153" t="str">
        <f t="shared" si="37"/>
        <v>203111</v>
      </c>
      <c r="D372" s="153" t="str">
        <f t="shared" si="38"/>
        <v>Q4</v>
      </c>
      <c r="E372" s="153">
        <f t="shared" si="39"/>
        <v>208506.54</v>
      </c>
      <c r="F372" s="153">
        <f t="shared" si="39"/>
        <v>63983.702106726494</v>
      </c>
      <c r="G372" s="153">
        <f t="shared" si="39"/>
        <v>5010.8329999999996</v>
      </c>
      <c r="H372" s="153" t="e">
        <f t="shared" si="39"/>
        <v>#N/A</v>
      </c>
      <c r="L372" s="177"/>
    </row>
    <row r="373" spans="1:12" x14ac:dyDescent="0.2">
      <c r="A373" s="153">
        <v>2031</v>
      </c>
      <c r="B373" s="153">
        <v>12</v>
      </c>
      <c r="C373" s="153" t="str">
        <f t="shared" si="37"/>
        <v>203112</v>
      </c>
      <c r="D373" s="153" t="str">
        <f t="shared" si="38"/>
        <v>Q4</v>
      </c>
      <c r="E373" s="153">
        <f t="shared" si="39"/>
        <v>208506.54</v>
      </c>
      <c r="F373" s="153">
        <f t="shared" si="39"/>
        <v>63983.702106726494</v>
      </c>
      <c r="G373" s="153">
        <f t="shared" si="39"/>
        <v>5010.8329999999996</v>
      </c>
      <c r="H373" s="153" t="e">
        <f t="shared" si="39"/>
        <v>#N/A</v>
      </c>
      <c r="L373" s="177"/>
    </row>
    <row r="374" spans="1:12" x14ac:dyDescent="0.2">
      <c r="A374" s="153">
        <v>2032</v>
      </c>
      <c r="B374" s="153">
        <v>1</v>
      </c>
      <c r="C374" s="153" t="str">
        <f t="shared" si="37"/>
        <v>20321</v>
      </c>
      <c r="D374" s="153" t="str">
        <f t="shared" si="38"/>
        <v>Q1</v>
      </c>
      <c r="E374" s="153">
        <f t="shared" si="39"/>
        <v>210181.51699999999</v>
      </c>
      <c r="F374" s="153">
        <f t="shared" si="39"/>
        <v>64517.895684862429</v>
      </c>
      <c r="G374" s="153">
        <f t="shared" si="39"/>
        <v>5017.95</v>
      </c>
      <c r="H374" s="153" t="e">
        <f t="shared" si="39"/>
        <v>#N/A</v>
      </c>
      <c r="L374" s="177"/>
    </row>
    <row r="375" spans="1:12" x14ac:dyDescent="0.2">
      <c r="A375" s="153">
        <v>2032</v>
      </c>
      <c r="B375" s="153">
        <v>2</v>
      </c>
      <c r="C375" s="153" t="str">
        <f t="shared" si="37"/>
        <v>20322</v>
      </c>
      <c r="D375" s="153" t="str">
        <f t="shared" si="38"/>
        <v>Q1</v>
      </c>
      <c r="E375" s="153">
        <f t="shared" si="39"/>
        <v>210181.51699999999</v>
      </c>
      <c r="F375" s="153">
        <f t="shared" si="39"/>
        <v>64517.895684862429</v>
      </c>
      <c r="G375" s="153">
        <f t="shared" si="39"/>
        <v>5017.95</v>
      </c>
      <c r="H375" s="153" t="e">
        <f t="shared" si="39"/>
        <v>#N/A</v>
      </c>
      <c r="L375" s="177"/>
    </row>
    <row r="376" spans="1:12" x14ac:dyDescent="0.2">
      <c r="A376" s="153">
        <v>2032</v>
      </c>
      <c r="B376" s="153">
        <v>3</v>
      </c>
      <c r="C376" s="153" t="str">
        <f t="shared" si="37"/>
        <v>20323</v>
      </c>
      <c r="D376" s="153" t="str">
        <f t="shared" si="38"/>
        <v>Q1</v>
      </c>
      <c r="E376" s="153">
        <f t="shared" si="39"/>
        <v>210181.51699999999</v>
      </c>
      <c r="F376" s="153">
        <f t="shared" si="39"/>
        <v>64517.895684862429</v>
      </c>
      <c r="G376" s="153">
        <f t="shared" si="39"/>
        <v>5017.95</v>
      </c>
      <c r="H376" s="153" t="e">
        <f t="shared" si="39"/>
        <v>#N/A</v>
      </c>
      <c r="L376" s="177"/>
    </row>
    <row r="377" spans="1:12" x14ac:dyDescent="0.2">
      <c r="A377" s="153">
        <v>2032</v>
      </c>
      <c r="B377" s="153">
        <v>4</v>
      </c>
      <c r="C377" s="153" t="str">
        <f t="shared" si="37"/>
        <v>20324</v>
      </c>
      <c r="D377" s="153" t="str">
        <f t="shared" si="38"/>
        <v>Q2</v>
      </c>
      <c r="E377" s="153">
        <f t="shared" si="39"/>
        <v>211132.98300000001</v>
      </c>
      <c r="F377" s="153">
        <f t="shared" si="39"/>
        <v>64852.902436758101</v>
      </c>
      <c r="G377" s="153">
        <f t="shared" si="39"/>
        <v>5025.0370000000003</v>
      </c>
      <c r="H377" s="153" t="e">
        <f t="shared" si="39"/>
        <v>#N/A</v>
      </c>
      <c r="L377" s="177"/>
    </row>
    <row r="378" spans="1:12" x14ac:dyDescent="0.2">
      <c r="A378" s="153">
        <v>2032</v>
      </c>
      <c r="B378" s="153">
        <v>5</v>
      </c>
      <c r="C378" s="153" t="str">
        <f t="shared" si="37"/>
        <v>20325</v>
      </c>
      <c r="D378" s="153" t="str">
        <f t="shared" si="38"/>
        <v>Q2</v>
      </c>
      <c r="E378" s="153">
        <f t="shared" si="39"/>
        <v>211132.98300000001</v>
      </c>
      <c r="F378" s="153">
        <f t="shared" si="39"/>
        <v>64852.902436758101</v>
      </c>
      <c r="G378" s="153">
        <f t="shared" si="39"/>
        <v>5025.0370000000003</v>
      </c>
      <c r="H378" s="153" t="e">
        <f t="shared" si="39"/>
        <v>#N/A</v>
      </c>
      <c r="L378" s="177"/>
    </row>
    <row r="379" spans="1:12" x14ac:dyDescent="0.2">
      <c r="A379" s="153">
        <v>2032</v>
      </c>
      <c r="B379" s="153">
        <v>6</v>
      </c>
      <c r="C379" s="153" t="str">
        <f t="shared" si="37"/>
        <v>20326</v>
      </c>
      <c r="D379" s="153" t="str">
        <f t="shared" si="38"/>
        <v>Q2</v>
      </c>
      <c r="E379" s="153">
        <f t="shared" si="39"/>
        <v>211132.98300000001</v>
      </c>
      <c r="F379" s="153">
        <f t="shared" si="39"/>
        <v>64852.902436758101</v>
      </c>
      <c r="G379" s="153">
        <f t="shared" si="39"/>
        <v>5025.0370000000003</v>
      </c>
      <c r="H379" s="153" t="e">
        <f t="shared" si="39"/>
        <v>#N/A</v>
      </c>
      <c r="L379" s="177"/>
    </row>
    <row r="380" spans="1:12" x14ac:dyDescent="0.2">
      <c r="A380" s="153">
        <v>2032</v>
      </c>
      <c r="B380" s="153">
        <v>7</v>
      </c>
      <c r="C380" s="153" t="str">
        <f t="shared" si="37"/>
        <v>20327</v>
      </c>
      <c r="D380" s="153" t="str">
        <f t="shared" si="38"/>
        <v>Q3</v>
      </c>
      <c r="E380" s="153">
        <f t="shared" si="39"/>
        <v>211990.587</v>
      </c>
      <c r="F380" s="153">
        <f t="shared" si="39"/>
        <v>65092.663837385568</v>
      </c>
      <c r="G380" s="153">
        <f t="shared" si="39"/>
        <v>5032.0959999999995</v>
      </c>
      <c r="H380" s="153" t="e">
        <f t="shared" si="39"/>
        <v>#N/A</v>
      </c>
      <c r="L380" s="177"/>
    </row>
    <row r="381" spans="1:12" x14ac:dyDescent="0.2">
      <c r="A381" s="153">
        <v>2032</v>
      </c>
      <c r="B381" s="153">
        <v>8</v>
      </c>
      <c r="C381" s="153" t="str">
        <f t="shared" si="37"/>
        <v>20328</v>
      </c>
      <c r="D381" s="153" t="str">
        <f t="shared" si="38"/>
        <v>Q3</v>
      </c>
      <c r="E381" s="153">
        <f t="shared" si="39"/>
        <v>211990.587</v>
      </c>
      <c r="F381" s="153">
        <f t="shared" si="39"/>
        <v>65092.663837385568</v>
      </c>
      <c r="G381" s="153">
        <f t="shared" si="39"/>
        <v>5032.0959999999995</v>
      </c>
      <c r="H381" s="153" t="e">
        <f t="shared" si="39"/>
        <v>#N/A</v>
      </c>
      <c r="L381" s="177"/>
    </row>
    <row r="382" spans="1:12" x14ac:dyDescent="0.2">
      <c r="A382" s="153">
        <v>2032</v>
      </c>
      <c r="B382" s="153">
        <v>9</v>
      </c>
      <c r="C382" s="153" t="str">
        <f t="shared" si="37"/>
        <v>20329</v>
      </c>
      <c r="D382" s="153" t="str">
        <f t="shared" si="38"/>
        <v>Q3</v>
      </c>
      <c r="E382" s="153">
        <f t="shared" si="39"/>
        <v>211990.587</v>
      </c>
      <c r="F382" s="153">
        <f t="shared" si="39"/>
        <v>65092.663837385568</v>
      </c>
      <c r="G382" s="153">
        <f t="shared" si="39"/>
        <v>5032.0959999999995</v>
      </c>
      <c r="H382" s="153" t="e">
        <f t="shared" si="39"/>
        <v>#N/A</v>
      </c>
      <c r="L382" s="177"/>
    </row>
    <row r="383" spans="1:12" x14ac:dyDescent="0.2">
      <c r="A383" s="153">
        <v>2032</v>
      </c>
      <c r="B383" s="153">
        <v>10</v>
      </c>
      <c r="C383" s="153" t="str">
        <f t="shared" si="37"/>
        <v>203210</v>
      </c>
      <c r="D383" s="153" t="str">
        <f t="shared" si="38"/>
        <v>Q4</v>
      </c>
      <c r="E383" s="153">
        <f t="shared" si="39"/>
        <v>212819.59099999999</v>
      </c>
      <c r="F383" s="153">
        <f t="shared" si="39"/>
        <v>65379.712563198897</v>
      </c>
      <c r="G383" s="153">
        <f t="shared" si="39"/>
        <v>5039.1130000000003</v>
      </c>
      <c r="H383" s="153" t="e">
        <f t="shared" si="39"/>
        <v>#N/A</v>
      </c>
      <c r="L383" s="177"/>
    </row>
    <row r="384" spans="1:12" x14ac:dyDescent="0.2">
      <c r="A384" s="153">
        <v>2032</v>
      </c>
      <c r="B384" s="153">
        <v>11</v>
      </c>
      <c r="C384" s="153" t="str">
        <f t="shared" si="37"/>
        <v>203211</v>
      </c>
      <c r="D384" s="153" t="str">
        <f t="shared" si="38"/>
        <v>Q4</v>
      </c>
      <c r="E384" s="153">
        <f t="shared" si="39"/>
        <v>212819.59099999999</v>
      </c>
      <c r="F384" s="153">
        <f t="shared" si="39"/>
        <v>65379.712563198897</v>
      </c>
      <c r="G384" s="153">
        <f t="shared" si="39"/>
        <v>5039.1130000000003</v>
      </c>
      <c r="H384" s="153" t="e">
        <f t="shared" si="39"/>
        <v>#N/A</v>
      </c>
      <c r="L384" s="177"/>
    </row>
    <row r="385" spans="1:12" x14ac:dyDescent="0.2">
      <c r="A385" s="153">
        <v>2032</v>
      </c>
      <c r="B385" s="153">
        <v>12</v>
      </c>
      <c r="C385" s="153" t="str">
        <f t="shared" si="37"/>
        <v>203212</v>
      </c>
      <c r="D385" s="153" t="str">
        <f t="shared" si="38"/>
        <v>Q4</v>
      </c>
      <c r="E385" s="153">
        <f t="shared" si="39"/>
        <v>212819.59099999999</v>
      </c>
      <c r="F385" s="153">
        <f t="shared" si="39"/>
        <v>65379.712563198897</v>
      </c>
      <c r="G385" s="153">
        <f t="shared" si="39"/>
        <v>5039.1130000000003</v>
      </c>
      <c r="H385" s="153" t="e">
        <f t="shared" si="39"/>
        <v>#N/A</v>
      </c>
      <c r="L385" s="177"/>
    </row>
    <row r="386" spans="1:12" x14ac:dyDescent="0.2">
      <c r="A386" s="153">
        <v>2033</v>
      </c>
      <c r="B386" s="153">
        <v>1</v>
      </c>
      <c r="C386" s="153" t="str">
        <f t="shared" si="37"/>
        <v>20331</v>
      </c>
      <c r="D386" s="153" t="str">
        <f t="shared" si="38"/>
        <v>Q1</v>
      </c>
      <c r="E386" s="153">
        <f t="shared" si="39"/>
        <v>214486.36799999999</v>
      </c>
      <c r="F386" s="153">
        <f t="shared" si="39"/>
        <v>65915.343848067831</v>
      </c>
      <c r="G386" s="153">
        <f t="shared" si="39"/>
        <v>5046.1030000000001</v>
      </c>
      <c r="H386" s="153" t="e">
        <f t="shared" si="39"/>
        <v>#N/A</v>
      </c>
      <c r="L386" s="177"/>
    </row>
    <row r="387" spans="1:12" x14ac:dyDescent="0.2">
      <c r="A387" s="153">
        <v>2033</v>
      </c>
      <c r="B387" s="153">
        <v>2</v>
      </c>
      <c r="C387" s="153" t="str">
        <f t="shared" ref="C387:C450" si="40">A387&amp;B387</f>
        <v>20332</v>
      </c>
      <c r="D387" s="153" t="str">
        <f t="shared" si="38"/>
        <v>Q1</v>
      </c>
      <c r="E387" s="153">
        <f t="shared" si="39"/>
        <v>214486.36799999999</v>
      </c>
      <c r="F387" s="153">
        <f t="shared" si="39"/>
        <v>65915.343848067831</v>
      </c>
      <c r="G387" s="153">
        <f t="shared" si="39"/>
        <v>5046.1030000000001</v>
      </c>
      <c r="H387" s="153" t="e">
        <f t="shared" si="39"/>
        <v>#N/A</v>
      </c>
      <c r="L387" s="177"/>
    </row>
    <row r="388" spans="1:12" x14ac:dyDescent="0.2">
      <c r="A388" s="153">
        <v>2033</v>
      </c>
      <c r="B388" s="153">
        <v>3</v>
      </c>
      <c r="C388" s="153" t="str">
        <f t="shared" si="40"/>
        <v>20333</v>
      </c>
      <c r="D388" s="153" t="str">
        <f t="shared" si="38"/>
        <v>Q1</v>
      </c>
      <c r="E388" s="153">
        <f t="shared" si="39"/>
        <v>214486.36799999999</v>
      </c>
      <c r="F388" s="153">
        <f t="shared" si="39"/>
        <v>65915.343848067831</v>
      </c>
      <c r="G388" s="153">
        <f t="shared" si="39"/>
        <v>5046.1030000000001</v>
      </c>
      <c r="H388" s="153" t="e">
        <f t="shared" si="39"/>
        <v>#N/A</v>
      </c>
      <c r="L388" s="177"/>
    </row>
    <row r="389" spans="1:12" x14ac:dyDescent="0.2">
      <c r="A389" s="153">
        <v>2033</v>
      </c>
      <c r="B389" s="153">
        <v>4</v>
      </c>
      <c r="C389" s="153" t="str">
        <f t="shared" si="40"/>
        <v>20334</v>
      </c>
      <c r="D389" s="153" t="str">
        <f t="shared" si="38"/>
        <v>Q2</v>
      </c>
      <c r="E389" s="153">
        <f t="shared" si="39"/>
        <v>215382.42600000001</v>
      </c>
      <c r="F389" s="153">
        <f t="shared" si="39"/>
        <v>66272.860998632343</v>
      </c>
      <c r="G389" s="153">
        <f t="shared" si="39"/>
        <v>5053.0649999999996</v>
      </c>
      <c r="H389" s="153" t="e">
        <f t="shared" si="39"/>
        <v>#N/A</v>
      </c>
      <c r="L389" s="177"/>
    </row>
    <row r="390" spans="1:12" x14ac:dyDescent="0.2">
      <c r="A390" s="153">
        <v>2033</v>
      </c>
      <c r="B390" s="153">
        <v>5</v>
      </c>
      <c r="C390" s="153" t="str">
        <f t="shared" si="40"/>
        <v>20335</v>
      </c>
      <c r="D390" s="153" t="str">
        <f t="shared" si="38"/>
        <v>Q2</v>
      </c>
      <c r="E390" s="153">
        <f t="shared" si="39"/>
        <v>215382.42600000001</v>
      </c>
      <c r="F390" s="153">
        <f t="shared" si="39"/>
        <v>66272.860998632343</v>
      </c>
      <c r="G390" s="153">
        <f t="shared" si="39"/>
        <v>5053.0649999999996</v>
      </c>
      <c r="H390" s="153" t="e">
        <f t="shared" si="39"/>
        <v>#N/A</v>
      </c>
      <c r="L390" s="177"/>
    </row>
    <row r="391" spans="1:12" x14ac:dyDescent="0.2">
      <c r="A391" s="153">
        <v>2033</v>
      </c>
      <c r="B391" s="153">
        <v>6</v>
      </c>
      <c r="C391" s="153" t="str">
        <f t="shared" si="40"/>
        <v>20336</v>
      </c>
      <c r="D391" s="153" t="str">
        <f t="shared" si="38"/>
        <v>Q2</v>
      </c>
      <c r="E391" s="153">
        <f t="shared" si="39"/>
        <v>215382.42600000001</v>
      </c>
      <c r="F391" s="153">
        <f t="shared" si="39"/>
        <v>66272.860998632343</v>
      </c>
      <c r="G391" s="153">
        <f t="shared" si="39"/>
        <v>5053.0649999999996</v>
      </c>
      <c r="H391" s="153" t="e">
        <f t="shared" si="39"/>
        <v>#N/A</v>
      </c>
      <c r="L391" s="177"/>
    </row>
    <row r="392" spans="1:12" x14ac:dyDescent="0.2">
      <c r="A392" s="153">
        <v>2033</v>
      </c>
      <c r="B392" s="153">
        <v>7</v>
      </c>
      <c r="C392" s="153" t="str">
        <f t="shared" si="40"/>
        <v>20337</v>
      </c>
      <c r="D392" s="153" t="str">
        <f t="shared" si="38"/>
        <v>Q3</v>
      </c>
      <c r="E392" s="153">
        <f t="shared" si="39"/>
        <v>216207.60200000001</v>
      </c>
      <c r="F392" s="153">
        <f t="shared" si="39"/>
        <v>66575.69117880259</v>
      </c>
      <c r="G392" s="153">
        <f t="shared" si="39"/>
        <v>5060</v>
      </c>
      <c r="H392" s="153" t="e">
        <f t="shared" si="39"/>
        <v>#N/A</v>
      </c>
      <c r="L392" s="177"/>
    </row>
    <row r="393" spans="1:12" x14ac:dyDescent="0.2">
      <c r="A393" s="153">
        <v>2033</v>
      </c>
      <c r="B393" s="153">
        <v>8</v>
      </c>
      <c r="C393" s="153" t="str">
        <f t="shared" si="40"/>
        <v>20338</v>
      </c>
      <c r="D393" s="153" t="str">
        <f t="shared" si="38"/>
        <v>Q3</v>
      </c>
      <c r="E393" s="153">
        <f t="shared" si="39"/>
        <v>216207.60200000001</v>
      </c>
      <c r="F393" s="153">
        <f t="shared" si="39"/>
        <v>66575.69117880259</v>
      </c>
      <c r="G393" s="153">
        <f t="shared" si="39"/>
        <v>5060</v>
      </c>
      <c r="H393" s="153" t="e">
        <f t="shared" si="39"/>
        <v>#N/A</v>
      </c>
      <c r="L393" s="177"/>
    </row>
    <row r="394" spans="1:12" x14ac:dyDescent="0.2">
      <c r="A394" s="153">
        <v>2033</v>
      </c>
      <c r="B394" s="153">
        <v>9</v>
      </c>
      <c r="C394" s="153" t="str">
        <f t="shared" si="40"/>
        <v>20339</v>
      </c>
      <c r="D394" s="153" t="str">
        <f t="shared" si="38"/>
        <v>Q3</v>
      </c>
      <c r="E394" s="153">
        <f t="shared" si="39"/>
        <v>216207.60200000001</v>
      </c>
      <c r="F394" s="153">
        <f t="shared" si="39"/>
        <v>66575.69117880259</v>
      </c>
      <c r="G394" s="153">
        <f t="shared" si="39"/>
        <v>5060</v>
      </c>
      <c r="H394" s="153" t="e">
        <f t="shared" si="39"/>
        <v>#N/A</v>
      </c>
      <c r="L394" s="177"/>
    </row>
    <row r="395" spans="1:12" x14ac:dyDescent="0.2">
      <c r="A395" s="153">
        <v>2033</v>
      </c>
      <c r="B395" s="153">
        <v>10</v>
      </c>
      <c r="C395" s="153" t="str">
        <f t="shared" si="40"/>
        <v>203310</v>
      </c>
      <c r="D395" s="153" t="str">
        <f t="shared" si="38"/>
        <v>Q4</v>
      </c>
      <c r="E395" s="153">
        <f t="shared" si="39"/>
        <v>217023.29399999999</v>
      </c>
      <c r="F395" s="153">
        <f t="shared" si="39"/>
        <v>66846.031778371878</v>
      </c>
      <c r="G395" s="153">
        <f t="shared" si="39"/>
        <v>5066.8959999999997</v>
      </c>
      <c r="H395" s="153" t="e">
        <f t="shared" si="39"/>
        <v>#N/A</v>
      </c>
      <c r="L395" s="177"/>
    </row>
    <row r="396" spans="1:12" x14ac:dyDescent="0.2">
      <c r="A396" s="153">
        <v>2033</v>
      </c>
      <c r="B396" s="153">
        <v>11</v>
      </c>
      <c r="C396" s="153" t="str">
        <f t="shared" si="40"/>
        <v>203311</v>
      </c>
      <c r="D396" s="153" t="str">
        <f t="shared" si="38"/>
        <v>Q4</v>
      </c>
      <c r="E396" s="153">
        <f t="shared" si="39"/>
        <v>217023.29399999999</v>
      </c>
      <c r="F396" s="153">
        <f t="shared" si="39"/>
        <v>66846.031778371878</v>
      </c>
      <c r="G396" s="153">
        <f t="shared" si="39"/>
        <v>5066.8959999999997</v>
      </c>
      <c r="H396" s="153" t="e">
        <f t="shared" si="39"/>
        <v>#N/A</v>
      </c>
      <c r="L396" s="177"/>
    </row>
    <row r="397" spans="1:12" x14ac:dyDescent="0.2">
      <c r="A397" s="153">
        <v>2033</v>
      </c>
      <c r="B397" s="153">
        <v>12</v>
      </c>
      <c r="C397" s="153" t="str">
        <f t="shared" si="40"/>
        <v>203312</v>
      </c>
      <c r="D397" s="153" t="str">
        <f t="shared" si="38"/>
        <v>Q4</v>
      </c>
      <c r="E397" s="153">
        <f t="shared" si="39"/>
        <v>217023.29399999999</v>
      </c>
      <c r="F397" s="153">
        <f t="shared" si="39"/>
        <v>66846.031778371878</v>
      </c>
      <c r="G397" s="153">
        <f t="shared" si="39"/>
        <v>5066.8959999999997</v>
      </c>
      <c r="H397" s="153" t="e">
        <f t="shared" si="39"/>
        <v>#N/A</v>
      </c>
      <c r="L397" s="177"/>
    </row>
    <row r="398" spans="1:12" x14ac:dyDescent="0.2">
      <c r="A398" s="153">
        <v>2034</v>
      </c>
      <c r="B398" s="153">
        <v>1</v>
      </c>
      <c r="C398" s="153" t="str">
        <f t="shared" si="40"/>
        <v>20341</v>
      </c>
      <c r="D398" s="153" t="str">
        <f t="shared" si="38"/>
        <v>Q1</v>
      </c>
      <c r="E398" s="153">
        <f t="shared" si="39"/>
        <v>218712.25599999999</v>
      </c>
      <c r="F398" s="153">
        <f t="shared" si="39"/>
        <v>67408.698459790423</v>
      </c>
      <c r="G398" s="153">
        <f t="shared" si="39"/>
        <v>5073.7650000000003</v>
      </c>
      <c r="H398" s="153" t="e">
        <f t="shared" si="39"/>
        <v>#N/A</v>
      </c>
      <c r="L398" s="177"/>
    </row>
    <row r="399" spans="1:12" x14ac:dyDescent="0.2">
      <c r="A399" s="153">
        <v>2034</v>
      </c>
      <c r="B399" s="153">
        <v>2</v>
      </c>
      <c r="C399" s="153" t="str">
        <f t="shared" si="40"/>
        <v>20342</v>
      </c>
      <c r="D399" s="153" t="str">
        <f t="shared" ref="D399:D462" si="41">D387</f>
        <v>Q1</v>
      </c>
      <c r="E399" s="153">
        <f t="shared" si="39"/>
        <v>218712.25599999999</v>
      </c>
      <c r="F399" s="153">
        <f t="shared" si="39"/>
        <v>67408.698459790423</v>
      </c>
      <c r="G399" s="153">
        <f t="shared" si="39"/>
        <v>5073.7650000000003</v>
      </c>
      <c r="H399" s="153" t="e">
        <f t="shared" si="39"/>
        <v>#N/A</v>
      </c>
      <c r="L399" s="177"/>
    </row>
    <row r="400" spans="1:12" x14ac:dyDescent="0.2">
      <c r="A400" s="153">
        <v>2034</v>
      </c>
      <c r="B400" s="153">
        <v>3</v>
      </c>
      <c r="C400" s="153" t="str">
        <f t="shared" si="40"/>
        <v>20343</v>
      </c>
      <c r="D400" s="153" t="str">
        <f t="shared" si="41"/>
        <v>Q1</v>
      </c>
      <c r="E400" s="153">
        <f t="shared" si="39"/>
        <v>218712.25599999999</v>
      </c>
      <c r="F400" s="153">
        <f t="shared" si="39"/>
        <v>67408.698459790423</v>
      </c>
      <c r="G400" s="153">
        <f t="shared" si="39"/>
        <v>5073.7650000000003</v>
      </c>
      <c r="H400" s="153" t="e">
        <f t="shared" si="39"/>
        <v>#N/A</v>
      </c>
      <c r="L400" s="177"/>
    </row>
    <row r="401" spans="1:12" x14ac:dyDescent="0.2">
      <c r="A401" s="153">
        <v>2034</v>
      </c>
      <c r="B401" s="153">
        <v>4</v>
      </c>
      <c r="C401" s="153" t="str">
        <f t="shared" si="40"/>
        <v>20344</v>
      </c>
      <c r="D401" s="153" t="str">
        <f t="shared" si="41"/>
        <v>Q2</v>
      </c>
      <c r="E401" s="153">
        <f t="shared" si="39"/>
        <v>219678.68900000001</v>
      </c>
      <c r="F401" s="153">
        <f t="shared" si="39"/>
        <v>67784.731090709829</v>
      </c>
      <c r="G401" s="153">
        <f t="shared" si="39"/>
        <v>5080.6090000000004</v>
      </c>
      <c r="H401" s="153" t="e">
        <f t="shared" si="39"/>
        <v>#N/A</v>
      </c>
      <c r="L401" s="177"/>
    </row>
    <row r="402" spans="1:12" x14ac:dyDescent="0.2">
      <c r="A402" s="153">
        <v>2034</v>
      </c>
      <c r="B402" s="153">
        <v>5</v>
      </c>
      <c r="C402" s="153" t="str">
        <f t="shared" si="40"/>
        <v>20345</v>
      </c>
      <c r="D402" s="153" t="str">
        <f t="shared" si="41"/>
        <v>Q2</v>
      </c>
      <c r="E402" s="153">
        <f t="shared" si="39"/>
        <v>219678.68900000001</v>
      </c>
      <c r="F402" s="153">
        <f t="shared" si="39"/>
        <v>67784.731090709829</v>
      </c>
      <c r="G402" s="153">
        <f t="shared" si="39"/>
        <v>5080.6090000000004</v>
      </c>
      <c r="H402" s="153" t="e">
        <f t="shared" si="39"/>
        <v>#N/A</v>
      </c>
      <c r="L402" s="177"/>
    </row>
    <row r="403" spans="1:12" x14ac:dyDescent="0.2">
      <c r="A403" s="153">
        <v>2034</v>
      </c>
      <c r="B403" s="153">
        <v>6</v>
      </c>
      <c r="C403" s="153" t="str">
        <f t="shared" si="40"/>
        <v>20346</v>
      </c>
      <c r="D403" s="153" t="str">
        <f t="shared" si="41"/>
        <v>Q2</v>
      </c>
      <c r="E403" s="153">
        <f t="shared" si="39"/>
        <v>219678.68900000001</v>
      </c>
      <c r="F403" s="153">
        <f t="shared" si="39"/>
        <v>67784.731090709829</v>
      </c>
      <c r="G403" s="153">
        <f t="shared" si="39"/>
        <v>5080.6090000000004</v>
      </c>
      <c r="H403" s="153" t="e">
        <f t="shared" si="39"/>
        <v>#N/A</v>
      </c>
      <c r="L403" s="177"/>
    </row>
    <row r="404" spans="1:12" x14ac:dyDescent="0.2">
      <c r="A404" s="153">
        <v>2034</v>
      </c>
      <c r="B404" s="153">
        <v>7</v>
      </c>
      <c r="C404" s="153" t="str">
        <f t="shared" si="40"/>
        <v>20347</v>
      </c>
      <c r="D404" s="153" t="str">
        <f t="shared" si="41"/>
        <v>Q3</v>
      </c>
      <c r="E404" s="153">
        <f t="shared" si="39"/>
        <v>220588.57</v>
      </c>
      <c r="F404" s="153">
        <f t="shared" si="39"/>
        <v>68112.672404732177</v>
      </c>
      <c r="G404" s="153">
        <f t="shared" si="39"/>
        <v>5087.4409999999998</v>
      </c>
      <c r="H404" s="153" t="e">
        <f t="shared" si="39"/>
        <v>#N/A</v>
      </c>
      <c r="L404" s="177"/>
    </row>
    <row r="405" spans="1:12" x14ac:dyDescent="0.2">
      <c r="A405" s="153">
        <v>2034</v>
      </c>
      <c r="B405" s="153">
        <v>8</v>
      </c>
      <c r="C405" s="153" t="str">
        <f t="shared" si="40"/>
        <v>20348</v>
      </c>
      <c r="D405" s="153" t="str">
        <f t="shared" si="41"/>
        <v>Q3</v>
      </c>
      <c r="E405" s="153">
        <f t="shared" si="39"/>
        <v>220588.57</v>
      </c>
      <c r="F405" s="153">
        <f t="shared" si="39"/>
        <v>68112.672404732177</v>
      </c>
      <c r="G405" s="153">
        <f t="shared" si="39"/>
        <v>5087.4409999999998</v>
      </c>
      <c r="H405" s="153" t="e">
        <f t="shared" si="39"/>
        <v>#N/A</v>
      </c>
      <c r="L405" s="177"/>
    </row>
    <row r="406" spans="1:12" x14ac:dyDescent="0.2">
      <c r="A406" s="153">
        <v>2034</v>
      </c>
      <c r="B406" s="153">
        <v>9</v>
      </c>
      <c r="C406" s="153" t="str">
        <f t="shared" si="40"/>
        <v>20349</v>
      </c>
      <c r="D406" s="153" t="str">
        <f t="shared" si="41"/>
        <v>Q3</v>
      </c>
      <c r="E406" s="153">
        <f t="shared" si="39"/>
        <v>220588.57</v>
      </c>
      <c r="F406" s="153">
        <f t="shared" si="39"/>
        <v>68112.672404732177</v>
      </c>
      <c r="G406" s="153">
        <f t="shared" si="39"/>
        <v>5087.4409999999998</v>
      </c>
      <c r="H406" s="153" t="e">
        <f t="shared" si="39"/>
        <v>#N/A</v>
      </c>
      <c r="L406" s="177"/>
    </row>
    <row r="407" spans="1:12" x14ac:dyDescent="0.2">
      <c r="A407" s="153">
        <v>2034</v>
      </c>
      <c r="B407" s="153">
        <v>10</v>
      </c>
      <c r="C407" s="153" t="str">
        <f t="shared" si="40"/>
        <v>203410</v>
      </c>
      <c r="D407" s="153" t="str">
        <f t="shared" si="41"/>
        <v>Q4</v>
      </c>
      <c r="E407" s="153">
        <f t="shared" si="39"/>
        <v>221480.42499999999</v>
      </c>
      <c r="F407" s="153">
        <f t="shared" si="39"/>
        <v>68426.110254572006</v>
      </c>
      <c r="G407" s="153">
        <f t="shared" si="39"/>
        <v>5094.2359999999999</v>
      </c>
      <c r="H407" s="153" t="e">
        <f t="shared" si="39"/>
        <v>#N/A</v>
      </c>
      <c r="L407" s="177"/>
    </row>
    <row r="408" spans="1:12" x14ac:dyDescent="0.2">
      <c r="A408" s="153">
        <v>2034</v>
      </c>
      <c r="B408" s="153">
        <v>11</v>
      </c>
      <c r="C408" s="153" t="str">
        <f t="shared" si="40"/>
        <v>203411</v>
      </c>
      <c r="D408" s="153" t="str">
        <f t="shared" si="41"/>
        <v>Q4</v>
      </c>
      <c r="E408" s="153">
        <f t="shared" si="39"/>
        <v>221480.42499999999</v>
      </c>
      <c r="F408" s="153">
        <f t="shared" si="39"/>
        <v>68426.110254572006</v>
      </c>
      <c r="G408" s="153">
        <f t="shared" si="39"/>
        <v>5094.2359999999999</v>
      </c>
      <c r="H408" s="153" t="e">
        <f t="shared" si="39"/>
        <v>#N/A</v>
      </c>
      <c r="L408" s="177"/>
    </row>
    <row r="409" spans="1:12" x14ac:dyDescent="0.2">
      <c r="A409" s="153">
        <v>2034</v>
      </c>
      <c r="B409" s="153">
        <v>12</v>
      </c>
      <c r="C409" s="153" t="str">
        <f t="shared" si="40"/>
        <v>203412</v>
      </c>
      <c r="D409" s="153" t="str">
        <f t="shared" si="41"/>
        <v>Q4</v>
      </c>
      <c r="E409" s="153">
        <f t="shared" si="39"/>
        <v>221480.42499999999</v>
      </c>
      <c r="F409" s="153">
        <f t="shared" si="39"/>
        <v>68426.110254572006</v>
      </c>
      <c r="G409" s="153">
        <f t="shared" si="39"/>
        <v>5094.2359999999999</v>
      </c>
      <c r="H409" s="153" t="e">
        <f t="shared" si="39"/>
        <v>#N/A</v>
      </c>
      <c r="L409" s="177"/>
    </row>
    <row r="410" spans="1:12" x14ac:dyDescent="0.2">
      <c r="A410" s="153">
        <v>2035</v>
      </c>
      <c r="B410" s="153">
        <v>1</v>
      </c>
      <c r="C410" s="153" t="str">
        <f t="shared" si="40"/>
        <v>20351</v>
      </c>
      <c r="D410" s="153" t="str">
        <f t="shared" si="41"/>
        <v>Q1</v>
      </c>
      <c r="E410" s="153">
        <f t="shared" si="39"/>
        <v>223274.90299999999</v>
      </c>
      <c r="F410" s="153">
        <f t="shared" si="39"/>
        <v>69089.969321900251</v>
      </c>
      <c r="G410" s="153">
        <f t="shared" si="39"/>
        <v>5101.0060000000003</v>
      </c>
      <c r="H410" s="153" t="e">
        <f t="shared" si="39"/>
        <v>#N/A</v>
      </c>
      <c r="L410" s="177"/>
    </row>
    <row r="411" spans="1:12" x14ac:dyDescent="0.2">
      <c r="A411" s="153">
        <v>2035</v>
      </c>
      <c r="B411" s="153">
        <v>2</v>
      </c>
      <c r="C411" s="153" t="str">
        <f t="shared" si="40"/>
        <v>20352</v>
      </c>
      <c r="D411" s="153" t="str">
        <f t="shared" si="41"/>
        <v>Q1</v>
      </c>
      <c r="E411" s="153">
        <f t="shared" si="39"/>
        <v>223274.90299999999</v>
      </c>
      <c r="F411" s="153">
        <f t="shared" si="39"/>
        <v>69089.969321900251</v>
      </c>
      <c r="G411" s="153">
        <f t="shared" si="39"/>
        <v>5101.0060000000003</v>
      </c>
      <c r="H411" s="153" t="e">
        <f t="shared" si="39"/>
        <v>#N/A</v>
      </c>
      <c r="L411" s="177"/>
    </row>
    <row r="412" spans="1:12" x14ac:dyDescent="0.2">
      <c r="A412" s="153">
        <v>2035</v>
      </c>
      <c r="B412" s="153">
        <v>3</v>
      </c>
      <c r="C412" s="153" t="str">
        <f t="shared" si="40"/>
        <v>20353</v>
      </c>
      <c r="D412" s="153" t="str">
        <f t="shared" si="41"/>
        <v>Q1</v>
      </c>
      <c r="E412" s="153">
        <f t="shared" si="39"/>
        <v>223274.90299999999</v>
      </c>
      <c r="F412" s="153">
        <f t="shared" si="39"/>
        <v>69089.969321900251</v>
      </c>
      <c r="G412" s="153">
        <f t="shared" si="39"/>
        <v>5101.0060000000003</v>
      </c>
      <c r="H412" s="153" t="e">
        <f t="shared" si="39"/>
        <v>#N/A</v>
      </c>
      <c r="L412" s="177"/>
    </row>
    <row r="413" spans="1:12" x14ac:dyDescent="0.2">
      <c r="A413" s="153">
        <v>2035</v>
      </c>
      <c r="B413" s="153">
        <v>4</v>
      </c>
      <c r="C413" s="153" t="str">
        <f t="shared" si="40"/>
        <v>20354</v>
      </c>
      <c r="D413" s="153" t="str">
        <f t="shared" si="41"/>
        <v>Q2</v>
      </c>
      <c r="E413" s="153">
        <f t="shared" si="39"/>
        <v>224274.87700000001</v>
      </c>
      <c r="F413" s="153">
        <f t="shared" si="39"/>
        <v>69470.238709459431</v>
      </c>
      <c r="G413" s="153">
        <f t="shared" si="39"/>
        <v>5107.7510000000002</v>
      </c>
      <c r="H413" s="153" t="e">
        <f t="shared" si="39"/>
        <v>#N/A</v>
      </c>
      <c r="L413" s="177"/>
    </row>
    <row r="414" spans="1:12" x14ac:dyDescent="0.2">
      <c r="A414" s="153">
        <v>2035</v>
      </c>
      <c r="B414" s="153">
        <v>5</v>
      </c>
      <c r="C414" s="153" t="str">
        <f t="shared" si="40"/>
        <v>20355</v>
      </c>
      <c r="D414" s="153" t="str">
        <f t="shared" si="41"/>
        <v>Q2</v>
      </c>
      <c r="E414" s="153">
        <f t="shared" si="39"/>
        <v>224274.87700000001</v>
      </c>
      <c r="F414" s="153">
        <f t="shared" si="39"/>
        <v>69470.238709459431</v>
      </c>
      <c r="G414" s="153">
        <f t="shared" si="39"/>
        <v>5107.7510000000002</v>
      </c>
      <c r="H414" s="153" t="e">
        <f t="shared" si="39"/>
        <v>#N/A</v>
      </c>
      <c r="L414" s="177"/>
    </row>
    <row r="415" spans="1:12" x14ac:dyDescent="0.2">
      <c r="A415" s="153">
        <v>2035</v>
      </c>
      <c r="B415" s="153">
        <v>6</v>
      </c>
      <c r="C415" s="153" t="str">
        <f t="shared" si="40"/>
        <v>20356</v>
      </c>
      <c r="D415" s="153" t="str">
        <f t="shared" si="41"/>
        <v>Q2</v>
      </c>
      <c r="E415" s="153">
        <f t="shared" si="39"/>
        <v>224274.87700000001</v>
      </c>
      <c r="F415" s="153">
        <f t="shared" si="39"/>
        <v>69470.238709459431</v>
      </c>
      <c r="G415" s="153">
        <f t="shared" si="39"/>
        <v>5107.7510000000002</v>
      </c>
      <c r="H415" s="153" t="e">
        <f t="shared" si="39"/>
        <v>#N/A</v>
      </c>
      <c r="L415" s="177"/>
    </row>
    <row r="416" spans="1:12" x14ac:dyDescent="0.2">
      <c r="A416" s="153">
        <v>2035</v>
      </c>
      <c r="B416" s="153">
        <v>7</v>
      </c>
      <c r="C416" s="153" t="str">
        <f t="shared" si="40"/>
        <v>20357</v>
      </c>
      <c r="D416" s="153" t="str">
        <f t="shared" si="41"/>
        <v>Q3</v>
      </c>
      <c r="E416" s="153">
        <f t="shared" si="39"/>
        <v>225199.902</v>
      </c>
      <c r="F416" s="153">
        <f t="shared" si="39"/>
        <v>69817.684773173722</v>
      </c>
      <c r="G416" s="153">
        <f t="shared" si="39"/>
        <v>5114.4719999999998</v>
      </c>
      <c r="H416" s="153" t="e">
        <f t="shared" si="39"/>
        <v>#N/A</v>
      </c>
      <c r="L416" s="177"/>
    </row>
    <row r="417" spans="1:12" x14ac:dyDescent="0.2">
      <c r="A417" s="153">
        <v>2035</v>
      </c>
      <c r="B417" s="153">
        <v>8</v>
      </c>
      <c r="C417" s="153" t="str">
        <f t="shared" si="40"/>
        <v>20358</v>
      </c>
      <c r="D417" s="153" t="str">
        <f t="shared" si="41"/>
        <v>Q3</v>
      </c>
      <c r="E417" s="153">
        <f t="shared" si="39"/>
        <v>225199.902</v>
      </c>
      <c r="F417" s="153">
        <f t="shared" si="39"/>
        <v>69817.684773173722</v>
      </c>
      <c r="G417" s="153">
        <f t="shared" si="39"/>
        <v>5114.4719999999998</v>
      </c>
      <c r="H417" s="153" t="e">
        <f t="shared" si="39"/>
        <v>#N/A</v>
      </c>
      <c r="L417" s="177"/>
    </row>
    <row r="418" spans="1:12" x14ac:dyDescent="0.2">
      <c r="A418" s="153">
        <v>2035</v>
      </c>
      <c r="B418" s="153">
        <v>9</v>
      </c>
      <c r="C418" s="153" t="str">
        <f t="shared" si="40"/>
        <v>20359</v>
      </c>
      <c r="D418" s="153" t="str">
        <f t="shared" si="41"/>
        <v>Q3</v>
      </c>
      <c r="E418" s="153">
        <f t="shared" si="39"/>
        <v>225199.902</v>
      </c>
      <c r="F418" s="153">
        <f t="shared" si="39"/>
        <v>69817.684773173722</v>
      </c>
      <c r="G418" s="153">
        <f t="shared" si="39"/>
        <v>5114.4719999999998</v>
      </c>
      <c r="H418" s="153" t="e">
        <f t="shared" ref="H418" si="42">VLOOKUP($A418&amp;$D418,$N$1:$T$169,MATCH(H$1,$N$1:$T$1,0),0)</f>
        <v>#N/A</v>
      </c>
      <c r="L418" s="177"/>
    </row>
    <row r="419" spans="1:12" x14ac:dyDescent="0.2">
      <c r="A419" s="153">
        <v>2035</v>
      </c>
      <c r="B419" s="153">
        <v>10</v>
      </c>
      <c r="C419" s="153" t="str">
        <f t="shared" si="40"/>
        <v>203510</v>
      </c>
      <c r="D419" s="153" t="str">
        <f t="shared" si="41"/>
        <v>Q4</v>
      </c>
      <c r="E419" s="153">
        <f t="shared" ref="E419:H482" si="43">VLOOKUP($A419&amp;$D419,$N$1:$T$169,MATCH(E$1,$N$1:$T$1,0),0)</f>
        <v>226081.57399999999</v>
      </c>
      <c r="F419" s="153">
        <f t="shared" si="43"/>
        <v>70167.400418664678</v>
      </c>
      <c r="G419" s="153">
        <f t="shared" si="43"/>
        <v>5121.1570000000002</v>
      </c>
      <c r="H419" s="153" t="e">
        <f t="shared" si="43"/>
        <v>#N/A</v>
      </c>
      <c r="L419" s="177"/>
    </row>
    <row r="420" spans="1:12" x14ac:dyDescent="0.2">
      <c r="A420" s="153">
        <v>2035</v>
      </c>
      <c r="B420" s="153">
        <v>11</v>
      </c>
      <c r="C420" s="153" t="str">
        <f t="shared" si="40"/>
        <v>203511</v>
      </c>
      <c r="D420" s="153" t="str">
        <f t="shared" si="41"/>
        <v>Q4</v>
      </c>
      <c r="E420" s="153">
        <f t="shared" si="43"/>
        <v>226081.57399999999</v>
      </c>
      <c r="F420" s="153">
        <f t="shared" si="43"/>
        <v>70167.400418664678</v>
      </c>
      <c r="G420" s="153">
        <f t="shared" si="43"/>
        <v>5121.1570000000002</v>
      </c>
      <c r="H420" s="153" t="e">
        <f t="shared" si="43"/>
        <v>#N/A</v>
      </c>
      <c r="L420" s="177"/>
    </row>
    <row r="421" spans="1:12" x14ac:dyDescent="0.2">
      <c r="A421" s="153">
        <v>2035</v>
      </c>
      <c r="B421" s="153">
        <v>12</v>
      </c>
      <c r="C421" s="153" t="str">
        <f t="shared" si="40"/>
        <v>203512</v>
      </c>
      <c r="D421" s="153" t="str">
        <f t="shared" si="41"/>
        <v>Q4</v>
      </c>
      <c r="E421" s="153">
        <f t="shared" si="43"/>
        <v>226081.57399999999</v>
      </c>
      <c r="F421" s="153">
        <f t="shared" si="43"/>
        <v>70167.400418664678</v>
      </c>
      <c r="G421" s="153">
        <f t="shared" si="43"/>
        <v>5121.1570000000002</v>
      </c>
      <c r="H421" s="153" t="e">
        <f t="shared" si="43"/>
        <v>#N/A</v>
      </c>
      <c r="L421" s="177"/>
    </row>
    <row r="422" spans="1:12" x14ac:dyDescent="0.2">
      <c r="A422" s="153">
        <v>2036</v>
      </c>
      <c r="B422" s="153">
        <v>1</v>
      </c>
      <c r="C422" s="153" t="str">
        <f t="shared" si="40"/>
        <v>20361</v>
      </c>
      <c r="D422" s="153" t="str">
        <f t="shared" si="41"/>
        <v>Q1</v>
      </c>
      <c r="E422" s="153">
        <f t="shared" si="43"/>
        <v>227897.829</v>
      </c>
      <c r="F422" s="153">
        <f t="shared" si="43"/>
        <v>70857.293052576584</v>
      </c>
      <c r="G422" s="153">
        <f t="shared" si="43"/>
        <v>5127.8339999999998</v>
      </c>
      <c r="H422" s="153" t="e">
        <f t="shared" si="43"/>
        <v>#N/A</v>
      </c>
      <c r="L422" s="177"/>
    </row>
    <row r="423" spans="1:12" x14ac:dyDescent="0.2">
      <c r="A423" s="153">
        <v>2036</v>
      </c>
      <c r="B423" s="153">
        <v>2</v>
      </c>
      <c r="C423" s="153" t="str">
        <f t="shared" si="40"/>
        <v>20362</v>
      </c>
      <c r="D423" s="153" t="str">
        <f t="shared" si="41"/>
        <v>Q1</v>
      </c>
      <c r="E423" s="153">
        <f t="shared" si="43"/>
        <v>227897.829</v>
      </c>
      <c r="F423" s="153">
        <f t="shared" si="43"/>
        <v>70857.293052576584</v>
      </c>
      <c r="G423" s="153">
        <f t="shared" si="43"/>
        <v>5127.8339999999998</v>
      </c>
      <c r="H423" s="153" t="e">
        <f t="shared" si="43"/>
        <v>#N/A</v>
      </c>
      <c r="L423" s="177"/>
    </row>
    <row r="424" spans="1:12" x14ac:dyDescent="0.2">
      <c r="A424" s="153">
        <v>2036</v>
      </c>
      <c r="B424" s="153">
        <v>3</v>
      </c>
      <c r="C424" s="153" t="str">
        <f t="shared" si="40"/>
        <v>20363</v>
      </c>
      <c r="D424" s="153" t="str">
        <f t="shared" si="41"/>
        <v>Q1</v>
      </c>
      <c r="E424" s="153">
        <f t="shared" si="43"/>
        <v>227897.829</v>
      </c>
      <c r="F424" s="153">
        <f t="shared" si="43"/>
        <v>70857.293052576584</v>
      </c>
      <c r="G424" s="153">
        <f t="shared" si="43"/>
        <v>5127.8339999999998</v>
      </c>
      <c r="H424" s="153" t="e">
        <f t="shared" si="43"/>
        <v>#N/A</v>
      </c>
      <c r="L424" s="177"/>
    </row>
    <row r="425" spans="1:12" x14ac:dyDescent="0.2">
      <c r="A425" s="153">
        <v>2036</v>
      </c>
      <c r="B425" s="153">
        <v>4</v>
      </c>
      <c r="C425" s="153" t="str">
        <f t="shared" si="40"/>
        <v>20364</v>
      </c>
      <c r="D425" s="153" t="str">
        <f t="shared" si="41"/>
        <v>Q2</v>
      </c>
      <c r="E425" s="153">
        <f t="shared" si="43"/>
        <v>228888.74400000001</v>
      </c>
      <c r="F425" s="153">
        <f t="shared" si="43"/>
        <v>71135.634899548866</v>
      </c>
      <c r="G425" s="153">
        <f t="shared" si="43"/>
        <v>5134.5159999999996</v>
      </c>
      <c r="H425" s="153" t="e">
        <f t="shared" si="43"/>
        <v>#N/A</v>
      </c>
      <c r="L425" s="177"/>
    </row>
    <row r="426" spans="1:12" x14ac:dyDescent="0.2">
      <c r="A426" s="153">
        <v>2036</v>
      </c>
      <c r="B426" s="153">
        <v>5</v>
      </c>
      <c r="C426" s="153" t="str">
        <f t="shared" si="40"/>
        <v>20365</v>
      </c>
      <c r="D426" s="153" t="str">
        <f t="shared" si="41"/>
        <v>Q2</v>
      </c>
      <c r="E426" s="153">
        <f t="shared" si="43"/>
        <v>228888.74400000001</v>
      </c>
      <c r="F426" s="153">
        <f t="shared" si="43"/>
        <v>71135.634899548866</v>
      </c>
      <c r="G426" s="153">
        <f t="shared" si="43"/>
        <v>5134.5159999999996</v>
      </c>
      <c r="H426" s="153" t="e">
        <f t="shared" si="43"/>
        <v>#N/A</v>
      </c>
      <c r="L426" s="177"/>
    </row>
    <row r="427" spans="1:12" x14ac:dyDescent="0.2">
      <c r="A427" s="153">
        <v>2036</v>
      </c>
      <c r="B427" s="153">
        <v>6</v>
      </c>
      <c r="C427" s="153" t="str">
        <f t="shared" si="40"/>
        <v>20366</v>
      </c>
      <c r="D427" s="153" t="str">
        <f t="shared" si="41"/>
        <v>Q2</v>
      </c>
      <c r="E427" s="153">
        <f t="shared" si="43"/>
        <v>228888.74400000001</v>
      </c>
      <c r="F427" s="153">
        <f t="shared" si="43"/>
        <v>71135.634899548866</v>
      </c>
      <c r="G427" s="153">
        <f t="shared" si="43"/>
        <v>5134.5159999999996</v>
      </c>
      <c r="H427" s="153" t="e">
        <f t="shared" si="43"/>
        <v>#N/A</v>
      </c>
      <c r="L427" s="177"/>
    </row>
    <row r="428" spans="1:12" x14ac:dyDescent="0.2">
      <c r="A428" s="153">
        <v>2036</v>
      </c>
      <c r="B428" s="153">
        <v>7</v>
      </c>
      <c r="C428" s="153" t="str">
        <f t="shared" si="40"/>
        <v>20367</v>
      </c>
      <c r="D428" s="153" t="str">
        <f t="shared" si="41"/>
        <v>Q3</v>
      </c>
      <c r="E428" s="153">
        <f t="shared" si="43"/>
        <v>229812.7</v>
      </c>
      <c r="F428" s="153">
        <f t="shared" si="43"/>
        <v>71458.151592626236</v>
      </c>
      <c r="G428" s="153">
        <f t="shared" si="43"/>
        <v>5141.1930000000002</v>
      </c>
      <c r="H428" s="153" t="e">
        <f t="shared" si="43"/>
        <v>#N/A</v>
      </c>
      <c r="L428" s="177"/>
    </row>
    <row r="429" spans="1:12" x14ac:dyDescent="0.2">
      <c r="A429" s="153">
        <v>2036</v>
      </c>
      <c r="B429" s="153">
        <v>8</v>
      </c>
      <c r="C429" s="153" t="str">
        <f t="shared" si="40"/>
        <v>20368</v>
      </c>
      <c r="D429" s="153" t="str">
        <f t="shared" si="41"/>
        <v>Q3</v>
      </c>
      <c r="E429" s="153">
        <f t="shared" si="43"/>
        <v>229812.7</v>
      </c>
      <c r="F429" s="153">
        <f t="shared" si="43"/>
        <v>71458.151592626236</v>
      </c>
      <c r="G429" s="153">
        <f t="shared" si="43"/>
        <v>5141.1930000000002</v>
      </c>
      <c r="H429" s="153" t="e">
        <f t="shared" si="43"/>
        <v>#N/A</v>
      </c>
      <c r="L429" s="177"/>
    </row>
    <row r="430" spans="1:12" x14ac:dyDescent="0.2">
      <c r="A430" s="153">
        <v>2036</v>
      </c>
      <c r="B430" s="153">
        <v>9</v>
      </c>
      <c r="C430" s="153" t="str">
        <f t="shared" si="40"/>
        <v>20369</v>
      </c>
      <c r="D430" s="153" t="str">
        <f t="shared" si="41"/>
        <v>Q3</v>
      </c>
      <c r="E430" s="153">
        <f t="shared" si="43"/>
        <v>229812.7</v>
      </c>
      <c r="F430" s="153">
        <f t="shared" si="43"/>
        <v>71458.151592626236</v>
      </c>
      <c r="G430" s="153">
        <f t="shared" si="43"/>
        <v>5141.1930000000002</v>
      </c>
      <c r="H430" s="153" t="e">
        <f t="shared" si="43"/>
        <v>#N/A</v>
      </c>
      <c r="L430" s="177"/>
    </row>
    <row r="431" spans="1:12" x14ac:dyDescent="0.2">
      <c r="A431" s="153">
        <v>2036</v>
      </c>
      <c r="B431" s="153">
        <v>10</v>
      </c>
      <c r="C431" s="153" t="str">
        <f t="shared" si="40"/>
        <v>203610</v>
      </c>
      <c r="D431" s="153" t="str">
        <f t="shared" si="41"/>
        <v>Q4</v>
      </c>
      <c r="E431" s="153">
        <f t="shared" si="43"/>
        <v>230688.69399999999</v>
      </c>
      <c r="F431" s="153">
        <f t="shared" si="43"/>
        <v>71824.680357699355</v>
      </c>
      <c r="G431" s="153">
        <f t="shared" si="43"/>
        <v>5147.8509999999997</v>
      </c>
      <c r="H431" s="153" t="e">
        <f t="shared" si="43"/>
        <v>#N/A</v>
      </c>
      <c r="L431" s="177"/>
    </row>
    <row r="432" spans="1:12" x14ac:dyDescent="0.2">
      <c r="A432" s="153">
        <v>2036</v>
      </c>
      <c r="B432" s="153">
        <v>11</v>
      </c>
      <c r="C432" s="153" t="str">
        <f t="shared" si="40"/>
        <v>203611</v>
      </c>
      <c r="D432" s="153" t="str">
        <f t="shared" si="41"/>
        <v>Q4</v>
      </c>
      <c r="E432" s="153">
        <f t="shared" si="43"/>
        <v>230688.69399999999</v>
      </c>
      <c r="F432" s="153">
        <f t="shared" si="43"/>
        <v>71824.680357699355</v>
      </c>
      <c r="G432" s="153">
        <f t="shared" si="43"/>
        <v>5147.8509999999997</v>
      </c>
      <c r="H432" s="153" t="e">
        <f t="shared" si="43"/>
        <v>#N/A</v>
      </c>
      <c r="L432" s="177"/>
    </row>
    <row r="433" spans="1:12" x14ac:dyDescent="0.2">
      <c r="A433" s="153">
        <v>2036</v>
      </c>
      <c r="B433" s="153">
        <v>12</v>
      </c>
      <c r="C433" s="153" t="str">
        <f t="shared" si="40"/>
        <v>203612</v>
      </c>
      <c r="D433" s="153" t="str">
        <f t="shared" si="41"/>
        <v>Q4</v>
      </c>
      <c r="E433" s="153">
        <f t="shared" si="43"/>
        <v>230688.69399999999</v>
      </c>
      <c r="F433" s="153">
        <f t="shared" si="43"/>
        <v>71824.680357699355</v>
      </c>
      <c r="G433" s="153">
        <f t="shared" si="43"/>
        <v>5147.8509999999997</v>
      </c>
      <c r="H433" s="153" t="e">
        <f t="shared" si="43"/>
        <v>#N/A</v>
      </c>
      <c r="L433" s="177"/>
    </row>
    <row r="434" spans="1:12" x14ac:dyDescent="0.2">
      <c r="A434" s="153">
        <v>2037</v>
      </c>
      <c r="B434" s="153">
        <v>1</v>
      </c>
      <c r="C434" s="153" t="str">
        <f t="shared" si="40"/>
        <v>20371</v>
      </c>
      <c r="D434" s="153" t="str">
        <f t="shared" si="41"/>
        <v>Q1</v>
      </c>
      <c r="E434" s="153">
        <f t="shared" si="43"/>
        <v>232435.19899999999</v>
      </c>
      <c r="F434" s="153">
        <f t="shared" si="43"/>
        <v>72447.763150773302</v>
      </c>
      <c r="G434" s="153">
        <f t="shared" si="43"/>
        <v>5154.5029999999997</v>
      </c>
      <c r="H434" s="153" t="e">
        <f t="shared" si="43"/>
        <v>#N/A</v>
      </c>
      <c r="L434" s="177"/>
    </row>
    <row r="435" spans="1:12" x14ac:dyDescent="0.2">
      <c r="A435" s="153">
        <v>2037</v>
      </c>
      <c r="B435" s="153">
        <v>2</v>
      </c>
      <c r="C435" s="153" t="str">
        <f t="shared" si="40"/>
        <v>20372</v>
      </c>
      <c r="D435" s="153" t="str">
        <f t="shared" si="41"/>
        <v>Q1</v>
      </c>
      <c r="E435" s="153">
        <f t="shared" si="43"/>
        <v>232435.19899999999</v>
      </c>
      <c r="F435" s="153">
        <f t="shared" si="43"/>
        <v>72447.763150773302</v>
      </c>
      <c r="G435" s="153">
        <f t="shared" si="43"/>
        <v>5154.5029999999997</v>
      </c>
      <c r="H435" s="153" t="e">
        <f t="shared" si="43"/>
        <v>#N/A</v>
      </c>
      <c r="L435" s="177"/>
    </row>
    <row r="436" spans="1:12" x14ac:dyDescent="0.2">
      <c r="A436" s="153">
        <v>2037</v>
      </c>
      <c r="B436" s="153">
        <v>3</v>
      </c>
      <c r="C436" s="153" t="str">
        <f t="shared" si="40"/>
        <v>20373</v>
      </c>
      <c r="D436" s="153" t="str">
        <f t="shared" si="41"/>
        <v>Q1</v>
      </c>
      <c r="E436" s="153">
        <f t="shared" si="43"/>
        <v>232435.19899999999</v>
      </c>
      <c r="F436" s="153">
        <f t="shared" si="43"/>
        <v>72447.763150773302</v>
      </c>
      <c r="G436" s="153">
        <f t="shared" si="43"/>
        <v>5154.5029999999997</v>
      </c>
      <c r="H436" s="153" t="e">
        <f t="shared" si="43"/>
        <v>#N/A</v>
      </c>
      <c r="L436" s="177"/>
    </row>
    <row r="437" spans="1:12" x14ac:dyDescent="0.2">
      <c r="A437" s="153">
        <v>2037</v>
      </c>
      <c r="B437" s="153">
        <v>4</v>
      </c>
      <c r="C437" s="153" t="str">
        <f t="shared" si="40"/>
        <v>20374</v>
      </c>
      <c r="D437" s="153" t="str">
        <f t="shared" si="41"/>
        <v>Q2</v>
      </c>
      <c r="E437" s="153">
        <f t="shared" si="43"/>
        <v>233443.413</v>
      </c>
      <c r="F437" s="153">
        <f t="shared" si="43"/>
        <v>72741.245498345263</v>
      </c>
      <c r="G437" s="153">
        <f t="shared" si="43"/>
        <v>5161.152</v>
      </c>
      <c r="H437" s="153" t="e">
        <f t="shared" si="43"/>
        <v>#N/A</v>
      </c>
      <c r="L437" s="177"/>
    </row>
    <row r="438" spans="1:12" x14ac:dyDescent="0.2">
      <c r="A438" s="153">
        <v>2037</v>
      </c>
      <c r="B438" s="153">
        <v>5</v>
      </c>
      <c r="C438" s="153" t="str">
        <f t="shared" si="40"/>
        <v>20375</v>
      </c>
      <c r="D438" s="153" t="str">
        <f t="shared" si="41"/>
        <v>Q2</v>
      </c>
      <c r="E438" s="153">
        <f t="shared" si="43"/>
        <v>233443.413</v>
      </c>
      <c r="F438" s="153">
        <f t="shared" si="43"/>
        <v>72741.245498345263</v>
      </c>
      <c r="G438" s="153">
        <f t="shared" si="43"/>
        <v>5161.152</v>
      </c>
      <c r="H438" s="153" t="e">
        <f t="shared" si="43"/>
        <v>#N/A</v>
      </c>
      <c r="L438" s="177"/>
    </row>
    <row r="439" spans="1:12" x14ac:dyDescent="0.2">
      <c r="A439" s="153">
        <v>2037</v>
      </c>
      <c r="B439" s="153">
        <v>6</v>
      </c>
      <c r="C439" s="153" t="str">
        <f t="shared" si="40"/>
        <v>20376</v>
      </c>
      <c r="D439" s="153" t="str">
        <f t="shared" si="41"/>
        <v>Q2</v>
      </c>
      <c r="E439" s="153">
        <f t="shared" si="43"/>
        <v>233443.413</v>
      </c>
      <c r="F439" s="153">
        <f t="shared" si="43"/>
        <v>72741.245498345263</v>
      </c>
      <c r="G439" s="153">
        <f t="shared" si="43"/>
        <v>5161.152</v>
      </c>
      <c r="H439" s="153" t="e">
        <f t="shared" si="43"/>
        <v>#N/A</v>
      </c>
      <c r="L439" s="177"/>
    </row>
    <row r="440" spans="1:12" x14ac:dyDescent="0.2">
      <c r="A440" s="153">
        <v>2037</v>
      </c>
      <c r="B440" s="153">
        <v>7</v>
      </c>
      <c r="C440" s="153" t="str">
        <f t="shared" si="40"/>
        <v>20377</v>
      </c>
      <c r="D440" s="153" t="str">
        <f t="shared" si="41"/>
        <v>Q3</v>
      </c>
      <c r="E440" s="153">
        <f t="shared" si="43"/>
        <v>234353.842</v>
      </c>
      <c r="F440" s="153">
        <f t="shared" si="43"/>
        <v>73102.722593319864</v>
      </c>
      <c r="G440" s="153">
        <f t="shared" si="43"/>
        <v>5167.8109999999997</v>
      </c>
      <c r="H440" s="153" t="e">
        <f t="shared" si="43"/>
        <v>#N/A</v>
      </c>
      <c r="L440" s="177"/>
    </row>
    <row r="441" spans="1:12" x14ac:dyDescent="0.2">
      <c r="A441" s="153">
        <v>2037</v>
      </c>
      <c r="B441" s="153">
        <v>8</v>
      </c>
      <c r="C441" s="153" t="str">
        <f t="shared" si="40"/>
        <v>20378</v>
      </c>
      <c r="D441" s="153" t="str">
        <f t="shared" si="41"/>
        <v>Q3</v>
      </c>
      <c r="E441" s="153">
        <f t="shared" si="43"/>
        <v>234353.842</v>
      </c>
      <c r="F441" s="153">
        <f t="shared" si="43"/>
        <v>73102.722593319864</v>
      </c>
      <c r="G441" s="153">
        <f t="shared" si="43"/>
        <v>5167.8109999999997</v>
      </c>
      <c r="H441" s="153" t="e">
        <f t="shared" si="43"/>
        <v>#N/A</v>
      </c>
      <c r="L441" s="177"/>
    </row>
    <row r="442" spans="1:12" x14ac:dyDescent="0.2">
      <c r="A442" s="153">
        <v>2037</v>
      </c>
      <c r="B442" s="153">
        <v>9</v>
      </c>
      <c r="C442" s="153" t="str">
        <f t="shared" si="40"/>
        <v>20379</v>
      </c>
      <c r="D442" s="153" t="str">
        <f t="shared" si="41"/>
        <v>Q3</v>
      </c>
      <c r="E442" s="153">
        <f t="shared" si="43"/>
        <v>234353.842</v>
      </c>
      <c r="F442" s="153">
        <f t="shared" si="43"/>
        <v>73102.722593319864</v>
      </c>
      <c r="G442" s="153">
        <f t="shared" si="43"/>
        <v>5167.8109999999997</v>
      </c>
      <c r="H442" s="153" t="e">
        <f t="shared" si="43"/>
        <v>#N/A</v>
      </c>
      <c r="L442" s="177"/>
    </row>
    <row r="443" spans="1:12" x14ac:dyDescent="0.2">
      <c r="A443" s="153">
        <v>2037</v>
      </c>
      <c r="B443" s="153">
        <v>10</v>
      </c>
      <c r="C443" s="153" t="str">
        <f t="shared" si="40"/>
        <v>203710</v>
      </c>
      <c r="D443" s="153" t="str">
        <f t="shared" si="41"/>
        <v>Q4</v>
      </c>
      <c r="E443" s="153">
        <f t="shared" si="43"/>
        <v>235229.45199999999</v>
      </c>
      <c r="F443" s="153">
        <f t="shared" si="43"/>
        <v>73402.360419798119</v>
      </c>
      <c r="G443" s="153">
        <f t="shared" si="43"/>
        <v>5174.4539999999997</v>
      </c>
      <c r="H443" s="153" t="e">
        <f t="shared" si="43"/>
        <v>#N/A</v>
      </c>
      <c r="L443" s="177"/>
    </row>
    <row r="444" spans="1:12" x14ac:dyDescent="0.2">
      <c r="A444" s="153">
        <v>2037</v>
      </c>
      <c r="B444" s="153">
        <v>11</v>
      </c>
      <c r="C444" s="153" t="str">
        <f t="shared" si="40"/>
        <v>203711</v>
      </c>
      <c r="D444" s="153" t="str">
        <f t="shared" si="41"/>
        <v>Q4</v>
      </c>
      <c r="E444" s="153">
        <f t="shared" si="43"/>
        <v>235229.45199999999</v>
      </c>
      <c r="F444" s="153">
        <f t="shared" si="43"/>
        <v>73402.360419798119</v>
      </c>
      <c r="G444" s="153">
        <f t="shared" si="43"/>
        <v>5174.4539999999997</v>
      </c>
      <c r="H444" s="153" t="e">
        <f t="shared" si="43"/>
        <v>#N/A</v>
      </c>
      <c r="L444" s="177"/>
    </row>
    <row r="445" spans="1:12" x14ac:dyDescent="0.2">
      <c r="A445" s="153">
        <v>2037</v>
      </c>
      <c r="B445" s="153">
        <v>12</v>
      </c>
      <c r="C445" s="153" t="str">
        <f t="shared" si="40"/>
        <v>203712</v>
      </c>
      <c r="D445" s="153" t="str">
        <f t="shared" si="41"/>
        <v>Q4</v>
      </c>
      <c r="E445" s="153">
        <f t="shared" si="43"/>
        <v>235229.45199999999</v>
      </c>
      <c r="F445" s="153">
        <f t="shared" si="43"/>
        <v>73402.360419798119</v>
      </c>
      <c r="G445" s="153">
        <f t="shared" si="43"/>
        <v>5174.4539999999997</v>
      </c>
      <c r="H445" s="153" t="e">
        <f t="shared" si="43"/>
        <v>#N/A</v>
      </c>
      <c r="L445" s="177"/>
    </row>
    <row r="446" spans="1:12" x14ac:dyDescent="0.2">
      <c r="A446" s="153">
        <v>2038</v>
      </c>
      <c r="B446" s="153">
        <v>1</v>
      </c>
      <c r="C446" s="153" t="str">
        <f t="shared" si="40"/>
        <v>20381</v>
      </c>
      <c r="D446" s="153" t="str">
        <f t="shared" si="41"/>
        <v>Q1</v>
      </c>
      <c r="E446" s="153">
        <f t="shared" si="43"/>
        <v>237001.329</v>
      </c>
      <c r="F446" s="153">
        <f t="shared" si="43"/>
        <v>74168.296997856392</v>
      </c>
      <c r="G446" s="153">
        <f t="shared" si="43"/>
        <v>5181.1000000000004</v>
      </c>
      <c r="H446" s="153" t="e">
        <f t="shared" si="43"/>
        <v>#N/A</v>
      </c>
      <c r="L446" s="177"/>
    </row>
    <row r="447" spans="1:12" x14ac:dyDescent="0.2">
      <c r="A447" s="153">
        <v>2038</v>
      </c>
      <c r="B447" s="153">
        <v>2</v>
      </c>
      <c r="C447" s="153" t="str">
        <f t="shared" si="40"/>
        <v>20382</v>
      </c>
      <c r="D447" s="153" t="str">
        <f t="shared" si="41"/>
        <v>Q1</v>
      </c>
      <c r="E447" s="153">
        <f t="shared" si="43"/>
        <v>237001.329</v>
      </c>
      <c r="F447" s="153">
        <f t="shared" si="43"/>
        <v>74168.296997856392</v>
      </c>
      <c r="G447" s="153">
        <f t="shared" si="43"/>
        <v>5181.1000000000004</v>
      </c>
      <c r="H447" s="153" t="e">
        <f t="shared" si="43"/>
        <v>#N/A</v>
      </c>
      <c r="L447" s="177"/>
    </row>
    <row r="448" spans="1:12" x14ac:dyDescent="0.2">
      <c r="A448" s="153">
        <v>2038</v>
      </c>
      <c r="B448" s="153">
        <v>3</v>
      </c>
      <c r="C448" s="153" t="str">
        <f t="shared" si="40"/>
        <v>20383</v>
      </c>
      <c r="D448" s="153" t="str">
        <f t="shared" si="41"/>
        <v>Q1</v>
      </c>
      <c r="E448" s="153">
        <f t="shared" si="43"/>
        <v>237001.329</v>
      </c>
      <c r="F448" s="153">
        <f t="shared" si="43"/>
        <v>74168.296997856392</v>
      </c>
      <c r="G448" s="153">
        <f t="shared" si="43"/>
        <v>5181.1000000000004</v>
      </c>
      <c r="H448" s="153" t="e">
        <f t="shared" si="43"/>
        <v>#N/A</v>
      </c>
      <c r="L448" s="177"/>
    </row>
    <row r="449" spans="1:17" x14ac:dyDescent="0.2">
      <c r="A449" s="153">
        <v>2038</v>
      </c>
      <c r="B449" s="153">
        <v>4</v>
      </c>
      <c r="C449" s="153" t="str">
        <f t="shared" si="40"/>
        <v>20384</v>
      </c>
      <c r="D449" s="153" t="str">
        <f t="shared" si="41"/>
        <v>Q2</v>
      </c>
      <c r="E449" s="153">
        <f t="shared" si="43"/>
        <v>237918.01</v>
      </c>
      <c r="F449" s="153">
        <f t="shared" si="43"/>
        <v>74450.486243109015</v>
      </c>
      <c r="G449" s="153">
        <f t="shared" si="43"/>
        <v>5187.7489999999998</v>
      </c>
      <c r="H449" s="153" t="e">
        <f t="shared" si="43"/>
        <v>#N/A</v>
      </c>
      <c r="L449" s="177"/>
    </row>
    <row r="450" spans="1:17" x14ac:dyDescent="0.2">
      <c r="A450" s="153">
        <v>2038</v>
      </c>
      <c r="B450" s="153">
        <v>5</v>
      </c>
      <c r="C450" s="153" t="str">
        <f t="shared" si="40"/>
        <v>20385</v>
      </c>
      <c r="D450" s="153" t="str">
        <f t="shared" si="41"/>
        <v>Q2</v>
      </c>
      <c r="E450" s="153">
        <f t="shared" si="43"/>
        <v>237918.01</v>
      </c>
      <c r="F450" s="153">
        <f t="shared" si="43"/>
        <v>74450.486243109015</v>
      </c>
      <c r="G450" s="153">
        <f t="shared" si="43"/>
        <v>5187.7489999999998</v>
      </c>
      <c r="H450" s="153" t="e">
        <f t="shared" si="43"/>
        <v>#N/A</v>
      </c>
      <c r="L450" s="177"/>
    </row>
    <row r="451" spans="1:17" x14ac:dyDescent="0.2">
      <c r="A451" s="153">
        <v>2038</v>
      </c>
      <c r="B451" s="153">
        <v>6</v>
      </c>
      <c r="C451" s="153" t="str">
        <f t="shared" ref="C451:C505" si="44">A451&amp;B451</f>
        <v>20386</v>
      </c>
      <c r="D451" s="153" t="str">
        <f t="shared" si="41"/>
        <v>Q2</v>
      </c>
      <c r="E451" s="153">
        <f t="shared" si="43"/>
        <v>237918.01</v>
      </c>
      <c r="F451" s="153">
        <f t="shared" si="43"/>
        <v>74450.486243109015</v>
      </c>
      <c r="G451" s="153">
        <f t="shared" si="43"/>
        <v>5187.7489999999998</v>
      </c>
      <c r="H451" s="153" t="e">
        <f t="shared" si="43"/>
        <v>#N/A</v>
      </c>
      <c r="L451" s="177"/>
    </row>
    <row r="452" spans="1:17" x14ac:dyDescent="0.2">
      <c r="A452" s="153">
        <v>2038</v>
      </c>
      <c r="B452" s="153">
        <v>7</v>
      </c>
      <c r="C452" s="153" t="str">
        <f t="shared" si="44"/>
        <v>20387</v>
      </c>
      <c r="D452" s="153" t="str">
        <f t="shared" si="41"/>
        <v>Q3</v>
      </c>
      <c r="E452" s="153">
        <f t="shared" si="43"/>
        <v>238774.076</v>
      </c>
      <c r="F452" s="153">
        <f t="shared" si="43"/>
        <v>74816.632055130074</v>
      </c>
      <c r="G452" s="153">
        <f t="shared" si="43"/>
        <v>5194.402</v>
      </c>
      <c r="H452" s="153" t="e">
        <f t="shared" si="43"/>
        <v>#N/A</v>
      </c>
      <c r="L452" s="177"/>
    </row>
    <row r="453" spans="1:17" x14ac:dyDescent="0.2">
      <c r="A453" s="153">
        <v>2038</v>
      </c>
      <c r="B453" s="153">
        <v>8</v>
      </c>
      <c r="C453" s="153" t="str">
        <f t="shared" si="44"/>
        <v>20388</v>
      </c>
      <c r="D453" s="153" t="str">
        <f t="shared" si="41"/>
        <v>Q3</v>
      </c>
      <c r="E453" s="153">
        <f t="shared" si="43"/>
        <v>238774.076</v>
      </c>
      <c r="F453" s="153">
        <f t="shared" si="43"/>
        <v>74816.632055130074</v>
      </c>
      <c r="G453" s="153">
        <f t="shared" si="43"/>
        <v>5194.402</v>
      </c>
      <c r="H453" s="153" t="e">
        <f t="shared" si="43"/>
        <v>#N/A</v>
      </c>
      <c r="L453" s="177"/>
    </row>
    <row r="454" spans="1:17" x14ac:dyDescent="0.2">
      <c r="A454" s="153">
        <v>2038</v>
      </c>
      <c r="B454" s="153">
        <v>9</v>
      </c>
      <c r="C454" s="153" t="str">
        <f t="shared" si="44"/>
        <v>20389</v>
      </c>
      <c r="D454" s="153" t="str">
        <f t="shared" si="41"/>
        <v>Q3</v>
      </c>
      <c r="E454" s="153">
        <f t="shared" si="43"/>
        <v>238774.076</v>
      </c>
      <c r="F454" s="153">
        <f t="shared" si="43"/>
        <v>74816.632055130074</v>
      </c>
      <c r="G454" s="153">
        <f t="shared" si="43"/>
        <v>5194.402</v>
      </c>
      <c r="H454" s="153" t="e">
        <f t="shared" si="43"/>
        <v>#N/A</v>
      </c>
      <c r="L454" s="177"/>
    </row>
    <row r="455" spans="1:17" x14ac:dyDescent="0.2">
      <c r="A455" s="153">
        <v>2038</v>
      </c>
      <c r="B455" s="153">
        <v>10</v>
      </c>
      <c r="C455" s="153" t="str">
        <f t="shared" si="44"/>
        <v>203810</v>
      </c>
      <c r="D455" s="153" t="str">
        <f t="shared" si="41"/>
        <v>Q4</v>
      </c>
      <c r="E455" s="153">
        <f t="shared" si="43"/>
        <v>239533.158</v>
      </c>
      <c r="F455" s="153">
        <f t="shared" si="43"/>
        <v>75064.067244100908</v>
      </c>
      <c r="G455" s="153">
        <f t="shared" si="43"/>
        <v>5201.0860000000002</v>
      </c>
      <c r="H455" s="153" t="e">
        <f t="shared" si="43"/>
        <v>#N/A</v>
      </c>
      <c r="L455" s="177"/>
    </row>
    <row r="456" spans="1:17" x14ac:dyDescent="0.2">
      <c r="A456" s="153">
        <v>2038</v>
      </c>
      <c r="B456" s="153">
        <v>11</v>
      </c>
      <c r="C456" s="153" t="str">
        <f t="shared" si="44"/>
        <v>203811</v>
      </c>
      <c r="D456" s="153" t="str">
        <f t="shared" si="41"/>
        <v>Q4</v>
      </c>
      <c r="E456" s="153">
        <f t="shared" si="43"/>
        <v>239533.158</v>
      </c>
      <c r="F456" s="153">
        <f t="shared" si="43"/>
        <v>75064.067244100908</v>
      </c>
      <c r="G456" s="153">
        <f t="shared" si="43"/>
        <v>5201.0860000000002</v>
      </c>
      <c r="H456" s="153" t="e">
        <f t="shared" si="43"/>
        <v>#N/A</v>
      </c>
      <c r="L456" s="177"/>
    </row>
    <row r="457" spans="1:17" x14ac:dyDescent="0.2">
      <c r="A457" s="153">
        <v>2038</v>
      </c>
      <c r="B457" s="153">
        <v>12</v>
      </c>
      <c r="C457" s="153" t="str">
        <f t="shared" si="44"/>
        <v>203812</v>
      </c>
      <c r="D457" s="153" t="str">
        <f t="shared" si="41"/>
        <v>Q4</v>
      </c>
      <c r="E457" s="153">
        <f t="shared" si="43"/>
        <v>239533.158</v>
      </c>
      <c r="F457" s="153">
        <f t="shared" si="43"/>
        <v>75064.067244100908</v>
      </c>
      <c r="G457" s="153">
        <f t="shared" si="43"/>
        <v>5201.0860000000002</v>
      </c>
      <c r="H457" s="153" t="e">
        <f t="shared" si="43"/>
        <v>#N/A</v>
      </c>
      <c r="L457" s="177"/>
    </row>
    <row r="458" spans="1:17" x14ac:dyDescent="0.2">
      <c r="A458" s="153">
        <v>2039</v>
      </c>
      <c r="B458" s="153">
        <v>1</v>
      </c>
      <c r="C458" s="153" t="str">
        <f t="shared" si="44"/>
        <v>20391</v>
      </c>
      <c r="D458" s="153" t="str">
        <f t="shared" si="41"/>
        <v>Q1</v>
      </c>
      <c r="E458" s="153">
        <f t="shared" si="43"/>
        <v>241255.864</v>
      </c>
      <c r="F458" s="153">
        <f t="shared" si="43"/>
        <v>75840.568404815305</v>
      </c>
      <c r="G458" s="153">
        <f t="shared" si="43"/>
        <v>5207.7619999999997</v>
      </c>
      <c r="H458" s="153" t="e">
        <f t="shared" si="43"/>
        <v>#N/A</v>
      </c>
      <c r="L458" s="177"/>
      <c r="O458" s="161"/>
      <c r="P458" s="161"/>
      <c r="Q458" s="161"/>
    </row>
    <row r="459" spans="1:17" x14ac:dyDescent="0.2">
      <c r="A459" s="153">
        <v>2039</v>
      </c>
      <c r="B459" s="153">
        <v>2</v>
      </c>
      <c r="C459" s="153" t="str">
        <f t="shared" si="44"/>
        <v>20392</v>
      </c>
      <c r="D459" s="153" t="str">
        <f t="shared" si="41"/>
        <v>Q1</v>
      </c>
      <c r="E459" s="153">
        <f t="shared" si="43"/>
        <v>241255.864</v>
      </c>
      <c r="F459" s="153">
        <f t="shared" si="43"/>
        <v>75840.568404815305</v>
      </c>
      <c r="G459" s="153">
        <f t="shared" si="43"/>
        <v>5207.7619999999997</v>
      </c>
      <c r="H459" s="153" t="e">
        <f t="shared" si="43"/>
        <v>#N/A</v>
      </c>
      <c r="L459" s="177"/>
      <c r="O459" s="161"/>
      <c r="P459" s="161"/>
      <c r="Q459" s="161"/>
    </row>
    <row r="460" spans="1:17" x14ac:dyDescent="0.2">
      <c r="A460" s="153">
        <v>2039</v>
      </c>
      <c r="B460" s="153">
        <v>3</v>
      </c>
      <c r="C460" s="153" t="str">
        <f t="shared" si="44"/>
        <v>20393</v>
      </c>
      <c r="D460" s="153" t="str">
        <f t="shared" si="41"/>
        <v>Q1</v>
      </c>
      <c r="E460" s="153">
        <f t="shared" si="43"/>
        <v>241255.864</v>
      </c>
      <c r="F460" s="153">
        <f t="shared" si="43"/>
        <v>75840.568404815305</v>
      </c>
      <c r="G460" s="153">
        <f t="shared" si="43"/>
        <v>5207.7619999999997</v>
      </c>
      <c r="H460" s="153" t="e">
        <f t="shared" si="43"/>
        <v>#N/A</v>
      </c>
      <c r="L460" s="177"/>
      <c r="O460" s="161"/>
      <c r="P460" s="161"/>
      <c r="Q460" s="161"/>
    </row>
    <row r="461" spans="1:17" x14ac:dyDescent="0.2">
      <c r="A461" s="153">
        <v>2039</v>
      </c>
      <c r="B461" s="153">
        <v>4</v>
      </c>
      <c r="C461" s="153" t="str">
        <f t="shared" si="44"/>
        <v>20394</v>
      </c>
      <c r="D461" s="153" t="str">
        <f t="shared" si="41"/>
        <v>Q2</v>
      </c>
      <c r="E461" s="153">
        <f t="shared" si="43"/>
        <v>242089.55</v>
      </c>
      <c r="F461" s="153">
        <f t="shared" si="43"/>
        <v>76141.322355622717</v>
      </c>
      <c r="G461" s="153">
        <f t="shared" si="43"/>
        <v>5214.4319999999998</v>
      </c>
      <c r="H461" s="153" t="e">
        <f t="shared" si="43"/>
        <v>#N/A</v>
      </c>
      <c r="L461" s="177"/>
      <c r="O461" s="161"/>
      <c r="P461" s="161"/>
      <c r="Q461" s="161"/>
    </row>
    <row r="462" spans="1:17" x14ac:dyDescent="0.2">
      <c r="A462" s="153">
        <v>2039</v>
      </c>
      <c r="B462" s="153">
        <v>5</v>
      </c>
      <c r="C462" s="153" t="str">
        <f t="shared" si="44"/>
        <v>20395</v>
      </c>
      <c r="D462" s="153" t="str">
        <f t="shared" si="41"/>
        <v>Q2</v>
      </c>
      <c r="E462" s="153">
        <f t="shared" si="43"/>
        <v>242089.55</v>
      </c>
      <c r="F462" s="153">
        <f t="shared" si="43"/>
        <v>76141.322355622717</v>
      </c>
      <c r="G462" s="153">
        <f t="shared" si="43"/>
        <v>5214.4319999999998</v>
      </c>
      <c r="H462" s="153" t="e">
        <f t="shared" si="43"/>
        <v>#N/A</v>
      </c>
      <c r="L462" s="177"/>
      <c r="O462" s="161"/>
      <c r="P462" s="161"/>
      <c r="Q462" s="161"/>
    </row>
    <row r="463" spans="1:17" x14ac:dyDescent="0.2">
      <c r="A463" s="153">
        <v>2039</v>
      </c>
      <c r="B463" s="153">
        <v>6</v>
      </c>
      <c r="C463" s="153" t="str">
        <f t="shared" si="44"/>
        <v>20396</v>
      </c>
      <c r="D463" s="153" t="str">
        <f t="shared" ref="D463:D505" si="45">D451</f>
        <v>Q2</v>
      </c>
      <c r="E463" s="153">
        <f t="shared" si="43"/>
        <v>242089.55</v>
      </c>
      <c r="F463" s="153">
        <f t="shared" si="43"/>
        <v>76141.322355622717</v>
      </c>
      <c r="G463" s="153">
        <f t="shared" si="43"/>
        <v>5214.4319999999998</v>
      </c>
      <c r="H463" s="153" t="e">
        <f t="shared" si="43"/>
        <v>#N/A</v>
      </c>
      <c r="L463" s="177"/>
      <c r="O463" s="161"/>
      <c r="P463" s="161"/>
      <c r="Q463" s="161"/>
    </row>
    <row r="464" spans="1:17" x14ac:dyDescent="0.2">
      <c r="A464" s="153">
        <v>2039</v>
      </c>
      <c r="B464" s="153">
        <v>7</v>
      </c>
      <c r="C464" s="153" t="str">
        <f t="shared" si="44"/>
        <v>20397</v>
      </c>
      <c r="D464" s="153" t="str">
        <f t="shared" si="45"/>
        <v>Q3</v>
      </c>
      <c r="E464" s="153">
        <f t="shared" si="43"/>
        <v>242952.587</v>
      </c>
      <c r="F464" s="153">
        <f t="shared" si="43"/>
        <v>76492.965770602008</v>
      </c>
      <c r="G464" s="153">
        <f t="shared" si="43"/>
        <v>5221.0969999999998</v>
      </c>
      <c r="H464" s="153" t="e">
        <f t="shared" si="43"/>
        <v>#N/A</v>
      </c>
      <c r="L464" s="177"/>
      <c r="O464" s="161"/>
      <c r="P464" s="161"/>
      <c r="Q464" s="161"/>
    </row>
    <row r="465" spans="1:17" x14ac:dyDescent="0.2">
      <c r="A465" s="153">
        <v>2039</v>
      </c>
      <c r="B465" s="153">
        <v>8</v>
      </c>
      <c r="C465" s="153" t="str">
        <f t="shared" si="44"/>
        <v>20398</v>
      </c>
      <c r="D465" s="153" t="str">
        <f t="shared" si="45"/>
        <v>Q3</v>
      </c>
      <c r="E465" s="153">
        <f t="shared" si="43"/>
        <v>242952.587</v>
      </c>
      <c r="F465" s="153">
        <f t="shared" si="43"/>
        <v>76492.965770602008</v>
      </c>
      <c r="G465" s="153">
        <f t="shared" si="43"/>
        <v>5221.0969999999998</v>
      </c>
      <c r="H465" s="153" t="e">
        <f t="shared" si="43"/>
        <v>#N/A</v>
      </c>
      <c r="L465" s="177"/>
      <c r="O465" s="161"/>
      <c r="P465" s="161"/>
      <c r="Q465" s="161"/>
    </row>
    <row r="466" spans="1:17" x14ac:dyDescent="0.2">
      <c r="A466" s="153">
        <v>2039</v>
      </c>
      <c r="B466" s="153">
        <v>9</v>
      </c>
      <c r="C466" s="153" t="str">
        <f t="shared" si="44"/>
        <v>20399</v>
      </c>
      <c r="D466" s="153" t="str">
        <f t="shared" si="45"/>
        <v>Q3</v>
      </c>
      <c r="E466" s="153">
        <f t="shared" si="43"/>
        <v>242952.587</v>
      </c>
      <c r="F466" s="153">
        <f t="shared" si="43"/>
        <v>76492.965770602008</v>
      </c>
      <c r="G466" s="153">
        <f t="shared" si="43"/>
        <v>5221.0969999999998</v>
      </c>
      <c r="H466" s="153" t="e">
        <f t="shared" si="43"/>
        <v>#N/A</v>
      </c>
      <c r="L466" s="177"/>
      <c r="O466" s="161"/>
      <c r="P466" s="161"/>
      <c r="Q466" s="161"/>
    </row>
    <row r="467" spans="1:17" x14ac:dyDescent="0.2">
      <c r="A467" s="153">
        <v>2039</v>
      </c>
      <c r="B467" s="153">
        <v>10</v>
      </c>
      <c r="C467" s="153" t="str">
        <f t="shared" si="44"/>
        <v>203910</v>
      </c>
      <c r="D467" s="153" t="str">
        <f t="shared" si="45"/>
        <v>Q4</v>
      </c>
      <c r="E467" s="153">
        <f t="shared" si="43"/>
        <v>243706.79399999999</v>
      </c>
      <c r="F467" s="153">
        <f t="shared" si="43"/>
        <v>76695.004703515413</v>
      </c>
      <c r="G467" s="153">
        <f t="shared" si="43"/>
        <v>5227.7560000000003</v>
      </c>
      <c r="H467" s="153" t="e">
        <f t="shared" si="43"/>
        <v>#N/A</v>
      </c>
      <c r="L467" s="177"/>
      <c r="O467" s="161"/>
      <c r="P467" s="161"/>
      <c r="Q467" s="161"/>
    </row>
    <row r="468" spans="1:17" x14ac:dyDescent="0.2">
      <c r="A468" s="153">
        <v>2039</v>
      </c>
      <c r="B468" s="153">
        <v>11</v>
      </c>
      <c r="C468" s="153" t="str">
        <f t="shared" si="44"/>
        <v>203911</v>
      </c>
      <c r="D468" s="153" t="str">
        <f t="shared" si="45"/>
        <v>Q4</v>
      </c>
      <c r="E468" s="153">
        <f t="shared" si="43"/>
        <v>243706.79399999999</v>
      </c>
      <c r="F468" s="153">
        <f t="shared" si="43"/>
        <v>76695.004703515413</v>
      </c>
      <c r="G468" s="153">
        <f t="shared" si="43"/>
        <v>5227.7560000000003</v>
      </c>
      <c r="H468" s="153" t="e">
        <f t="shared" si="43"/>
        <v>#N/A</v>
      </c>
      <c r="L468" s="177"/>
      <c r="O468" s="161"/>
      <c r="P468" s="161"/>
      <c r="Q468" s="161"/>
    </row>
    <row r="469" spans="1:17" x14ac:dyDescent="0.2">
      <c r="A469" s="153">
        <v>2039</v>
      </c>
      <c r="B469" s="153">
        <v>12</v>
      </c>
      <c r="C469" s="153" t="str">
        <f t="shared" si="44"/>
        <v>203912</v>
      </c>
      <c r="D469" s="153" t="str">
        <f t="shared" si="45"/>
        <v>Q4</v>
      </c>
      <c r="E469" s="153">
        <f t="shared" si="43"/>
        <v>243706.79399999999</v>
      </c>
      <c r="F469" s="153">
        <f t="shared" si="43"/>
        <v>76695.004703515413</v>
      </c>
      <c r="G469" s="153">
        <f t="shared" si="43"/>
        <v>5227.7560000000003</v>
      </c>
      <c r="H469" s="153" t="e">
        <f t="shared" si="43"/>
        <v>#N/A</v>
      </c>
      <c r="L469" s="177"/>
      <c r="O469" s="161"/>
      <c r="P469" s="161"/>
      <c r="Q469" s="161"/>
    </row>
    <row r="470" spans="1:17" x14ac:dyDescent="0.2">
      <c r="A470" s="153">
        <v>2040</v>
      </c>
      <c r="B470" s="153">
        <v>1</v>
      </c>
      <c r="C470" s="153" t="str">
        <f t="shared" si="44"/>
        <v>20401</v>
      </c>
      <c r="D470" s="153" t="str">
        <f t="shared" si="45"/>
        <v>Q1</v>
      </c>
      <c r="E470" s="153">
        <f t="shared" si="43"/>
        <v>245424.038</v>
      </c>
      <c r="F470" s="153">
        <f t="shared" si="43"/>
        <v>77513.638711835636</v>
      </c>
      <c r="G470" s="153">
        <f t="shared" si="43"/>
        <v>5234.41</v>
      </c>
      <c r="H470" s="153" t="e">
        <f t="shared" si="43"/>
        <v>#N/A</v>
      </c>
      <c r="L470" s="177"/>
    </row>
    <row r="471" spans="1:17" x14ac:dyDescent="0.2">
      <c r="A471" s="153">
        <v>2040</v>
      </c>
      <c r="B471" s="153">
        <v>2</v>
      </c>
      <c r="C471" s="153" t="str">
        <f t="shared" si="44"/>
        <v>20402</v>
      </c>
      <c r="D471" s="153" t="str">
        <f t="shared" si="45"/>
        <v>Q1</v>
      </c>
      <c r="E471" s="153">
        <f t="shared" si="43"/>
        <v>245424.038</v>
      </c>
      <c r="F471" s="153">
        <f t="shared" si="43"/>
        <v>77513.638711835636</v>
      </c>
      <c r="G471" s="153">
        <f t="shared" si="43"/>
        <v>5234.41</v>
      </c>
      <c r="H471" s="153" t="e">
        <f t="shared" si="43"/>
        <v>#N/A</v>
      </c>
      <c r="L471" s="177"/>
    </row>
    <row r="472" spans="1:17" x14ac:dyDescent="0.2">
      <c r="A472" s="153">
        <v>2040</v>
      </c>
      <c r="B472" s="153">
        <v>3</v>
      </c>
      <c r="C472" s="153" t="str">
        <f t="shared" si="44"/>
        <v>20403</v>
      </c>
      <c r="D472" s="153" t="str">
        <f t="shared" si="45"/>
        <v>Q1</v>
      </c>
      <c r="E472" s="153">
        <f t="shared" si="43"/>
        <v>245424.038</v>
      </c>
      <c r="F472" s="153">
        <f t="shared" si="43"/>
        <v>77513.638711835636</v>
      </c>
      <c r="G472" s="153">
        <f t="shared" si="43"/>
        <v>5234.41</v>
      </c>
      <c r="H472" s="153" t="e">
        <f t="shared" si="43"/>
        <v>#N/A</v>
      </c>
      <c r="L472" s="177"/>
    </row>
    <row r="473" spans="1:17" x14ac:dyDescent="0.2">
      <c r="A473" s="153">
        <v>2040</v>
      </c>
      <c r="B473" s="153">
        <v>4</v>
      </c>
      <c r="C473" s="153" t="str">
        <f t="shared" si="44"/>
        <v>20404</v>
      </c>
      <c r="D473" s="153" t="str">
        <f t="shared" si="45"/>
        <v>Q2</v>
      </c>
      <c r="E473" s="153">
        <f t="shared" si="43"/>
        <v>246375.226</v>
      </c>
      <c r="F473" s="153">
        <f t="shared" si="43"/>
        <v>77841.976074505961</v>
      </c>
      <c r="G473" s="153">
        <f t="shared" si="43"/>
        <v>5241.0609999999997</v>
      </c>
      <c r="H473" s="153" t="e">
        <f t="shared" si="43"/>
        <v>#N/A</v>
      </c>
      <c r="L473" s="177"/>
    </row>
    <row r="474" spans="1:17" x14ac:dyDescent="0.2">
      <c r="A474" s="153">
        <v>2040</v>
      </c>
      <c r="B474" s="153">
        <v>5</v>
      </c>
      <c r="C474" s="153" t="str">
        <f t="shared" si="44"/>
        <v>20405</v>
      </c>
      <c r="D474" s="153" t="str">
        <f t="shared" si="45"/>
        <v>Q2</v>
      </c>
      <c r="E474" s="153">
        <f t="shared" si="43"/>
        <v>246375.226</v>
      </c>
      <c r="F474" s="153">
        <f t="shared" si="43"/>
        <v>77841.976074505961</v>
      </c>
      <c r="G474" s="153">
        <f t="shared" si="43"/>
        <v>5241.0609999999997</v>
      </c>
      <c r="H474" s="153" t="e">
        <f t="shared" si="43"/>
        <v>#N/A</v>
      </c>
      <c r="L474" s="177"/>
    </row>
    <row r="475" spans="1:17" x14ac:dyDescent="0.2">
      <c r="A475" s="153">
        <v>2040</v>
      </c>
      <c r="B475" s="153">
        <v>6</v>
      </c>
      <c r="C475" s="153" t="str">
        <f t="shared" si="44"/>
        <v>20406</v>
      </c>
      <c r="D475" s="153" t="str">
        <f t="shared" si="45"/>
        <v>Q2</v>
      </c>
      <c r="E475" s="153">
        <f t="shared" si="43"/>
        <v>246375.226</v>
      </c>
      <c r="F475" s="153">
        <f t="shared" si="43"/>
        <v>77841.976074505961</v>
      </c>
      <c r="G475" s="153">
        <f t="shared" si="43"/>
        <v>5241.0609999999997</v>
      </c>
      <c r="H475" s="153" t="e">
        <f t="shared" si="43"/>
        <v>#N/A</v>
      </c>
      <c r="L475" s="177"/>
    </row>
    <row r="476" spans="1:17" x14ac:dyDescent="0.2">
      <c r="A476" s="153">
        <v>2040</v>
      </c>
      <c r="B476" s="153">
        <v>7</v>
      </c>
      <c r="C476" s="153" t="str">
        <f t="shared" si="44"/>
        <v>20407</v>
      </c>
      <c r="D476" s="153" t="str">
        <f t="shared" si="45"/>
        <v>Q3</v>
      </c>
      <c r="E476" s="153">
        <f t="shared" si="43"/>
        <v>247249.16699999999</v>
      </c>
      <c r="F476" s="153">
        <f t="shared" si="43"/>
        <v>78204.146715535113</v>
      </c>
      <c r="G476" s="153">
        <f t="shared" si="43"/>
        <v>5247.7089999999998</v>
      </c>
      <c r="H476" s="153" t="e">
        <f t="shared" si="43"/>
        <v>#N/A</v>
      </c>
      <c r="L476" s="177"/>
    </row>
    <row r="477" spans="1:17" x14ac:dyDescent="0.2">
      <c r="A477" s="153">
        <v>2040</v>
      </c>
      <c r="B477" s="153">
        <v>8</v>
      </c>
      <c r="C477" s="153" t="str">
        <f t="shared" si="44"/>
        <v>20408</v>
      </c>
      <c r="D477" s="153" t="str">
        <f t="shared" si="45"/>
        <v>Q3</v>
      </c>
      <c r="E477" s="153">
        <f t="shared" si="43"/>
        <v>247249.16699999999</v>
      </c>
      <c r="F477" s="153">
        <f t="shared" si="43"/>
        <v>78204.146715535113</v>
      </c>
      <c r="G477" s="153">
        <f t="shared" si="43"/>
        <v>5247.7089999999998</v>
      </c>
      <c r="H477" s="153" t="e">
        <f t="shared" si="43"/>
        <v>#N/A</v>
      </c>
      <c r="L477" s="177"/>
    </row>
    <row r="478" spans="1:17" x14ac:dyDescent="0.2">
      <c r="A478" s="153">
        <v>2040</v>
      </c>
      <c r="B478" s="153">
        <v>9</v>
      </c>
      <c r="C478" s="153" t="str">
        <f t="shared" si="44"/>
        <v>20409</v>
      </c>
      <c r="D478" s="153" t="str">
        <f t="shared" si="45"/>
        <v>Q3</v>
      </c>
      <c r="E478" s="153">
        <f t="shared" si="43"/>
        <v>247249.16699999999</v>
      </c>
      <c r="F478" s="153">
        <f t="shared" si="43"/>
        <v>78204.146715535113</v>
      </c>
      <c r="G478" s="153">
        <f t="shared" si="43"/>
        <v>5247.7089999999998</v>
      </c>
      <c r="H478" s="153" t="e">
        <f t="shared" si="43"/>
        <v>#N/A</v>
      </c>
      <c r="L478" s="177"/>
    </row>
    <row r="479" spans="1:17" x14ac:dyDescent="0.2">
      <c r="A479" s="153">
        <v>2040</v>
      </c>
      <c r="B479" s="153">
        <v>10</v>
      </c>
      <c r="C479" s="153" t="str">
        <f t="shared" si="44"/>
        <v>204010</v>
      </c>
      <c r="D479" s="153" t="str">
        <f t="shared" si="45"/>
        <v>Q4</v>
      </c>
      <c r="E479" s="153">
        <f t="shared" si="43"/>
        <v>247944.00599999999</v>
      </c>
      <c r="F479" s="153">
        <f t="shared" si="43"/>
        <v>78353.210632927832</v>
      </c>
      <c r="G479" s="153">
        <f t="shared" si="43"/>
        <v>5254.3540000000003</v>
      </c>
      <c r="H479" s="153" t="e">
        <f t="shared" si="43"/>
        <v>#N/A</v>
      </c>
      <c r="L479" s="177"/>
    </row>
    <row r="480" spans="1:17" x14ac:dyDescent="0.2">
      <c r="A480" s="153">
        <v>2040</v>
      </c>
      <c r="B480" s="153">
        <v>11</v>
      </c>
      <c r="C480" s="153" t="str">
        <f t="shared" si="44"/>
        <v>204011</v>
      </c>
      <c r="D480" s="153" t="str">
        <f t="shared" si="45"/>
        <v>Q4</v>
      </c>
      <c r="E480" s="153">
        <f t="shared" si="43"/>
        <v>247944.00599999999</v>
      </c>
      <c r="F480" s="153">
        <f t="shared" si="43"/>
        <v>78353.210632927832</v>
      </c>
      <c r="G480" s="153">
        <f t="shared" si="43"/>
        <v>5254.3540000000003</v>
      </c>
      <c r="H480" s="153" t="e">
        <f t="shared" si="43"/>
        <v>#N/A</v>
      </c>
      <c r="L480" s="177"/>
    </row>
    <row r="481" spans="1:12" x14ac:dyDescent="0.2">
      <c r="A481" s="153">
        <v>2040</v>
      </c>
      <c r="B481" s="153">
        <v>12</v>
      </c>
      <c r="C481" s="153" t="str">
        <f t="shared" si="44"/>
        <v>204012</v>
      </c>
      <c r="D481" s="153" t="str">
        <f t="shared" si="45"/>
        <v>Q4</v>
      </c>
      <c r="E481" s="153">
        <f t="shared" si="43"/>
        <v>247944.00599999999</v>
      </c>
      <c r="F481" s="153">
        <f t="shared" si="43"/>
        <v>78353.210632927832</v>
      </c>
      <c r="G481" s="153">
        <f t="shared" si="43"/>
        <v>5254.3540000000003</v>
      </c>
      <c r="H481" s="153" t="e">
        <f t="shared" si="43"/>
        <v>#N/A</v>
      </c>
      <c r="L481" s="177"/>
    </row>
    <row r="482" spans="1:12" x14ac:dyDescent="0.2">
      <c r="A482" s="153">
        <v>2041</v>
      </c>
      <c r="B482" s="153">
        <v>1</v>
      </c>
      <c r="C482" s="153" t="str">
        <f t="shared" si="44"/>
        <v>20411</v>
      </c>
      <c r="D482" s="153" t="str">
        <f t="shared" si="45"/>
        <v>Q1</v>
      </c>
      <c r="E482" s="153">
        <f t="shared" si="43"/>
        <v>249612.27900000001</v>
      </c>
      <c r="F482" s="153">
        <f t="shared" si="43"/>
        <v>79359.287038077135</v>
      </c>
      <c r="G482" s="153">
        <f t="shared" si="43"/>
        <v>5261</v>
      </c>
      <c r="H482" s="153" t="e">
        <f t="shared" ref="H482" si="46">VLOOKUP($A482&amp;$D482,$N$1:$T$169,MATCH(H$1,$N$1:$T$1,0),0)</f>
        <v>#N/A</v>
      </c>
      <c r="L482" s="177"/>
    </row>
    <row r="483" spans="1:12" x14ac:dyDescent="0.2">
      <c r="A483" s="153">
        <v>2041</v>
      </c>
      <c r="B483" s="153">
        <v>2</v>
      </c>
      <c r="C483" s="153" t="str">
        <f t="shared" si="44"/>
        <v>20412</v>
      </c>
      <c r="D483" s="153" t="str">
        <f t="shared" si="45"/>
        <v>Q1</v>
      </c>
      <c r="E483" s="153">
        <f t="shared" ref="E483:H505" si="47">VLOOKUP($A483&amp;$D483,$N$1:$T$169,MATCH(E$1,$N$1:$T$1,0),0)</f>
        <v>249612.27900000001</v>
      </c>
      <c r="F483" s="153">
        <f t="shared" si="47"/>
        <v>79359.287038077135</v>
      </c>
      <c r="G483" s="153">
        <f t="shared" si="47"/>
        <v>5261</v>
      </c>
      <c r="H483" s="153" t="e">
        <f t="shared" si="47"/>
        <v>#N/A</v>
      </c>
      <c r="L483" s="177"/>
    </row>
    <row r="484" spans="1:12" x14ac:dyDescent="0.2">
      <c r="A484" s="153">
        <v>2041</v>
      </c>
      <c r="B484" s="153">
        <v>3</v>
      </c>
      <c r="C484" s="153" t="str">
        <f t="shared" si="44"/>
        <v>20413</v>
      </c>
      <c r="D484" s="153" t="str">
        <f t="shared" si="45"/>
        <v>Q1</v>
      </c>
      <c r="E484" s="153">
        <f t="shared" si="47"/>
        <v>249612.27900000001</v>
      </c>
      <c r="F484" s="153">
        <f t="shared" si="47"/>
        <v>79359.287038077135</v>
      </c>
      <c r="G484" s="153">
        <f t="shared" si="47"/>
        <v>5261</v>
      </c>
      <c r="H484" s="153" t="e">
        <f t="shared" si="47"/>
        <v>#N/A</v>
      </c>
      <c r="L484" s="177"/>
    </row>
    <row r="485" spans="1:12" x14ac:dyDescent="0.2">
      <c r="A485" s="153">
        <v>2041</v>
      </c>
      <c r="B485" s="153">
        <v>4</v>
      </c>
      <c r="C485" s="153" t="str">
        <f t="shared" si="44"/>
        <v>20414</v>
      </c>
      <c r="D485" s="153" t="str">
        <f t="shared" si="45"/>
        <v>Q2</v>
      </c>
      <c r="E485" s="153">
        <f t="shared" si="47"/>
        <v>250429.492</v>
      </c>
      <c r="F485" s="153">
        <f t="shared" si="47"/>
        <v>79663.055240366433</v>
      </c>
      <c r="G485" s="153">
        <f t="shared" si="47"/>
        <v>5267.6459999999997</v>
      </c>
      <c r="H485" s="153" t="e">
        <f t="shared" si="47"/>
        <v>#N/A</v>
      </c>
      <c r="L485" s="177"/>
    </row>
    <row r="486" spans="1:12" x14ac:dyDescent="0.2">
      <c r="A486" s="153">
        <v>2041</v>
      </c>
      <c r="B486" s="153">
        <v>5</v>
      </c>
      <c r="C486" s="153" t="str">
        <f t="shared" si="44"/>
        <v>20415</v>
      </c>
      <c r="D486" s="153" t="str">
        <f t="shared" si="45"/>
        <v>Q2</v>
      </c>
      <c r="E486" s="153">
        <f t="shared" si="47"/>
        <v>250429.492</v>
      </c>
      <c r="F486" s="153">
        <f t="shared" si="47"/>
        <v>79663.055240366433</v>
      </c>
      <c r="G486" s="153">
        <f t="shared" si="47"/>
        <v>5267.6459999999997</v>
      </c>
      <c r="H486" s="153" t="e">
        <f t="shared" si="47"/>
        <v>#N/A</v>
      </c>
      <c r="L486" s="177"/>
    </row>
    <row r="487" spans="1:12" x14ac:dyDescent="0.2">
      <c r="A487" s="153">
        <v>2041</v>
      </c>
      <c r="B487" s="153">
        <v>6</v>
      </c>
      <c r="C487" s="153" t="str">
        <f t="shared" si="44"/>
        <v>20416</v>
      </c>
      <c r="D487" s="153" t="str">
        <f t="shared" si="45"/>
        <v>Q2</v>
      </c>
      <c r="E487" s="153">
        <f t="shared" si="47"/>
        <v>250429.492</v>
      </c>
      <c r="F487" s="153">
        <f t="shared" si="47"/>
        <v>79663.055240366433</v>
      </c>
      <c r="G487" s="153">
        <f t="shared" si="47"/>
        <v>5267.6459999999997</v>
      </c>
      <c r="H487" s="153" t="e">
        <f t="shared" si="47"/>
        <v>#N/A</v>
      </c>
      <c r="L487" s="177"/>
    </row>
    <row r="488" spans="1:12" x14ac:dyDescent="0.2">
      <c r="A488" s="153">
        <v>2041</v>
      </c>
      <c r="B488" s="153">
        <v>7</v>
      </c>
      <c r="C488" s="153" t="str">
        <f t="shared" si="44"/>
        <v>20417</v>
      </c>
      <c r="D488" s="153" t="str">
        <f t="shared" si="45"/>
        <v>Q3</v>
      </c>
      <c r="E488" s="153">
        <f t="shared" si="47"/>
        <v>251394.72700000001</v>
      </c>
      <c r="F488" s="153">
        <f t="shared" si="47"/>
        <v>80091.173605845252</v>
      </c>
      <c r="G488" s="153">
        <f t="shared" si="47"/>
        <v>5274.2950000000001</v>
      </c>
      <c r="H488" s="153" t="e">
        <f t="shared" si="47"/>
        <v>#N/A</v>
      </c>
      <c r="L488" s="177"/>
    </row>
    <row r="489" spans="1:12" x14ac:dyDescent="0.2">
      <c r="A489" s="153">
        <v>2041</v>
      </c>
      <c r="B489" s="153">
        <v>8</v>
      </c>
      <c r="C489" s="153" t="str">
        <f t="shared" si="44"/>
        <v>20418</v>
      </c>
      <c r="D489" s="153" t="str">
        <f t="shared" si="45"/>
        <v>Q3</v>
      </c>
      <c r="E489" s="153">
        <f t="shared" si="47"/>
        <v>251394.72700000001</v>
      </c>
      <c r="F489" s="153">
        <f t="shared" si="47"/>
        <v>80091.173605845252</v>
      </c>
      <c r="G489" s="153">
        <f t="shared" si="47"/>
        <v>5274.2950000000001</v>
      </c>
      <c r="H489" s="153" t="e">
        <f t="shared" si="47"/>
        <v>#N/A</v>
      </c>
      <c r="L489" s="177"/>
    </row>
    <row r="490" spans="1:12" x14ac:dyDescent="0.2">
      <c r="A490" s="153">
        <v>2041</v>
      </c>
      <c r="B490" s="153">
        <v>9</v>
      </c>
      <c r="C490" s="153" t="str">
        <f t="shared" si="44"/>
        <v>20419</v>
      </c>
      <c r="D490" s="153" t="str">
        <f t="shared" si="45"/>
        <v>Q3</v>
      </c>
      <c r="E490" s="153">
        <f t="shared" si="47"/>
        <v>251394.72700000001</v>
      </c>
      <c r="F490" s="153">
        <f t="shared" si="47"/>
        <v>80091.173605845252</v>
      </c>
      <c r="G490" s="153">
        <f t="shared" si="47"/>
        <v>5274.2950000000001</v>
      </c>
      <c r="H490" s="153" t="e">
        <f t="shared" si="47"/>
        <v>#N/A</v>
      </c>
      <c r="L490" s="177"/>
    </row>
    <row r="491" spans="1:12" x14ac:dyDescent="0.2">
      <c r="A491" s="153">
        <v>2041</v>
      </c>
      <c r="B491" s="153">
        <v>10</v>
      </c>
      <c r="C491" s="153" t="str">
        <f t="shared" si="44"/>
        <v>204110</v>
      </c>
      <c r="D491" s="153" t="str">
        <f t="shared" si="45"/>
        <v>Q4</v>
      </c>
      <c r="E491" s="153">
        <f t="shared" si="47"/>
        <v>252359.43400000001</v>
      </c>
      <c r="F491" s="153">
        <f t="shared" si="47"/>
        <v>80240.833138693764</v>
      </c>
      <c r="G491" s="153">
        <f t="shared" si="47"/>
        <v>5280.9449999999997</v>
      </c>
      <c r="H491" s="153" t="e">
        <f t="shared" si="47"/>
        <v>#N/A</v>
      </c>
      <c r="L491" s="177"/>
    </row>
    <row r="492" spans="1:12" x14ac:dyDescent="0.2">
      <c r="A492" s="153">
        <v>2041</v>
      </c>
      <c r="B492" s="153">
        <v>11</v>
      </c>
      <c r="C492" s="153" t="str">
        <f t="shared" si="44"/>
        <v>204111</v>
      </c>
      <c r="D492" s="153" t="str">
        <f t="shared" si="45"/>
        <v>Q4</v>
      </c>
      <c r="E492" s="153">
        <f t="shared" si="47"/>
        <v>252359.43400000001</v>
      </c>
      <c r="F492" s="153">
        <f t="shared" si="47"/>
        <v>80240.833138693764</v>
      </c>
      <c r="G492" s="153">
        <f t="shared" si="47"/>
        <v>5280.9449999999997</v>
      </c>
      <c r="H492" s="153" t="e">
        <f t="shared" si="47"/>
        <v>#N/A</v>
      </c>
      <c r="L492" s="177"/>
    </row>
    <row r="493" spans="1:12" x14ac:dyDescent="0.2">
      <c r="A493" s="153">
        <v>2041</v>
      </c>
      <c r="B493" s="153">
        <v>12</v>
      </c>
      <c r="C493" s="153" t="str">
        <f t="shared" si="44"/>
        <v>204112</v>
      </c>
      <c r="D493" s="153" t="str">
        <f t="shared" si="45"/>
        <v>Q4</v>
      </c>
      <c r="E493" s="153">
        <f t="shared" si="47"/>
        <v>252359.43400000001</v>
      </c>
      <c r="F493" s="153">
        <f t="shared" si="47"/>
        <v>80240.833138693764</v>
      </c>
      <c r="G493" s="153">
        <f t="shared" si="47"/>
        <v>5280.9449999999997</v>
      </c>
      <c r="H493" s="153" t="e">
        <f t="shared" si="47"/>
        <v>#N/A</v>
      </c>
      <c r="L493" s="177"/>
    </row>
    <row r="494" spans="1:12" x14ac:dyDescent="0.2">
      <c r="A494" s="153">
        <f>A482+1</f>
        <v>2042</v>
      </c>
      <c r="B494" s="153">
        <v>1</v>
      </c>
      <c r="C494" s="153" t="str">
        <f t="shared" si="44"/>
        <v>20421</v>
      </c>
      <c r="D494" s="153" t="str">
        <f t="shared" si="45"/>
        <v>Q1</v>
      </c>
      <c r="E494" s="153">
        <f t="shared" si="47"/>
        <v>254274.40215799998</v>
      </c>
      <c r="F494" s="153">
        <f t="shared" si="47"/>
        <v>81263.909926990993</v>
      </c>
      <c r="G494" s="153">
        <f t="shared" si="47"/>
        <v>5387.2640000000001</v>
      </c>
      <c r="H494" s="153" t="e">
        <f t="shared" si="47"/>
        <v>#N/A</v>
      </c>
      <c r="L494" s="177"/>
    </row>
    <row r="495" spans="1:12" x14ac:dyDescent="0.2">
      <c r="A495" s="153">
        <f t="shared" ref="A495:A505" si="48">A483+1</f>
        <v>2042</v>
      </c>
      <c r="B495" s="153">
        <v>2</v>
      </c>
      <c r="C495" s="153" t="str">
        <f t="shared" si="44"/>
        <v>20422</v>
      </c>
      <c r="D495" s="153" t="str">
        <f t="shared" si="45"/>
        <v>Q1</v>
      </c>
      <c r="E495" s="153">
        <f t="shared" si="47"/>
        <v>254274.40215799998</v>
      </c>
      <c r="F495" s="153">
        <f t="shared" si="47"/>
        <v>81263.909926990993</v>
      </c>
      <c r="G495" s="153">
        <f t="shared" si="47"/>
        <v>5387.2640000000001</v>
      </c>
      <c r="H495" s="153" t="e">
        <f t="shared" si="47"/>
        <v>#N/A</v>
      </c>
      <c r="L495" s="177"/>
    </row>
    <row r="496" spans="1:12" x14ac:dyDescent="0.2">
      <c r="A496" s="153">
        <f t="shared" si="48"/>
        <v>2042</v>
      </c>
      <c r="B496" s="153">
        <v>3</v>
      </c>
      <c r="C496" s="153" t="str">
        <f t="shared" si="44"/>
        <v>20423</v>
      </c>
      <c r="D496" s="153" t="str">
        <f t="shared" si="45"/>
        <v>Q1</v>
      </c>
      <c r="E496" s="153">
        <f t="shared" si="47"/>
        <v>254274.40215799998</v>
      </c>
      <c r="F496" s="153">
        <f t="shared" si="47"/>
        <v>81263.909926990993</v>
      </c>
      <c r="G496" s="153">
        <f t="shared" si="47"/>
        <v>5387.2640000000001</v>
      </c>
      <c r="H496" s="153" t="e">
        <f t="shared" si="47"/>
        <v>#N/A</v>
      </c>
      <c r="L496" s="177"/>
    </row>
    <row r="497" spans="1:12" x14ac:dyDescent="0.2">
      <c r="A497" s="153">
        <f t="shared" si="48"/>
        <v>2042</v>
      </c>
      <c r="B497" s="153">
        <v>4</v>
      </c>
      <c r="C497" s="153" t="str">
        <f t="shared" si="44"/>
        <v>20424</v>
      </c>
      <c r="D497" s="153" t="str">
        <f t="shared" si="45"/>
        <v>Q2</v>
      </c>
      <c r="E497" s="153">
        <f t="shared" si="47"/>
        <v>256189.37031599999</v>
      </c>
      <c r="F497" s="153">
        <f t="shared" si="47"/>
        <v>81574.968566135227</v>
      </c>
      <c r="G497" s="153">
        <f t="shared" si="47"/>
        <v>5394.0695040000001</v>
      </c>
      <c r="H497" s="153" t="e">
        <f t="shared" si="47"/>
        <v>#N/A</v>
      </c>
      <c r="L497" s="177"/>
    </row>
    <row r="498" spans="1:12" x14ac:dyDescent="0.2">
      <c r="A498" s="153">
        <f t="shared" si="48"/>
        <v>2042</v>
      </c>
      <c r="B498" s="153">
        <v>5</v>
      </c>
      <c r="C498" s="153" t="str">
        <f t="shared" si="44"/>
        <v>20425</v>
      </c>
      <c r="D498" s="153" t="str">
        <f t="shared" si="45"/>
        <v>Q2</v>
      </c>
      <c r="E498" s="153">
        <f t="shared" si="47"/>
        <v>256189.37031599999</v>
      </c>
      <c r="F498" s="153">
        <f t="shared" si="47"/>
        <v>81574.968566135227</v>
      </c>
      <c r="G498" s="153">
        <f t="shared" si="47"/>
        <v>5394.0695040000001</v>
      </c>
      <c r="H498" s="153" t="e">
        <f t="shared" si="47"/>
        <v>#N/A</v>
      </c>
      <c r="L498" s="177"/>
    </row>
    <row r="499" spans="1:12" x14ac:dyDescent="0.2">
      <c r="A499" s="153">
        <f t="shared" si="48"/>
        <v>2042</v>
      </c>
      <c r="B499" s="153">
        <v>6</v>
      </c>
      <c r="C499" s="153" t="str">
        <f t="shared" si="44"/>
        <v>20426</v>
      </c>
      <c r="D499" s="153" t="str">
        <f t="shared" si="45"/>
        <v>Q2</v>
      </c>
      <c r="E499" s="153">
        <f t="shared" si="47"/>
        <v>256189.37031599999</v>
      </c>
      <c r="F499" s="153">
        <f t="shared" si="47"/>
        <v>81574.968566135227</v>
      </c>
      <c r="G499" s="153">
        <f t="shared" si="47"/>
        <v>5394.0695040000001</v>
      </c>
      <c r="H499" s="153" t="e">
        <f t="shared" si="47"/>
        <v>#N/A</v>
      </c>
      <c r="L499" s="177"/>
    </row>
    <row r="500" spans="1:12" x14ac:dyDescent="0.2">
      <c r="A500" s="153">
        <f t="shared" si="48"/>
        <v>2042</v>
      </c>
      <c r="B500" s="153">
        <v>7</v>
      </c>
      <c r="C500" s="153" t="str">
        <f t="shared" si="44"/>
        <v>20427</v>
      </c>
      <c r="D500" s="153" t="str">
        <f t="shared" si="45"/>
        <v>Q3</v>
      </c>
      <c r="E500" s="153">
        <f t="shared" si="47"/>
        <v>257176.80572099998</v>
      </c>
      <c r="F500" s="153">
        <f t="shared" si="47"/>
        <v>82013.361772385542</v>
      </c>
      <c r="G500" s="153">
        <f t="shared" si="47"/>
        <v>5400.8780800000004</v>
      </c>
      <c r="H500" s="153" t="e">
        <f t="shared" si="47"/>
        <v>#N/A</v>
      </c>
      <c r="L500" s="177"/>
    </row>
    <row r="501" spans="1:12" x14ac:dyDescent="0.2">
      <c r="A501" s="153">
        <f t="shared" si="48"/>
        <v>2042</v>
      </c>
      <c r="B501" s="153">
        <v>8</v>
      </c>
      <c r="C501" s="153" t="str">
        <f t="shared" si="44"/>
        <v>20428</v>
      </c>
      <c r="D501" s="153" t="str">
        <f t="shared" si="45"/>
        <v>Q3</v>
      </c>
      <c r="E501" s="153">
        <f t="shared" si="47"/>
        <v>257176.80572099998</v>
      </c>
      <c r="F501" s="153">
        <f t="shared" si="47"/>
        <v>82013.361772385542</v>
      </c>
      <c r="G501" s="153">
        <f t="shared" si="47"/>
        <v>5400.8780800000004</v>
      </c>
      <c r="H501" s="153" t="e">
        <f t="shared" si="47"/>
        <v>#N/A</v>
      </c>
      <c r="L501" s="177"/>
    </row>
    <row r="502" spans="1:12" x14ac:dyDescent="0.2">
      <c r="A502" s="153">
        <f t="shared" si="48"/>
        <v>2042</v>
      </c>
      <c r="B502" s="153">
        <v>9</v>
      </c>
      <c r="C502" s="153" t="str">
        <f t="shared" si="44"/>
        <v>20429</v>
      </c>
      <c r="D502" s="153" t="str">
        <f t="shared" si="45"/>
        <v>Q3</v>
      </c>
      <c r="E502" s="153">
        <f t="shared" si="47"/>
        <v>257176.80572099998</v>
      </c>
      <c r="F502" s="153">
        <f t="shared" si="47"/>
        <v>82013.361772385542</v>
      </c>
      <c r="G502" s="153">
        <f t="shared" si="47"/>
        <v>5400.8780800000004</v>
      </c>
      <c r="H502" s="153" t="e">
        <f t="shared" si="47"/>
        <v>#N/A</v>
      </c>
      <c r="L502" s="177"/>
    </row>
    <row r="503" spans="1:12" x14ac:dyDescent="0.2">
      <c r="A503" s="153">
        <f>A491+1</f>
        <v>2042</v>
      </c>
      <c r="B503" s="153">
        <v>10</v>
      </c>
      <c r="C503" s="153" t="str">
        <f t="shared" si="44"/>
        <v>204210</v>
      </c>
      <c r="D503" s="153" t="str">
        <f t="shared" si="45"/>
        <v>Q4</v>
      </c>
      <c r="E503" s="153">
        <f t="shared" si="47"/>
        <v>258163.70098199998</v>
      </c>
      <c r="F503" s="153">
        <f t="shared" si="47"/>
        <v>82166.613134022409</v>
      </c>
      <c r="G503" s="153">
        <f t="shared" si="47"/>
        <v>5407.68768</v>
      </c>
      <c r="H503" s="153" t="e">
        <f t="shared" si="47"/>
        <v>#N/A</v>
      </c>
      <c r="L503" s="177"/>
    </row>
    <row r="504" spans="1:12" x14ac:dyDescent="0.2">
      <c r="A504" s="153">
        <f t="shared" si="48"/>
        <v>2042</v>
      </c>
      <c r="B504" s="153">
        <v>11</v>
      </c>
      <c r="C504" s="153" t="str">
        <f t="shared" si="44"/>
        <v>204211</v>
      </c>
      <c r="D504" s="153" t="str">
        <f t="shared" si="45"/>
        <v>Q4</v>
      </c>
      <c r="E504" s="153">
        <f t="shared" si="47"/>
        <v>258163.70098199998</v>
      </c>
      <c r="F504" s="153">
        <f t="shared" si="47"/>
        <v>82166.613134022409</v>
      </c>
      <c r="G504" s="153">
        <f t="shared" si="47"/>
        <v>5407.68768</v>
      </c>
      <c r="H504" s="153" t="e">
        <f t="shared" si="47"/>
        <v>#N/A</v>
      </c>
      <c r="L504" s="177"/>
    </row>
    <row r="505" spans="1:12" x14ac:dyDescent="0.2">
      <c r="A505" s="153">
        <f t="shared" si="48"/>
        <v>2042</v>
      </c>
      <c r="B505" s="153">
        <v>12</v>
      </c>
      <c r="C505" s="153" t="str">
        <f t="shared" si="44"/>
        <v>204212</v>
      </c>
      <c r="D505" s="153" t="str">
        <f t="shared" si="45"/>
        <v>Q4</v>
      </c>
      <c r="E505" s="153">
        <f t="shared" si="47"/>
        <v>258163.70098199998</v>
      </c>
      <c r="F505" s="153">
        <f t="shared" si="47"/>
        <v>82166.613134022409</v>
      </c>
      <c r="G505" s="153">
        <f t="shared" si="47"/>
        <v>5407.68768</v>
      </c>
      <c r="H505" s="153" t="e">
        <f t="shared" si="47"/>
        <v>#N/A</v>
      </c>
      <c r="L505" s="177"/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view="pageBreakPreview" zoomScale="60" zoomScaleNormal="100" workbookViewId="0">
      <selection activeCell="P1" sqref="P1:Q15"/>
    </sheetView>
  </sheetViews>
  <sheetFormatPr defaultRowHeight="12.75" x14ac:dyDescent="0.2"/>
  <cols>
    <col min="1" max="1" width="37" bestFit="1" customWidth="1"/>
  </cols>
  <sheetData>
    <row r="1" spans="1:11" x14ac:dyDescent="0.2">
      <c r="B1" s="334">
        <v>2012</v>
      </c>
      <c r="C1" s="334">
        <v>2013</v>
      </c>
      <c r="D1" s="334">
        <v>2014</v>
      </c>
      <c r="E1" s="334">
        <v>2015</v>
      </c>
      <c r="F1" s="334">
        <v>2016</v>
      </c>
      <c r="G1" s="334">
        <v>2017</v>
      </c>
      <c r="H1" s="334">
        <v>2018</v>
      </c>
      <c r="I1" s="334">
        <v>2019</v>
      </c>
      <c r="J1" s="334">
        <v>2020</v>
      </c>
      <c r="K1" s="334">
        <v>2021</v>
      </c>
    </row>
    <row r="3" spans="1:11" ht="15" x14ac:dyDescent="0.25">
      <c r="A3" s="335" t="s">
        <v>261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</row>
    <row r="4" spans="1:11" ht="15" x14ac:dyDescent="0.25">
      <c r="A4" s="335" t="s">
        <v>222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</row>
    <row r="5" spans="1:11" x14ac:dyDescent="0.2">
      <c r="A5" s="337" t="s">
        <v>223</v>
      </c>
      <c r="B5" s="338">
        <v>5.1379999999999898E-2</v>
      </c>
      <c r="C5" s="338">
        <v>5.1380000000000002E-2</v>
      </c>
      <c r="D5" s="338">
        <v>5.1380000000000002E-2</v>
      </c>
      <c r="E5" s="338">
        <v>5.1380000000000002E-2</v>
      </c>
      <c r="F5" s="338">
        <v>5.1380000000000002E-2</v>
      </c>
      <c r="G5" s="338">
        <v>5.1380000000000002E-2</v>
      </c>
      <c r="H5" s="338">
        <v>5.1380000000000002E-2</v>
      </c>
      <c r="I5" s="338">
        <v>5.1380000000000002E-2</v>
      </c>
      <c r="J5" s="338">
        <v>5.1380000000000002E-2</v>
      </c>
      <c r="K5" s="338">
        <v>5.1380000000000002E-2</v>
      </c>
    </row>
    <row r="6" spans="1:11" x14ac:dyDescent="0.2">
      <c r="A6" s="337" t="s">
        <v>224</v>
      </c>
      <c r="B6" s="338">
        <v>0</v>
      </c>
      <c r="C6" s="338">
        <v>0</v>
      </c>
      <c r="D6" s="338">
        <v>0</v>
      </c>
      <c r="E6" s="338">
        <v>0</v>
      </c>
      <c r="F6" s="338">
        <v>0</v>
      </c>
      <c r="G6" s="338">
        <v>0</v>
      </c>
      <c r="H6" s="338">
        <v>0</v>
      </c>
      <c r="I6" s="338">
        <v>0</v>
      </c>
      <c r="J6" s="338">
        <v>0</v>
      </c>
      <c r="K6" s="338">
        <v>0</v>
      </c>
    </row>
    <row r="7" spans="1:11" x14ac:dyDescent="0.2">
      <c r="A7" s="337" t="s">
        <v>225</v>
      </c>
      <c r="B7" s="338">
        <v>8.7511813825746493E-3</v>
      </c>
      <c r="C7" s="338">
        <v>8.7123321640348306E-3</v>
      </c>
      <c r="D7" s="338">
        <v>8.7723158779482793E-3</v>
      </c>
      <c r="E7" s="338">
        <v>8.7182599335221007E-3</v>
      </c>
      <c r="F7" s="338">
        <v>8.7716070604776306E-3</v>
      </c>
      <c r="G7" s="338">
        <v>8.7716070604776306E-3</v>
      </c>
      <c r="H7" s="338">
        <v>8.7716070604776306E-3</v>
      </c>
      <c r="I7" s="338">
        <v>8.7716070604776306E-3</v>
      </c>
      <c r="J7" s="338">
        <v>8.7716070604776306E-3</v>
      </c>
      <c r="K7" s="338">
        <v>8.7716070604776306E-3</v>
      </c>
    </row>
    <row r="8" spans="1:11" x14ac:dyDescent="0.2">
      <c r="A8" s="337" t="s">
        <v>226</v>
      </c>
      <c r="B8" s="338">
        <v>0</v>
      </c>
      <c r="C8" s="338">
        <v>0</v>
      </c>
      <c r="D8" s="338">
        <v>8.2099169501936697E-3</v>
      </c>
      <c r="E8" s="338">
        <v>8.1582966859597202E-3</v>
      </c>
      <c r="F8" s="338">
        <v>1.6726011686180299E-2</v>
      </c>
      <c r="G8" s="338">
        <v>1.6726011686180299E-2</v>
      </c>
      <c r="H8" s="338">
        <v>1.6726011686180299E-2</v>
      </c>
      <c r="I8" s="338">
        <v>1.6726011686180299E-2</v>
      </c>
      <c r="J8" s="338">
        <v>1.6726011686180299E-2</v>
      </c>
      <c r="K8" s="338">
        <v>1.6726011686180299E-2</v>
      </c>
    </row>
    <row r="9" spans="1:11" x14ac:dyDescent="0.2">
      <c r="A9" s="337" t="s">
        <v>227</v>
      </c>
      <c r="B9" s="338">
        <v>2.4819999999999998E-2</v>
      </c>
      <c r="C9" s="338">
        <v>2.4819999999999998E-2</v>
      </c>
      <c r="D9" s="338">
        <v>2.4819999999999901E-2</v>
      </c>
      <c r="E9" s="338">
        <v>2.4819999999999998E-2</v>
      </c>
      <c r="F9" s="338">
        <v>2.4819999999999998E-2</v>
      </c>
      <c r="G9" s="338">
        <v>2.4819999999999998E-2</v>
      </c>
      <c r="H9" s="338">
        <v>2.4819999999999998E-2</v>
      </c>
      <c r="I9" s="338">
        <v>2.4819999999999998E-2</v>
      </c>
      <c r="J9" s="338">
        <v>2.4819999999999998E-2</v>
      </c>
      <c r="K9" s="338">
        <v>2.4819999999999998E-2</v>
      </c>
    </row>
    <row r="10" spans="1:11" x14ac:dyDescent="0.2">
      <c r="A10" s="337" t="s">
        <v>228</v>
      </c>
      <c r="B10" s="338">
        <v>3.2826854832534199E-3</v>
      </c>
      <c r="C10" s="338">
        <v>3.5663703374487102E-3</v>
      </c>
      <c r="D10" s="338">
        <v>5.3854693799563202E-3</v>
      </c>
      <c r="E10" s="338">
        <v>6.7669874718548403E-3</v>
      </c>
      <c r="F10" s="338">
        <v>9.8137561427867701E-3</v>
      </c>
      <c r="G10" s="338">
        <v>9.8137561427867701E-3</v>
      </c>
      <c r="H10" s="338">
        <v>9.8137561427867701E-3</v>
      </c>
      <c r="I10" s="338">
        <v>9.8137561427867701E-3</v>
      </c>
      <c r="J10" s="338">
        <v>9.8137561427867701E-3</v>
      </c>
      <c r="K10" s="338">
        <v>9.8137561427867701E-3</v>
      </c>
    </row>
    <row r="11" spans="1:11" x14ac:dyDescent="0.2">
      <c r="A11" s="337" t="s">
        <v>229</v>
      </c>
      <c r="B11" s="338">
        <v>0</v>
      </c>
      <c r="C11" s="338">
        <v>0</v>
      </c>
      <c r="D11" s="338">
        <v>0</v>
      </c>
      <c r="E11" s="338">
        <v>0</v>
      </c>
      <c r="F11" s="338">
        <v>0</v>
      </c>
      <c r="G11" s="338">
        <v>0</v>
      </c>
      <c r="H11" s="338">
        <v>0</v>
      </c>
      <c r="I11" s="338">
        <v>0</v>
      </c>
      <c r="J11" s="338">
        <v>0</v>
      </c>
      <c r="K11" s="338">
        <v>0</v>
      </c>
    </row>
    <row r="12" spans="1:11" x14ac:dyDescent="0.2">
      <c r="A12" s="337" t="s">
        <v>230</v>
      </c>
      <c r="B12" s="338">
        <v>0</v>
      </c>
      <c r="C12" s="338">
        <v>0</v>
      </c>
      <c r="D12" s="338">
        <v>0</v>
      </c>
      <c r="E12" s="338">
        <v>0</v>
      </c>
      <c r="F12" s="338">
        <v>0</v>
      </c>
      <c r="G12" s="338">
        <v>0</v>
      </c>
      <c r="H12" s="338">
        <v>0</v>
      </c>
      <c r="I12" s="338">
        <v>0</v>
      </c>
      <c r="J12" s="338">
        <v>0</v>
      </c>
      <c r="K12" s="338">
        <v>0</v>
      </c>
    </row>
    <row r="13" spans="1:11" x14ac:dyDescent="0.2">
      <c r="A13" s="337" t="s">
        <v>231</v>
      </c>
      <c r="B13" s="338">
        <v>8.8233866865828001E-2</v>
      </c>
      <c r="C13" s="338">
        <v>8.84787025014835E-2</v>
      </c>
      <c r="D13" s="338">
        <v>9.8567702208098198E-2</v>
      </c>
      <c r="E13" s="338">
        <v>9.9843544091336597E-2</v>
      </c>
      <c r="F13" s="338">
        <v>0.111511374889444</v>
      </c>
      <c r="G13" s="338">
        <v>0.111511374889444</v>
      </c>
      <c r="H13" s="338">
        <v>0.111511374889444</v>
      </c>
      <c r="I13" s="338">
        <v>0.111511374889444</v>
      </c>
      <c r="J13" s="338">
        <v>0.111511374889444</v>
      </c>
      <c r="K13" s="338">
        <v>0.111511374889444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5"/>
  <sheetViews>
    <sheetView view="pageBreakPreview" zoomScale="60" zoomScaleNormal="100" workbookViewId="0">
      <pane xSplit="2" ySplit="1" topLeftCell="C2" activePane="bottomRight" state="frozen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15.7109375" defaultRowHeight="12.75" x14ac:dyDescent="0.2"/>
  <cols>
    <col min="1" max="1" width="6" style="153" bestFit="1" customWidth="1"/>
    <col min="2" max="2" width="7.140625" style="153" bestFit="1" customWidth="1"/>
    <col min="3" max="3" width="10.7109375" style="169" bestFit="1" customWidth="1"/>
    <col min="4" max="4" width="10.85546875" style="174" bestFit="1" customWidth="1"/>
    <col min="5" max="6" width="10.85546875" style="174" customWidth="1"/>
    <col min="7" max="7" width="11.140625" style="173" bestFit="1" customWidth="1"/>
    <col min="8" max="8" width="18.42578125" style="162" bestFit="1" customWidth="1"/>
    <col min="9" max="9" width="10.85546875" style="162" customWidth="1"/>
    <col min="10" max="10" width="19.7109375" style="162" bestFit="1" customWidth="1"/>
    <col min="11" max="11" width="18.7109375" style="164" bestFit="1" customWidth="1"/>
    <col min="12" max="12" width="15.7109375" style="153"/>
    <col min="13" max="13" width="22.85546875" style="156" bestFit="1" customWidth="1"/>
    <col min="14" max="14" width="27.28515625" customWidth="1"/>
    <col min="15" max="15" width="6.7109375" style="169" bestFit="1" customWidth="1"/>
    <col min="16" max="16" width="5.5703125" style="169" bestFit="1" customWidth="1"/>
    <col min="17" max="17" width="14.42578125" style="166" bestFit="1" customWidth="1"/>
    <col min="18" max="18" width="14.28515625" style="166" bestFit="1" customWidth="1"/>
    <col min="19" max="19" width="14.28515625" style="166" customWidth="1"/>
    <col min="20" max="20" width="17.42578125" style="166" bestFit="1" customWidth="1"/>
    <col min="21" max="22" width="0" style="153" hidden="1" customWidth="1"/>
    <col min="23" max="261" width="15.7109375" style="153"/>
    <col min="262" max="262" width="6" style="153" bestFit="1" customWidth="1"/>
    <col min="263" max="263" width="7.140625" style="153" bestFit="1" customWidth="1"/>
    <col min="264" max="264" width="9.140625" style="153" bestFit="1" customWidth="1"/>
    <col min="265" max="265" width="10.85546875" style="153" bestFit="1" customWidth="1"/>
    <col min="266" max="266" width="10.85546875" style="153" customWidth="1"/>
    <col min="267" max="267" width="11.140625" style="153" bestFit="1" customWidth="1"/>
    <col min="268" max="268" width="10.85546875" style="153" bestFit="1" customWidth="1"/>
    <col min="269" max="269" width="11.42578125" style="153" bestFit="1" customWidth="1"/>
    <col min="270" max="270" width="15.85546875" style="153" bestFit="1" customWidth="1"/>
    <col min="271" max="271" width="6.7109375" style="153" bestFit="1" customWidth="1"/>
    <col min="272" max="272" width="5.5703125" style="153" bestFit="1" customWidth="1"/>
    <col min="273" max="273" width="14.42578125" style="153" bestFit="1" customWidth="1"/>
    <col min="274" max="274" width="14.28515625" style="153" bestFit="1" customWidth="1"/>
    <col min="275" max="275" width="14.28515625" style="153" customWidth="1"/>
    <col min="276" max="517" width="15.7109375" style="153"/>
    <col min="518" max="518" width="6" style="153" bestFit="1" customWidth="1"/>
    <col min="519" max="519" width="7.140625" style="153" bestFit="1" customWidth="1"/>
    <col min="520" max="520" width="9.140625" style="153" bestFit="1" customWidth="1"/>
    <col min="521" max="521" width="10.85546875" style="153" bestFit="1" customWidth="1"/>
    <col min="522" max="522" width="10.85546875" style="153" customWidth="1"/>
    <col min="523" max="523" width="11.140625" style="153" bestFit="1" customWidth="1"/>
    <col min="524" max="524" width="10.85546875" style="153" bestFit="1" customWidth="1"/>
    <col min="525" max="525" width="11.42578125" style="153" bestFit="1" customWidth="1"/>
    <col min="526" max="526" width="15.85546875" style="153" bestFit="1" customWidth="1"/>
    <col min="527" max="527" width="6.7109375" style="153" bestFit="1" customWidth="1"/>
    <col min="528" max="528" width="5.5703125" style="153" bestFit="1" customWidth="1"/>
    <col min="529" max="529" width="14.42578125" style="153" bestFit="1" customWidth="1"/>
    <col min="530" max="530" width="14.28515625" style="153" bestFit="1" customWidth="1"/>
    <col min="531" max="531" width="14.28515625" style="153" customWidth="1"/>
    <col min="532" max="773" width="15.7109375" style="153"/>
    <col min="774" max="774" width="6" style="153" bestFit="1" customWidth="1"/>
    <col min="775" max="775" width="7.140625" style="153" bestFit="1" customWidth="1"/>
    <col min="776" max="776" width="9.140625" style="153" bestFit="1" customWidth="1"/>
    <col min="777" max="777" width="10.85546875" style="153" bestFit="1" customWidth="1"/>
    <col min="778" max="778" width="10.85546875" style="153" customWidth="1"/>
    <col min="779" max="779" width="11.140625" style="153" bestFit="1" customWidth="1"/>
    <col min="780" max="780" width="10.85546875" style="153" bestFit="1" customWidth="1"/>
    <col min="781" max="781" width="11.42578125" style="153" bestFit="1" customWidth="1"/>
    <col min="782" max="782" width="15.85546875" style="153" bestFit="1" customWidth="1"/>
    <col min="783" max="783" width="6.7109375" style="153" bestFit="1" customWidth="1"/>
    <col min="784" max="784" width="5.5703125" style="153" bestFit="1" customWidth="1"/>
    <col min="785" max="785" width="14.42578125" style="153" bestFit="1" customWidth="1"/>
    <col min="786" max="786" width="14.28515625" style="153" bestFit="1" customWidth="1"/>
    <col min="787" max="787" width="14.28515625" style="153" customWidth="1"/>
    <col min="788" max="1029" width="15.7109375" style="153"/>
    <col min="1030" max="1030" width="6" style="153" bestFit="1" customWidth="1"/>
    <col min="1031" max="1031" width="7.140625" style="153" bestFit="1" customWidth="1"/>
    <col min="1032" max="1032" width="9.140625" style="153" bestFit="1" customWidth="1"/>
    <col min="1033" max="1033" width="10.85546875" style="153" bestFit="1" customWidth="1"/>
    <col min="1034" max="1034" width="10.85546875" style="153" customWidth="1"/>
    <col min="1035" max="1035" width="11.140625" style="153" bestFit="1" customWidth="1"/>
    <col min="1036" max="1036" width="10.85546875" style="153" bestFit="1" customWidth="1"/>
    <col min="1037" max="1037" width="11.42578125" style="153" bestFit="1" customWidth="1"/>
    <col min="1038" max="1038" width="15.85546875" style="153" bestFit="1" customWidth="1"/>
    <col min="1039" max="1039" width="6.7109375" style="153" bestFit="1" customWidth="1"/>
    <col min="1040" max="1040" width="5.5703125" style="153" bestFit="1" customWidth="1"/>
    <col min="1041" max="1041" width="14.42578125" style="153" bestFit="1" customWidth="1"/>
    <col min="1042" max="1042" width="14.28515625" style="153" bestFit="1" customWidth="1"/>
    <col min="1043" max="1043" width="14.28515625" style="153" customWidth="1"/>
    <col min="1044" max="1285" width="15.7109375" style="153"/>
    <col min="1286" max="1286" width="6" style="153" bestFit="1" customWidth="1"/>
    <col min="1287" max="1287" width="7.140625" style="153" bestFit="1" customWidth="1"/>
    <col min="1288" max="1288" width="9.140625" style="153" bestFit="1" customWidth="1"/>
    <col min="1289" max="1289" width="10.85546875" style="153" bestFit="1" customWidth="1"/>
    <col min="1290" max="1290" width="10.85546875" style="153" customWidth="1"/>
    <col min="1291" max="1291" width="11.140625" style="153" bestFit="1" customWidth="1"/>
    <col min="1292" max="1292" width="10.85546875" style="153" bestFit="1" customWidth="1"/>
    <col min="1293" max="1293" width="11.42578125" style="153" bestFit="1" customWidth="1"/>
    <col min="1294" max="1294" width="15.85546875" style="153" bestFit="1" customWidth="1"/>
    <col min="1295" max="1295" width="6.7109375" style="153" bestFit="1" customWidth="1"/>
    <col min="1296" max="1296" width="5.5703125" style="153" bestFit="1" customWidth="1"/>
    <col min="1297" max="1297" width="14.42578125" style="153" bestFit="1" customWidth="1"/>
    <col min="1298" max="1298" width="14.28515625" style="153" bestFit="1" customWidth="1"/>
    <col min="1299" max="1299" width="14.28515625" style="153" customWidth="1"/>
    <col min="1300" max="1541" width="15.7109375" style="153"/>
    <col min="1542" max="1542" width="6" style="153" bestFit="1" customWidth="1"/>
    <col min="1543" max="1543" width="7.140625" style="153" bestFit="1" customWidth="1"/>
    <col min="1544" max="1544" width="9.140625" style="153" bestFit="1" customWidth="1"/>
    <col min="1545" max="1545" width="10.85546875" style="153" bestFit="1" customWidth="1"/>
    <col min="1546" max="1546" width="10.85546875" style="153" customWidth="1"/>
    <col min="1547" max="1547" width="11.140625" style="153" bestFit="1" customWidth="1"/>
    <col min="1548" max="1548" width="10.85546875" style="153" bestFit="1" customWidth="1"/>
    <col min="1549" max="1549" width="11.42578125" style="153" bestFit="1" customWidth="1"/>
    <col min="1550" max="1550" width="15.85546875" style="153" bestFit="1" customWidth="1"/>
    <col min="1551" max="1551" width="6.7109375" style="153" bestFit="1" customWidth="1"/>
    <col min="1552" max="1552" width="5.5703125" style="153" bestFit="1" customWidth="1"/>
    <col min="1553" max="1553" width="14.42578125" style="153" bestFit="1" customWidth="1"/>
    <col min="1554" max="1554" width="14.28515625" style="153" bestFit="1" customWidth="1"/>
    <col min="1555" max="1555" width="14.28515625" style="153" customWidth="1"/>
    <col min="1556" max="1797" width="15.7109375" style="153"/>
    <col min="1798" max="1798" width="6" style="153" bestFit="1" customWidth="1"/>
    <col min="1799" max="1799" width="7.140625" style="153" bestFit="1" customWidth="1"/>
    <col min="1800" max="1800" width="9.140625" style="153" bestFit="1" customWidth="1"/>
    <col min="1801" max="1801" width="10.85546875" style="153" bestFit="1" customWidth="1"/>
    <col min="1802" max="1802" width="10.85546875" style="153" customWidth="1"/>
    <col min="1803" max="1803" width="11.140625" style="153" bestFit="1" customWidth="1"/>
    <col min="1804" max="1804" width="10.85546875" style="153" bestFit="1" customWidth="1"/>
    <col min="1805" max="1805" width="11.42578125" style="153" bestFit="1" customWidth="1"/>
    <col min="1806" max="1806" width="15.85546875" style="153" bestFit="1" customWidth="1"/>
    <col min="1807" max="1807" width="6.7109375" style="153" bestFit="1" customWidth="1"/>
    <col min="1808" max="1808" width="5.5703125" style="153" bestFit="1" customWidth="1"/>
    <col min="1809" max="1809" width="14.42578125" style="153" bestFit="1" customWidth="1"/>
    <col min="1810" max="1810" width="14.28515625" style="153" bestFit="1" customWidth="1"/>
    <col min="1811" max="1811" width="14.28515625" style="153" customWidth="1"/>
    <col min="1812" max="2053" width="15.7109375" style="153"/>
    <col min="2054" max="2054" width="6" style="153" bestFit="1" customWidth="1"/>
    <col min="2055" max="2055" width="7.140625" style="153" bestFit="1" customWidth="1"/>
    <col min="2056" max="2056" width="9.140625" style="153" bestFit="1" customWidth="1"/>
    <col min="2057" max="2057" width="10.85546875" style="153" bestFit="1" customWidth="1"/>
    <col min="2058" max="2058" width="10.85546875" style="153" customWidth="1"/>
    <col min="2059" max="2059" width="11.140625" style="153" bestFit="1" customWidth="1"/>
    <col min="2060" max="2060" width="10.85546875" style="153" bestFit="1" customWidth="1"/>
    <col min="2061" max="2061" width="11.42578125" style="153" bestFit="1" customWidth="1"/>
    <col min="2062" max="2062" width="15.85546875" style="153" bestFit="1" customWidth="1"/>
    <col min="2063" max="2063" width="6.7109375" style="153" bestFit="1" customWidth="1"/>
    <col min="2064" max="2064" width="5.5703125" style="153" bestFit="1" customWidth="1"/>
    <col min="2065" max="2065" width="14.42578125" style="153" bestFit="1" customWidth="1"/>
    <col min="2066" max="2066" width="14.28515625" style="153" bestFit="1" customWidth="1"/>
    <col min="2067" max="2067" width="14.28515625" style="153" customWidth="1"/>
    <col min="2068" max="2309" width="15.7109375" style="153"/>
    <col min="2310" max="2310" width="6" style="153" bestFit="1" customWidth="1"/>
    <col min="2311" max="2311" width="7.140625" style="153" bestFit="1" customWidth="1"/>
    <col min="2312" max="2312" width="9.140625" style="153" bestFit="1" customWidth="1"/>
    <col min="2313" max="2313" width="10.85546875" style="153" bestFit="1" customWidth="1"/>
    <col min="2314" max="2314" width="10.85546875" style="153" customWidth="1"/>
    <col min="2315" max="2315" width="11.140625" style="153" bestFit="1" customWidth="1"/>
    <col min="2316" max="2316" width="10.85546875" style="153" bestFit="1" customWidth="1"/>
    <col min="2317" max="2317" width="11.42578125" style="153" bestFit="1" customWidth="1"/>
    <col min="2318" max="2318" width="15.85546875" style="153" bestFit="1" customWidth="1"/>
    <col min="2319" max="2319" width="6.7109375" style="153" bestFit="1" customWidth="1"/>
    <col min="2320" max="2320" width="5.5703125" style="153" bestFit="1" customWidth="1"/>
    <col min="2321" max="2321" width="14.42578125" style="153" bestFit="1" customWidth="1"/>
    <col min="2322" max="2322" width="14.28515625" style="153" bestFit="1" customWidth="1"/>
    <col min="2323" max="2323" width="14.28515625" style="153" customWidth="1"/>
    <col min="2324" max="2565" width="15.7109375" style="153"/>
    <col min="2566" max="2566" width="6" style="153" bestFit="1" customWidth="1"/>
    <col min="2567" max="2567" width="7.140625" style="153" bestFit="1" customWidth="1"/>
    <col min="2568" max="2568" width="9.140625" style="153" bestFit="1" customWidth="1"/>
    <col min="2569" max="2569" width="10.85546875" style="153" bestFit="1" customWidth="1"/>
    <col min="2570" max="2570" width="10.85546875" style="153" customWidth="1"/>
    <col min="2571" max="2571" width="11.140625" style="153" bestFit="1" customWidth="1"/>
    <col min="2572" max="2572" width="10.85546875" style="153" bestFit="1" customWidth="1"/>
    <col min="2573" max="2573" width="11.42578125" style="153" bestFit="1" customWidth="1"/>
    <col min="2574" max="2574" width="15.85546875" style="153" bestFit="1" customWidth="1"/>
    <col min="2575" max="2575" width="6.7109375" style="153" bestFit="1" customWidth="1"/>
    <col min="2576" max="2576" width="5.5703125" style="153" bestFit="1" customWidth="1"/>
    <col min="2577" max="2577" width="14.42578125" style="153" bestFit="1" customWidth="1"/>
    <col min="2578" max="2578" width="14.28515625" style="153" bestFit="1" customWidth="1"/>
    <col min="2579" max="2579" width="14.28515625" style="153" customWidth="1"/>
    <col min="2580" max="2821" width="15.7109375" style="153"/>
    <col min="2822" max="2822" width="6" style="153" bestFit="1" customWidth="1"/>
    <col min="2823" max="2823" width="7.140625" style="153" bestFit="1" customWidth="1"/>
    <col min="2824" max="2824" width="9.140625" style="153" bestFit="1" customWidth="1"/>
    <col min="2825" max="2825" width="10.85546875" style="153" bestFit="1" customWidth="1"/>
    <col min="2826" max="2826" width="10.85546875" style="153" customWidth="1"/>
    <col min="2827" max="2827" width="11.140625" style="153" bestFit="1" customWidth="1"/>
    <col min="2828" max="2828" width="10.85546875" style="153" bestFit="1" customWidth="1"/>
    <col min="2829" max="2829" width="11.42578125" style="153" bestFit="1" customWidth="1"/>
    <col min="2830" max="2830" width="15.85546875" style="153" bestFit="1" customWidth="1"/>
    <col min="2831" max="2831" width="6.7109375" style="153" bestFit="1" customWidth="1"/>
    <col min="2832" max="2832" width="5.5703125" style="153" bestFit="1" customWidth="1"/>
    <col min="2833" max="2833" width="14.42578125" style="153" bestFit="1" customWidth="1"/>
    <col min="2834" max="2834" width="14.28515625" style="153" bestFit="1" customWidth="1"/>
    <col min="2835" max="2835" width="14.28515625" style="153" customWidth="1"/>
    <col min="2836" max="3077" width="15.7109375" style="153"/>
    <col min="3078" max="3078" width="6" style="153" bestFit="1" customWidth="1"/>
    <col min="3079" max="3079" width="7.140625" style="153" bestFit="1" customWidth="1"/>
    <col min="3080" max="3080" width="9.140625" style="153" bestFit="1" customWidth="1"/>
    <col min="3081" max="3081" width="10.85546875" style="153" bestFit="1" customWidth="1"/>
    <col min="3082" max="3082" width="10.85546875" style="153" customWidth="1"/>
    <col min="3083" max="3083" width="11.140625" style="153" bestFit="1" customWidth="1"/>
    <col min="3084" max="3084" width="10.85546875" style="153" bestFit="1" customWidth="1"/>
    <col min="3085" max="3085" width="11.42578125" style="153" bestFit="1" customWidth="1"/>
    <col min="3086" max="3086" width="15.85546875" style="153" bestFit="1" customWidth="1"/>
    <col min="3087" max="3087" width="6.7109375" style="153" bestFit="1" customWidth="1"/>
    <col min="3088" max="3088" width="5.5703125" style="153" bestFit="1" customWidth="1"/>
    <col min="3089" max="3089" width="14.42578125" style="153" bestFit="1" customWidth="1"/>
    <col min="3090" max="3090" width="14.28515625" style="153" bestFit="1" customWidth="1"/>
    <col min="3091" max="3091" width="14.28515625" style="153" customWidth="1"/>
    <col min="3092" max="3333" width="15.7109375" style="153"/>
    <col min="3334" max="3334" width="6" style="153" bestFit="1" customWidth="1"/>
    <col min="3335" max="3335" width="7.140625" style="153" bestFit="1" customWidth="1"/>
    <col min="3336" max="3336" width="9.140625" style="153" bestFit="1" customWidth="1"/>
    <col min="3337" max="3337" width="10.85546875" style="153" bestFit="1" customWidth="1"/>
    <col min="3338" max="3338" width="10.85546875" style="153" customWidth="1"/>
    <col min="3339" max="3339" width="11.140625" style="153" bestFit="1" customWidth="1"/>
    <col min="3340" max="3340" width="10.85546875" style="153" bestFit="1" customWidth="1"/>
    <col min="3341" max="3341" width="11.42578125" style="153" bestFit="1" customWidth="1"/>
    <col min="3342" max="3342" width="15.85546875" style="153" bestFit="1" customWidth="1"/>
    <col min="3343" max="3343" width="6.7109375" style="153" bestFit="1" customWidth="1"/>
    <col min="3344" max="3344" width="5.5703125" style="153" bestFit="1" customWidth="1"/>
    <col min="3345" max="3345" width="14.42578125" style="153" bestFit="1" customWidth="1"/>
    <col min="3346" max="3346" width="14.28515625" style="153" bestFit="1" customWidth="1"/>
    <col min="3347" max="3347" width="14.28515625" style="153" customWidth="1"/>
    <col min="3348" max="3589" width="15.7109375" style="153"/>
    <col min="3590" max="3590" width="6" style="153" bestFit="1" customWidth="1"/>
    <col min="3591" max="3591" width="7.140625" style="153" bestFit="1" customWidth="1"/>
    <col min="3592" max="3592" width="9.140625" style="153" bestFit="1" customWidth="1"/>
    <col min="3593" max="3593" width="10.85546875" style="153" bestFit="1" customWidth="1"/>
    <col min="3594" max="3594" width="10.85546875" style="153" customWidth="1"/>
    <col min="3595" max="3595" width="11.140625" style="153" bestFit="1" customWidth="1"/>
    <col min="3596" max="3596" width="10.85546875" style="153" bestFit="1" customWidth="1"/>
    <col min="3597" max="3597" width="11.42578125" style="153" bestFit="1" customWidth="1"/>
    <col min="3598" max="3598" width="15.85546875" style="153" bestFit="1" customWidth="1"/>
    <col min="3599" max="3599" width="6.7109375" style="153" bestFit="1" customWidth="1"/>
    <col min="3600" max="3600" width="5.5703125" style="153" bestFit="1" customWidth="1"/>
    <col min="3601" max="3601" width="14.42578125" style="153" bestFit="1" customWidth="1"/>
    <col min="3602" max="3602" width="14.28515625" style="153" bestFit="1" customWidth="1"/>
    <col min="3603" max="3603" width="14.28515625" style="153" customWidth="1"/>
    <col min="3604" max="3845" width="15.7109375" style="153"/>
    <col min="3846" max="3846" width="6" style="153" bestFit="1" customWidth="1"/>
    <col min="3847" max="3847" width="7.140625" style="153" bestFit="1" customWidth="1"/>
    <col min="3848" max="3848" width="9.140625" style="153" bestFit="1" customWidth="1"/>
    <col min="3849" max="3849" width="10.85546875" style="153" bestFit="1" customWidth="1"/>
    <col min="3850" max="3850" width="10.85546875" style="153" customWidth="1"/>
    <col min="3851" max="3851" width="11.140625" style="153" bestFit="1" customWidth="1"/>
    <col min="3852" max="3852" width="10.85546875" style="153" bestFit="1" customWidth="1"/>
    <col min="3853" max="3853" width="11.42578125" style="153" bestFit="1" customWidth="1"/>
    <col min="3854" max="3854" width="15.85546875" style="153" bestFit="1" customWidth="1"/>
    <col min="3855" max="3855" width="6.7109375" style="153" bestFit="1" customWidth="1"/>
    <col min="3856" max="3856" width="5.5703125" style="153" bestFit="1" customWidth="1"/>
    <col min="3857" max="3857" width="14.42578125" style="153" bestFit="1" customWidth="1"/>
    <col min="3858" max="3858" width="14.28515625" style="153" bestFit="1" customWidth="1"/>
    <col min="3859" max="3859" width="14.28515625" style="153" customWidth="1"/>
    <col min="3860" max="4101" width="15.7109375" style="153"/>
    <col min="4102" max="4102" width="6" style="153" bestFit="1" customWidth="1"/>
    <col min="4103" max="4103" width="7.140625" style="153" bestFit="1" customWidth="1"/>
    <col min="4104" max="4104" width="9.140625" style="153" bestFit="1" customWidth="1"/>
    <col min="4105" max="4105" width="10.85546875" style="153" bestFit="1" customWidth="1"/>
    <col min="4106" max="4106" width="10.85546875" style="153" customWidth="1"/>
    <col min="4107" max="4107" width="11.140625" style="153" bestFit="1" customWidth="1"/>
    <col min="4108" max="4108" width="10.85546875" style="153" bestFit="1" customWidth="1"/>
    <col min="4109" max="4109" width="11.42578125" style="153" bestFit="1" customWidth="1"/>
    <col min="4110" max="4110" width="15.85546875" style="153" bestFit="1" customWidth="1"/>
    <col min="4111" max="4111" width="6.7109375" style="153" bestFit="1" customWidth="1"/>
    <col min="4112" max="4112" width="5.5703125" style="153" bestFit="1" customWidth="1"/>
    <col min="4113" max="4113" width="14.42578125" style="153" bestFit="1" customWidth="1"/>
    <col min="4114" max="4114" width="14.28515625" style="153" bestFit="1" customWidth="1"/>
    <col min="4115" max="4115" width="14.28515625" style="153" customWidth="1"/>
    <col min="4116" max="4357" width="15.7109375" style="153"/>
    <col min="4358" max="4358" width="6" style="153" bestFit="1" customWidth="1"/>
    <col min="4359" max="4359" width="7.140625" style="153" bestFit="1" customWidth="1"/>
    <col min="4360" max="4360" width="9.140625" style="153" bestFit="1" customWidth="1"/>
    <col min="4361" max="4361" width="10.85546875" style="153" bestFit="1" customWidth="1"/>
    <col min="4362" max="4362" width="10.85546875" style="153" customWidth="1"/>
    <col min="4363" max="4363" width="11.140625" style="153" bestFit="1" customWidth="1"/>
    <col min="4364" max="4364" width="10.85546875" style="153" bestFit="1" customWidth="1"/>
    <col min="4365" max="4365" width="11.42578125" style="153" bestFit="1" customWidth="1"/>
    <col min="4366" max="4366" width="15.85546875" style="153" bestFit="1" customWidth="1"/>
    <col min="4367" max="4367" width="6.7109375" style="153" bestFit="1" customWidth="1"/>
    <col min="4368" max="4368" width="5.5703125" style="153" bestFit="1" customWidth="1"/>
    <col min="4369" max="4369" width="14.42578125" style="153" bestFit="1" customWidth="1"/>
    <col min="4370" max="4370" width="14.28515625" style="153" bestFit="1" customWidth="1"/>
    <col min="4371" max="4371" width="14.28515625" style="153" customWidth="1"/>
    <col min="4372" max="4613" width="15.7109375" style="153"/>
    <col min="4614" max="4614" width="6" style="153" bestFit="1" customWidth="1"/>
    <col min="4615" max="4615" width="7.140625" style="153" bestFit="1" customWidth="1"/>
    <col min="4616" max="4616" width="9.140625" style="153" bestFit="1" customWidth="1"/>
    <col min="4617" max="4617" width="10.85546875" style="153" bestFit="1" customWidth="1"/>
    <col min="4618" max="4618" width="10.85546875" style="153" customWidth="1"/>
    <col min="4619" max="4619" width="11.140625" style="153" bestFit="1" customWidth="1"/>
    <col min="4620" max="4620" width="10.85546875" style="153" bestFit="1" customWidth="1"/>
    <col min="4621" max="4621" width="11.42578125" style="153" bestFit="1" customWidth="1"/>
    <col min="4622" max="4622" width="15.85546875" style="153" bestFit="1" customWidth="1"/>
    <col min="4623" max="4623" width="6.7109375" style="153" bestFit="1" customWidth="1"/>
    <col min="4624" max="4624" width="5.5703125" style="153" bestFit="1" customWidth="1"/>
    <col min="4625" max="4625" width="14.42578125" style="153" bestFit="1" customWidth="1"/>
    <col min="4626" max="4626" width="14.28515625" style="153" bestFit="1" customWidth="1"/>
    <col min="4627" max="4627" width="14.28515625" style="153" customWidth="1"/>
    <col min="4628" max="4869" width="15.7109375" style="153"/>
    <col min="4870" max="4870" width="6" style="153" bestFit="1" customWidth="1"/>
    <col min="4871" max="4871" width="7.140625" style="153" bestFit="1" customWidth="1"/>
    <col min="4872" max="4872" width="9.140625" style="153" bestFit="1" customWidth="1"/>
    <col min="4873" max="4873" width="10.85546875" style="153" bestFit="1" customWidth="1"/>
    <col min="4874" max="4874" width="10.85546875" style="153" customWidth="1"/>
    <col min="4875" max="4875" width="11.140625" style="153" bestFit="1" customWidth="1"/>
    <col min="4876" max="4876" width="10.85546875" style="153" bestFit="1" customWidth="1"/>
    <col min="4877" max="4877" width="11.42578125" style="153" bestFit="1" customWidth="1"/>
    <col min="4878" max="4878" width="15.85546875" style="153" bestFit="1" customWidth="1"/>
    <col min="4879" max="4879" width="6.7109375" style="153" bestFit="1" customWidth="1"/>
    <col min="4880" max="4880" width="5.5703125" style="153" bestFit="1" customWidth="1"/>
    <col min="4881" max="4881" width="14.42578125" style="153" bestFit="1" customWidth="1"/>
    <col min="4882" max="4882" width="14.28515625" style="153" bestFit="1" customWidth="1"/>
    <col min="4883" max="4883" width="14.28515625" style="153" customWidth="1"/>
    <col min="4884" max="5125" width="15.7109375" style="153"/>
    <col min="5126" max="5126" width="6" style="153" bestFit="1" customWidth="1"/>
    <col min="5127" max="5127" width="7.140625" style="153" bestFit="1" customWidth="1"/>
    <col min="5128" max="5128" width="9.140625" style="153" bestFit="1" customWidth="1"/>
    <col min="5129" max="5129" width="10.85546875" style="153" bestFit="1" customWidth="1"/>
    <col min="5130" max="5130" width="10.85546875" style="153" customWidth="1"/>
    <col min="5131" max="5131" width="11.140625" style="153" bestFit="1" customWidth="1"/>
    <col min="5132" max="5132" width="10.85546875" style="153" bestFit="1" customWidth="1"/>
    <col min="5133" max="5133" width="11.42578125" style="153" bestFit="1" customWidth="1"/>
    <col min="5134" max="5134" width="15.85546875" style="153" bestFit="1" customWidth="1"/>
    <col min="5135" max="5135" width="6.7109375" style="153" bestFit="1" customWidth="1"/>
    <col min="5136" max="5136" width="5.5703125" style="153" bestFit="1" customWidth="1"/>
    <col min="5137" max="5137" width="14.42578125" style="153" bestFit="1" customWidth="1"/>
    <col min="5138" max="5138" width="14.28515625" style="153" bestFit="1" customWidth="1"/>
    <col min="5139" max="5139" width="14.28515625" style="153" customWidth="1"/>
    <col min="5140" max="5381" width="15.7109375" style="153"/>
    <col min="5382" max="5382" width="6" style="153" bestFit="1" customWidth="1"/>
    <col min="5383" max="5383" width="7.140625" style="153" bestFit="1" customWidth="1"/>
    <col min="5384" max="5384" width="9.140625" style="153" bestFit="1" customWidth="1"/>
    <col min="5385" max="5385" width="10.85546875" style="153" bestFit="1" customWidth="1"/>
    <col min="5386" max="5386" width="10.85546875" style="153" customWidth="1"/>
    <col min="5387" max="5387" width="11.140625" style="153" bestFit="1" customWidth="1"/>
    <col min="5388" max="5388" width="10.85546875" style="153" bestFit="1" customWidth="1"/>
    <col min="5389" max="5389" width="11.42578125" style="153" bestFit="1" customWidth="1"/>
    <col min="5390" max="5390" width="15.85546875" style="153" bestFit="1" customWidth="1"/>
    <col min="5391" max="5391" width="6.7109375" style="153" bestFit="1" customWidth="1"/>
    <col min="5392" max="5392" width="5.5703125" style="153" bestFit="1" customWidth="1"/>
    <col min="5393" max="5393" width="14.42578125" style="153" bestFit="1" customWidth="1"/>
    <col min="5394" max="5394" width="14.28515625" style="153" bestFit="1" customWidth="1"/>
    <col min="5395" max="5395" width="14.28515625" style="153" customWidth="1"/>
    <col min="5396" max="5637" width="15.7109375" style="153"/>
    <col min="5638" max="5638" width="6" style="153" bestFit="1" customWidth="1"/>
    <col min="5639" max="5639" width="7.140625" style="153" bestFit="1" customWidth="1"/>
    <col min="5640" max="5640" width="9.140625" style="153" bestFit="1" customWidth="1"/>
    <col min="5641" max="5641" width="10.85546875" style="153" bestFit="1" customWidth="1"/>
    <col min="5642" max="5642" width="10.85546875" style="153" customWidth="1"/>
    <col min="5643" max="5643" width="11.140625" style="153" bestFit="1" customWidth="1"/>
    <col min="5644" max="5644" width="10.85546875" style="153" bestFit="1" customWidth="1"/>
    <col min="5645" max="5645" width="11.42578125" style="153" bestFit="1" customWidth="1"/>
    <col min="5646" max="5646" width="15.85546875" style="153" bestFit="1" customWidth="1"/>
    <col min="5647" max="5647" width="6.7109375" style="153" bestFit="1" customWidth="1"/>
    <col min="5648" max="5648" width="5.5703125" style="153" bestFit="1" customWidth="1"/>
    <col min="5649" max="5649" width="14.42578125" style="153" bestFit="1" customWidth="1"/>
    <col min="5650" max="5650" width="14.28515625" style="153" bestFit="1" customWidth="1"/>
    <col min="5651" max="5651" width="14.28515625" style="153" customWidth="1"/>
    <col min="5652" max="5893" width="15.7109375" style="153"/>
    <col min="5894" max="5894" width="6" style="153" bestFit="1" customWidth="1"/>
    <col min="5895" max="5895" width="7.140625" style="153" bestFit="1" customWidth="1"/>
    <col min="5896" max="5896" width="9.140625" style="153" bestFit="1" customWidth="1"/>
    <col min="5897" max="5897" width="10.85546875" style="153" bestFit="1" customWidth="1"/>
    <col min="5898" max="5898" width="10.85546875" style="153" customWidth="1"/>
    <col min="5899" max="5899" width="11.140625" style="153" bestFit="1" customWidth="1"/>
    <col min="5900" max="5900" width="10.85546875" style="153" bestFit="1" customWidth="1"/>
    <col min="5901" max="5901" width="11.42578125" style="153" bestFit="1" customWidth="1"/>
    <col min="5902" max="5902" width="15.85546875" style="153" bestFit="1" customWidth="1"/>
    <col min="5903" max="5903" width="6.7109375" style="153" bestFit="1" customWidth="1"/>
    <col min="5904" max="5904" width="5.5703125" style="153" bestFit="1" customWidth="1"/>
    <col min="5905" max="5905" width="14.42578125" style="153" bestFit="1" customWidth="1"/>
    <col min="5906" max="5906" width="14.28515625" style="153" bestFit="1" customWidth="1"/>
    <col min="5907" max="5907" width="14.28515625" style="153" customWidth="1"/>
    <col min="5908" max="6149" width="15.7109375" style="153"/>
    <col min="6150" max="6150" width="6" style="153" bestFit="1" customWidth="1"/>
    <col min="6151" max="6151" width="7.140625" style="153" bestFit="1" customWidth="1"/>
    <col min="6152" max="6152" width="9.140625" style="153" bestFit="1" customWidth="1"/>
    <col min="6153" max="6153" width="10.85546875" style="153" bestFit="1" customWidth="1"/>
    <col min="6154" max="6154" width="10.85546875" style="153" customWidth="1"/>
    <col min="6155" max="6155" width="11.140625" style="153" bestFit="1" customWidth="1"/>
    <col min="6156" max="6156" width="10.85546875" style="153" bestFit="1" customWidth="1"/>
    <col min="6157" max="6157" width="11.42578125" style="153" bestFit="1" customWidth="1"/>
    <col min="6158" max="6158" width="15.85546875" style="153" bestFit="1" customWidth="1"/>
    <col min="6159" max="6159" width="6.7109375" style="153" bestFit="1" customWidth="1"/>
    <col min="6160" max="6160" width="5.5703125" style="153" bestFit="1" customWidth="1"/>
    <col min="6161" max="6161" width="14.42578125" style="153" bestFit="1" customWidth="1"/>
    <col min="6162" max="6162" width="14.28515625" style="153" bestFit="1" customWidth="1"/>
    <col min="6163" max="6163" width="14.28515625" style="153" customWidth="1"/>
    <col min="6164" max="6405" width="15.7109375" style="153"/>
    <col min="6406" max="6406" width="6" style="153" bestFit="1" customWidth="1"/>
    <col min="6407" max="6407" width="7.140625" style="153" bestFit="1" customWidth="1"/>
    <col min="6408" max="6408" width="9.140625" style="153" bestFit="1" customWidth="1"/>
    <col min="6409" max="6409" width="10.85546875" style="153" bestFit="1" customWidth="1"/>
    <col min="6410" max="6410" width="10.85546875" style="153" customWidth="1"/>
    <col min="6411" max="6411" width="11.140625" style="153" bestFit="1" customWidth="1"/>
    <col min="6412" max="6412" width="10.85546875" style="153" bestFit="1" customWidth="1"/>
    <col min="6413" max="6413" width="11.42578125" style="153" bestFit="1" customWidth="1"/>
    <col min="6414" max="6414" width="15.85546875" style="153" bestFit="1" customWidth="1"/>
    <col min="6415" max="6415" width="6.7109375" style="153" bestFit="1" customWidth="1"/>
    <col min="6416" max="6416" width="5.5703125" style="153" bestFit="1" customWidth="1"/>
    <col min="6417" max="6417" width="14.42578125" style="153" bestFit="1" customWidth="1"/>
    <col min="6418" max="6418" width="14.28515625" style="153" bestFit="1" customWidth="1"/>
    <col min="6419" max="6419" width="14.28515625" style="153" customWidth="1"/>
    <col min="6420" max="6661" width="15.7109375" style="153"/>
    <col min="6662" max="6662" width="6" style="153" bestFit="1" customWidth="1"/>
    <col min="6663" max="6663" width="7.140625" style="153" bestFit="1" customWidth="1"/>
    <col min="6664" max="6664" width="9.140625" style="153" bestFit="1" customWidth="1"/>
    <col min="6665" max="6665" width="10.85546875" style="153" bestFit="1" customWidth="1"/>
    <col min="6666" max="6666" width="10.85546875" style="153" customWidth="1"/>
    <col min="6667" max="6667" width="11.140625" style="153" bestFit="1" customWidth="1"/>
    <col min="6668" max="6668" width="10.85546875" style="153" bestFit="1" customWidth="1"/>
    <col min="6669" max="6669" width="11.42578125" style="153" bestFit="1" customWidth="1"/>
    <col min="6670" max="6670" width="15.85546875" style="153" bestFit="1" customWidth="1"/>
    <col min="6671" max="6671" width="6.7109375" style="153" bestFit="1" customWidth="1"/>
    <col min="6672" max="6672" width="5.5703125" style="153" bestFit="1" customWidth="1"/>
    <col min="6673" max="6673" width="14.42578125" style="153" bestFit="1" customWidth="1"/>
    <col min="6674" max="6674" width="14.28515625" style="153" bestFit="1" customWidth="1"/>
    <col min="6675" max="6675" width="14.28515625" style="153" customWidth="1"/>
    <col min="6676" max="6917" width="15.7109375" style="153"/>
    <col min="6918" max="6918" width="6" style="153" bestFit="1" customWidth="1"/>
    <col min="6919" max="6919" width="7.140625" style="153" bestFit="1" customWidth="1"/>
    <col min="6920" max="6920" width="9.140625" style="153" bestFit="1" customWidth="1"/>
    <col min="6921" max="6921" width="10.85546875" style="153" bestFit="1" customWidth="1"/>
    <col min="6922" max="6922" width="10.85546875" style="153" customWidth="1"/>
    <col min="6923" max="6923" width="11.140625" style="153" bestFit="1" customWidth="1"/>
    <col min="6924" max="6924" width="10.85546875" style="153" bestFit="1" customWidth="1"/>
    <col min="6925" max="6925" width="11.42578125" style="153" bestFit="1" customWidth="1"/>
    <col min="6926" max="6926" width="15.85546875" style="153" bestFit="1" customWidth="1"/>
    <col min="6927" max="6927" width="6.7109375" style="153" bestFit="1" customWidth="1"/>
    <col min="6928" max="6928" width="5.5703125" style="153" bestFit="1" customWidth="1"/>
    <col min="6929" max="6929" width="14.42578125" style="153" bestFit="1" customWidth="1"/>
    <col min="6930" max="6930" width="14.28515625" style="153" bestFit="1" customWidth="1"/>
    <col min="6931" max="6931" width="14.28515625" style="153" customWidth="1"/>
    <col min="6932" max="7173" width="15.7109375" style="153"/>
    <col min="7174" max="7174" width="6" style="153" bestFit="1" customWidth="1"/>
    <col min="7175" max="7175" width="7.140625" style="153" bestFit="1" customWidth="1"/>
    <col min="7176" max="7176" width="9.140625" style="153" bestFit="1" customWidth="1"/>
    <col min="7177" max="7177" width="10.85546875" style="153" bestFit="1" customWidth="1"/>
    <col min="7178" max="7178" width="10.85546875" style="153" customWidth="1"/>
    <col min="7179" max="7179" width="11.140625" style="153" bestFit="1" customWidth="1"/>
    <col min="7180" max="7180" width="10.85546875" style="153" bestFit="1" customWidth="1"/>
    <col min="7181" max="7181" width="11.42578125" style="153" bestFit="1" customWidth="1"/>
    <col min="7182" max="7182" width="15.85546875" style="153" bestFit="1" customWidth="1"/>
    <col min="7183" max="7183" width="6.7109375" style="153" bestFit="1" customWidth="1"/>
    <col min="7184" max="7184" width="5.5703125" style="153" bestFit="1" customWidth="1"/>
    <col min="7185" max="7185" width="14.42578125" style="153" bestFit="1" customWidth="1"/>
    <col min="7186" max="7186" width="14.28515625" style="153" bestFit="1" customWidth="1"/>
    <col min="7187" max="7187" width="14.28515625" style="153" customWidth="1"/>
    <col min="7188" max="7429" width="15.7109375" style="153"/>
    <col min="7430" max="7430" width="6" style="153" bestFit="1" customWidth="1"/>
    <col min="7431" max="7431" width="7.140625" style="153" bestFit="1" customWidth="1"/>
    <col min="7432" max="7432" width="9.140625" style="153" bestFit="1" customWidth="1"/>
    <col min="7433" max="7433" width="10.85546875" style="153" bestFit="1" customWidth="1"/>
    <col min="7434" max="7434" width="10.85546875" style="153" customWidth="1"/>
    <col min="7435" max="7435" width="11.140625" style="153" bestFit="1" customWidth="1"/>
    <col min="7436" max="7436" width="10.85546875" style="153" bestFit="1" customWidth="1"/>
    <col min="7437" max="7437" width="11.42578125" style="153" bestFit="1" customWidth="1"/>
    <col min="7438" max="7438" width="15.85546875" style="153" bestFit="1" customWidth="1"/>
    <col min="7439" max="7439" width="6.7109375" style="153" bestFit="1" customWidth="1"/>
    <col min="7440" max="7440" width="5.5703125" style="153" bestFit="1" customWidth="1"/>
    <col min="7441" max="7441" width="14.42578125" style="153" bestFit="1" customWidth="1"/>
    <col min="7442" max="7442" width="14.28515625" style="153" bestFit="1" customWidth="1"/>
    <col min="7443" max="7443" width="14.28515625" style="153" customWidth="1"/>
    <col min="7444" max="7685" width="15.7109375" style="153"/>
    <col min="7686" max="7686" width="6" style="153" bestFit="1" customWidth="1"/>
    <col min="7687" max="7687" width="7.140625" style="153" bestFit="1" customWidth="1"/>
    <col min="7688" max="7688" width="9.140625" style="153" bestFit="1" customWidth="1"/>
    <col min="7689" max="7689" width="10.85546875" style="153" bestFit="1" customWidth="1"/>
    <col min="7690" max="7690" width="10.85546875" style="153" customWidth="1"/>
    <col min="7691" max="7691" width="11.140625" style="153" bestFit="1" customWidth="1"/>
    <col min="7692" max="7692" width="10.85546875" style="153" bestFit="1" customWidth="1"/>
    <col min="7693" max="7693" width="11.42578125" style="153" bestFit="1" customWidth="1"/>
    <col min="7694" max="7694" width="15.85546875" style="153" bestFit="1" customWidth="1"/>
    <col min="7695" max="7695" width="6.7109375" style="153" bestFit="1" customWidth="1"/>
    <col min="7696" max="7696" width="5.5703125" style="153" bestFit="1" customWidth="1"/>
    <col min="7697" max="7697" width="14.42578125" style="153" bestFit="1" customWidth="1"/>
    <col min="7698" max="7698" width="14.28515625" style="153" bestFit="1" customWidth="1"/>
    <col min="7699" max="7699" width="14.28515625" style="153" customWidth="1"/>
    <col min="7700" max="7941" width="15.7109375" style="153"/>
    <col min="7942" max="7942" width="6" style="153" bestFit="1" customWidth="1"/>
    <col min="7943" max="7943" width="7.140625" style="153" bestFit="1" customWidth="1"/>
    <col min="7944" max="7944" width="9.140625" style="153" bestFit="1" customWidth="1"/>
    <col min="7945" max="7945" width="10.85546875" style="153" bestFit="1" customWidth="1"/>
    <col min="7946" max="7946" width="10.85546875" style="153" customWidth="1"/>
    <col min="7947" max="7947" width="11.140625" style="153" bestFit="1" customWidth="1"/>
    <col min="7948" max="7948" width="10.85546875" style="153" bestFit="1" customWidth="1"/>
    <col min="7949" max="7949" width="11.42578125" style="153" bestFit="1" customWidth="1"/>
    <col min="7950" max="7950" width="15.85546875" style="153" bestFit="1" customWidth="1"/>
    <col min="7951" max="7951" width="6.7109375" style="153" bestFit="1" customWidth="1"/>
    <col min="7952" max="7952" width="5.5703125" style="153" bestFit="1" customWidth="1"/>
    <col min="7953" max="7953" width="14.42578125" style="153" bestFit="1" customWidth="1"/>
    <col min="7954" max="7954" width="14.28515625" style="153" bestFit="1" customWidth="1"/>
    <col min="7955" max="7955" width="14.28515625" style="153" customWidth="1"/>
    <col min="7956" max="8197" width="15.7109375" style="153"/>
    <col min="8198" max="8198" width="6" style="153" bestFit="1" customWidth="1"/>
    <col min="8199" max="8199" width="7.140625" style="153" bestFit="1" customWidth="1"/>
    <col min="8200" max="8200" width="9.140625" style="153" bestFit="1" customWidth="1"/>
    <col min="8201" max="8201" width="10.85546875" style="153" bestFit="1" customWidth="1"/>
    <col min="8202" max="8202" width="10.85546875" style="153" customWidth="1"/>
    <col min="8203" max="8203" width="11.140625" style="153" bestFit="1" customWidth="1"/>
    <col min="8204" max="8204" width="10.85546875" style="153" bestFit="1" customWidth="1"/>
    <col min="8205" max="8205" width="11.42578125" style="153" bestFit="1" customWidth="1"/>
    <col min="8206" max="8206" width="15.85546875" style="153" bestFit="1" customWidth="1"/>
    <col min="8207" max="8207" width="6.7109375" style="153" bestFit="1" customWidth="1"/>
    <col min="8208" max="8208" width="5.5703125" style="153" bestFit="1" customWidth="1"/>
    <col min="8209" max="8209" width="14.42578125" style="153" bestFit="1" customWidth="1"/>
    <col min="8210" max="8210" width="14.28515625" style="153" bestFit="1" customWidth="1"/>
    <col min="8211" max="8211" width="14.28515625" style="153" customWidth="1"/>
    <col min="8212" max="8453" width="15.7109375" style="153"/>
    <col min="8454" max="8454" width="6" style="153" bestFit="1" customWidth="1"/>
    <col min="8455" max="8455" width="7.140625" style="153" bestFit="1" customWidth="1"/>
    <col min="8456" max="8456" width="9.140625" style="153" bestFit="1" customWidth="1"/>
    <col min="8457" max="8457" width="10.85546875" style="153" bestFit="1" customWidth="1"/>
    <col min="8458" max="8458" width="10.85546875" style="153" customWidth="1"/>
    <col min="8459" max="8459" width="11.140625" style="153" bestFit="1" customWidth="1"/>
    <col min="8460" max="8460" width="10.85546875" style="153" bestFit="1" customWidth="1"/>
    <col min="8461" max="8461" width="11.42578125" style="153" bestFit="1" customWidth="1"/>
    <col min="8462" max="8462" width="15.85546875" style="153" bestFit="1" customWidth="1"/>
    <col min="8463" max="8463" width="6.7109375" style="153" bestFit="1" customWidth="1"/>
    <col min="8464" max="8464" width="5.5703125" style="153" bestFit="1" customWidth="1"/>
    <col min="8465" max="8465" width="14.42578125" style="153" bestFit="1" customWidth="1"/>
    <col min="8466" max="8466" width="14.28515625" style="153" bestFit="1" customWidth="1"/>
    <col min="8467" max="8467" width="14.28515625" style="153" customWidth="1"/>
    <col min="8468" max="8709" width="15.7109375" style="153"/>
    <col min="8710" max="8710" width="6" style="153" bestFit="1" customWidth="1"/>
    <col min="8711" max="8711" width="7.140625" style="153" bestFit="1" customWidth="1"/>
    <col min="8712" max="8712" width="9.140625" style="153" bestFit="1" customWidth="1"/>
    <col min="8713" max="8713" width="10.85546875" style="153" bestFit="1" customWidth="1"/>
    <col min="8714" max="8714" width="10.85546875" style="153" customWidth="1"/>
    <col min="8715" max="8715" width="11.140625" style="153" bestFit="1" customWidth="1"/>
    <col min="8716" max="8716" width="10.85546875" style="153" bestFit="1" customWidth="1"/>
    <col min="8717" max="8717" width="11.42578125" style="153" bestFit="1" customWidth="1"/>
    <col min="8718" max="8718" width="15.85546875" style="153" bestFit="1" customWidth="1"/>
    <col min="8719" max="8719" width="6.7109375" style="153" bestFit="1" customWidth="1"/>
    <col min="8720" max="8720" width="5.5703125" style="153" bestFit="1" customWidth="1"/>
    <col min="8721" max="8721" width="14.42578125" style="153" bestFit="1" customWidth="1"/>
    <col min="8722" max="8722" width="14.28515625" style="153" bestFit="1" customWidth="1"/>
    <col min="8723" max="8723" width="14.28515625" style="153" customWidth="1"/>
    <col min="8724" max="8965" width="15.7109375" style="153"/>
    <col min="8966" max="8966" width="6" style="153" bestFit="1" customWidth="1"/>
    <col min="8967" max="8967" width="7.140625" style="153" bestFit="1" customWidth="1"/>
    <col min="8968" max="8968" width="9.140625" style="153" bestFit="1" customWidth="1"/>
    <col min="8969" max="8969" width="10.85546875" style="153" bestFit="1" customWidth="1"/>
    <col min="8970" max="8970" width="10.85546875" style="153" customWidth="1"/>
    <col min="8971" max="8971" width="11.140625" style="153" bestFit="1" customWidth="1"/>
    <col min="8972" max="8972" width="10.85546875" style="153" bestFit="1" customWidth="1"/>
    <col min="8973" max="8973" width="11.42578125" style="153" bestFit="1" customWidth="1"/>
    <col min="8974" max="8974" width="15.85546875" style="153" bestFit="1" customWidth="1"/>
    <col min="8975" max="8975" width="6.7109375" style="153" bestFit="1" customWidth="1"/>
    <col min="8976" max="8976" width="5.5703125" style="153" bestFit="1" customWidth="1"/>
    <col min="8977" max="8977" width="14.42578125" style="153" bestFit="1" customWidth="1"/>
    <col min="8978" max="8978" width="14.28515625" style="153" bestFit="1" customWidth="1"/>
    <col min="8979" max="8979" width="14.28515625" style="153" customWidth="1"/>
    <col min="8980" max="9221" width="15.7109375" style="153"/>
    <col min="9222" max="9222" width="6" style="153" bestFit="1" customWidth="1"/>
    <col min="9223" max="9223" width="7.140625" style="153" bestFit="1" customWidth="1"/>
    <col min="9224" max="9224" width="9.140625" style="153" bestFit="1" customWidth="1"/>
    <col min="9225" max="9225" width="10.85546875" style="153" bestFit="1" customWidth="1"/>
    <col min="9226" max="9226" width="10.85546875" style="153" customWidth="1"/>
    <col min="9227" max="9227" width="11.140625" style="153" bestFit="1" customWidth="1"/>
    <col min="9228" max="9228" width="10.85546875" style="153" bestFit="1" customWidth="1"/>
    <col min="9229" max="9229" width="11.42578125" style="153" bestFit="1" customWidth="1"/>
    <col min="9230" max="9230" width="15.85546875" style="153" bestFit="1" customWidth="1"/>
    <col min="9231" max="9231" width="6.7109375" style="153" bestFit="1" customWidth="1"/>
    <col min="9232" max="9232" width="5.5703125" style="153" bestFit="1" customWidth="1"/>
    <col min="9233" max="9233" width="14.42578125" style="153" bestFit="1" customWidth="1"/>
    <col min="9234" max="9234" width="14.28515625" style="153" bestFit="1" customWidth="1"/>
    <col min="9235" max="9235" width="14.28515625" style="153" customWidth="1"/>
    <col min="9236" max="9477" width="15.7109375" style="153"/>
    <col min="9478" max="9478" width="6" style="153" bestFit="1" customWidth="1"/>
    <col min="9479" max="9479" width="7.140625" style="153" bestFit="1" customWidth="1"/>
    <col min="9480" max="9480" width="9.140625" style="153" bestFit="1" customWidth="1"/>
    <col min="9481" max="9481" width="10.85546875" style="153" bestFit="1" customWidth="1"/>
    <col min="9482" max="9482" width="10.85546875" style="153" customWidth="1"/>
    <col min="9483" max="9483" width="11.140625" style="153" bestFit="1" customWidth="1"/>
    <col min="9484" max="9484" width="10.85546875" style="153" bestFit="1" customWidth="1"/>
    <col min="9485" max="9485" width="11.42578125" style="153" bestFit="1" customWidth="1"/>
    <col min="9486" max="9486" width="15.85546875" style="153" bestFit="1" customWidth="1"/>
    <col min="9487" max="9487" width="6.7109375" style="153" bestFit="1" customWidth="1"/>
    <col min="9488" max="9488" width="5.5703125" style="153" bestFit="1" customWidth="1"/>
    <col min="9489" max="9489" width="14.42578125" style="153" bestFit="1" customWidth="1"/>
    <col min="9490" max="9490" width="14.28515625" style="153" bestFit="1" customWidth="1"/>
    <col min="9491" max="9491" width="14.28515625" style="153" customWidth="1"/>
    <col min="9492" max="9733" width="15.7109375" style="153"/>
    <col min="9734" max="9734" width="6" style="153" bestFit="1" customWidth="1"/>
    <col min="9735" max="9735" width="7.140625" style="153" bestFit="1" customWidth="1"/>
    <col min="9736" max="9736" width="9.140625" style="153" bestFit="1" customWidth="1"/>
    <col min="9737" max="9737" width="10.85546875" style="153" bestFit="1" customWidth="1"/>
    <col min="9738" max="9738" width="10.85546875" style="153" customWidth="1"/>
    <col min="9739" max="9739" width="11.140625" style="153" bestFit="1" customWidth="1"/>
    <col min="9740" max="9740" width="10.85546875" style="153" bestFit="1" customWidth="1"/>
    <col min="9741" max="9741" width="11.42578125" style="153" bestFit="1" customWidth="1"/>
    <col min="9742" max="9742" width="15.85546875" style="153" bestFit="1" customWidth="1"/>
    <col min="9743" max="9743" width="6.7109375" style="153" bestFit="1" customWidth="1"/>
    <col min="9744" max="9744" width="5.5703125" style="153" bestFit="1" customWidth="1"/>
    <col min="9745" max="9745" width="14.42578125" style="153" bestFit="1" customWidth="1"/>
    <col min="9746" max="9746" width="14.28515625" style="153" bestFit="1" customWidth="1"/>
    <col min="9747" max="9747" width="14.28515625" style="153" customWidth="1"/>
    <col min="9748" max="9989" width="15.7109375" style="153"/>
    <col min="9990" max="9990" width="6" style="153" bestFit="1" customWidth="1"/>
    <col min="9991" max="9991" width="7.140625" style="153" bestFit="1" customWidth="1"/>
    <col min="9992" max="9992" width="9.140625" style="153" bestFit="1" customWidth="1"/>
    <col min="9993" max="9993" width="10.85546875" style="153" bestFit="1" customWidth="1"/>
    <col min="9994" max="9994" width="10.85546875" style="153" customWidth="1"/>
    <col min="9995" max="9995" width="11.140625" style="153" bestFit="1" customWidth="1"/>
    <col min="9996" max="9996" width="10.85546875" style="153" bestFit="1" customWidth="1"/>
    <col min="9997" max="9997" width="11.42578125" style="153" bestFit="1" customWidth="1"/>
    <col min="9998" max="9998" width="15.85546875" style="153" bestFit="1" customWidth="1"/>
    <col min="9999" max="9999" width="6.7109375" style="153" bestFit="1" customWidth="1"/>
    <col min="10000" max="10000" width="5.5703125" style="153" bestFit="1" customWidth="1"/>
    <col min="10001" max="10001" width="14.42578125" style="153" bestFit="1" customWidth="1"/>
    <col min="10002" max="10002" width="14.28515625" style="153" bestFit="1" customWidth="1"/>
    <col min="10003" max="10003" width="14.28515625" style="153" customWidth="1"/>
    <col min="10004" max="10245" width="15.7109375" style="153"/>
    <col min="10246" max="10246" width="6" style="153" bestFit="1" customWidth="1"/>
    <col min="10247" max="10247" width="7.140625" style="153" bestFit="1" customWidth="1"/>
    <col min="10248" max="10248" width="9.140625" style="153" bestFit="1" customWidth="1"/>
    <col min="10249" max="10249" width="10.85546875" style="153" bestFit="1" customWidth="1"/>
    <col min="10250" max="10250" width="10.85546875" style="153" customWidth="1"/>
    <col min="10251" max="10251" width="11.140625" style="153" bestFit="1" customWidth="1"/>
    <col min="10252" max="10252" width="10.85546875" style="153" bestFit="1" customWidth="1"/>
    <col min="10253" max="10253" width="11.42578125" style="153" bestFit="1" customWidth="1"/>
    <col min="10254" max="10254" width="15.85546875" style="153" bestFit="1" customWidth="1"/>
    <col min="10255" max="10255" width="6.7109375" style="153" bestFit="1" customWidth="1"/>
    <col min="10256" max="10256" width="5.5703125" style="153" bestFit="1" customWidth="1"/>
    <col min="10257" max="10257" width="14.42578125" style="153" bestFit="1" customWidth="1"/>
    <col min="10258" max="10258" width="14.28515625" style="153" bestFit="1" customWidth="1"/>
    <col min="10259" max="10259" width="14.28515625" style="153" customWidth="1"/>
    <col min="10260" max="10501" width="15.7109375" style="153"/>
    <col min="10502" max="10502" width="6" style="153" bestFit="1" customWidth="1"/>
    <col min="10503" max="10503" width="7.140625" style="153" bestFit="1" customWidth="1"/>
    <col min="10504" max="10504" width="9.140625" style="153" bestFit="1" customWidth="1"/>
    <col min="10505" max="10505" width="10.85546875" style="153" bestFit="1" customWidth="1"/>
    <col min="10506" max="10506" width="10.85546875" style="153" customWidth="1"/>
    <col min="10507" max="10507" width="11.140625" style="153" bestFit="1" customWidth="1"/>
    <col min="10508" max="10508" width="10.85546875" style="153" bestFit="1" customWidth="1"/>
    <col min="10509" max="10509" width="11.42578125" style="153" bestFit="1" customWidth="1"/>
    <col min="10510" max="10510" width="15.85546875" style="153" bestFit="1" customWidth="1"/>
    <col min="10511" max="10511" width="6.7109375" style="153" bestFit="1" customWidth="1"/>
    <col min="10512" max="10512" width="5.5703125" style="153" bestFit="1" customWidth="1"/>
    <col min="10513" max="10513" width="14.42578125" style="153" bestFit="1" customWidth="1"/>
    <col min="10514" max="10514" width="14.28515625" style="153" bestFit="1" customWidth="1"/>
    <col min="10515" max="10515" width="14.28515625" style="153" customWidth="1"/>
    <col min="10516" max="10757" width="15.7109375" style="153"/>
    <col min="10758" max="10758" width="6" style="153" bestFit="1" customWidth="1"/>
    <col min="10759" max="10759" width="7.140625" style="153" bestFit="1" customWidth="1"/>
    <col min="10760" max="10760" width="9.140625" style="153" bestFit="1" customWidth="1"/>
    <col min="10761" max="10761" width="10.85546875" style="153" bestFit="1" customWidth="1"/>
    <col min="10762" max="10762" width="10.85546875" style="153" customWidth="1"/>
    <col min="10763" max="10763" width="11.140625" style="153" bestFit="1" customWidth="1"/>
    <col min="10764" max="10764" width="10.85546875" style="153" bestFit="1" customWidth="1"/>
    <col min="10765" max="10765" width="11.42578125" style="153" bestFit="1" customWidth="1"/>
    <col min="10766" max="10766" width="15.85546875" style="153" bestFit="1" customWidth="1"/>
    <col min="10767" max="10767" width="6.7109375" style="153" bestFit="1" customWidth="1"/>
    <col min="10768" max="10768" width="5.5703125" style="153" bestFit="1" customWidth="1"/>
    <col min="10769" max="10769" width="14.42578125" style="153" bestFit="1" customWidth="1"/>
    <col min="10770" max="10770" width="14.28515625" style="153" bestFit="1" customWidth="1"/>
    <col min="10771" max="10771" width="14.28515625" style="153" customWidth="1"/>
    <col min="10772" max="11013" width="15.7109375" style="153"/>
    <col min="11014" max="11014" width="6" style="153" bestFit="1" customWidth="1"/>
    <col min="11015" max="11015" width="7.140625" style="153" bestFit="1" customWidth="1"/>
    <col min="11016" max="11016" width="9.140625" style="153" bestFit="1" customWidth="1"/>
    <col min="11017" max="11017" width="10.85546875" style="153" bestFit="1" customWidth="1"/>
    <col min="11018" max="11018" width="10.85546875" style="153" customWidth="1"/>
    <col min="11019" max="11019" width="11.140625" style="153" bestFit="1" customWidth="1"/>
    <col min="11020" max="11020" width="10.85546875" style="153" bestFit="1" customWidth="1"/>
    <col min="11021" max="11021" width="11.42578125" style="153" bestFit="1" customWidth="1"/>
    <col min="11022" max="11022" width="15.85546875" style="153" bestFit="1" customWidth="1"/>
    <col min="11023" max="11023" width="6.7109375" style="153" bestFit="1" customWidth="1"/>
    <col min="11024" max="11024" width="5.5703125" style="153" bestFit="1" customWidth="1"/>
    <col min="11025" max="11025" width="14.42578125" style="153" bestFit="1" customWidth="1"/>
    <col min="11026" max="11026" width="14.28515625" style="153" bestFit="1" customWidth="1"/>
    <col min="11027" max="11027" width="14.28515625" style="153" customWidth="1"/>
    <col min="11028" max="11269" width="15.7109375" style="153"/>
    <col min="11270" max="11270" width="6" style="153" bestFit="1" customWidth="1"/>
    <col min="11271" max="11271" width="7.140625" style="153" bestFit="1" customWidth="1"/>
    <col min="11272" max="11272" width="9.140625" style="153" bestFit="1" customWidth="1"/>
    <col min="11273" max="11273" width="10.85546875" style="153" bestFit="1" customWidth="1"/>
    <col min="11274" max="11274" width="10.85546875" style="153" customWidth="1"/>
    <col min="11275" max="11275" width="11.140625" style="153" bestFit="1" customWidth="1"/>
    <col min="11276" max="11276" width="10.85546875" style="153" bestFit="1" customWidth="1"/>
    <col min="11277" max="11277" width="11.42578125" style="153" bestFit="1" customWidth="1"/>
    <col min="11278" max="11278" width="15.85546875" style="153" bestFit="1" customWidth="1"/>
    <col min="11279" max="11279" width="6.7109375" style="153" bestFit="1" customWidth="1"/>
    <col min="11280" max="11280" width="5.5703125" style="153" bestFit="1" customWidth="1"/>
    <col min="11281" max="11281" width="14.42578125" style="153" bestFit="1" customWidth="1"/>
    <col min="11282" max="11282" width="14.28515625" style="153" bestFit="1" customWidth="1"/>
    <col min="11283" max="11283" width="14.28515625" style="153" customWidth="1"/>
    <col min="11284" max="11525" width="15.7109375" style="153"/>
    <col min="11526" max="11526" width="6" style="153" bestFit="1" customWidth="1"/>
    <col min="11527" max="11527" width="7.140625" style="153" bestFit="1" customWidth="1"/>
    <col min="11528" max="11528" width="9.140625" style="153" bestFit="1" customWidth="1"/>
    <col min="11529" max="11529" width="10.85546875" style="153" bestFit="1" customWidth="1"/>
    <col min="11530" max="11530" width="10.85546875" style="153" customWidth="1"/>
    <col min="11531" max="11531" width="11.140625" style="153" bestFit="1" customWidth="1"/>
    <col min="11532" max="11532" width="10.85546875" style="153" bestFit="1" customWidth="1"/>
    <col min="11533" max="11533" width="11.42578125" style="153" bestFit="1" customWidth="1"/>
    <col min="11534" max="11534" width="15.85546875" style="153" bestFit="1" customWidth="1"/>
    <col min="11535" max="11535" width="6.7109375" style="153" bestFit="1" customWidth="1"/>
    <col min="11536" max="11536" width="5.5703125" style="153" bestFit="1" customWidth="1"/>
    <col min="11537" max="11537" width="14.42578125" style="153" bestFit="1" customWidth="1"/>
    <col min="11538" max="11538" width="14.28515625" style="153" bestFit="1" customWidth="1"/>
    <col min="11539" max="11539" width="14.28515625" style="153" customWidth="1"/>
    <col min="11540" max="11781" width="15.7109375" style="153"/>
    <col min="11782" max="11782" width="6" style="153" bestFit="1" customWidth="1"/>
    <col min="11783" max="11783" width="7.140625" style="153" bestFit="1" customWidth="1"/>
    <col min="11784" max="11784" width="9.140625" style="153" bestFit="1" customWidth="1"/>
    <col min="11785" max="11785" width="10.85546875" style="153" bestFit="1" customWidth="1"/>
    <col min="11786" max="11786" width="10.85546875" style="153" customWidth="1"/>
    <col min="11787" max="11787" width="11.140625" style="153" bestFit="1" customWidth="1"/>
    <col min="11788" max="11788" width="10.85546875" style="153" bestFit="1" customWidth="1"/>
    <col min="11789" max="11789" width="11.42578125" style="153" bestFit="1" customWidth="1"/>
    <col min="11790" max="11790" width="15.85546875" style="153" bestFit="1" customWidth="1"/>
    <col min="11791" max="11791" width="6.7109375" style="153" bestFit="1" customWidth="1"/>
    <col min="11792" max="11792" width="5.5703125" style="153" bestFit="1" customWidth="1"/>
    <col min="11793" max="11793" width="14.42578125" style="153" bestFit="1" customWidth="1"/>
    <col min="11794" max="11794" width="14.28515625" style="153" bestFit="1" customWidth="1"/>
    <col min="11795" max="11795" width="14.28515625" style="153" customWidth="1"/>
    <col min="11796" max="12037" width="15.7109375" style="153"/>
    <col min="12038" max="12038" width="6" style="153" bestFit="1" customWidth="1"/>
    <col min="12039" max="12039" width="7.140625" style="153" bestFit="1" customWidth="1"/>
    <col min="12040" max="12040" width="9.140625" style="153" bestFit="1" customWidth="1"/>
    <col min="12041" max="12041" width="10.85546875" style="153" bestFit="1" customWidth="1"/>
    <col min="12042" max="12042" width="10.85546875" style="153" customWidth="1"/>
    <col min="12043" max="12043" width="11.140625" style="153" bestFit="1" customWidth="1"/>
    <col min="12044" max="12044" width="10.85546875" style="153" bestFit="1" customWidth="1"/>
    <col min="12045" max="12045" width="11.42578125" style="153" bestFit="1" customWidth="1"/>
    <col min="12046" max="12046" width="15.85546875" style="153" bestFit="1" customWidth="1"/>
    <col min="12047" max="12047" width="6.7109375" style="153" bestFit="1" customWidth="1"/>
    <col min="12048" max="12048" width="5.5703125" style="153" bestFit="1" customWidth="1"/>
    <col min="12049" max="12049" width="14.42578125" style="153" bestFit="1" customWidth="1"/>
    <col min="12050" max="12050" width="14.28515625" style="153" bestFit="1" customWidth="1"/>
    <col min="12051" max="12051" width="14.28515625" style="153" customWidth="1"/>
    <col min="12052" max="12293" width="15.7109375" style="153"/>
    <col min="12294" max="12294" width="6" style="153" bestFit="1" customWidth="1"/>
    <col min="12295" max="12295" width="7.140625" style="153" bestFit="1" customWidth="1"/>
    <col min="12296" max="12296" width="9.140625" style="153" bestFit="1" customWidth="1"/>
    <col min="12297" max="12297" width="10.85546875" style="153" bestFit="1" customWidth="1"/>
    <col min="12298" max="12298" width="10.85546875" style="153" customWidth="1"/>
    <col min="12299" max="12299" width="11.140625" style="153" bestFit="1" customWidth="1"/>
    <col min="12300" max="12300" width="10.85546875" style="153" bestFit="1" customWidth="1"/>
    <col min="12301" max="12301" width="11.42578125" style="153" bestFit="1" customWidth="1"/>
    <col min="12302" max="12302" width="15.85546875" style="153" bestFit="1" customWidth="1"/>
    <col min="12303" max="12303" width="6.7109375" style="153" bestFit="1" customWidth="1"/>
    <col min="12304" max="12304" width="5.5703125" style="153" bestFit="1" customWidth="1"/>
    <col min="12305" max="12305" width="14.42578125" style="153" bestFit="1" customWidth="1"/>
    <col min="12306" max="12306" width="14.28515625" style="153" bestFit="1" customWidth="1"/>
    <col min="12307" max="12307" width="14.28515625" style="153" customWidth="1"/>
    <col min="12308" max="12549" width="15.7109375" style="153"/>
    <col min="12550" max="12550" width="6" style="153" bestFit="1" customWidth="1"/>
    <col min="12551" max="12551" width="7.140625" style="153" bestFit="1" customWidth="1"/>
    <col min="12552" max="12552" width="9.140625" style="153" bestFit="1" customWidth="1"/>
    <col min="12553" max="12553" width="10.85546875" style="153" bestFit="1" customWidth="1"/>
    <col min="12554" max="12554" width="10.85546875" style="153" customWidth="1"/>
    <col min="12555" max="12555" width="11.140625" style="153" bestFit="1" customWidth="1"/>
    <col min="12556" max="12556" width="10.85546875" style="153" bestFit="1" customWidth="1"/>
    <col min="12557" max="12557" width="11.42578125" style="153" bestFit="1" customWidth="1"/>
    <col min="12558" max="12558" width="15.85546875" style="153" bestFit="1" customWidth="1"/>
    <col min="12559" max="12559" width="6.7109375" style="153" bestFit="1" customWidth="1"/>
    <col min="12560" max="12560" width="5.5703125" style="153" bestFit="1" customWidth="1"/>
    <col min="12561" max="12561" width="14.42578125" style="153" bestFit="1" customWidth="1"/>
    <col min="12562" max="12562" width="14.28515625" style="153" bestFit="1" customWidth="1"/>
    <col min="12563" max="12563" width="14.28515625" style="153" customWidth="1"/>
    <col min="12564" max="12805" width="15.7109375" style="153"/>
    <col min="12806" max="12806" width="6" style="153" bestFit="1" customWidth="1"/>
    <col min="12807" max="12807" width="7.140625" style="153" bestFit="1" customWidth="1"/>
    <col min="12808" max="12808" width="9.140625" style="153" bestFit="1" customWidth="1"/>
    <col min="12809" max="12809" width="10.85546875" style="153" bestFit="1" customWidth="1"/>
    <col min="12810" max="12810" width="10.85546875" style="153" customWidth="1"/>
    <col min="12811" max="12811" width="11.140625" style="153" bestFit="1" customWidth="1"/>
    <col min="12812" max="12812" width="10.85546875" style="153" bestFit="1" customWidth="1"/>
    <col min="12813" max="12813" width="11.42578125" style="153" bestFit="1" customWidth="1"/>
    <col min="12814" max="12814" width="15.85546875" style="153" bestFit="1" customWidth="1"/>
    <col min="12815" max="12815" width="6.7109375" style="153" bestFit="1" customWidth="1"/>
    <col min="12816" max="12816" width="5.5703125" style="153" bestFit="1" customWidth="1"/>
    <col min="12817" max="12817" width="14.42578125" style="153" bestFit="1" customWidth="1"/>
    <col min="12818" max="12818" width="14.28515625" style="153" bestFit="1" customWidth="1"/>
    <col min="12819" max="12819" width="14.28515625" style="153" customWidth="1"/>
    <col min="12820" max="13061" width="15.7109375" style="153"/>
    <col min="13062" max="13062" width="6" style="153" bestFit="1" customWidth="1"/>
    <col min="13063" max="13063" width="7.140625" style="153" bestFit="1" customWidth="1"/>
    <col min="13064" max="13064" width="9.140625" style="153" bestFit="1" customWidth="1"/>
    <col min="13065" max="13065" width="10.85546875" style="153" bestFit="1" customWidth="1"/>
    <col min="13066" max="13066" width="10.85546875" style="153" customWidth="1"/>
    <col min="13067" max="13067" width="11.140625" style="153" bestFit="1" customWidth="1"/>
    <col min="13068" max="13068" width="10.85546875" style="153" bestFit="1" customWidth="1"/>
    <col min="13069" max="13069" width="11.42578125" style="153" bestFit="1" customWidth="1"/>
    <col min="13070" max="13070" width="15.85546875" style="153" bestFit="1" customWidth="1"/>
    <col min="13071" max="13071" width="6.7109375" style="153" bestFit="1" customWidth="1"/>
    <col min="13072" max="13072" width="5.5703125" style="153" bestFit="1" customWidth="1"/>
    <col min="13073" max="13073" width="14.42578125" style="153" bestFit="1" customWidth="1"/>
    <col min="13074" max="13074" width="14.28515625" style="153" bestFit="1" customWidth="1"/>
    <col min="13075" max="13075" width="14.28515625" style="153" customWidth="1"/>
    <col min="13076" max="13317" width="15.7109375" style="153"/>
    <col min="13318" max="13318" width="6" style="153" bestFit="1" customWidth="1"/>
    <col min="13319" max="13319" width="7.140625" style="153" bestFit="1" customWidth="1"/>
    <col min="13320" max="13320" width="9.140625" style="153" bestFit="1" customWidth="1"/>
    <col min="13321" max="13321" width="10.85546875" style="153" bestFit="1" customWidth="1"/>
    <col min="13322" max="13322" width="10.85546875" style="153" customWidth="1"/>
    <col min="13323" max="13323" width="11.140625" style="153" bestFit="1" customWidth="1"/>
    <col min="13324" max="13324" width="10.85546875" style="153" bestFit="1" customWidth="1"/>
    <col min="13325" max="13325" width="11.42578125" style="153" bestFit="1" customWidth="1"/>
    <col min="13326" max="13326" width="15.85546875" style="153" bestFit="1" customWidth="1"/>
    <col min="13327" max="13327" width="6.7109375" style="153" bestFit="1" customWidth="1"/>
    <col min="13328" max="13328" width="5.5703125" style="153" bestFit="1" customWidth="1"/>
    <col min="13329" max="13329" width="14.42578125" style="153" bestFit="1" customWidth="1"/>
    <col min="13330" max="13330" width="14.28515625" style="153" bestFit="1" customWidth="1"/>
    <col min="13331" max="13331" width="14.28515625" style="153" customWidth="1"/>
    <col min="13332" max="13573" width="15.7109375" style="153"/>
    <col min="13574" max="13574" width="6" style="153" bestFit="1" customWidth="1"/>
    <col min="13575" max="13575" width="7.140625" style="153" bestFit="1" customWidth="1"/>
    <col min="13576" max="13576" width="9.140625" style="153" bestFit="1" customWidth="1"/>
    <col min="13577" max="13577" width="10.85546875" style="153" bestFit="1" customWidth="1"/>
    <col min="13578" max="13578" width="10.85546875" style="153" customWidth="1"/>
    <col min="13579" max="13579" width="11.140625" style="153" bestFit="1" customWidth="1"/>
    <col min="13580" max="13580" width="10.85546875" style="153" bestFit="1" customWidth="1"/>
    <col min="13581" max="13581" width="11.42578125" style="153" bestFit="1" customWidth="1"/>
    <col min="13582" max="13582" width="15.85546875" style="153" bestFit="1" customWidth="1"/>
    <col min="13583" max="13583" width="6.7109375" style="153" bestFit="1" customWidth="1"/>
    <col min="13584" max="13584" width="5.5703125" style="153" bestFit="1" customWidth="1"/>
    <col min="13585" max="13585" width="14.42578125" style="153" bestFit="1" customWidth="1"/>
    <col min="13586" max="13586" width="14.28515625" style="153" bestFit="1" customWidth="1"/>
    <col min="13587" max="13587" width="14.28515625" style="153" customWidth="1"/>
    <col min="13588" max="13829" width="15.7109375" style="153"/>
    <col min="13830" max="13830" width="6" style="153" bestFit="1" customWidth="1"/>
    <col min="13831" max="13831" width="7.140625" style="153" bestFit="1" customWidth="1"/>
    <col min="13832" max="13832" width="9.140625" style="153" bestFit="1" customWidth="1"/>
    <col min="13833" max="13833" width="10.85546875" style="153" bestFit="1" customWidth="1"/>
    <col min="13834" max="13834" width="10.85546875" style="153" customWidth="1"/>
    <col min="13835" max="13835" width="11.140625" style="153" bestFit="1" customWidth="1"/>
    <col min="13836" max="13836" width="10.85546875" style="153" bestFit="1" customWidth="1"/>
    <col min="13837" max="13837" width="11.42578125" style="153" bestFit="1" customWidth="1"/>
    <col min="13838" max="13838" width="15.85546875" style="153" bestFit="1" customWidth="1"/>
    <col min="13839" max="13839" width="6.7109375" style="153" bestFit="1" customWidth="1"/>
    <col min="13840" max="13840" width="5.5703125" style="153" bestFit="1" customWidth="1"/>
    <col min="13841" max="13841" width="14.42578125" style="153" bestFit="1" customWidth="1"/>
    <col min="13842" max="13842" width="14.28515625" style="153" bestFit="1" customWidth="1"/>
    <col min="13843" max="13843" width="14.28515625" style="153" customWidth="1"/>
    <col min="13844" max="14085" width="15.7109375" style="153"/>
    <col min="14086" max="14086" width="6" style="153" bestFit="1" customWidth="1"/>
    <col min="14087" max="14087" width="7.140625" style="153" bestFit="1" customWidth="1"/>
    <col min="14088" max="14088" width="9.140625" style="153" bestFit="1" customWidth="1"/>
    <col min="14089" max="14089" width="10.85546875" style="153" bestFit="1" customWidth="1"/>
    <col min="14090" max="14090" width="10.85546875" style="153" customWidth="1"/>
    <col min="14091" max="14091" width="11.140625" style="153" bestFit="1" customWidth="1"/>
    <col min="14092" max="14092" width="10.85546875" style="153" bestFit="1" customWidth="1"/>
    <col min="14093" max="14093" width="11.42578125" style="153" bestFit="1" customWidth="1"/>
    <col min="14094" max="14094" width="15.85546875" style="153" bestFit="1" customWidth="1"/>
    <col min="14095" max="14095" width="6.7109375" style="153" bestFit="1" customWidth="1"/>
    <col min="14096" max="14096" width="5.5703125" style="153" bestFit="1" customWidth="1"/>
    <col min="14097" max="14097" width="14.42578125" style="153" bestFit="1" customWidth="1"/>
    <col min="14098" max="14098" width="14.28515625" style="153" bestFit="1" customWidth="1"/>
    <col min="14099" max="14099" width="14.28515625" style="153" customWidth="1"/>
    <col min="14100" max="14341" width="15.7109375" style="153"/>
    <col min="14342" max="14342" width="6" style="153" bestFit="1" customWidth="1"/>
    <col min="14343" max="14343" width="7.140625" style="153" bestFit="1" customWidth="1"/>
    <col min="14344" max="14344" width="9.140625" style="153" bestFit="1" customWidth="1"/>
    <col min="14345" max="14345" width="10.85546875" style="153" bestFit="1" customWidth="1"/>
    <col min="14346" max="14346" width="10.85546875" style="153" customWidth="1"/>
    <col min="14347" max="14347" width="11.140625" style="153" bestFit="1" customWidth="1"/>
    <col min="14348" max="14348" width="10.85546875" style="153" bestFit="1" customWidth="1"/>
    <col min="14349" max="14349" width="11.42578125" style="153" bestFit="1" customWidth="1"/>
    <col min="14350" max="14350" width="15.85546875" style="153" bestFit="1" customWidth="1"/>
    <col min="14351" max="14351" width="6.7109375" style="153" bestFit="1" customWidth="1"/>
    <col min="14352" max="14352" width="5.5703125" style="153" bestFit="1" customWidth="1"/>
    <col min="14353" max="14353" width="14.42578125" style="153" bestFit="1" customWidth="1"/>
    <col min="14354" max="14354" width="14.28515625" style="153" bestFit="1" customWidth="1"/>
    <col min="14355" max="14355" width="14.28515625" style="153" customWidth="1"/>
    <col min="14356" max="14597" width="15.7109375" style="153"/>
    <col min="14598" max="14598" width="6" style="153" bestFit="1" customWidth="1"/>
    <col min="14599" max="14599" width="7.140625" style="153" bestFit="1" customWidth="1"/>
    <col min="14600" max="14600" width="9.140625" style="153" bestFit="1" customWidth="1"/>
    <col min="14601" max="14601" width="10.85546875" style="153" bestFit="1" customWidth="1"/>
    <col min="14602" max="14602" width="10.85546875" style="153" customWidth="1"/>
    <col min="14603" max="14603" width="11.140625" style="153" bestFit="1" customWidth="1"/>
    <col min="14604" max="14604" width="10.85546875" style="153" bestFit="1" customWidth="1"/>
    <col min="14605" max="14605" width="11.42578125" style="153" bestFit="1" customWidth="1"/>
    <col min="14606" max="14606" width="15.85546875" style="153" bestFit="1" customWidth="1"/>
    <col min="14607" max="14607" width="6.7109375" style="153" bestFit="1" customWidth="1"/>
    <col min="14608" max="14608" width="5.5703125" style="153" bestFit="1" customWidth="1"/>
    <col min="14609" max="14609" width="14.42578125" style="153" bestFit="1" customWidth="1"/>
    <col min="14610" max="14610" width="14.28515625" style="153" bestFit="1" customWidth="1"/>
    <col min="14611" max="14611" width="14.28515625" style="153" customWidth="1"/>
    <col min="14612" max="14853" width="15.7109375" style="153"/>
    <col min="14854" max="14854" width="6" style="153" bestFit="1" customWidth="1"/>
    <col min="14855" max="14855" width="7.140625" style="153" bestFit="1" customWidth="1"/>
    <col min="14856" max="14856" width="9.140625" style="153" bestFit="1" customWidth="1"/>
    <col min="14857" max="14857" width="10.85546875" style="153" bestFit="1" customWidth="1"/>
    <col min="14858" max="14858" width="10.85546875" style="153" customWidth="1"/>
    <col min="14859" max="14859" width="11.140625" style="153" bestFit="1" customWidth="1"/>
    <col min="14860" max="14860" width="10.85546875" style="153" bestFit="1" customWidth="1"/>
    <col min="14861" max="14861" width="11.42578125" style="153" bestFit="1" customWidth="1"/>
    <col min="14862" max="14862" width="15.85546875" style="153" bestFit="1" customWidth="1"/>
    <col min="14863" max="14863" width="6.7109375" style="153" bestFit="1" customWidth="1"/>
    <col min="14864" max="14864" width="5.5703125" style="153" bestFit="1" customWidth="1"/>
    <col min="14865" max="14865" width="14.42578125" style="153" bestFit="1" customWidth="1"/>
    <col min="14866" max="14866" width="14.28515625" style="153" bestFit="1" customWidth="1"/>
    <col min="14867" max="14867" width="14.28515625" style="153" customWidth="1"/>
    <col min="14868" max="15109" width="15.7109375" style="153"/>
    <col min="15110" max="15110" width="6" style="153" bestFit="1" customWidth="1"/>
    <col min="15111" max="15111" width="7.140625" style="153" bestFit="1" customWidth="1"/>
    <col min="15112" max="15112" width="9.140625" style="153" bestFit="1" customWidth="1"/>
    <col min="15113" max="15113" width="10.85546875" style="153" bestFit="1" customWidth="1"/>
    <col min="15114" max="15114" width="10.85546875" style="153" customWidth="1"/>
    <col min="15115" max="15115" width="11.140625" style="153" bestFit="1" customWidth="1"/>
    <col min="15116" max="15116" width="10.85546875" style="153" bestFit="1" customWidth="1"/>
    <col min="15117" max="15117" width="11.42578125" style="153" bestFit="1" customWidth="1"/>
    <col min="15118" max="15118" width="15.85546875" style="153" bestFit="1" customWidth="1"/>
    <col min="15119" max="15119" width="6.7109375" style="153" bestFit="1" customWidth="1"/>
    <col min="15120" max="15120" width="5.5703125" style="153" bestFit="1" customWidth="1"/>
    <col min="15121" max="15121" width="14.42578125" style="153" bestFit="1" customWidth="1"/>
    <col min="15122" max="15122" width="14.28515625" style="153" bestFit="1" customWidth="1"/>
    <col min="15123" max="15123" width="14.28515625" style="153" customWidth="1"/>
    <col min="15124" max="15365" width="15.7109375" style="153"/>
    <col min="15366" max="15366" width="6" style="153" bestFit="1" customWidth="1"/>
    <col min="15367" max="15367" width="7.140625" style="153" bestFit="1" customWidth="1"/>
    <col min="15368" max="15368" width="9.140625" style="153" bestFit="1" customWidth="1"/>
    <col min="15369" max="15369" width="10.85546875" style="153" bestFit="1" customWidth="1"/>
    <col min="15370" max="15370" width="10.85546875" style="153" customWidth="1"/>
    <col min="15371" max="15371" width="11.140625" style="153" bestFit="1" customWidth="1"/>
    <col min="15372" max="15372" width="10.85546875" style="153" bestFit="1" customWidth="1"/>
    <col min="15373" max="15373" width="11.42578125" style="153" bestFit="1" customWidth="1"/>
    <col min="15374" max="15374" width="15.85546875" style="153" bestFit="1" customWidth="1"/>
    <col min="15375" max="15375" width="6.7109375" style="153" bestFit="1" customWidth="1"/>
    <col min="15376" max="15376" width="5.5703125" style="153" bestFit="1" customWidth="1"/>
    <col min="15377" max="15377" width="14.42578125" style="153" bestFit="1" customWidth="1"/>
    <col min="15378" max="15378" width="14.28515625" style="153" bestFit="1" customWidth="1"/>
    <col min="15379" max="15379" width="14.28515625" style="153" customWidth="1"/>
    <col min="15380" max="15621" width="15.7109375" style="153"/>
    <col min="15622" max="15622" width="6" style="153" bestFit="1" customWidth="1"/>
    <col min="15623" max="15623" width="7.140625" style="153" bestFit="1" customWidth="1"/>
    <col min="15624" max="15624" width="9.140625" style="153" bestFit="1" customWidth="1"/>
    <col min="15625" max="15625" width="10.85546875" style="153" bestFit="1" customWidth="1"/>
    <col min="15626" max="15626" width="10.85546875" style="153" customWidth="1"/>
    <col min="15627" max="15627" width="11.140625" style="153" bestFit="1" customWidth="1"/>
    <col min="15628" max="15628" width="10.85546875" style="153" bestFit="1" customWidth="1"/>
    <col min="15629" max="15629" width="11.42578125" style="153" bestFit="1" customWidth="1"/>
    <col min="15630" max="15630" width="15.85546875" style="153" bestFit="1" customWidth="1"/>
    <col min="15631" max="15631" width="6.7109375" style="153" bestFit="1" customWidth="1"/>
    <col min="15632" max="15632" width="5.5703125" style="153" bestFit="1" customWidth="1"/>
    <col min="15633" max="15633" width="14.42578125" style="153" bestFit="1" customWidth="1"/>
    <col min="15634" max="15634" width="14.28515625" style="153" bestFit="1" customWidth="1"/>
    <col min="15635" max="15635" width="14.28515625" style="153" customWidth="1"/>
    <col min="15636" max="15877" width="15.7109375" style="153"/>
    <col min="15878" max="15878" width="6" style="153" bestFit="1" customWidth="1"/>
    <col min="15879" max="15879" width="7.140625" style="153" bestFit="1" customWidth="1"/>
    <col min="15880" max="15880" width="9.140625" style="153" bestFit="1" customWidth="1"/>
    <col min="15881" max="15881" width="10.85546875" style="153" bestFit="1" customWidth="1"/>
    <col min="15882" max="15882" width="10.85546875" style="153" customWidth="1"/>
    <col min="15883" max="15883" width="11.140625" style="153" bestFit="1" customWidth="1"/>
    <col min="15884" max="15884" width="10.85546875" style="153" bestFit="1" customWidth="1"/>
    <col min="15885" max="15885" width="11.42578125" style="153" bestFit="1" customWidth="1"/>
    <col min="15886" max="15886" width="15.85546875" style="153" bestFit="1" customWidth="1"/>
    <col min="15887" max="15887" width="6.7109375" style="153" bestFit="1" customWidth="1"/>
    <col min="15888" max="15888" width="5.5703125" style="153" bestFit="1" customWidth="1"/>
    <col min="15889" max="15889" width="14.42578125" style="153" bestFit="1" customWidth="1"/>
    <col min="15890" max="15890" width="14.28515625" style="153" bestFit="1" customWidth="1"/>
    <col min="15891" max="15891" width="14.28515625" style="153" customWidth="1"/>
    <col min="15892" max="16133" width="15.7109375" style="153"/>
    <col min="16134" max="16134" width="6" style="153" bestFit="1" customWidth="1"/>
    <col min="16135" max="16135" width="7.140625" style="153" bestFit="1" customWidth="1"/>
    <col min="16136" max="16136" width="9.140625" style="153" bestFit="1" customWidth="1"/>
    <col min="16137" max="16137" width="10.85546875" style="153" bestFit="1" customWidth="1"/>
    <col min="16138" max="16138" width="10.85546875" style="153" customWidth="1"/>
    <col min="16139" max="16139" width="11.140625" style="153" bestFit="1" customWidth="1"/>
    <col min="16140" max="16140" width="10.85546875" style="153" bestFit="1" customWidth="1"/>
    <col min="16141" max="16141" width="11.42578125" style="153" bestFit="1" customWidth="1"/>
    <col min="16142" max="16142" width="15.85546875" style="153" bestFit="1" customWidth="1"/>
    <col min="16143" max="16143" width="6.7109375" style="153" bestFit="1" customWidth="1"/>
    <col min="16144" max="16144" width="5.5703125" style="153" bestFit="1" customWidth="1"/>
    <col min="16145" max="16145" width="14.42578125" style="153" bestFit="1" customWidth="1"/>
    <col min="16146" max="16146" width="14.28515625" style="153" bestFit="1" customWidth="1"/>
    <col min="16147" max="16147" width="14.28515625" style="153" customWidth="1"/>
    <col min="16148" max="16384" width="15.7109375" style="153"/>
  </cols>
  <sheetData>
    <row r="1" spans="1:22" x14ac:dyDescent="0.2">
      <c r="A1" s="150" t="s">
        <v>15</v>
      </c>
      <c r="B1" s="150" t="s">
        <v>18</v>
      </c>
      <c r="C1" s="175" t="s">
        <v>153</v>
      </c>
      <c r="D1" s="172" t="s">
        <v>262</v>
      </c>
      <c r="E1" s="172" t="s">
        <v>263</v>
      </c>
      <c r="F1" s="172" t="s">
        <v>211</v>
      </c>
      <c r="G1" s="172" t="s">
        <v>155</v>
      </c>
      <c r="H1" s="151" t="s">
        <v>190</v>
      </c>
      <c r="I1" s="151" t="s">
        <v>156</v>
      </c>
      <c r="J1" s="152" t="s">
        <v>186</v>
      </c>
      <c r="K1" s="163" t="s">
        <v>191</v>
      </c>
      <c r="L1" s="153" t="s">
        <v>218</v>
      </c>
      <c r="M1" s="152" t="s">
        <v>157</v>
      </c>
      <c r="N1" s="152" t="s">
        <v>185</v>
      </c>
      <c r="O1" s="165" t="s">
        <v>158</v>
      </c>
      <c r="P1" s="165"/>
      <c r="Q1" s="170"/>
      <c r="R1" s="170" t="s">
        <v>161</v>
      </c>
      <c r="S1" s="170" t="s">
        <v>176</v>
      </c>
      <c r="T1" s="170" t="s">
        <v>264</v>
      </c>
      <c r="V1" s="153" t="s">
        <v>177</v>
      </c>
    </row>
    <row r="2" spans="1:22" x14ac:dyDescent="0.2">
      <c r="A2" s="153">
        <v>2001</v>
      </c>
      <c r="B2" s="153">
        <v>1</v>
      </c>
      <c r="C2" s="246">
        <v>67665.381999999998</v>
      </c>
      <c r="D2" s="173">
        <v>4.2694402357305536</v>
      </c>
      <c r="E2" s="173">
        <v>4.2694402357305536</v>
      </c>
      <c r="F2" s="173"/>
      <c r="G2" s="173">
        <v>32.33</v>
      </c>
      <c r="H2" s="154">
        <v>137.46726172000001</v>
      </c>
      <c r="I2" s="190">
        <f>H2</f>
        <v>137.46726172000001</v>
      </c>
      <c r="J2" s="190">
        <f>H2*T2</f>
        <v>54.251201142137106</v>
      </c>
      <c r="K2" s="246">
        <v>24875</v>
      </c>
      <c r="L2" s="255">
        <v>25047</v>
      </c>
      <c r="M2" s="164">
        <v>5307.0153343999991</v>
      </c>
      <c r="N2" s="190">
        <f>M2</f>
        <v>5307.0153343999991</v>
      </c>
      <c r="O2" s="260">
        <v>1166.2</v>
      </c>
      <c r="P2" s="260"/>
      <c r="R2" s="166">
        <v>1161</v>
      </c>
      <c r="S2" s="182">
        <f>C2/K2*1000</f>
        <v>2720.2163618090453</v>
      </c>
      <c r="T2" s="339">
        <v>0.39464815450124108</v>
      </c>
      <c r="U2" s="153" t="e">
        <f>#REF!+1</f>
        <v>#REF!</v>
      </c>
      <c r="V2" s="157">
        <f t="shared" ref="V2:V32" si="0">SUMIF(A$2:A$493,U$2:U$31,K$2:K$493)/12</f>
        <v>0</v>
      </c>
    </row>
    <row r="3" spans="1:22" x14ac:dyDescent="0.2">
      <c r="A3" s="153">
        <v>2001</v>
      </c>
      <c r="B3" s="153">
        <v>2</v>
      </c>
      <c r="C3" s="246">
        <v>48370.396000000001</v>
      </c>
      <c r="D3" s="173">
        <v>4.2694402357305536</v>
      </c>
      <c r="E3" s="173">
        <v>4.2694402357305536</v>
      </c>
      <c r="F3" s="173"/>
      <c r="G3" s="173">
        <v>29.81</v>
      </c>
      <c r="H3" s="154">
        <v>137.46726172000001</v>
      </c>
      <c r="I3" s="190">
        <f t="shared" ref="I3:I66" si="1">H3</f>
        <v>137.46726172000001</v>
      </c>
      <c r="J3" s="190">
        <f t="shared" ref="J3:J66" si="2">H3*T3</f>
        <v>54.251201142137106</v>
      </c>
      <c r="K3" s="246">
        <v>24889</v>
      </c>
      <c r="L3" s="255">
        <v>24889</v>
      </c>
      <c r="M3" s="164">
        <v>5307.0153343999991</v>
      </c>
      <c r="N3" s="190">
        <f t="shared" ref="N3:N66" si="3">M3</f>
        <v>5307.0153343999991</v>
      </c>
      <c r="O3" s="260">
        <v>765.75</v>
      </c>
      <c r="P3" s="260"/>
      <c r="R3" s="166">
        <v>1161</v>
      </c>
      <c r="S3" s="182">
        <f t="shared" ref="S3:S66" si="4">C3/K3*1000</f>
        <v>1943.4447346217205</v>
      </c>
      <c r="T3" s="339">
        <v>0.39464815450124108</v>
      </c>
      <c r="U3" s="153" t="e">
        <f t="shared" ref="U3:U32" si="5">U2+1</f>
        <v>#REF!</v>
      </c>
      <c r="V3" s="157">
        <f t="shared" si="0"/>
        <v>0</v>
      </c>
    </row>
    <row r="4" spans="1:22" x14ac:dyDescent="0.2">
      <c r="A4" s="153">
        <v>2001</v>
      </c>
      <c r="B4" s="153">
        <v>3</v>
      </c>
      <c r="C4" s="246">
        <v>40526.144999999997</v>
      </c>
      <c r="D4" s="173">
        <v>4.2694402357305536</v>
      </c>
      <c r="E4" s="173">
        <v>4.2694402357305536</v>
      </c>
      <c r="F4" s="173"/>
      <c r="G4" s="173">
        <v>30.29</v>
      </c>
      <c r="H4" s="154">
        <v>137.46726172000001</v>
      </c>
      <c r="I4" s="190">
        <f t="shared" si="1"/>
        <v>137.46726172000001</v>
      </c>
      <c r="J4" s="190">
        <f t="shared" si="2"/>
        <v>54.251201142137106</v>
      </c>
      <c r="K4" s="246">
        <v>24831</v>
      </c>
      <c r="L4" s="255">
        <v>24831</v>
      </c>
      <c r="M4" s="164">
        <v>5307.0153343999991</v>
      </c>
      <c r="N4" s="190">
        <f t="shared" si="3"/>
        <v>5307.0153343999991</v>
      </c>
      <c r="O4" s="260">
        <v>615.5</v>
      </c>
      <c r="P4" s="260"/>
      <c r="R4" s="166">
        <v>1161</v>
      </c>
      <c r="S4" s="182">
        <f t="shared" si="4"/>
        <v>1632.0786516853932</v>
      </c>
      <c r="T4" s="339">
        <v>0.39464815450124108</v>
      </c>
      <c r="U4" s="153" t="e">
        <f t="shared" si="5"/>
        <v>#REF!</v>
      </c>
      <c r="V4" s="157">
        <f t="shared" si="0"/>
        <v>0</v>
      </c>
    </row>
    <row r="5" spans="1:22" x14ac:dyDescent="0.2">
      <c r="A5" s="153">
        <v>2001</v>
      </c>
      <c r="B5" s="153">
        <v>4</v>
      </c>
      <c r="C5" s="246">
        <v>33911.436999999998</v>
      </c>
      <c r="D5" s="173">
        <v>4.2694402357305536</v>
      </c>
      <c r="E5" s="173">
        <v>4.2694402357305536</v>
      </c>
      <c r="F5" s="173"/>
      <c r="G5" s="173">
        <v>30.29</v>
      </c>
      <c r="H5" s="154">
        <v>137.46726172000001</v>
      </c>
      <c r="I5" s="190">
        <f t="shared" si="1"/>
        <v>137.46726172000001</v>
      </c>
      <c r="J5" s="190">
        <f t="shared" si="2"/>
        <v>54.293751553782627</v>
      </c>
      <c r="K5" s="246">
        <v>24926</v>
      </c>
      <c r="L5" s="255">
        <v>24926</v>
      </c>
      <c r="M5" s="164">
        <v>5307.0153343999991</v>
      </c>
      <c r="N5" s="190">
        <f t="shared" si="3"/>
        <v>5307.0153343999991</v>
      </c>
      <c r="O5" s="260">
        <v>446</v>
      </c>
      <c r="P5" s="260"/>
      <c r="R5" s="166">
        <v>1161</v>
      </c>
      <c r="S5" s="182">
        <f t="shared" si="4"/>
        <v>1360.4845141619194</v>
      </c>
      <c r="T5" s="339">
        <v>0.39495768573881085</v>
      </c>
      <c r="U5" s="153" t="e">
        <f t="shared" si="5"/>
        <v>#REF!</v>
      </c>
      <c r="V5" s="157">
        <f t="shared" si="0"/>
        <v>0</v>
      </c>
    </row>
    <row r="6" spans="1:22" x14ac:dyDescent="0.2">
      <c r="A6" s="153">
        <v>2001</v>
      </c>
      <c r="B6" s="153">
        <v>5</v>
      </c>
      <c r="C6" s="246">
        <v>22584.976999999999</v>
      </c>
      <c r="D6" s="173">
        <v>4.2694402357305536</v>
      </c>
      <c r="E6" s="173">
        <v>4.2694402357305536</v>
      </c>
      <c r="F6" s="173"/>
      <c r="G6" s="173">
        <v>30.05</v>
      </c>
      <c r="H6" s="154">
        <v>137.46726172000001</v>
      </c>
      <c r="I6" s="190">
        <f t="shared" si="1"/>
        <v>137.46726172000001</v>
      </c>
      <c r="J6" s="190">
        <f t="shared" si="2"/>
        <v>54.293751553782627</v>
      </c>
      <c r="K6" s="246">
        <v>24855</v>
      </c>
      <c r="L6" s="255">
        <v>24855</v>
      </c>
      <c r="M6" s="164">
        <v>5307.0153343999991</v>
      </c>
      <c r="N6" s="190">
        <f t="shared" si="3"/>
        <v>5307.0153343999991</v>
      </c>
      <c r="O6" s="260">
        <v>123.45</v>
      </c>
      <c r="P6" s="260"/>
      <c r="R6" s="166">
        <v>1161</v>
      </c>
      <c r="S6" s="182">
        <f t="shared" si="4"/>
        <v>908.66936230134775</v>
      </c>
      <c r="T6" s="339">
        <v>0.39495768573881085</v>
      </c>
      <c r="U6" s="153" t="e">
        <f t="shared" si="5"/>
        <v>#REF!</v>
      </c>
      <c r="V6" s="157">
        <f t="shared" si="0"/>
        <v>0</v>
      </c>
    </row>
    <row r="7" spans="1:22" x14ac:dyDescent="0.2">
      <c r="A7" s="153">
        <v>2001</v>
      </c>
      <c r="B7" s="153">
        <v>6</v>
      </c>
      <c r="C7" s="246">
        <v>21531.978999999999</v>
      </c>
      <c r="D7" s="173">
        <v>4.2694402357305536</v>
      </c>
      <c r="E7" s="173">
        <v>4.2694402357305536</v>
      </c>
      <c r="F7" s="173"/>
      <c r="G7" s="173">
        <v>30.62</v>
      </c>
      <c r="H7" s="154">
        <v>137.46726172000001</v>
      </c>
      <c r="I7" s="190">
        <f t="shared" si="1"/>
        <v>137.46726172000001</v>
      </c>
      <c r="J7" s="190">
        <f t="shared" si="2"/>
        <v>54.293751553782627</v>
      </c>
      <c r="K7" s="246">
        <v>24894</v>
      </c>
      <c r="L7" s="255">
        <v>24894</v>
      </c>
      <c r="M7" s="164">
        <v>5307.0153343999991</v>
      </c>
      <c r="N7" s="190">
        <f t="shared" si="3"/>
        <v>5307.0153343999991</v>
      </c>
      <c r="O7" s="260">
        <v>35.799999999999997</v>
      </c>
      <c r="P7" s="260"/>
      <c r="R7" s="166">
        <v>1161</v>
      </c>
      <c r="S7" s="182">
        <f t="shared" si="4"/>
        <v>864.94653330119706</v>
      </c>
      <c r="T7" s="339">
        <v>0.39495768573881085</v>
      </c>
      <c r="U7" s="153" t="e">
        <f t="shared" si="5"/>
        <v>#REF!</v>
      </c>
      <c r="V7" s="157">
        <f t="shared" si="0"/>
        <v>0</v>
      </c>
    </row>
    <row r="8" spans="1:22" x14ac:dyDescent="0.2">
      <c r="A8" s="153">
        <v>2001</v>
      </c>
      <c r="B8" s="153">
        <v>7</v>
      </c>
      <c r="C8" s="246">
        <v>23510.444</v>
      </c>
      <c r="D8" s="173">
        <v>4.2694402357305536</v>
      </c>
      <c r="E8" s="173">
        <v>4.2694402357305536</v>
      </c>
      <c r="F8" s="173"/>
      <c r="G8" s="173">
        <v>30.76</v>
      </c>
      <c r="H8" s="154">
        <v>137.46726172000001</v>
      </c>
      <c r="I8" s="190">
        <f t="shared" si="1"/>
        <v>137.46726172000001</v>
      </c>
      <c r="J8" s="190">
        <f t="shared" si="2"/>
        <v>54.327880974651315</v>
      </c>
      <c r="K8" s="246">
        <v>24842</v>
      </c>
      <c r="L8" s="255">
        <v>24842</v>
      </c>
      <c r="M8" s="164">
        <v>5307.0153343999991</v>
      </c>
      <c r="N8" s="190">
        <f t="shared" si="3"/>
        <v>5307.0153343999991</v>
      </c>
      <c r="O8" s="260">
        <v>0</v>
      </c>
      <c r="P8" s="260"/>
      <c r="R8" s="166">
        <v>1161</v>
      </c>
      <c r="S8" s="182">
        <f t="shared" si="4"/>
        <v>946.39900169068517</v>
      </c>
      <c r="T8" s="339">
        <v>0.39520595882173737</v>
      </c>
      <c r="U8" s="153" t="e">
        <f t="shared" si="5"/>
        <v>#REF!</v>
      </c>
      <c r="V8" s="157">
        <f t="shared" si="0"/>
        <v>0</v>
      </c>
    </row>
    <row r="9" spans="1:22" x14ac:dyDescent="0.2">
      <c r="A9" s="153">
        <v>2001</v>
      </c>
      <c r="B9" s="153">
        <v>8</v>
      </c>
      <c r="C9" s="246">
        <v>24666.491999999998</v>
      </c>
      <c r="D9" s="173">
        <v>4.2694402357305536</v>
      </c>
      <c r="E9" s="173">
        <v>4.2694402357305536</v>
      </c>
      <c r="F9" s="173"/>
      <c r="G9" s="173">
        <v>29.48</v>
      </c>
      <c r="H9" s="154">
        <v>137.46726172000001</v>
      </c>
      <c r="I9" s="190">
        <f t="shared" si="1"/>
        <v>137.46726172000001</v>
      </c>
      <c r="J9" s="190">
        <f t="shared" si="2"/>
        <v>54.327880974651315</v>
      </c>
      <c r="K9" s="246">
        <v>24944</v>
      </c>
      <c r="L9" s="255">
        <v>24944</v>
      </c>
      <c r="M9" s="164">
        <v>5307.0153343999991</v>
      </c>
      <c r="N9" s="190">
        <f t="shared" si="3"/>
        <v>5307.0153343999991</v>
      </c>
      <c r="O9" s="260">
        <v>0</v>
      </c>
      <c r="P9" s="260"/>
      <c r="R9" s="166">
        <v>1161</v>
      </c>
      <c r="S9" s="182">
        <f t="shared" si="4"/>
        <v>988.87475946119298</v>
      </c>
      <c r="T9" s="339">
        <v>0.39520595882173737</v>
      </c>
      <c r="U9" s="153" t="e">
        <f t="shared" si="5"/>
        <v>#REF!</v>
      </c>
      <c r="V9" s="157">
        <f t="shared" si="0"/>
        <v>0</v>
      </c>
    </row>
    <row r="10" spans="1:22" x14ac:dyDescent="0.2">
      <c r="A10" s="153">
        <v>2001</v>
      </c>
      <c r="B10" s="153">
        <v>9</v>
      </c>
      <c r="C10" s="246">
        <v>23772.642</v>
      </c>
      <c r="D10" s="173">
        <v>4.2694402357305536</v>
      </c>
      <c r="E10" s="173">
        <v>4.2694402357305536</v>
      </c>
      <c r="F10" s="173"/>
      <c r="G10" s="173">
        <v>30.62</v>
      </c>
      <c r="H10" s="154">
        <v>137.46726172000001</v>
      </c>
      <c r="I10" s="190">
        <f t="shared" si="1"/>
        <v>137.46726172000001</v>
      </c>
      <c r="J10" s="190">
        <f t="shared" si="2"/>
        <v>54.327880974651315</v>
      </c>
      <c r="K10" s="246">
        <v>24781</v>
      </c>
      <c r="L10" s="255">
        <v>24781</v>
      </c>
      <c r="M10" s="164">
        <v>5307.0153343999991</v>
      </c>
      <c r="N10" s="190">
        <f t="shared" si="3"/>
        <v>5307.0153343999991</v>
      </c>
      <c r="O10" s="260">
        <v>13.8</v>
      </c>
      <c r="P10" s="260"/>
      <c r="R10" s="166">
        <v>1161</v>
      </c>
      <c r="S10" s="182">
        <f t="shared" si="4"/>
        <v>959.30922884467941</v>
      </c>
      <c r="T10" s="339">
        <v>0.39520595882173737</v>
      </c>
      <c r="U10" s="153" t="e">
        <f t="shared" si="5"/>
        <v>#REF!</v>
      </c>
      <c r="V10" s="157">
        <f t="shared" si="0"/>
        <v>0</v>
      </c>
    </row>
    <row r="11" spans="1:22" x14ac:dyDescent="0.2">
      <c r="A11" s="153">
        <v>2001</v>
      </c>
      <c r="B11" s="153">
        <v>10</v>
      </c>
      <c r="C11" s="246">
        <v>23675.131000000001</v>
      </c>
      <c r="D11" s="173">
        <v>4.2694402357305536</v>
      </c>
      <c r="E11" s="173">
        <v>4.2694402357305536</v>
      </c>
      <c r="F11" s="173"/>
      <c r="G11" s="173">
        <v>29.67</v>
      </c>
      <c r="H11" s="154">
        <v>137.46726172000001</v>
      </c>
      <c r="I11" s="190">
        <f t="shared" si="1"/>
        <v>137.46726172000001</v>
      </c>
      <c r="J11" s="190">
        <f t="shared" si="2"/>
        <v>54.362062230065987</v>
      </c>
      <c r="K11" s="246">
        <v>24912</v>
      </c>
      <c r="L11" s="255">
        <v>24912</v>
      </c>
      <c r="M11" s="164">
        <v>5307.0153343999991</v>
      </c>
      <c r="N11" s="190">
        <f t="shared" si="3"/>
        <v>5307.0153343999991</v>
      </c>
      <c r="O11" s="260">
        <v>212.8</v>
      </c>
      <c r="P11" s="260"/>
      <c r="R11" s="166">
        <v>1161</v>
      </c>
      <c r="S11" s="182">
        <f t="shared" si="4"/>
        <v>950.35047366730896</v>
      </c>
      <c r="T11" s="339">
        <v>0.39545460897295875</v>
      </c>
      <c r="U11" s="153" t="e">
        <f t="shared" si="5"/>
        <v>#REF!</v>
      </c>
      <c r="V11" s="157">
        <f t="shared" si="0"/>
        <v>0</v>
      </c>
    </row>
    <row r="12" spans="1:22" x14ac:dyDescent="0.2">
      <c r="A12" s="153">
        <v>2001</v>
      </c>
      <c r="B12" s="153">
        <v>11</v>
      </c>
      <c r="C12" s="246">
        <v>30818.775000000001</v>
      </c>
      <c r="D12" s="173">
        <v>4.2694402357305536</v>
      </c>
      <c r="E12" s="173">
        <v>4.2694402357305536</v>
      </c>
      <c r="F12" s="173"/>
      <c r="G12" s="173">
        <v>30</v>
      </c>
      <c r="H12" s="154">
        <v>137.46726172000001</v>
      </c>
      <c r="I12" s="190">
        <f t="shared" si="1"/>
        <v>137.46726172000001</v>
      </c>
      <c r="J12" s="190">
        <f t="shared" si="2"/>
        <v>54.362062230065987</v>
      </c>
      <c r="K12" s="246">
        <v>24830</v>
      </c>
      <c r="L12" s="255">
        <v>24830</v>
      </c>
      <c r="M12" s="164">
        <v>5307.0153343999991</v>
      </c>
      <c r="N12" s="190">
        <f t="shared" si="3"/>
        <v>5307.0153343999991</v>
      </c>
      <c r="O12" s="260">
        <v>411.3</v>
      </c>
      <c r="P12" s="260"/>
      <c r="R12" s="166">
        <v>1161</v>
      </c>
      <c r="S12" s="182">
        <f t="shared" si="4"/>
        <v>1241.1910994764398</v>
      </c>
      <c r="T12" s="339">
        <v>0.39545460897295875</v>
      </c>
      <c r="U12" s="153" t="e">
        <f t="shared" si="5"/>
        <v>#REF!</v>
      </c>
      <c r="V12" s="157">
        <f t="shared" si="0"/>
        <v>0</v>
      </c>
    </row>
    <row r="13" spans="1:22" x14ac:dyDescent="0.2">
      <c r="A13" s="153">
        <v>2001</v>
      </c>
      <c r="B13" s="153">
        <v>12</v>
      </c>
      <c r="C13" s="246">
        <v>34312.605000000003</v>
      </c>
      <c r="D13" s="173">
        <v>4.2694402357305536</v>
      </c>
      <c r="E13" s="173">
        <v>4.2694402357305536</v>
      </c>
      <c r="F13" s="173"/>
      <c r="G13" s="173">
        <v>31.43</v>
      </c>
      <c r="H13" s="154">
        <v>137.46726172000001</v>
      </c>
      <c r="I13" s="190">
        <f t="shared" si="1"/>
        <v>137.46726172000001</v>
      </c>
      <c r="J13" s="190">
        <f t="shared" si="2"/>
        <v>54.362062230065987</v>
      </c>
      <c r="K13" s="246">
        <v>24867</v>
      </c>
      <c r="L13" s="255">
        <v>24867</v>
      </c>
      <c r="M13" s="164">
        <v>5307.0153343999991</v>
      </c>
      <c r="N13" s="190">
        <f t="shared" si="3"/>
        <v>5307.0153343999991</v>
      </c>
      <c r="O13" s="260">
        <v>466.2</v>
      </c>
      <c r="P13" s="260"/>
      <c r="R13" s="166">
        <v>1161</v>
      </c>
      <c r="S13" s="182">
        <f t="shared" si="4"/>
        <v>1379.844975268428</v>
      </c>
      <c r="T13" s="339">
        <v>0.39545460897295875</v>
      </c>
      <c r="U13" s="153" t="e">
        <f t="shared" si="5"/>
        <v>#REF!</v>
      </c>
      <c r="V13" s="157">
        <f t="shared" si="0"/>
        <v>0</v>
      </c>
    </row>
    <row r="14" spans="1:22" x14ac:dyDescent="0.2">
      <c r="A14" s="153">
        <v>2002</v>
      </c>
      <c r="B14" s="153">
        <v>1</v>
      </c>
      <c r="C14" s="246">
        <v>56660.32</v>
      </c>
      <c r="D14" s="173">
        <v>4.457008293679027</v>
      </c>
      <c r="E14" s="173">
        <v>4.457008293679027</v>
      </c>
      <c r="F14" s="173"/>
      <c r="G14" s="173">
        <v>32.380000000000003</v>
      </c>
      <c r="H14" s="154">
        <v>137.00631435</v>
      </c>
      <c r="I14" s="190">
        <f t="shared" si="1"/>
        <v>137.00631435</v>
      </c>
      <c r="J14" s="190">
        <f t="shared" si="2"/>
        <v>54.213862844781623</v>
      </c>
      <c r="K14" s="246">
        <v>24971</v>
      </c>
      <c r="L14" s="255">
        <v>24971</v>
      </c>
      <c r="M14" s="164">
        <v>5439.2694249999995</v>
      </c>
      <c r="N14" s="190">
        <f t="shared" si="3"/>
        <v>5439.2694249999995</v>
      </c>
      <c r="O14" s="260">
        <v>940</v>
      </c>
      <c r="P14" s="260"/>
      <c r="R14" s="166">
        <v>1161</v>
      </c>
      <c r="S14" s="182">
        <f t="shared" si="4"/>
        <v>2269.0448920748072</v>
      </c>
      <c r="T14" s="339">
        <v>0.39570338857729898</v>
      </c>
      <c r="U14" s="153" t="e">
        <f t="shared" si="5"/>
        <v>#REF!</v>
      </c>
      <c r="V14" s="157">
        <f t="shared" si="0"/>
        <v>0</v>
      </c>
    </row>
    <row r="15" spans="1:22" x14ac:dyDescent="0.2">
      <c r="A15" s="153">
        <v>2002</v>
      </c>
      <c r="B15" s="153">
        <v>2</v>
      </c>
      <c r="C15" s="246">
        <v>45676.182000000001</v>
      </c>
      <c r="D15" s="173">
        <v>4.457008293679027</v>
      </c>
      <c r="E15" s="173">
        <v>4.457008293679027</v>
      </c>
      <c r="F15" s="173"/>
      <c r="G15" s="173">
        <v>29.9</v>
      </c>
      <c r="H15" s="154">
        <v>137.00631435</v>
      </c>
      <c r="I15" s="190">
        <f t="shared" si="1"/>
        <v>137.00631435</v>
      </c>
      <c r="J15" s="190">
        <f t="shared" si="2"/>
        <v>54.213862844781623</v>
      </c>
      <c r="K15" s="246">
        <v>24899</v>
      </c>
      <c r="L15" s="255">
        <v>24899</v>
      </c>
      <c r="M15" s="164">
        <v>5439.2694249999995</v>
      </c>
      <c r="N15" s="190">
        <f t="shared" si="3"/>
        <v>5439.2694249999995</v>
      </c>
      <c r="O15" s="260">
        <v>737.6</v>
      </c>
      <c r="P15" s="260"/>
      <c r="R15" s="166">
        <v>1161</v>
      </c>
      <c r="S15" s="182">
        <f t="shared" si="4"/>
        <v>1834.458492308928</v>
      </c>
      <c r="T15" s="339">
        <v>0.39570338857729898</v>
      </c>
      <c r="U15" s="153" t="e">
        <f t="shared" si="5"/>
        <v>#REF!</v>
      </c>
      <c r="V15" s="157">
        <f t="shared" si="0"/>
        <v>0</v>
      </c>
    </row>
    <row r="16" spans="1:22" x14ac:dyDescent="0.2">
      <c r="A16" s="153">
        <v>2002</v>
      </c>
      <c r="B16" s="153">
        <v>3</v>
      </c>
      <c r="C16" s="246">
        <v>42476.214999999997</v>
      </c>
      <c r="D16" s="173">
        <v>4.457008293679027</v>
      </c>
      <c r="E16" s="173">
        <v>4.457008293679027</v>
      </c>
      <c r="F16" s="173"/>
      <c r="G16" s="173">
        <v>30.52</v>
      </c>
      <c r="H16" s="154">
        <v>137.00631435</v>
      </c>
      <c r="I16" s="190">
        <f t="shared" si="1"/>
        <v>137.00631435</v>
      </c>
      <c r="J16" s="190">
        <f t="shared" si="2"/>
        <v>54.213862844781623</v>
      </c>
      <c r="K16" s="246">
        <v>24947</v>
      </c>
      <c r="L16" s="255">
        <v>24947</v>
      </c>
      <c r="M16" s="164">
        <v>5439.2694249999995</v>
      </c>
      <c r="N16" s="190">
        <f t="shared" si="3"/>
        <v>5439.2694249999995</v>
      </c>
      <c r="O16" s="260">
        <v>646.85</v>
      </c>
      <c r="P16" s="260">
        <v>0</v>
      </c>
      <c r="Q16" s="166">
        <v>4200</v>
      </c>
      <c r="R16" s="166">
        <v>1161</v>
      </c>
      <c r="S16" s="182">
        <f t="shared" si="4"/>
        <v>1702.6582354591733</v>
      </c>
      <c r="T16" s="339">
        <v>0.39570338857729898</v>
      </c>
      <c r="U16" s="153" t="e">
        <f t="shared" si="5"/>
        <v>#REF!</v>
      </c>
      <c r="V16" s="157">
        <f t="shared" si="0"/>
        <v>0</v>
      </c>
    </row>
    <row r="17" spans="1:22" x14ac:dyDescent="0.2">
      <c r="A17" s="153">
        <v>2002</v>
      </c>
      <c r="B17" s="153">
        <v>4</v>
      </c>
      <c r="C17" s="246">
        <v>31881.811000000002</v>
      </c>
      <c r="D17" s="173">
        <v>4.457008293679027</v>
      </c>
      <c r="E17" s="173">
        <v>4.457008293679027</v>
      </c>
      <c r="F17" s="173"/>
      <c r="G17" s="173">
        <v>30.57</v>
      </c>
      <c r="H17" s="154">
        <v>137.00631435</v>
      </c>
      <c r="I17" s="190">
        <f t="shared" si="1"/>
        <v>137.00631435</v>
      </c>
      <c r="J17" s="190">
        <f t="shared" si="2"/>
        <v>54.247917948715767</v>
      </c>
      <c r="K17" s="246">
        <v>25219</v>
      </c>
      <c r="L17" s="255">
        <v>25219</v>
      </c>
      <c r="M17" s="164">
        <v>5439.2694249999995</v>
      </c>
      <c r="N17" s="190">
        <f t="shared" si="3"/>
        <v>5439.2694249999995</v>
      </c>
      <c r="O17" s="260">
        <v>364.1</v>
      </c>
      <c r="P17" s="260">
        <v>18.45</v>
      </c>
      <c r="Q17" s="166">
        <v>4200</v>
      </c>
      <c r="R17" s="166">
        <v>1161</v>
      </c>
      <c r="S17" s="182">
        <f t="shared" si="4"/>
        <v>1264.1980649510292</v>
      </c>
      <c r="T17" s="339">
        <v>0.39595195452183746</v>
      </c>
      <c r="U17" s="153" t="e">
        <f t="shared" si="5"/>
        <v>#REF!</v>
      </c>
      <c r="V17" s="157">
        <f t="shared" si="0"/>
        <v>0</v>
      </c>
    </row>
    <row r="18" spans="1:22" x14ac:dyDescent="0.2">
      <c r="A18" s="153">
        <v>2002</v>
      </c>
      <c r="B18" s="153">
        <v>5</v>
      </c>
      <c r="C18" s="246">
        <v>23385.346000000001</v>
      </c>
      <c r="D18" s="173">
        <v>4.457008293679027</v>
      </c>
      <c r="E18" s="173">
        <v>4.457008293679027</v>
      </c>
      <c r="F18" s="173"/>
      <c r="G18" s="173">
        <v>29.57</v>
      </c>
      <c r="H18" s="154">
        <v>137.00631435</v>
      </c>
      <c r="I18" s="190">
        <f t="shared" si="1"/>
        <v>137.00631435</v>
      </c>
      <c r="J18" s="190">
        <f t="shared" si="2"/>
        <v>54.247917948715767</v>
      </c>
      <c r="K18" s="246">
        <v>24922</v>
      </c>
      <c r="L18" s="255">
        <v>24922</v>
      </c>
      <c r="M18" s="164">
        <v>5439.2694249999995</v>
      </c>
      <c r="N18" s="190">
        <f t="shared" si="3"/>
        <v>5439.2694249999995</v>
      </c>
      <c r="O18" s="260">
        <v>152.44999999999999</v>
      </c>
      <c r="P18" s="260">
        <v>65.7</v>
      </c>
      <c r="Q18" s="166">
        <v>4200</v>
      </c>
      <c r="R18" s="166">
        <v>1161</v>
      </c>
      <c r="S18" s="182">
        <f t="shared" si="4"/>
        <v>938.34146537196057</v>
      </c>
      <c r="T18" s="339">
        <v>0.39595195452183746</v>
      </c>
      <c r="U18" s="153" t="e">
        <f t="shared" si="5"/>
        <v>#REF!</v>
      </c>
      <c r="V18" s="157">
        <f t="shared" si="0"/>
        <v>0</v>
      </c>
    </row>
    <row r="19" spans="1:22" x14ac:dyDescent="0.2">
      <c r="A19" s="153">
        <v>2002</v>
      </c>
      <c r="B19" s="153">
        <v>6</v>
      </c>
      <c r="C19" s="246">
        <v>24994.634999999998</v>
      </c>
      <c r="D19" s="173">
        <v>4.457008293679027</v>
      </c>
      <c r="E19" s="173">
        <v>4.457008293679027</v>
      </c>
      <c r="F19" s="173"/>
      <c r="G19" s="173">
        <v>30.67</v>
      </c>
      <c r="H19" s="154">
        <v>137.00631435</v>
      </c>
      <c r="I19" s="190">
        <f t="shared" si="1"/>
        <v>137.00631435</v>
      </c>
      <c r="J19" s="190">
        <f t="shared" si="2"/>
        <v>54.247917948715767</v>
      </c>
      <c r="K19" s="246">
        <v>24895</v>
      </c>
      <c r="L19" s="255">
        <v>24895</v>
      </c>
      <c r="M19" s="164">
        <v>5439.2694249999995</v>
      </c>
      <c r="N19" s="190">
        <f t="shared" si="3"/>
        <v>5439.2694249999995</v>
      </c>
      <c r="O19" s="260">
        <v>75.400000000000006</v>
      </c>
      <c r="P19" s="260">
        <v>170.6</v>
      </c>
      <c r="Q19" s="166">
        <v>4200</v>
      </c>
      <c r="R19" s="166">
        <v>1161</v>
      </c>
      <c r="S19" s="182">
        <f t="shared" si="4"/>
        <v>1004.0022092789716</v>
      </c>
      <c r="T19" s="339">
        <v>0.39595195452183746</v>
      </c>
      <c r="U19" s="153" t="e">
        <f t="shared" si="5"/>
        <v>#REF!</v>
      </c>
      <c r="V19" s="157">
        <f t="shared" si="0"/>
        <v>0</v>
      </c>
    </row>
    <row r="20" spans="1:22" x14ac:dyDescent="0.2">
      <c r="A20" s="153">
        <v>2002</v>
      </c>
      <c r="B20" s="153">
        <v>7</v>
      </c>
      <c r="C20" s="246">
        <v>26397.615000000002</v>
      </c>
      <c r="D20" s="173">
        <v>4.457008293679027</v>
      </c>
      <c r="E20" s="173">
        <v>4.457008293679027</v>
      </c>
      <c r="F20" s="173"/>
      <c r="G20" s="173">
        <v>30.67</v>
      </c>
      <c r="H20" s="154">
        <v>137.00631435</v>
      </c>
      <c r="I20" s="190">
        <f t="shared" si="1"/>
        <v>137.00631435</v>
      </c>
      <c r="J20" s="190">
        <f t="shared" si="2"/>
        <v>54.264129727456734</v>
      </c>
      <c r="K20" s="246">
        <v>24925</v>
      </c>
      <c r="L20" s="255">
        <v>24925</v>
      </c>
      <c r="M20" s="164">
        <v>5439.2694249999995</v>
      </c>
      <c r="N20" s="190">
        <f t="shared" si="3"/>
        <v>5439.2694249999995</v>
      </c>
      <c r="O20" s="260">
        <v>0.5</v>
      </c>
      <c r="P20" s="260">
        <v>315.60000000000002</v>
      </c>
      <c r="Q20" s="166">
        <v>4200</v>
      </c>
      <c r="R20" s="166">
        <v>1161</v>
      </c>
      <c r="S20" s="182">
        <f t="shared" si="4"/>
        <v>1059.08184553661</v>
      </c>
      <c r="T20" s="339">
        <v>0.39607028321944443</v>
      </c>
      <c r="U20" s="153" t="e">
        <f t="shared" si="5"/>
        <v>#REF!</v>
      </c>
      <c r="V20" s="157">
        <f t="shared" si="0"/>
        <v>0</v>
      </c>
    </row>
    <row r="21" spans="1:22" x14ac:dyDescent="0.2">
      <c r="A21" s="153">
        <v>2002</v>
      </c>
      <c r="B21" s="153">
        <v>8</v>
      </c>
      <c r="C21" s="246">
        <v>26577.752</v>
      </c>
      <c r="D21" s="173">
        <v>4.457008293679027</v>
      </c>
      <c r="E21" s="173">
        <v>4.457008293679027</v>
      </c>
      <c r="F21" s="173"/>
      <c r="G21" s="173">
        <v>29.48</v>
      </c>
      <c r="H21" s="154">
        <v>137.00631435</v>
      </c>
      <c r="I21" s="190">
        <f t="shared" si="1"/>
        <v>137.00631435</v>
      </c>
      <c r="J21" s="190">
        <f t="shared" si="2"/>
        <v>54.264129727456734</v>
      </c>
      <c r="K21" s="246">
        <v>24871</v>
      </c>
      <c r="L21" s="255">
        <v>24871</v>
      </c>
      <c r="M21" s="164">
        <v>5439.2694249999995</v>
      </c>
      <c r="N21" s="190">
        <f t="shared" si="3"/>
        <v>5439.2694249999995</v>
      </c>
      <c r="O21" s="260">
        <v>0</v>
      </c>
      <c r="P21" s="260">
        <v>351.2</v>
      </c>
      <c r="Q21" s="166">
        <v>4200</v>
      </c>
      <c r="R21" s="166">
        <v>1161</v>
      </c>
      <c r="S21" s="182">
        <f t="shared" si="4"/>
        <v>1068.6241807727877</v>
      </c>
      <c r="T21" s="339">
        <v>0.39607028321944443</v>
      </c>
      <c r="U21" s="153" t="e">
        <f t="shared" si="5"/>
        <v>#REF!</v>
      </c>
      <c r="V21" s="157">
        <f t="shared" si="0"/>
        <v>0</v>
      </c>
    </row>
    <row r="22" spans="1:22" x14ac:dyDescent="0.2">
      <c r="A22" s="153">
        <v>2002</v>
      </c>
      <c r="B22" s="153">
        <v>9</v>
      </c>
      <c r="C22" s="246">
        <v>25213.136999999999</v>
      </c>
      <c r="D22" s="173">
        <v>4.457008293679027</v>
      </c>
      <c r="E22" s="173">
        <v>4.457008293679027</v>
      </c>
      <c r="F22" s="173"/>
      <c r="G22" s="173">
        <v>30.76</v>
      </c>
      <c r="H22" s="154">
        <v>137.00631435</v>
      </c>
      <c r="I22" s="190">
        <f t="shared" si="1"/>
        <v>137.00631435</v>
      </c>
      <c r="J22" s="190">
        <f t="shared" si="2"/>
        <v>54.264129727456734</v>
      </c>
      <c r="K22" s="246">
        <v>24908</v>
      </c>
      <c r="L22" s="255">
        <v>24908</v>
      </c>
      <c r="M22" s="164">
        <v>5439.2694249999995</v>
      </c>
      <c r="N22" s="190">
        <f t="shared" si="3"/>
        <v>5439.2694249999995</v>
      </c>
      <c r="O22" s="260">
        <v>0.6</v>
      </c>
      <c r="P22" s="260">
        <v>291</v>
      </c>
      <c r="Q22" s="166">
        <v>4200</v>
      </c>
      <c r="R22" s="166">
        <v>1161</v>
      </c>
      <c r="S22" s="182">
        <f t="shared" si="4"/>
        <v>1012.2505620684117</v>
      </c>
      <c r="T22" s="339">
        <v>0.39607028321944443</v>
      </c>
      <c r="U22" s="153" t="e">
        <f t="shared" si="5"/>
        <v>#REF!</v>
      </c>
      <c r="V22" s="157">
        <f t="shared" si="0"/>
        <v>0</v>
      </c>
    </row>
    <row r="23" spans="1:22" x14ac:dyDescent="0.2">
      <c r="A23" s="153">
        <v>2002</v>
      </c>
      <c r="B23" s="153">
        <v>10</v>
      </c>
      <c r="C23" s="246">
        <v>21787.68</v>
      </c>
      <c r="D23" s="173">
        <v>4.457008293679027</v>
      </c>
      <c r="E23" s="173">
        <v>4.457008293679027</v>
      </c>
      <c r="F23" s="173"/>
      <c r="G23" s="173">
        <v>29.52</v>
      </c>
      <c r="H23" s="154">
        <v>137.00631435</v>
      </c>
      <c r="I23" s="190">
        <f t="shared" si="1"/>
        <v>137.00631435</v>
      </c>
      <c r="J23" s="190">
        <f t="shared" si="2"/>
        <v>54.280309153488886</v>
      </c>
      <c r="K23" s="246">
        <v>24823</v>
      </c>
      <c r="L23" s="255">
        <v>24823</v>
      </c>
      <c r="M23" s="164">
        <v>5439.2694249999995</v>
      </c>
      <c r="N23" s="190">
        <f t="shared" si="3"/>
        <v>5439.2694249999995</v>
      </c>
      <c r="O23" s="260">
        <v>57.85</v>
      </c>
      <c r="P23" s="260">
        <v>130.1</v>
      </c>
      <c r="Q23" s="166">
        <v>4200</v>
      </c>
      <c r="R23" s="166">
        <v>1161</v>
      </c>
      <c r="S23" s="182">
        <f t="shared" si="4"/>
        <v>877.72146799339328</v>
      </c>
      <c r="T23" s="339">
        <v>0.3961883757767759</v>
      </c>
      <c r="U23" s="153" t="e">
        <f t="shared" si="5"/>
        <v>#REF!</v>
      </c>
      <c r="V23" s="157">
        <f t="shared" si="0"/>
        <v>0</v>
      </c>
    </row>
    <row r="24" spans="1:22" x14ac:dyDescent="0.2">
      <c r="A24" s="153">
        <v>2002</v>
      </c>
      <c r="B24" s="153">
        <v>11</v>
      </c>
      <c r="C24" s="246">
        <v>30160.736000000001</v>
      </c>
      <c r="D24" s="173">
        <v>4.457008293679027</v>
      </c>
      <c r="E24" s="173">
        <v>4.457008293679027</v>
      </c>
      <c r="F24" s="173"/>
      <c r="G24" s="173">
        <v>29.43</v>
      </c>
      <c r="H24" s="154">
        <v>137.00631435</v>
      </c>
      <c r="I24" s="190">
        <f t="shared" si="1"/>
        <v>137.00631435</v>
      </c>
      <c r="J24" s="190">
        <f t="shared" si="2"/>
        <v>54.280309153488886</v>
      </c>
      <c r="K24" s="246">
        <v>24875</v>
      </c>
      <c r="L24" s="255">
        <v>24875</v>
      </c>
      <c r="M24" s="164">
        <v>5439.2694249999995</v>
      </c>
      <c r="N24" s="190">
        <f t="shared" si="3"/>
        <v>5439.2694249999995</v>
      </c>
      <c r="O24" s="260">
        <v>381.6</v>
      </c>
      <c r="P24" s="260">
        <v>7.95</v>
      </c>
      <c r="Q24" s="166">
        <v>4200</v>
      </c>
      <c r="R24" s="166">
        <v>1161</v>
      </c>
      <c r="S24" s="182">
        <f t="shared" si="4"/>
        <v>1212.4918994974873</v>
      </c>
      <c r="T24" s="339">
        <v>0.3961883757767759</v>
      </c>
      <c r="U24" s="153" t="e">
        <f t="shared" si="5"/>
        <v>#REF!</v>
      </c>
      <c r="V24" s="157">
        <f t="shared" si="0"/>
        <v>0</v>
      </c>
    </row>
    <row r="25" spans="1:22" x14ac:dyDescent="0.2">
      <c r="A25" s="153">
        <v>2002</v>
      </c>
      <c r="B25" s="153">
        <v>12</v>
      </c>
      <c r="C25" s="246">
        <v>50281.696000000004</v>
      </c>
      <c r="D25" s="173">
        <v>4.457008293679027</v>
      </c>
      <c r="E25" s="173">
        <v>4.457008293679027</v>
      </c>
      <c r="F25" s="173"/>
      <c r="G25" s="173">
        <v>32.049999999999997</v>
      </c>
      <c r="H25" s="154">
        <v>137.00631435</v>
      </c>
      <c r="I25" s="190">
        <f t="shared" si="1"/>
        <v>137.00631435</v>
      </c>
      <c r="J25" s="190">
        <f t="shared" si="2"/>
        <v>54.280309153488886</v>
      </c>
      <c r="K25" s="246">
        <v>25002</v>
      </c>
      <c r="L25" s="255">
        <v>25002</v>
      </c>
      <c r="M25" s="164">
        <v>5439.2694249999995</v>
      </c>
      <c r="N25" s="190">
        <f t="shared" si="3"/>
        <v>5439.2694249999995</v>
      </c>
      <c r="O25" s="260">
        <v>783.25</v>
      </c>
      <c r="P25" s="260">
        <v>0.4</v>
      </c>
      <c r="Q25" s="166">
        <v>4200</v>
      </c>
      <c r="R25" s="166">
        <v>1161</v>
      </c>
      <c r="S25" s="182">
        <f t="shared" si="4"/>
        <v>2011.1069514438848</v>
      </c>
      <c r="T25" s="339">
        <v>0.3961883757767759</v>
      </c>
      <c r="U25" s="153" t="e">
        <f t="shared" si="5"/>
        <v>#REF!</v>
      </c>
      <c r="V25" s="157">
        <f t="shared" si="0"/>
        <v>0</v>
      </c>
    </row>
    <row r="26" spans="1:22" x14ac:dyDescent="0.2">
      <c r="A26" s="153">
        <v>2003</v>
      </c>
      <c r="B26" s="153">
        <v>1</v>
      </c>
      <c r="C26" s="246">
        <v>59768.093999999997</v>
      </c>
      <c r="D26" s="173">
        <v>4.5960275764781944</v>
      </c>
      <c r="E26" s="173">
        <v>4.5960275764781944</v>
      </c>
      <c r="F26" s="173"/>
      <c r="G26" s="173">
        <v>33.33</v>
      </c>
      <c r="H26" s="154">
        <v>136.90320320000001</v>
      </c>
      <c r="I26" s="190">
        <f t="shared" si="1"/>
        <v>136.90320320000001</v>
      </c>
      <c r="J26" s="190">
        <f t="shared" si="2"/>
        <v>54.255659280763957</v>
      </c>
      <c r="K26" s="246">
        <v>25043</v>
      </c>
      <c r="L26" s="255">
        <v>25043</v>
      </c>
      <c r="M26" s="164">
        <v>5627.1096796000011</v>
      </c>
      <c r="N26" s="190">
        <f t="shared" si="3"/>
        <v>5627.1096796000011</v>
      </c>
      <c r="O26" s="260">
        <v>952.8</v>
      </c>
      <c r="P26" s="260">
        <v>0</v>
      </c>
      <c r="Q26" s="166">
        <v>4200</v>
      </c>
      <c r="R26" s="166">
        <v>1161</v>
      </c>
      <c r="S26" s="182">
        <f t="shared" si="4"/>
        <v>2386.6187757057855</v>
      </c>
      <c r="T26" s="339">
        <v>0.39630671899986597</v>
      </c>
      <c r="U26" s="153" t="e">
        <f t="shared" si="5"/>
        <v>#REF!</v>
      </c>
      <c r="V26" s="157">
        <f t="shared" si="0"/>
        <v>0</v>
      </c>
    </row>
    <row r="27" spans="1:22" x14ac:dyDescent="0.2">
      <c r="A27" s="153">
        <v>2003</v>
      </c>
      <c r="B27" s="153">
        <v>2</v>
      </c>
      <c r="C27" s="246">
        <v>61834.421000000002</v>
      </c>
      <c r="D27" s="173">
        <v>4.5960275764781944</v>
      </c>
      <c r="E27" s="173">
        <v>4.5960275764781944</v>
      </c>
      <c r="F27" s="173"/>
      <c r="G27" s="173">
        <v>31</v>
      </c>
      <c r="H27" s="154">
        <v>136.90320320000001</v>
      </c>
      <c r="I27" s="190">
        <f t="shared" si="1"/>
        <v>136.90320320000001</v>
      </c>
      <c r="J27" s="190">
        <f t="shared" si="2"/>
        <v>54.255659280763957</v>
      </c>
      <c r="K27" s="246">
        <v>24961</v>
      </c>
      <c r="L27" s="255">
        <v>24961</v>
      </c>
      <c r="M27" s="164">
        <v>5627.1096796000011</v>
      </c>
      <c r="N27" s="190">
        <f t="shared" si="3"/>
        <v>5627.1096796000011</v>
      </c>
      <c r="O27" s="260">
        <v>1011.95</v>
      </c>
      <c r="P27" s="260">
        <v>0</v>
      </c>
      <c r="Q27" s="166">
        <v>4200</v>
      </c>
      <c r="R27" s="166">
        <v>1161</v>
      </c>
      <c r="S27" s="182">
        <f t="shared" si="4"/>
        <v>2477.2413364849167</v>
      </c>
      <c r="T27" s="339">
        <v>0.39630671899986597</v>
      </c>
      <c r="U27" s="153" t="e">
        <f t="shared" si="5"/>
        <v>#REF!</v>
      </c>
      <c r="V27" s="157">
        <f t="shared" si="0"/>
        <v>0</v>
      </c>
    </row>
    <row r="28" spans="1:22" x14ac:dyDescent="0.2">
      <c r="A28" s="153">
        <v>2003</v>
      </c>
      <c r="B28" s="153">
        <v>3</v>
      </c>
      <c r="C28" s="246">
        <v>41063.025000000001</v>
      </c>
      <c r="D28" s="173">
        <v>4.5960275764781944</v>
      </c>
      <c r="E28" s="173">
        <v>4.5960275764781944</v>
      </c>
      <c r="F28" s="173"/>
      <c r="G28" s="173">
        <v>31.19</v>
      </c>
      <c r="H28" s="154">
        <v>136.90320320000001</v>
      </c>
      <c r="I28" s="190">
        <f t="shared" si="1"/>
        <v>136.90320320000001</v>
      </c>
      <c r="J28" s="190">
        <f t="shared" si="2"/>
        <v>54.255659280763957</v>
      </c>
      <c r="K28" s="246">
        <v>25008</v>
      </c>
      <c r="L28" s="255">
        <v>25008</v>
      </c>
      <c r="M28" s="164">
        <v>5627.1096796000011</v>
      </c>
      <c r="N28" s="190">
        <f t="shared" si="3"/>
        <v>5627.1096796000011</v>
      </c>
      <c r="O28" s="260">
        <v>582.70000000000005</v>
      </c>
      <c r="P28" s="260">
        <v>0</v>
      </c>
      <c r="Q28" s="166">
        <v>4200</v>
      </c>
      <c r="R28" s="166">
        <v>1161</v>
      </c>
      <c r="S28" s="182">
        <f t="shared" si="4"/>
        <v>1641.9955614203457</v>
      </c>
      <c r="T28" s="339">
        <v>0.39630671899986597</v>
      </c>
      <c r="U28" s="153" t="e">
        <f t="shared" si="5"/>
        <v>#REF!</v>
      </c>
      <c r="V28" s="157">
        <f t="shared" si="0"/>
        <v>0</v>
      </c>
    </row>
    <row r="29" spans="1:22" x14ac:dyDescent="0.2">
      <c r="A29" s="153">
        <v>2003</v>
      </c>
      <c r="B29" s="153">
        <v>4</v>
      </c>
      <c r="C29" s="246">
        <v>28504.602999999999</v>
      </c>
      <c r="D29" s="173">
        <v>4.5960275764781944</v>
      </c>
      <c r="E29" s="173">
        <v>4.5960275764781944</v>
      </c>
      <c r="F29" s="173"/>
      <c r="G29" s="173">
        <v>31</v>
      </c>
      <c r="H29" s="154">
        <v>136.90320320000001</v>
      </c>
      <c r="I29" s="190">
        <f t="shared" si="1"/>
        <v>136.90320320000001</v>
      </c>
      <c r="J29" s="190">
        <f t="shared" si="2"/>
        <v>54.271815178016361</v>
      </c>
      <c r="K29" s="246">
        <v>24883</v>
      </c>
      <c r="L29" s="255">
        <v>24883</v>
      </c>
      <c r="M29" s="164">
        <v>5627.1096796000011</v>
      </c>
      <c r="N29" s="190">
        <f t="shared" si="3"/>
        <v>5627.1096796000011</v>
      </c>
      <c r="O29" s="260">
        <v>343.25</v>
      </c>
      <c r="P29" s="260">
        <v>0.15</v>
      </c>
      <c r="Q29" s="166">
        <v>4200</v>
      </c>
      <c r="R29" s="166">
        <v>1161</v>
      </c>
      <c r="S29" s="182">
        <f t="shared" si="4"/>
        <v>1145.5452718723627</v>
      </c>
      <c r="T29" s="339">
        <v>0.39642472863641776</v>
      </c>
      <c r="U29" s="153" t="e">
        <f t="shared" si="5"/>
        <v>#REF!</v>
      </c>
      <c r="V29" s="157">
        <f t="shared" si="0"/>
        <v>0</v>
      </c>
    </row>
    <row r="30" spans="1:22" x14ac:dyDescent="0.2">
      <c r="A30" s="153">
        <v>2003</v>
      </c>
      <c r="B30" s="153">
        <v>5</v>
      </c>
      <c r="C30" s="246">
        <v>22632.107</v>
      </c>
      <c r="D30" s="173">
        <v>4.5960275764781944</v>
      </c>
      <c r="E30" s="173">
        <v>4.5960275764781944</v>
      </c>
      <c r="F30" s="173"/>
      <c r="G30" s="173">
        <v>31.48</v>
      </c>
      <c r="H30" s="154">
        <v>136.90320320000001</v>
      </c>
      <c r="I30" s="190">
        <f t="shared" si="1"/>
        <v>136.90320320000001</v>
      </c>
      <c r="J30" s="190">
        <f t="shared" si="2"/>
        <v>54.271815178016361</v>
      </c>
      <c r="K30" s="246">
        <v>24916</v>
      </c>
      <c r="L30" s="255">
        <v>24916</v>
      </c>
      <c r="M30" s="164">
        <v>5627.1096796000011</v>
      </c>
      <c r="N30" s="190">
        <f t="shared" si="3"/>
        <v>5627.1096796000011</v>
      </c>
      <c r="O30" s="260">
        <v>116.95</v>
      </c>
      <c r="P30" s="260">
        <v>25.3</v>
      </c>
      <c r="Q30" s="166">
        <v>4200</v>
      </c>
      <c r="R30" s="166">
        <v>1161</v>
      </c>
      <c r="S30" s="182">
        <f t="shared" si="4"/>
        <v>908.33628993417881</v>
      </c>
      <c r="T30" s="339">
        <v>0.39642472863641776</v>
      </c>
      <c r="U30" s="153" t="e">
        <f t="shared" si="5"/>
        <v>#REF!</v>
      </c>
      <c r="V30" s="157">
        <f t="shared" si="0"/>
        <v>0</v>
      </c>
    </row>
    <row r="31" spans="1:22" x14ac:dyDescent="0.2">
      <c r="A31" s="153">
        <v>2003</v>
      </c>
      <c r="B31" s="153">
        <v>6</v>
      </c>
      <c r="C31" s="246">
        <v>21082.337</v>
      </c>
      <c r="D31" s="173">
        <v>4.5960275764781944</v>
      </c>
      <c r="E31" s="173">
        <v>4.5960275764781944</v>
      </c>
      <c r="F31" s="173"/>
      <c r="G31" s="173">
        <v>31.52</v>
      </c>
      <c r="H31" s="154">
        <v>136.90320320000001</v>
      </c>
      <c r="I31" s="190">
        <f t="shared" si="1"/>
        <v>136.90320320000001</v>
      </c>
      <c r="J31" s="190">
        <f t="shared" si="2"/>
        <v>54.271815178016361</v>
      </c>
      <c r="K31" s="246">
        <v>24844</v>
      </c>
      <c r="L31" s="255">
        <v>24844</v>
      </c>
      <c r="M31" s="164">
        <v>5627.1096796000011</v>
      </c>
      <c r="N31" s="190">
        <f t="shared" si="3"/>
        <v>5627.1096796000011</v>
      </c>
      <c r="O31" s="260">
        <v>47.1</v>
      </c>
      <c r="P31" s="260">
        <v>76.3</v>
      </c>
      <c r="Q31" s="166">
        <v>4200</v>
      </c>
      <c r="R31" s="166">
        <v>1161</v>
      </c>
      <c r="S31" s="182">
        <f t="shared" si="4"/>
        <v>848.58867332152636</v>
      </c>
      <c r="T31" s="339">
        <v>0.39642472863641776</v>
      </c>
      <c r="U31" s="153" t="e">
        <f t="shared" si="5"/>
        <v>#REF!</v>
      </c>
      <c r="V31" s="157">
        <f t="shared" si="0"/>
        <v>0</v>
      </c>
    </row>
    <row r="32" spans="1:22" x14ac:dyDescent="0.2">
      <c r="A32" s="153">
        <v>2003</v>
      </c>
      <c r="B32" s="153">
        <v>7</v>
      </c>
      <c r="C32" s="246">
        <v>24175.991999999998</v>
      </c>
      <c r="D32" s="173">
        <v>4.5960275764781944</v>
      </c>
      <c r="E32" s="173">
        <v>4.5960275764781944</v>
      </c>
      <c r="F32" s="173"/>
      <c r="G32" s="173">
        <v>31.67</v>
      </c>
      <c r="H32" s="154">
        <v>136.90320320000001</v>
      </c>
      <c r="I32" s="190">
        <f t="shared" si="1"/>
        <v>136.90320320000001</v>
      </c>
      <c r="J32" s="190">
        <f t="shared" si="2"/>
        <v>54.283273347663453</v>
      </c>
      <c r="K32" s="246">
        <v>24919</v>
      </c>
      <c r="L32" s="255">
        <v>24919</v>
      </c>
      <c r="M32" s="164">
        <v>5627.1096796000011</v>
      </c>
      <c r="N32" s="190">
        <f t="shared" si="3"/>
        <v>5627.1096796000011</v>
      </c>
      <c r="O32" s="260">
        <v>2.95</v>
      </c>
      <c r="P32" s="260">
        <v>226.05</v>
      </c>
      <c r="Q32" s="166">
        <v>4200</v>
      </c>
      <c r="R32" s="166">
        <v>1161</v>
      </c>
      <c r="S32" s="182">
        <f t="shared" si="4"/>
        <v>970.18307315702873</v>
      </c>
      <c r="T32" s="339">
        <v>0.39650842404586961</v>
      </c>
      <c r="U32" s="153" t="e">
        <f t="shared" si="5"/>
        <v>#REF!</v>
      </c>
      <c r="V32" s="157">
        <f t="shared" si="0"/>
        <v>0</v>
      </c>
    </row>
    <row r="33" spans="1:20" x14ac:dyDescent="0.2">
      <c r="A33" s="153">
        <v>2003</v>
      </c>
      <c r="B33" s="153">
        <v>8</v>
      </c>
      <c r="C33" s="246">
        <v>24922.491000000002</v>
      </c>
      <c r="D33" s="173">
        <v>4.5960275764781944</v>
      </c>
      <c r="E33" s="173">
        <v>4.5960275764781944</v>
      </c>
      <c r="F33" s="173"/>
      <c r="G33" s="173">
        <v>30.48</v>
      </c>
      <c r="H33" s="154">
        <v>136.90320320000001</v>
      </c>
      <c r="I33" s="190">
        <f t="shared" si="1"/>
        <v>136.90320320000001</v>
      </c>
      <c r="J33" s="190">
        <f t="shared" si="2"/>
        <v>54.283273347663453</v>
      </c>
      <c r="K33" s="246">
        <v>24885</v>
      </c>
      <c r="L33" s="255">
        <v>24885</v>
      </c>
      <c r="M33" s="164">
        <v>5627.1096796000011</v>
      </c>
      <c r="N33" s="190">
        <f t="shared" si="3"/>
        <v>5627.1096796000011</v>
      </c>
      <c r="O33" s="260">
        <v>0</v>
      </c>
      <c r="P33" s="260">
        <v>267.85000000000002</v>
      </c>
      <c r="Q33" s="166">
        <v>4200</v>
      </c>
      <c r="R33" s="166">
        <v>1161</v>
      </c>
      <c r="S33" s="182">
        <f t="shared" si="4"/>
        <v>1001.506570223026</v>
      </c>
      <c r="T33" s="339">
        <v>0.39650842404586961</v>
      </c>
    </row>
    <row r="34" spans="1:20" x14ac:dyDescent="0.2">
      <c r="A34" s="153">
        <v>2003</v>
      </c>
      <c r="B34" s="153">
        <v>9</v>
      </c>
      <c r="C34" s="246">
        <v>24919.145</v>
      </c>
      <c r="D34" s="173">
        <v>4.5960275764781944</v>
      </c>
      <c r="E34" s="173">
        <v>4.5960275764781944</v>
      </c>
      <c r="F34" s="173"/>
      <c r="G34" s="173">
        <v>31.86</v>
      </c>
      <c r="H34" s="154">
        <v>136.90320320000001</v>
      </c>
      <c r="I34" s="190">
        <f t="shared" si="1"/>
        <v>136.90320320000001</v>
      </c>
      <c r="J34" s="190">
        <f t="shared" si="2"/>
        <v>54.283273347663453</v>
      </c>
      <c r="K34" s="246">
        <v>24948</v>
      </c>
      <c r="L34" s="255">
        <v>24948</v>
      </c>
      <c r="M34" s="164">
        <v>5627.1096796000011</v>
      </c>
      <c r="N34" s="190">
        <f t="shared" si="3"/>
        <v>5627.1096796000011</v>
      </c>
      <c r="O34" s="260">
        <v>5.7</v>
      </c>
      <c r="P34" s="260">
        <v>233.2</v>
      </c>
      <c r="Q34" s="166">
        <v>4200</v>
      </c>
      <c r="R34" s="166">
        <v>1161</v>
      </c>
      <c r="S34" s="182">
        <f t="shared" si="4"/>
        <v>998.84339426006102</v>
      </c>
      <c r="T34" s="339">
        <v>0.39650842404586961</v>
      </c>
    </row>
    <row r="35" spans="1:20" x14ac:dyDescent="0.2">
      <c r="A35" s="153">
        <v>2003</v>
      </c>
      <c r="B35" s="153">
        <v>10</v>
      </c>
      <c r="C35" s="246">
        <v>23270.409</v>
      </c>
      <c r="D35" s="173">
        <v>4.5960275764781944</v>
      </c>
      <c r="E35" s="173">
        <v>4.5960275764781944</v>
      </c>
      <c r="F35" s="173"/>
      <c r="G35" s="173">
        <v>30.38</v>
      </c>
      <c r="H35" s="154">
        <v>136.90320320000001</v>
      </c>
      <c r="I35" s="190">
        <f t="shared" si="1"/>
        <v>136.90320320000001</v>
      </c>
      <c r="J35" s="190">
        <f t="shared" si="2"/>
        <v>54.294699486399168</v>
      </c>
      <c r="K35" s="246">
        <v>24894</v>
      </c>
      <c r="L35" s="255">
        <v>24894</v>
      </c>
      <c r="M35" s="164">
        <v>5627.1096796000011</v>
      </c>
      <c r="N35" s="190">
        <f t="shared" si="3"/>
        <v>5627.1096796000011</v>
      </c>
      <c r="O35" s="260">
        <v>165.15</v>
      </c>
      <c r="P35" s="260">
        <v>29.65</v>
      </c>
      <c r="Q35" s="166">
        <v>4200</v>
      </c>
      <c r="R35" s="166">
        <v>1161</v>
      </c>
      <c r="S35" s="182">
        <f t="shared" si="4"/>
        <v>934.77982646420821</v>
      </c>
      <c r="T35" s="339">
        <v>0.39659188548773971</v>
      </c>
    </row>
    <row r="36" spans="1:20" x14ac:dyDescent="0.2">
      <c r="A36" s="153">
        <v>2003</v>
      </c>
      <c r="B36" s="153">
        <v>11</v>
      </c>
      <c r="C36" s="246">
        <v>27704.371999999999</v>
      </c>
      <c r="D36" s="173">
        <v>4.5960275764781944</v>
      </c>
      <c r="E36" s="173">
        <v>4.5960275764781944</v>
      </c>
      <c r="F36" s="173"/>
      <c r="G36" s="173">
        <v>30.62</v>
      </c>
      <c r="H36" s="154">
        <v>136.90320320000001</v>
      </c>
      <c r="I36" s="190">
        <f t="shared" si="1"/>
        <v>136.90320320000001</v>
      </c>
      <c r="J36" s="190">
        <f t="shared" si="2"/>
        <v>54.294699486399168</v>
      </c>
      <c r="K36" s="246">
        <v>24934</v>
      </c>
      <c r="L36" s="255">
        <v>24934</v>
      </c>
      <c r="M36" s="164">
        <v>5627.1096796000011</v>
      </c>
      <c r="N36" s="190">
        <f t="shared" si="3"/>
        <v>5627.1096796000011</v>
      </c>
      <c r="O36" s="260">
        <v>292.64999999999998</v>
      </c>
      <c r="P36" s="260">
        <v>5.7</v>
      </c>
      <c r="Q36" s="166">
        <v>4200</v>
      </c>
      <c r="R36" s="166">
        <v>1161</v>
      </c>
      <c r="S36" s="182">
        <f t="shared" si="4"/>
        <v>1111.1082056629502</v>
      </c>
      <c r="T36" s="339">
        <v>0.39659188548773971</v>
      </c>
    </row>
    <row r="37" spans="1:20" x14ac:dyDescent="0.2">
      <c r="A37" s="153">
        <v>2003</v>
      </c>
      <c r="B37" s="153">
        <v>12</v>
      </c>
      <c r="C37" s="246">
        <v>47374.228999999999</v>
      </c>
      <c r="D37" s="173">
        <v>4.5960275764781944</v>
      </c>
      <c r="E37" s="173">
        <v>4.5960275764781944</v>
      </c>
      <c r="F37" s="173"/>
      <c r="G37" s="173">
        <v>32.81</v>
      </c>
      <c r="H37" s="154">
        <v>136.90320320000001</v>
      </c>
      <c r="I37" s="190">
        <f t="shared" si="1"/>
        <v>136.90320320000001</v>
      </c>
      <c r="J37" s="190">
        <f t="shared" si="2"/>
        <v>54.294699486399168</v>
      </c>
      <c r="K37" s="246">
        <v>24992</v>
      </c>
      <c r="L37" s="255">
        <v>24992</v>
      </c>
      <c r="M37" s="164">
        <v>5627.1096796000011</v>
      </c>
      <c r="N37" s="190">
        <f t="shared" si="3"/>
        <v>5627.1096796000011</v>
      </c>
      <c r="O37" s="260">
        <v>700.8</v>
      </c>
      <c r="P37" s="260">
        <v>0.8</v>
      </c>
      <c r="Q37" s="166">
        <v>4200</v>
      </c>
      <c r="R37" s="166">
        <v>1161</v>
      </c>
      <c r="S37" s="182">
        <f t="shared" si="4"/>
        <v>1895.5757442381562</v>
      </c>
      <c r="T37" s="339">
        <v>0.39659188548773971</v>
      </c>
    </row>
    <row r="38" spans="1:20" x14ac:dyDescent="0.2">
      <c r="A38" s="153">
        <v>2004</v>
      </c>
      <c r="B38" s="153">
        <v>1</v>
      </c>
      <c r="C38" s="246">
        <v>60639.044000000002</v>
      </c>
      <c r="D38" s="173">
        <v>5</v>
      </c>
      <c r="E38" s="173">
        <v>5</v>
      </c>
      <c r="F38" s="173"/>
      <c r="G38" s="173">
        <v>32.450000000000003</v>
      </c>
      <c r="H38" s="154">
        <v>136.53560364000001</v>
      </c>
      <c r="I38" s="190">
        <f t="shared" si="1"/>
        <v>136.53560364000001</v>
      </c>
      <c r="J38" s="190">
        <f t="shared" si="2"/>
        <v>54.160328957176063</v>
      </c>
      <c r="K38" s="246">
        <v>25168</v>
      </c>
      <c r="L38" s="255">
        <v>25168</v>
      </c>
      <c r="M38" s="164">
        <v>6068.6703159999997</v>
      </c>
      <c r="N38" s="190">
        <f t="shared" si="3"/>
        <v>6068.6703159999997</v>
      </c>
      <c r="O38" s="260">
        <v>969.7</v>
      </c>
      <c r="P38" s="260">
        <v>0</v>
      </c>
      <c r="Q38" s="166">
        <v>4200</v>
      </c>
      <c r="R38" s="166">
        <v>1161</v>
      </c>
      <c r="S38" s="182">
        <f t="shared" si="4"/>
        <v>2409.3707883026068</v>
      </c>
      <c r="T38" s="339">
        <v>0.39667550084576653</v>
      </c>
    </row>
    <row r="39" spans="1:20" x14ac:dyDescent="0.2">
      <c r="A39" s="153">
        <v>2004</v>
      </c>
      <c r="B39" s="153">
        <v>2</v>
      </c>
      <c r="C39" s="246">
        <v>56523.472000000002</v>
      </c>
      <c r="D39" s="173">
        <v>5</v>
      </c>
      <c r="E39" s="173">
        <v>5</v>
      </c>
      <c r="F39" s="173"/>
      <c r="G39" s="173">
        <v>30.15</v>
      </c>
      <c r="H39" s="154">
        <v>136.53560364000001</v>
      </c>
      <c r="I39" s="190">
        <f t="shared" si="1"/>
        <v>136.53560364000001</v>
      </c>
      <c r="J39" s="190">
        <f t="shared" si="2"/>
        <v>54.160328957176063</v>
      </c>
      <c r="K39" s="246">
        <v>25037</v>
      </c>
      <c r="L39" s="255">
        <v>25037</v>
      </c>
      <c r="M39" s="164">
        <v>6068.6703159999997</v>
      </c>
      <c r="N39" s="190">
        <f t="shared" si="3"/>
        <v>6068.6703159999997</v>
      </c>
      <c r="O39" s="260">
        <v>896.85</v>
      </c>
      <c r="P39" s="260">
        <v>0</v>
      </c>
      <c r="Q39" s="166">
        <v>4200</v>
      </c>
      <c r="R39" s="166">
        <v>1161</v>
      </c>
      <c r="S39" s="182">
        <f t="shared" si="4"/>
        <v>2257.5976354994605</v>
      </c>
      <c r="T39" s="339">
        <v>0.39667550084576653</v>
      </c>
    </row>
    <row r="40" spans="1:20" x14ac:dyDescent="0.2">
      <c r="A40" s="153">
        <v>2004</v>
      </c>
      <c r="B40" s="153">
        <v>3</v>
      </c>
      <c r="C40" s="246">
        <v>41579.546000000002</v>
      </c>
      <c r="D40" s="173">
        <v>5</v>
      </c>
      <c r="E40" s="173">
        <v>5</v>
      </c>
      <c r="F40" s="173"/>
      <c r="G40" s="173">
        <v>30.05</v>
      </c>
      <c r="H40" s="154">
        <v>136.53560364000001</v>
      </c>
      <c r="I40" s="190">
        <f t="shared" si="1"/>
        <v>136.53560364000001</v>
      </c>
      <c r="J40" s="190">
        <f t="shared" si="2"/>
        <v>54.160328957176063</v>
      </c>
      <c r="K40" s="246">
        <v>25110</v>
      </c>
      <c r="L40" s="255">
        <v>25110</v>
      </c>
      <c r="M40" s="164">
        <v>6068.6703159999997</v>
      </c>
      <c r="N40" s="190">
        <f t="shared" si="3"/>
        <v>6068.6703159999997</v>
      </c>
      <c r="O40" s="260">
        <v>597.20000000000005</v>
      </c>
      <c r="P40" s="260">
        <v>0</v>
      </c>
      <c r="Q40" s="166">
        <v>4200</v>
      </c>
      <c r="R40" s="166">
        <v>1161</v>
      </c>
      <c r="S40" s="182">
        <f t="shared" si="4"/>
        <v>1655.8958980485863</v>
      </c>
      <c r="T40" s="339">
        <v>0.39667550084576653</v>
      </c>
    </row>
    <row r="41" spans="1:20" x14ac:dyDescent="0.2">
      <c r="A41" s="153">
        <v>2004</v>
      </c>
      <c r="B41" s="153">
        <v>4</v>
      </c>
      <c r="C41" s="246">
        <v>34693.141000000003</v>
      </c>
      <c r="D41" s="173">
        <v>5</v>
      </c>
      <c r="E41" s="173">
        <v>5</v>
      </c>
      <c r="F41" s="173"/>
      <c r="G41" s="173">
        <v>30.45</v>
      </c>
      <c r="H41" s="154">
        <v>136.53560364000001</v>
      </c>
      <c r="I41" s="190">
        <f t="shared" si="1"/>
        <v>136.53560364000001</v>
      </c>
      <c r="J41" s="190">
        <f t="shared" si="2"/>
        <v>54.171700365960042</v>
      </c>
      <c r="K41" s="246">
        <v>25001</v>
      </c>
      <c r="L41" s="255">
        <v>25001</v>
      </c>
      <c r="M41" s="164">
        <v>6068.6703159999997</v>
      </c>
      <c r="N41" s="190">
        <f t="shared" si="3"/>
        <v>6068.6703159999997</v>
      </c>
      <c r="O41" s="260">
        <v>426.05</v>
      </c>
      <c r="P41" s="260">
        <v>3.25</v>
      </c>
      <c r="Q41" s="166">
        <v>4200</v>
      </c>
      <c r="R41" s="166">
        <v>1161</v>
      </c>
      <c r="S41" s="182">
        <f t="shared" si="4"/>
        <v>1387.6701331946724</v>
      </c>
      <c r="T41" s="339">
        <v>0.39675878614630955</v>
      </c>
    </row>
    <row r="42" spans="1:20" x14ac:dyDescent="0.2">
      <c r="A42" s="153">
        <v>2004</v>
      </c>
      <c r="B42" s="153">
        <v>5</v>
      </c>
      <c r="C42" s="246">
        <v>23519.764999999999</v>
      </c>
      <c r="D42" s="173">
        <v>5</v>
      </c>
      <c r="E42" s="173">
        <v>5</v>
      </c>
      <c r="F42" s="173"/>
      <c r="G42" s="173">
        <v>29.8</v>
      </c>
      <c r="H42" s="154">
        <v>136.53560364000001</v>
      </c>
      <c r="I42" s="190">
        <f t="shared" si="1"/>
        <v>136.53560364000001</v>
      </c>
      <c r="J42" s="190">
        <f t="shared" si="2"/>
        <v>54.171700365960042</v>
      </c>
      <c r="K42" s="246">
        <v>24906</v>
      </c>
      <c r="L42" s="255">
        <v>24906</v>
      </c>
      <c r="M42" s="164">
        <v>6068.6703159999997</v>
      </c>
      <c r="N42" s="190">
        <f t="shared" si="3"/>
        <v>6068.6703159999997</v>
      </c>
      <c r="O42" s="260">
        <v>141.65</v>
      </c>
      <c r="P42" s="260">
        <v>64.3</v>
      </c>
      <c r="Q42" s="166">
        <v>4200</v>
      </c>
      <c r="R42" s="166">
        <v>1161</v>
      </c>
      <c r="S42" s="182">
        <f t="shared" si="4"/>
        <v>944.34132337589335</v>
      </c>
      <c r="T42" s="339">
        <v>0.39675878614630955</v>
      </c>
    </row>
    <row r="43" spans="1:20" x14ac:dyDescent="0.2">
      <c r="A43" s="153">
        <v>2004</v>
      </c>
      <c r="B43" s="153">
        <v>6</v>
      </c>
      <c r="C43" s="246">
        <v>22841.428</v>
      </c>
      <c r="D43" s="173">
        <v>5</v>
      </c>
      <c r="E43" s="173">
        <v>5</v>
      </c>
      <c r="F43" s="173"/>
      <c r="G43" s="173">
        <v>30.75</v>
      </c>
      <c r="H43" s="154">
        <v>136.53560364000001</v>
      </c>
      <c r="I43" s="190">
        <f t="shared" si="1"/>
        <v>136.53560364000001</v>
      </c>
      <c r="J43" s="190">
        <f t="shared" si="2"/>
        <v>54.171700365960042</v>
      </c>
      <c r="K43" s="246">
        <v>24942</v>
      </c>
      <c r="L43" s="255">
        <v>24942</v>
      </c>
      <c r="M43" s="164">
        <v>6068.6703159999997</v>
      </c>
      <c r="N43" s="190">
        <f t="shared" si="3"/>
        <v>6068.6703159999997</v>
      </c>
      <c r="O43" s="260">
        <v>1.25</v>
      </c>
      <c r="P43" s="260">
        <v>182.1</v>
      </c>
      <c r="Q43" s="166">
        <v>4200</v>
      </c>
      <c r="R43" s="166">
        <v>1161</v>
      </c>
      <c r="S43" s="182">
        <f t="shared" si="4"/>
        <v>915.781733622003</v>
      </c>
      <c r="T43" s="339">
        <v>0.39675878614630955</v>
      </c>
    </row>
    <row r="44" spans="1:20" x14ac:dyDescent="0.2">
      <c r="A44" s="153">
        <v>2004</v>
      </c>
      <c r="B44" s="153">
        <v>7</v>
      </c>
      <c r="C44" s="246">
        <v>25596.091</v>
      </c>
      <c r="D44" s="173">
        <v>5</v>
      </c>
      <c r="E44" s="173">
        <v>5</v>
      </c>
      <c r="F44" s="173"/>
      <c r="G44" s="173">
        <v>30.65</v>
      </c>
      <c r="H44" s="154">
        <v>136.53560364000001</v>
      </c>
      <c r="I44" s="190">
        <f t="shared" si="1"/>
        <v>136.53560364000001</v>
      </c>
      <c r="J44" s="190">
        <f t="shared" si="2"/>
        <v>54.158806347652991</v>
      </c>
      <c r="K44" s="246">
        <v>24933</v>
      </c>
      <c r="L44" s="255">
        <v>24933</v>
      </c>
      <c r="M44" s="164">
        <v>6068.6703159999997</v>
      </c>
      <c r="N44" s="190">
        <f t="shared" si="3"/>
        <v>6068.6703159999997</v>
      </c>
      <c r="O44" s="260">
        <v>0</v>
      </c>
      <c r="P44" s="260">
        <v>263.10000000000002</v>
      </c>
      <c r="Q44" s="166">
        <v>4200</v>
      </c>
      <c r="R44" s="166">
        <v>1161</v>
      </c>
      <c r="S44" s="182">
        <f t="shared" si="4"/>
        <v>1026.5949143705132</v>
      </c>
      <c r="T44" s="339">
        <v>0.39666434910598231</v>
      </c>
    </row>
    <row r="45" spans="1:20" x14ac:dyDescent="0.2">
      <c r="A45" s="153">
        <v>2004</v>
      </c>
      <c r="B45" s="153">
        <v>8</v>
      </c>
      <c r="C45" s="246">
        <v>24540.684000000001</v>
      </c>
      <c r="D45" s="173">
        <v>5</v>
      </c>
      <c r="E45" s="173">
        <v>5</v>
      </c>
      <c r="F45" s="173"/>
      <c r="G45" s="173">
        <v>29.55</v>
      </c>
      <c r="H45" s="154">
        <v>136.53560364000001</v>
      </c>
      <c r="I45" s="190">
        <f t="shared" si="1"/>
        <v>136.53560364000001</v>
      </c>
      <c r="J45" s="190">
        <f t="shared" si="2"/>
        <v>54.158806347652991</v>
      </c>
      <c r="K45" s="246">
        <v>24968</v>
      </c>
      <c r="L45" s="255">
        <v>24968</v>
      </c>
      <c r="M45" s="164">
        <v>6068.6703159999997</v>
      </c>
      <c r="N45" s="190">
        <f t="shared" si="3"/>
        <v>6068.6703159999997</v>
      </c>
      <c r="O45" s="260">
        <v>4.6500000000000004</v>
      </c>
      <c r="P45" s="260">
        <v>225.2</v>
      </c>
      <c r="Q45" s="166">
        <v>4200</v>
      </c>
      <c r="R45" s="166">
        <v>1161</v>
      </c>
      <c r="S45" s="182">
        <f t="shared" si="4"/>
        <v>982.88545338032679</v>
      </c>
      <c r="T45" s="339">
        <v>0.39666434910598231</v>
      </c>
    </row>
    <row r="46" spans="1:20" x14ac:dyDescent="0.2">
      <c r="A46" s="153">
        <v>2004</v>
      </c>
      <c r="B46" s="153">
        <v>9</v>
      </c>
      <c r="C46" s="246">
        <v>23452.226999999999</v>
      </c>
      <c r="D46" s="173">
        <v>5</v>
      </c>
      <c r="E46" s="173">
        <v>5</v>
      </c>
      <c r="F46" s="173"/>
      <c r="G46" s="173">
        <v>30.55</v>
      </c>
      <c r="H46" s="154">
        <v>136.53560364000001</v>
      </c>
      <c r="I46" s="190">
        <f t="shared" si="1"/>
        <v>136.53560364000001</v>
      </c>
      <c r="J46" s="190">
        <f t="shared" si="2"/>
        <v>54.158806347652991</v>
      </c>
      <c r="K46" s="246">
        <v>25014</v>
      </c>
      <c r="L46" s="255">
        <v>25014</v>
      </c>
      <c r="M46" s="164">
        <v>6068.6703159999997</v>
      </c>
      <c r="N46" s="190">
        <f t="shared" si="3"/>
        <v>6068.6703159999997</v>
      </c>
      <c r="O46" s="260">
        <v>7.1</v>
      </c>
      <c r="P46" s="260">
        <v>183.7</v>
      </c>
      <c r="Q46" s="166">
        <v>4200</v>
      </c>
      <c r="R46" s="166">
        <v>1161</v>
      </c>
      <c r="S46" s="182">
        <f t="shared" si="4"/>
        <v>937.56404413528412</v>
      </c>
      <c r="T46" s="339">
        <v>0.39666434910598231</v>
      </c>
    </row>
    <row r="47" spans="1:20" x14ac:dyDescent="0.2">
      <c r="A47" s="153">
        <v>2004</v>
      </c>
      <c r="B47" s="153">
        <v>10</v>
      </c>
      <c r="C47" s="246">
        <v>21765.412</v>
      </c>
      <c r="D47" s="173">
        <v>5</v>
      </c>
      <c r="E47" s="173">
        <v>5</v>
      </c>
      <c r="F47" s="173"/>
      <c r="G47" s="173">
        <v>29.65</v>
      </c>
      <c r="H47" s="154">
        <v>136.53560364000001</v>
      </c>
      <c r="I47" s="190">
        <f t="shared" si="1"/>
        <v>136.53560364000001</v>
      </c>
      <c r="J47" s="190">
        <f t="shared" si="2"/>
        <v>54.145872756728998</v>
      </c>
      <c r="K47" s="246">
        <v>25002</v>
      </c>
      <c r="L47" s="255">
        <v>25002</v>
      </c>
      <c r="M47" s="164">
        <v>6068.6703159999997</v>
      </c>
      <c r="N47" s="190">
        <f t="shared" si="3"/>
        <v>6068.6703159999997</v>
      </c>
      <c r="O47" s="260">
        <v>77.599999999999994</v>
      </c>
      <c r="P47" s="260">
        <v>46.4</v>
      </c>
      <c r="Q47" s="166">
        <v>4200</v>
      </c>
      <c r="R47" s="166">
        <v>1161</v>
      </c>
      <c r="S47" s="182">
        <f t="shared" si="4"/>
        <v>870.54683625309985</v>
      </c>
      <c r="T47" s="339">
        <v>0.39656962223197151</v>
      </c>
    </row>
    <row r="48" spans="1:20" x14ac:dyDescent="0.2">
      <c r="A48" s="153">
        <v>2004</v>
      </c>
      <c r="B48" s="153">
        <v>11</v>
      </c>
      <c r="C48" s="246">
        <v>26064.519</v>
      </c>
      <c r="D48" s="173">
        <v>5</v>
      </c>
      <c r="E48" s="173">
        <v>5</v>
      </c>
      <c r="F48" s="173"/>
      <c r="G48" s="173">
        <v>29.8</v>
      </c>
      <c r="H48" s="154">
        <v>136.53560364000001</v>
      </c>
      <c r="I48" s="190">
        <f t="shared" si="1"/>
        <v>136.53560364000001</v>
      </c>
      <c r="J48" s="190">
        <f t="shared" si="2"/>
        <v>54.145872756728998</v>
      </c>
      <c r="K48" s="246">
        <v>24958</v>
      </c>
      <c r="L48" s="255">
        <v>24958</v>
      </c>
      <c r="M48" s="164">
        <v>6068.6703159999997</v>
      </c>
      <c r="N48" s="190">
        <f t="shared" si="3"/>
        <v>6068.6703159999997</v>
      </c>
      <c r="O48" s="260">
        <v>224.2</v>
      </c>
      <c r="P48" s="260">
        <v>7.6</v>
      </c>
      <c r="Q48" s="166">
        <v>4200</v>
      </c>
      <c r="R48" s="166">
        <v>1161</v>
      </c>
      <c r="S48" s="182">
        <f t="shared" si="4"/>
        <v>1044.3352432085903</v>
      </c>
      <c r="T48" s="339">
        <v>0.39656962223197151</v>
      </c>
    </row>
    <row r="49" spans="1:20" x14ac:dyDescent="0.2">
      <c r="A49" s="153">
        <v>2004</v>
      </c>
      <c r="B49" s="153">
        <v>12</v>
      </c>
      <c r="C49" s="246">
        <v>44060.067999999999</v>
      </c>
      <c r="D49" s="173">
        <v>5</v>
      </c>
      <c r="E49" s="173">
        <v>5</v>
      </c>
      <c r="F49" s="173"/>
      <c r="G49" s="173">
        <v>31.5</v>
      </c>
      <c r="H49" s="154">
        <v>136.53560364000001</v>
      </c>
      <c r="I49" s="190">
        <f t="shared" si="1"/>
        <v>136.53560364000001</v>
      </c>
      <c r="J49" s="190">
        <f t="shared" si="2"/>
        <v>54.145872756728998</v>
      </c>
      <c r="K49" s="246">
        <v>25046</v>
      </c>
      <c r="L49" s="255">
        <v>25046</v>
      </c>
      <c r="M49" s="164">
        <v>6068.6703159999997</v>
      </c>
      <c r="N49" s="190">
        <f t="shared" si="3"/>
        <v>6068.6703159999997</v>
      </c>
      <c r="O49" s="260">
        <v>632.54999999999995</v>
      </c>
      <c r="P49" s="260">
        <v>0.35</v>
      </c>
      <c r="Q49" s="166">
        <v>4200</v>
      </c>
      <c r="R49" s="166">
        <v>1161</v>
      </c>
      <c r="S49" s="182">
        <f t="shared" si="4"/>
        <v>1759.165854827118</v>
      </c>
      <c r="T49" s="339">
        <v>0.39656962223197151</v>
      </c>
    </row>
    <row r="50" spans="1:20" x14ac:dyDescent="0.2">
      <c r="A50" s="153">
        <v>2005</v>
      </c>
      <c r="B50" s="153">
        <v>1</v>
      </c>
      <c r="C50" s="246">
        <v>54896.163999999997</v>
      </c>
      <c r="D50" s="173">
        <v>5.1824420638157411</v>
      </c>
      <c r="E50" s="173">
        <v>5.1824420638157411</v>
      </c>
      <c r="F50" s="173"/>
      <c r="G50" s="173">
        <v>32.5</v>
      </c>
      <c r="H50" s="154">
        <v>136.4876984</v>
      </c>
      <c r="I50" s="190">
        <f t="shared" si="1"/>
        <v>136.4876984</v>
      </c>
      <c r="J50" s="190">
        <f t="shared" si="2"/>
        <v>54.11395926821222</v>
      </c>
      <c r="K50" s="246">
        <v>25114</v>
      </c>
      <c r="L50" s="255">
        <v>25114</v>
      </c>
      <c r="M50" s="164">
        <v>6844.5776646000004</v>
      </c>
      <c r="N50" s="190">
        <f t="shared" si="3"/>
        <v>6844.5776646000004</v>
      </c>
      <c r="O50" s="260">
        <v>851.95</v>
      </c>
      <c r="P50" s="260">
        <v>0</v>
      </c>
      <c r="Q50" s="166">
        <v>4200</v>
      </c>
      <c r="R50" s="166">
        <v>1161</v>
      </c>
      <c r="S50" s="182">
        <f t="shared" si="4"/>
        <v>2185.8789519789757</v>
      </c>
      <c r="T50" s="339">
        <v>0.39647499300356154</v>
      </c>
    </row>
    <row r="51" spans="1:20" x14ac:dyDescent="0.2">
      <c r="A51" s="153">
        <v>2005</v>
      </c>
      <c r="B51" s="153">
        <v>2</v>
      </c>
      <c r="C51" s="246">
        <v>52090.754000000001</v>
      </c>
      <c r="D51" s="173">
        <v>5.1824420638157411</v>
      </c>
      <c r="E51" s="173">
        <v>5.1824420638157411</v>
      </c>
      <c r="F51" s="173"/>
      <c r="G51" s="173">
        <v>29.4</v>
      </c>
      <c r="H51" s="154">
        <v>136.4876984</v>
      </c>
      <c r="I51" s="190">
        <f t="shared" si="1"/>
        <v>136.4876984</v>
      </c>
      <c r="J51" s="190">
        <f t="shared" si="2"/>
        <v>54.11395926821222</v>
      </c>
      <c r="K51" s="246">
        <v>25024</v>
      </c>
      <c r="L51" s="255">
        <v>25024</v>
      </c>
      <c r="M51" s="164">
        <v>6844.5776646000004</v>
      </c>
      <c r="N51" s="190">
        <f t="shared" si="3"/>
        <v>6844.5776646000004</v>
      </c>
      <c r="O51" s="260">
        <v>795.4</v>
      </c>
      <c r="P51" s="260">
        <v>0</v>
      </c>
      <c r="Q51" s="166">
        <v>4200</v>
      </c>
      <c r="R51" s="166">
        <v>1161</v>
      </c>
      <c r="S51" s="182">
        <f t="shared" si="4"/>
        <v>2081.631793478261</v>
      </c>
      <c r="T51" s="339">
        <v>0.39647499300356154</v>
      </c>
    </row>
    <row r="52" spans="1:20" x14ac:dyDescent="0.2">
      <c r="A52" s="153">
        <v>2005</v>
      </c>
      <c r="B52" s="153">
        <v>3</v>
      </c>
      <c r="C52" s="246">
        <v>47630.163999999997</v>
      </c>
      <c r="D52" s="173">
        <v>5.1824420638157411</v>
      </c>
      <c r="E52" s="173">
        <v>5.1824420638157411</v>
      </c>
      <c r="F52" s="173"/>
      <c r="G52" s="173">
        <v>29.7</v>
      </c>
      <c r="H52" s="154">
        <v>136.4876984</v>
      </c>
      <c r="I52" s="190">
        <f t="shared" si="1"/>
        <v>136.4876984</v>
      </c>
      <c r="J52" s="190">
        <f t="shared" si="2"/>
        <v>54.11395926821222</v>
      </c>
      <c r="K52" s="246">
        <v>25089</v>
      </c>
      <c r="L52" s="255">
        <v>25089</v>
      </c>
      <c r="M52" s="164">
        <v>6844.5776646000004</v>
      </c>
      <c r="N52" s="190">
        <f t="shared" si="3"/>
        <v>6844.5776646000004</v>
      </c>
      <c r="O52" s="260">
        <v>714.2</v>
      </c>
      <c r="P52" s="260">
        <v>0</v>
      </c>
      <c r="Q52" s="166">
        <v>4200</v>
      </c>
      <c r="R52" s="166">
        <v>1161</v>
      </c>
      <c r="S52" s="182">
        <f t="shared" si="4"/>
        <v>1898.4480848180476</v>
      </c>
      <c r="T52" s="339">
        <v>0.39647499300356154</v>
      </c>
    </row>
    <row r="53" spans="1:20" x14ac:dyDescent="0.2">
      <c r="A53" s="153">
        <v>2005</v>
      </c>
      <c r="B53" s="153">
        <v>4</v>
      </c>
      <c r="C53" s="246">
        <v>33481.283000000003</v>
      </c>
      <c r="D53" s="173">
        <v>5.1824420638157411</v>
      </c>
      <c r="E53" s="173">
        <v>5.1824420638157411</v>
      </c>
      <c r="F53" s="173"/>
      <c r="G53" s="173">
        <v>30.5</v>
      </c>
      <c r="H53" s="154">
        <v>136.4876984</v>
      </c>
      <c r="I53" s="190">
        <f t="shared" si="1"/>
        <v>136.4876984</v>
      </c>
      <c r="J53" s="190">
        <f t="shared" si="2"/>
        <v>54.101050214469069</v>
      </c>
      <c r="K53" s="246">
        <v>24993</v>
      </c>
      <c r="L53" s="255">
        <v>24993</v>
      </c>
      <c r="M53" s="164">
        <v>6844.5776646000004</v>
      </c>
      <c r="N53" s="190">
        <f t="shared" si="3"/>
        <v>6844.5776646000004</v>
      </c>
      <c r="O53" s="260">
        <v>376</v>
      </c>
      <c r="P53" s="260">
        <v>0</v>
      </c>
      <c r="Q53" s="166">
        <v>4200</v>
      </c>
      <c r="R53" s="166">
        <v>1161</v>
      </c>
      <c r="S53" s="182">
        <f t="shared" si="4"/>
        <v>1339.6264153963111</v>
      </c>
      <c r="T53" s="339">
        <v>0.39638041265753421</v>
      </c>
    </row>
    <row r="54" spans="1:20" x14ac:dyDescent="0.2">
      <c r="A54" s="153">
        <v>2005</v>
      </c>
      <c r="B54" s="153">
        <v>5</v>
      </c>
      <c r="C54" s="246">
        <v>26821.596000000001</v>
      </c>
      <c r="D54" s="173">
        <v>5.1824420638157411</v>
      </c>
      <c r="E54" s="173">
        <v>5.1824420638157411</v>
      </c>
      <c r="F54" s="173"/>
      <c r="G54" s="173">
        <v>28</v>
      </c>
      <c r="H54" s="154">
        <v>136.4876984</v>
      </c>
      <c r="I54" s="190">
        <f t="shared" si="1"/>
        <v>136.4876984</v>
      </c>
      <c r="J54" s="190">
        <f t="shared" si="2"/>
        <v>54.101050214469069</v>
      </c>
      <c r="K54" s="246">
        <v>24936</v>
      </c>
      <c r="L54" s="255">
        <v>24936</v>
      </c>
      <c r="M54" s="164">
        <v>6844.5776646000004</v>
      </c>
      <c r="N54" s="190">
        <f t="shared" si="3"/>
        <v>6844.5776646000004</v>
      </c>
      <c r="O54" s="260">
        <v>260.60000000000002</v>
      </c>
      <c r="P54" s="260">
        <v>8.65</v>
      </c>
      <c r="Q54" s="166">
        <v>4200</v>
      </c>
      <c r="R54" s="166">
        <v>1161</v>
      </c>
      <c r="S54" s="182">
        <f t="shared" si="4"/>
        <v>1075.6174205967277</v>
      </c>
      <c r="T54" s="339">
        <v>0.39638041265753421</v>
      </c>
    </row>
    <row r="55" spans="1:20" x14ac:dyDescent="0.2">
      <c r="A55" s="153">
        <v>2005</v>
      </c>
      <c r="B55" s="153">
        <v>6</v>
      </c>
      <c r="C55" s="246">
        <v>22552.79</v>
      </c>
      <c r="D55" s="173">
        <v>5.1824420638157411</v>
      </c>
      <c r="E55" s="173">
        <v>5.1824420638157411</v>
      </c>
      <c r="F55" s="173"/>
      <c r="G55" s="173">
        <v>30.8</v>
      </c>
      <c r="H55" s="154">
        <v>136.4876984</v>
      </c>
      <c r="I55" s="190">
        <f t="shared" si="1"/>
        <v>136.4876984</v>
      </c>
      <c r="J55" s="190">
        <f t="shared" si="2"/>
        <v>54.101050214469069</v>
      </c>
      <c r="K55" s="246">
        <v>24829</v>
      </c>
      <c r="L55" s="255">
        <v>24829</v>
      </c>
      <c r="M55" s="164">
        <v>6844.5776646000004</v>
      </c>
      <c r="N55" s="190">
        <f t="shared" si="3"/>
        <v>6844.5776646000004</v>
      </c>
      <c r="O55" s="260">
        <v>51.75</v>
      </c>
      <c r="P55" s="260">
        <v>105.05</v>
      </c>
      <c r="Q55" s="166">
        <v>4200</v>
      </c>
      <c r="R55" s="166">
        <v>1161</v>
      </c>
      <c r="S55" s="182">
        <f t="shared" si="4"/>
        <v>908.32453985259178</v>
      </c>
      <c r="T55" s="339">
        <v>0.39638041265753421</v>
      </c>
    </row>
    <row r="56" spans="1:20" x14ac:dyDescent="0.2">
      <c r="A56" s="153">
        <v>2005</v>
      </c>
      <c r="B56" s="153">
        <v>7</v>
      </c>
      <c r="C56" s="246">
        <v>26773.837</v>
      </c>
      <c r="D56" s="173">
        <v>5.1824420638157411</v>
      </c>
      <c r="E56" s="173">
        <v>5.1824420638157411</v>
      </c>
      <c r="F56" s="173"/>
      <c r="G56" s="173">
        <v>30.6</v>
      </c>
      <c r="H56" s="154">
        <v>136.4876984</v>
      </c>
      <c r="I56" s="190">
        <f t="shared" si="1"/>
        <v>136.4876984</v>
      </c>
      <c r="J56" s="190">
        <f t="shared" si="2"/>
        <v>53.973736628632452</v>
      </c>
      <c r="K56" s="246">
        <v>24936</v>
      </c>
      <c r="L56" s="255">
        <v>24936</v>
      </c>
      <c r="M56" s="164">
        <v>6844.5776646000004</v>
      </c>
      <c r="N56" s="190">
        <f t="shared" si="3"/>
        <v>6844.5776646000004</v>
      </c>
      <c r="O56" s="260">
        <v>0</v>
      </c>
      <c r="P56" s="260">
        <v>292.85000000000002</v>
      </c>
      <c r="Q56" s="166">
        <v>4200</v>
      </c>
      <c r="R56" s="166">
        <v>1161</v>
      </c>
      <c r="S56" s="182">
        <f t="shared" si="4"/>
        <v>1073.7021575232595</v>
      </c>
      <c r="T56" s="339">
        <v>0.39544762833096797</v>
      </c>
    </row>
    <row r="57" spans="1:20" x14ac:dyDescent="0.2">
      <c r="A57" s="153">
        <v>2005</v>
      </c>
      <c r="B57" s="153">
        <v>8</v>
      </c>
      <c r="C57" s="246">
        <v>27037.986000000001</v>
      </c>
      <c r="D57" s="173">
        <v>5.1824420638157411</v>
      </c>
      <c r="E57" s="173">
        <v>5.1824420638157411</v>
      </c>
      <c r="F57" s="173"/>
      <c r="G57" s="173">
        <v>29.6</v>
      </c>
      <c r="H57" s="154">
        <v>136.4876984</v>
      </c>
      <c r="I57" s="190">
        <f t="shared" si="1"/>
        <v>136.4876984</v>
      </c>
      <c r="J57" s="190">
        <f t="shared" si="2"/>
        <v>53.973736628632452</v>
      </c>
      <c r="K57" s="246">
        <v>24951</v>
      </c>
      <c r="L57" s="255">
        <v>24951</v>
      </c>
      <c r="M57" s="164">
        <v>6844.5776646000004</v>
      </c>
      <c r="N57" s="190">
        <f t="shared" si="3"/>
        <v>6844.5776646000004</v>
      </c>
      <c r="O57" s="260">
        <v>0</v>
      </c>
      <c r="P57" s="260">
        <v>342.2</v>
      </c>
      <c r="Q57" s="166">
        <v>4200</v>
      </c>
      <c r="R57" s="166">
        <v>1161</v>
      </c>
      <c r="S57" s="182">
        <f t="shared" si="4"/>
        <v>1083.6433810268127</v>
      </c>
      <c r="T57" s="339">
        <v>0.39544762833096797</v>
      </c>
    </row>
    <row r="58" spans="1:20" x14ac:dyDescent="0.2">
      <c r="A58" s="153">
        <v>2005</v>
      </c>
      <c r="B58" s="153">
        <v>9</v>
      </c>
      <c r="C58" s="246">
        <v>26109.182000000001</v>
      </c>
      <c r="D58" s="173">
        <v>5.1824420638157411</v>
      </c>
      <c r="E58" s="173">
        <v>5.1824420638157411</v>
      </c>
      <c r="F58" s="173"/>
      <c r="G58" s="173">
        <v>30.55</v>
      </c>
      <c r="H58" s="154">
        <v>136.4876984</v>
      </c>
      <c r="I58" s="190">
        <f t="shared" si="1"/>
        <v>136.4876984</v>
      </c>
      <c r="J58" s="190">
        <f t="shared" si="2"/>
        <v>53.973736628632452</v>
      </c>
      <c r="K58" s="246">
        <v>24920</v>
      </c>
      <c r="L58" s="255">
        <v>24920</v>
      </c>
      <c r="M58" s="164">
        <v>6844.5776646000004</v>
      </c>
      <c r="N58" s="190">
        <f t="shared" si="3"/>
        <v>6844.5776646000004</v>
      </c>
      <c r="O58" s="260">
        <v>0</v>
      </c>
      <c r="P58" s="260">
        <v>286.60000000000002</v>
      </c>
      <c r="Q58" s="166">
        <v>4200</v>
      </c>
      <c r="R58" s="166">
        <v>1161</v>
      </c>
      <c r="S58" s="182">
        <f t="shared" si="4"/>
        <v>1047.7199839486357</v>
      </c>
      <c r="T58" s="339">
        <v>0.39544762833096797</v>
      </c>
    </row>
    <row r="59" spans="1:20" x14ac:dyDescent="0.2">
      <c r="A59" s="153">
        <v>2005</v>
      </c>
      <c r="B59" s="153">
        <v>10</v>
      </c>
      <c r="C59" s="246">
        <v>21918.48</v>
      </c>
      <c r="D59" s="173">
        <v>5.1824420638157411</v>
      </c>
      <c r="E59" s="173">
        <v>5.1824420638157411</v>
      </c>
      <c r="F59" s="173"/>
      <c r="G59" s="173">
        <v>29.75</v>
      </c>
      <c r="H59" s="154">
        <v>136.4876984</v>
      </c>
      <c r="I59" s="190">
        <f t="shared" si="1"/>
        <v>136.4876984</v>
      </c>
      <c r="J59" s="190">
        <f t="shared" si="2"/>
        <v>53.846763260948102</v>
      </c>
      <c r="K59" s="246">
        <v>24931</v>
      </c>
      <c r="L59" s="255">
        <v>24931</v>
      </c>
      <c r="M59" s="164">
        <v>6844.5776646000004</v>
      </c>
      <c r="N59" s="190">
        <f t="shared" si="3"/>
        <v>6844.5776646000004</v>
      </c>
      <c r="O59" s="260">
        <v>41.3</v>
      </c>
      <c r="P59" s="260">
        <v>117.2</v>
      </c>
      <c r="Q59" s="166">
        <v>4200</v>
      </c>
      <c r="R59" s="166">
        <v>1161</v>
      </c>
      <c r="S59" s="182">
        <f t="shared" si="4"/>
        <v>879.16569732461596</v>
      </c>
      <c r="T59" s="339">
        <v>0.39451733666972072</v>
      </c>
    </row>
    <row r="60" spans="1:20" x14ac:dyDescent="0.2">
      <c r="A60" s="153">
        <v>2005</v>
      </c>
      <c r="B60" s="153">
        <v>11</v>
      </c>
      <c r="C60" s="246">
        <v>30963.686000000002</v>
      </c>
      <c r="D60" s="173">
        <v>5.1824420638157411</v>
      </c>
      <c r="E60" s="173">
        <v>5.1824420638157411</v>
      </c>
      <c r="F60" s="173"/>
      <c r="G60" s="173">
        <v>29.75</v>
      </c>
      <c r="H60" s="154">
        <v>136.4876984</v>
      </c>
      <c r="I60" s="190">
        <f t="shared" si="1"/>
        <v>136.4876984</v>
      </c>
      <c r="J60" s="190">
        <f t="shared" si="2"/>
        <v>53.846763260948102</v>
      </c>
      <c r="K60" s="246">
        <v>24896</v>
      </c>
      <c r="L60" s="255">
        <v>24896</v>
      </c>
      <c r="M60" s="164">
        <v>6844.5776646000004</v>
      </c>
      <c r="N60" s="190">
        <f t="shared" si="3"/>
        <v>6844.5776646000004</v>
      </c>
      <c r="O60" s="260">
        <v>364.3</v>
      </c>
      <c r="P60" s="260">
        <v>6.9</v>
      </c>
      <c r="Q60" s="166">
        <v>4200</v>
      </c>
      <c r="R60" s="166">
        <v>1161</v>
      </c>
      <c r="S60" s="182">
        <f t="shared" si="4"/>
        <v>1243.7213206940874</v>
      </c>
      <c r="T60" s="339">
        <v>0.39451733666972072</v>
      </c>
    </row>
    <row r="61" spans="1:20" x14ac:dyDescent="0.2">
      <c r="A61" s="153">
        <v>2005</v>
      </c>
      <c r="B61" s="153">
        <v>12</v>
      </c>
      <c r="C61" s="246">
        <v>50418.582999999999</v>
      </c>
      <c r="D61" s="173">
        <v>5.1824420638157411</v>
      </c>
      <c r="E61" s="173">
        <v>5.1824420638157411</v>
      </c>
      <c r="F61" s="173"/>
      <c r="G61" s="173">
        <v>32.4</v>
      </c>
      <c r="H61" s="154">
        <v>136.4876984</v>
      </c>
      <c r="I61" s="190">
        <f t="shared" si="1"/>
        <v>136.4876984</v>
      </c>
      <c r="J61" s="190">
        <f t="shared" si="2"/>
        <v>53.846763260948102</v>
      </c>
      <c r="K61" s="246">
        <v>25007</v>
      </c>
      <c r="L61" s="255">
        <v>25007</v>
      </c>
      <c r="M61" s="164">
        <v>6844.5776646000004</v>
      </c>
      <c r="N61" s="190">
        <f t="shared" si="3"/>
        <v>6844.5776646000004</v>
      </c>
      <c r="O61" s="260">
        <v>745.05</v>
      </c>
      <c r="P61" s="260">
        <v>0.55000000000000004</v>
      </c>
      <c r="Q61" s="166">
        <v>4200</v>
      </c>
      <c r="R61" s="166">
        <v>1161</v>
      </c>
      <c r="S61" s="182">
        <f t="shared" si="4"/>
        <v>2016.1787899388171</v>
      </c>
      <c r="T61" s="339">
        <v>0.39451733666972072</v>
      </c>
    </row>
    <row r="62" spans="1:20" x14ac:dyDescent="0.2">
      <c r="A62" s="153">
        <v>2006</v>
      </c>
      <c r="B62" s="153">
        <v>1</v>
      </c>
      <c r="C62" s="246">
        <v>54843.745999999999</v>
      </c>
      <c r="D62" s="173">
        <v>5.7326028990148874</v>
      </c>
      <c r="E62" s="173">
        <v>5.7326028990148874</v>
      </c>
      <c r="F62" s="173"/>
      <c r="G62" s="173">
        <v>33.25</v>
      </c>
      <c r="H62" s="154">
        <v>136.53987325</v>
      </c>
      <c r="I62" s="190">
        <f t="shared" si="1"/>
        <v>136.53987325</v>
      </c>
      <c r="J62" s="190">
        <f t="shared" si="2"/>
        <v>53.74058746790142</v>
      </c>
      <c r="K62" s="246">
        <v>25083</v>
      </c>
      <c r="L62" s="255">
        <v>25083</v>
      </c>
      <c r="M62" s="164">
        <v>6988.4148658000004</v>
      </c>
      <c r="N62" s="190">
        <f t="shared" si="3"/>
        <v>6988.4148658000004</v>
      </c>
      <c r="O62" s="260">
        <v>844</v>
      </c>
      <c r="P62" s="260">
        <v>0</v>
      </c>
      <c r="Q62" s="166">
        <v>4200</v>
      </c>
      <c r="R62" s="166">
        <v>1161</v>
      </c>
      <c r="S62" s="182">
        <f t="shared" si="4"/>
        <v>2186.4906909061915</v>
      </c>
      <c r="T62" s="339">
        <v>0.39358896554345102</v>
      </c>
    </row>
    <row r="63" spans="1:20" x14ac:dyDescent="0.2">
      <c r="A63" s="153">
        <v>2006</v>
      </c>
      <c r="B63" s="153">
        <v>2</v>
      </c>
      <c r="C63" s="246">
        <v>47754.608</v>
      </c>
      <c r="D63" s="173">
        <v>5.7326028990148874</v>
      </c>
      <c r="E63" s="173">
        <v>5.7326028990148874</v>
      </c>
      <c r="F63" s="173"/>
      <c r="G63" s="173">
        <v>29.35</v>
      </c>
      <c r="H63" s="154">
        <v>136.53987325</v>
      </c>
      <c r="I63" s="190">
        <f t="shared" si="1"/>
        <v>136.53987325</v>
      </c>
      <c r="J63" s="190">
        <f t="shared" si="2"/>
        <v>53.74058746790142</v>
      </c>
      <c r="K63" s="246">
        <v>24922</v>
      </c>
      <c r="L63" s="255">
        <v>24922</v>
      </c>
      <c r="M63" s="164">
        <v>6988.4148658000004</v>
      </c>
      <c r="N63" s="190">
        <f t="shared" si="3"/>
        <v>6988.4148658000004</v>
      </c>
      <c r="O63" s="260">
        <v>743.45</v>
      </c>
      <c r="P63" s="260">
        <v>0</v>
      </c>
      <c r="Q63" s="166">
        <v>4200</v>
      </c>
      <c r="R63" s="166">
        <v>1161</v>
      </c>
      <c r="S63" s="182">
        <f t="shared" si="4"/>
        <v>1916.1627477730519</v>
      </c>
      <c r="T63" s="339">
        <v>0.39358896554345102</v>
      </c>
    </row>
    <row r="64" spans="1:20" x14ac:dyDescent="0.2">
      <c r="A64" s="153">
        <v>2006</v>
      </c>
      <c r="B64" s="153">
        <v>3</v>
      </c>
      <c r="C64" s="246">
        <v>44814.692999999999</v>
      </c>
      <c r="D64" s="173">
        <v>5.7326028990148874</v>
      </c>
      <c r="E64" s="173">
        <v>5.7326028990148874</v>
      </c>
      <c r="F64" s="173"/>
      <c r="G64" s="173">
        <v>29.45</v>
      </c>
      <c r="H64" s="154">
        <v>136.53987325</v>
      </c>
      <c r="I64" s="190">
        <f t="shared" si="1"/>
        <v>136.53987325</v>
      </c>
      <c r="J64" s="190">
        <f t="shared" si="2"/>
        <v>53.74058746790142</v>
      </c>
      <c r="K64" s="246">
        <v>24999</v>
      </c>
      <c r="L64" s="255">
        <v>24999</v>
      </c>
      <c r="M64" s="164">
        <v>6988.4148658000004</v>
      </c>
      <c r="N64" s="190">
        <f t="shared" si="3"/>
        <v>6988.4148658000004</v>
      </c>
      <c r="O64" s="260">
        <v>652.6</v>
      </c>
      <c r="P64" s="260">
        <v>0</v>
      </c>
      <c r="Q64" s="166">
        <v>4200</v>
      </c>
      <c r="R64" s="166">
        <v>1161</v>
      </c>
      <c r="S64" s="182">
        <f t="shared" si="4"/>
        <v>1792.6594263770551</v>
      </c>
      <c r="T64" s="339">
        <v>0.39358896554345102</v>
      </c>
    </row>
    <row r="65" spans="1:20" x14ac:dyDescent="0.2">
      <c r="A65" s="153">
        <v>2006</v>
      </c>
      <c r="B65" s="153">
        <v>4</v>
      </c>
      <c r="C65" s="246">
        <v>33991.652000000002</v>
      </c>
      <c r="D65" s="173">
        <v>5.7326028990148874</v>
      </c>
      <c r="E65" s="173">
        <v>5.7326028990148874</v>
      </c>
      <c r="F65" s="173"/>
      <c r="G65" s="173">
        <v>30</v>
      </c>
      <c r="H65" s="154">
        <v>136.53987325</v>
      </c>
      <c r="I65" s="190">
        <f t="shared" si="1"/>
        <v>136.53987325</v>
      </c>
      <c r="J65" s="190">
        <f t="shared" si="2"/>
        <v>53.614122482385682</v>
      </c>
      <c r="K65" s="246">
        <v>24915</v>
      </c>
      <c r="L65" s="255">
        <v>24915</v>
      </c>
      <c r="M65" s="164">
        <v>6988.4148658000004</v>
      </c>
      <c r="N65" s="190">
        <f t="shared" si="3"/>
        <v>6988.4148658000004</v>
      </c>
      <c r="O65" s="260">
        <v>384.4</v>
      </c>
      <c r="P65" s="260">
        <v>7</v>
      </c>
      <c r="Q65" s="166">
        <v>4200</v>
      </c>
      <c r="R65" s="166">
        <v>1161</v>
      </c>
      <c r="S65" s="182">
        <f t="shared" si="4"/>
        <v>1364.3047160345175</v>
      </c>
      <c r="T65" s="339">
        <v>0.39266275269071033</v>
      </c>
    </row>
    <row r="66" spans="1:20" x14ac:dyDescent="0.2">
      <c r="A66" s="153">
        <v>2006</v>
      </c>
      <c r="B66" s="153">
        <v>5</v>
      </c>
      <c r="C66" s="246">
        <v>23660.545999999998</v>
      </c>
      <c r="D66" s="173">
        <v>5.7326028990148874</v>
      </c>
      <c r="E66" s="173">
        <v>5.7326028990148874</v>
      </c>
      <c r="F66" s="173"/>
      <c r="G66" s="173">
        <v>30.95</v>
      </c>
      <c r="H66" s="154">
        <v>136.53987325</v>
      </c>
      <c r="I66" s="190">
        <f t="shared" si="1"/>
        <v>136.53987325</v>
      </c>
      <c r="J66" s="190">
        <f t="shared" si="2"/>
        <v>53.614122482385682</v>
      </c>
      <c r="K66" s="246">
        <v>24979</v>
      </c>
      <c r="L66" s="255">
        <v>24979</v>
      </c>
      <c r="M66" s="164">
        <v>6988.4148658000004</v>
      </c>
      <c r="N66" s="190">
        <f t="shared" si="3"/>
        <v>6988.4148658000004</v>
      </c>
      <c r="O66" s="260">
        <v>164.85</v>
      </c>
      <c r="P66" s="260">
        <v>13.15</v>
      </c>
      <c r="Q66" s="166">
        <v>4200</v>
      </c>
      <c r="R66" s="166">
        <v>1161</v>
      </c>
      <c r="S66" s="182">
        <f t="shared" si="4"/>
        <v>947.21750270226994</v>
      </c>
      <c r="T66" s="339">
        <v>0.39266275269071033</v>
      </c>
    </row>
    <row r="67" spans="1:20" x14ac:dyDescent="0.2">
      <c r="A67" s="153">
        <v>2006</v>
      </c>
      <c r="B67" s="153">
        <v>6</v>
      </c>
      <c r="C67" s="246">
        <v>24293.012999999999</v>
      </c>
      <c r="D67" s="173">
        <v>5.7326028990148874</v>
      </c>
      <c r="E67" s="173">
        <v>5.7326028990148874</v>
      </c>
      <c r="F67" s="173"/>
      <c r="G67" s="173">
        <v>31.35</v>
      </c>
      <c r="H67" s="154">
        <v>136.53987325</v>
      </c>
      <c r="I67" s="190">
        <f t="shared" ref="I67:I130" si="6">H67</f>
        <v>136.53987325</v>
      </c>
      <c r="J67" s="190">
        <f t="shared" ref="J67:J130" si="7">H67*T67</f>
        <v>53.614122482385682</v>
      </c>
      <c r="K67" s="246">
        <v>24937</v>
      </c>
      <c r="L67" s="255">
        <v>24937</v>
      </c>
      <c r="M67" s="164">
        <v>6988.4148658000004</v>
      </c>
      <c r="N67" s="190">
        <f t="shared" ref="N67:N130" si="8">M67</f>
        <v>6988.4148658000004</v>
      </c>
      <c r="O67" s="260">
        <v>70.55</v>
      </c>
      <c r="P67" s="260">
        <v>122.7</v>
      </c>
      <c r="Q67" s="166">
        <v>4200</v>
      </c>
      <c r="R67" s="166">
        <v>1161</v>
      </c>
      <c r="S67" s="182">
        <f t="shared" ref="S67:S130" si="9">C67/K67*1000</f>
        <v>974.17544211412758</v>
      </c>
      <c r="T67" s="339">
        <v>0.39266275269071033</v>
      </c>
    </row>
    <row r="68" spans="1:20" x14ac:dyDescent="0.2">
      <c r="A68" s="153">
        <v>2006</v>
      </c>
      <c r="B68" s="153">
        <v>7</v>
      </c>
      <c r="C68" s="246">
        <v>25697.185000000001</v>
      </c>
      <c r="D68" s="173">
        <v>5.7326028990148874</v>
      </c>
      <c r="E68" s="173">
        <v>5.7326028990148874</v>
      </c>
      <c r="F68" s="173"/>
      <c r="G68" s="173">
        <v>30.75</v>
      </c>
      <c r="H68" s="154">
        <v>136.53987325</v>
      </c>
      <c r="I68" s="190">
        <f t="shared" si="6"/>
        <v>136.53987325</v>
      </c>
      <c r="J68" s="190">
        <f t="shared" si="7"/>
        <v>53.533289120130853</v>
      </c>
      <c r="K68" s="246">
        <v>24926</v>
      </c>
      <c r="L68" s="255">
        <v>24926</v>
      </c>
      <c r="M68" s="164">
        <v>6988.4148658000004</v>
      </c>
      <c r="N68" s="190">
        <f t="shared" si="8"/>
        <v>6988.4148658000004</v>
      </c>
      <c r="O68" s="260">
        <v>0.7</v>
      </c>
      <c r="P68" s="260">
        <v>260.5</v>
      </c>
      <c r="Q68" s="166">
        <v>4200</v>
      </c>
      <c r="R68" s="166">
        <v>1161</v>
      </c>
      <c r="S68" s="182">
        <f t="shared" si="9"/>
        <v>1030.9389793789619</v>
      </c>
      <c r="T68" s="339">
        <v>0.39207073982054436</v>
      </c>
    </row>
    <row r="69" spans="1:20" x14ac:dyDescent="0.2">
      <c r="A69" s="153">
        <v>2006</v>
      </c>
      <c r="B69" s="153">
        <v>8</v>
      </c>
      <c r="C69" s="246">
        <v>27773.008000000002</v>
      </c>
      <c r="D69" s="173">
        <v>5.7326028990148874</v>
      </c>
      <c r="E69" s="173">
        <v>5.7326028990148874</v>
      </c>
      <c r="F69" s="173"/>
      <c r="G69" s="173">
        <v>29.5</v>
      </c>
      <c r="H69" s="154">
        <v>136.53987325</v>
      </c>
      <c r="I69" s="190">
        <f t="shared" si="6"/>
        <v>136.53987325</v>
      </c>
      <c r="J69" s="190">
        <f t="shared" si="7"/>
        <v>53.533289120130853</v>
      </c>
      <c r="K69" s="246">
        <v>24942</v>
      </c>
      <c r="L69" s="255">
        <v>24942</v>
      </c>
      <c r="M69" s="164">
        <v>6988.4148658000004</v>
      </c>
      <c r="N69" s="190">
        <f t="shared" si="8"/>
        <v>6988.4148658000004</v>
      </c>
      <c r="O69" s="260">
        <v>0</v>
      </c>
      <c r="P69" s="260">
        <v>359.5</v>
      </c>
      <c r="Q69" s="166">
        <v>4200</v>
      </c>
      <c r="R69" s="166">
        <v>1161</v>
      </c>
      <c r="S69" s="182">
        <f t="shared" si="9"/>
        <v>1113.5036484644377</v>
      </c>
      <c r="T69" s="339">
        <v>0.39207073982054436</v>
      </c>
    </row>
    <row r="70" spans="1:20" x14ac:dyDescent="0.2">
      <c r="A70" s="153">
        <v>2006</v>
      </c>
      <c r="B70" s="153">
        <v>9</v>
      </c>
      <c r="C70" s="246">
        <v>24726.316999999999</v>
      </c>
      <c r="D70" s="173">
        <v>5.7326028990148874</v>
      </c>
      <c r="E70" s="173">
        <v>5.7326028990148874</v>
      </c>
      <c r="F70" s="173"/>
      <c r="G70" s="173">
        <v>30.55</v>
      </c>
      <c r="H70" s="154">
        <v>136.53987325</v>
      </c>
      <c r="I70" s="190">
        <f t="shared" si="6"/>
        <v>136.53987325</v>
      </c>
      <c r="J70" s="190">
        <f t="shared" si="7"/>
        <v>53.533289120130853</v>
      </c>
      <c r="K70" s="246">
        <v>24933</v>
      </c>
      <c r="L70" s="255">
        <v>24933</v>
      </c>
      <c r="M70" s="164">
        <v>6988.4148658000004</v>
      </c>
      <c r="N70" s="190">
        <f t="shared" si="8"/>
        <v>6988.4148658000004</v>
      </c>
      <c r="O70" s="260">
        <v>10.050000000000001</v>
      </c>
      <c r="P70" s="260">
        <v>222</v>
      </c>
      <c r="Q70" s="166">
        <v>4200</v>
      </c>
      <c r="R70" s="166">
        <v>1161</v>
      </c>
      <c r="S70" s="182">
        <f t="shared" si="9"/>
        <v>991.71046404363699</v>
      </c>
      <c r="T70" s="339">
        <v>0.39207073982054436</v>
      </c>
    </row>
    <row r="71" spans="1:20" x14ac:dyDescent="0.2">
      <c r="A71" s="153">
        <v>2006</v>
      </c>
      <c r="B71" s="153">
        <v>10</v>
      </c>
      <c r="C71" s="246">
        <v>23672.190999999999</v>
      </c>
      <c r="D71" s="173">
        <v>5.7326028990148874</v>
      </c>
      <c r="E71" s="173">
        <v>5.7326028990148874</v>
      </c>
      <c r="F71" s="173"/>
      <c r="G71" s="173">
        <v>29.75</v>
      </c>
      <c r="H71" s="154">
        <v>136.53987325</v>
      </c>
      <c r="I71" s="190">
        <f t="shared" si="6"/>
        <v>136.53987325</v>
      </c>
      <c r="J71" s="190">
        <f t="shared" si="7"/>
        <v>53.452578908992784</v>
      </c>
      <c r="K71" s="246">
        <v>24871</v>
      </c>
      <c r="L71" s="255">
        <v>24871</v>
      </c>
      <c r="M71" s="164">
        <v>6988.4148658000004</v>
      </c>
      <c r="N71" s="190">
        <f t="shared" si="8"/>
        <v>6988.4148658000004</v>
      </c>
      <c r="O71" s="260">
        <v>177.25</v>
      </c>
      <c r="P71" s="260">
        <v>19.5</v>
      </c>
      <c r="Q71" s="166">
        <v>4200</v>
      </c>
      <c r="R71" s="166">
        <v>1161</v>
      </c>
      <c r="S71" s="182">
        <f t="shared" si="9"/>
        <v>951.79892243978929</v>
      </c>
      <c r="T71" s="339">
        <v>0.391479628892894</v>
      </c>
    </row>
    <row r="72" spans="1:20" x14ac:dyDescent="0.2">
      <c r="A72" s="153">
        <v>2006</v>
      </c>
      <c r="B72" s="153">
        <v>11</v>
      </c>
      <c r="C72" s="246">
        <v>34818.925000000003</v>
      </c>
      <c r="D72" s="173">
        <v>5.7326028990148874</v>
      </c>
      <c r="E72" s="173">
        <v>5.7326028990148874</v>
      </c>
      <c r="F72" s="173"/>
      <c r="G72" s="173">
        <v>29.75</v>
      </c>
      <c r="H72" s="154">
        <v>136.53987325</v>
      </c>
      <c r="I72" s="190">
        <f t="shared" si="6"/>
        <v>136.53987325</v>
      </c>
      <c r="J72" s="190">
        <f t="shared" si="7"/>
        <v>53.452578908992784</v>
      </c>
      <c r="K72" s="246">
        <v>24865</v>
      </c>
      <c r="L72" s="255">
        <v>24865</v>
      </c>
      <c r="M72" s="164">
        <v>6988.4148658000004</v>
      </c>
      <c r="N72" s="190">
        <f t="shared" si="8"/>
        <v>6988.4148658000004</v>
      </c>
      <c r="O72" s="260">
        <v>472.15</v>
      </c>
      <c r="P72" s="260">
        <v>0.65</v>
      </c>
      <c r="Q72" s="166">
        <v>4200</v>
      </c>
      <c r="R72" s="166">
        <v>1161</v>
      </c>
      <c r="S72" s="182">
        <f t="shared" si="9"/>
        <v>1400.3187210939072</v>
      </c>
      <c r="T72" s="339">
        <v>0.391479628892894</v>
      </c>
    </row>
    <row r="73" spans="1:20" x14ac:dyDescent="0.2">
      <c r="A73" s="153">
        <v>2006</v>
      </c>
      <c r="B73" s="153">
        <v>12</v>
      </c>
      <c r="C73" s="246">
        <v>45382.892</v>
      </c>
      <c r="D73" s="173">
        <v>5.7326028990148874</v>
      </c>
      <c r="E73" s="173">
        <v>5.7326028990148874</v>
      </c>
      <c r="F73" s="173"/>
      <c r="G73" s="173">
        <v>30.6</v>
      </c>
      <c r="H73" s="154">
        <v>136.53987325</v>
      </c>
      <c r="I73" s="190">
        <f t="shared" si="6"/>
        <v>136.53987325</v>
      </c>
      <c r="J73" s="190">
        <f t="shared" si="7"/>
        <v>53.452578908992784</v>
      </c>
      <c r="K73" s="246">
        <v>24885</v>
      </c>
      <c r="L73" s="255">
        <v>24885</v>
      </c>
      <c r="M73" s="164">
        <v>6988.4148658000004</v>
      </c>
      <c r="N73" s="190">
        <f t="shared" si="8"/>
        <v>6988.4148658000004</v>
      </c>
      <c r="O73" s="260">
        <v>655.15</v>
      </c>
      <c r="P73" s="260">
        <v>0</v>
      </c>
      <c r="Q73" s="166">
        <v>4200</v>
      </c>
      <c r="R73" s="166">
        <v>1161</v>
      </c>
      <c r="S73" s="182">
        <f t="shared" si="9"/>
        <v>1823.7047217199115</v>
      </c>
      <c r="T73" s="339">
        <v>0.391479628892894</v>
      </c>
    </row>
    <row r="74" spans="1:20" x14ac:dyDescent="0.2">
      <c r="A74" s="153">
        <v>2007</v>
      </c>
      <c r="B74" s="153">
        <v>1</v>
      </c>
      <c r="C74" s="246">
        <v>50549.894</v>
      </c>
      <c r="D74" s="173">
        <v>6.2826028990148872</v>
      </c>
      <c r="E74" s="173">
        <v>6.2826028990148872</v>
      </c>
      <c r="F74" s="173"/>
      <c r="G74" s="173">
        <v>33.35</v>
      </c>
      <c r="H74" s="154">
        <v>136.74518583</v>
      </c>
      <c r="I74" s="190">
        <f t="shared" si="6"/>
        <v>136.74518583</v>
      </c>
      <c r="J74" s="190">
        <f t="shared" si="7"/>
        <v>53.452246748877094</v>
      </c>
      <c r="K74" s="246">
        <v>24975</v>
      </c>
      <c r="L74" s="255">
        <v>24975</v>
      </c>
      <c r="M74" s="164">
        <v>7434.7625058000003</v>
      </c>
      <c r="N74" s="190">
        <f t="shared" si="8"/>
        <v>7434.7625058000003</v>
      </c>
      <c r="O74" s="260">
        <v>737.45</v>
      </c>
      <c r="P74" s="260">
        <v>0</v>
      </c>
      <c r="Q74" s="166">
        <v>4200</v>
      </c>
      <c r="R74" s="166">
        <v>1161</v>
      </c>
      <c r="S74" s="182">
        <f t="shared" si="9"/>
        <v>2024.0197797797798</v>
      </c>
      <c r="T74" s="339">
        <v>0.39088942272036031</v>
      </c>
    </row>
    <row r="75" spans="1:20" x14ac:dyDescent="0.2">
      <c r="A75" s="153">
        <v>2007</v>
      </c>
      <c r="B75" s="153">
        <v>2</v>
      </c>
      <c r="C75" s="246">
        <v>58658.097000000002</v>
      </c>
      <c r="D75" s="173">
        <v>6.2826028990148872</v>
      </c>
      <c r="E75" s="173">
        <v>6.2826028990148872</v>
      </c>
      <c r="F75" s="173"/>
      <c r="G75" s="173">
        <v>29.35</v>
      </c>
      <c r="H75" s="154">
        <v>136.74518583</v>
      </c>
      <c r="I75" s="190">
        <f t="shared" si="6"/>
        <v>136.74518583</v>
      </c>
      <c r="J75" s="190">
        <f t="shared" si="7"/>
        <v>53.452246748877094</v>
      </c>
      <c r="K75" s="246">
        <v>24938</v>
      </c>
      <c r="L75" s="256">
        <v>24938</v>
      </c>
      <c r="M75" s="164">
        <v>7434.7625058000003</v>
      </c>
      <c r="N75" s="190">
        <f t="shared" si="8"/>
        <v>7434.7625058000003</v>
      </c>
      <c r="O75" s="260">
        <v>938.3</v>
      </c>
      <c r="P75" s="260">
        <v>0</v>
      </c>
      <c r="Q75" s="166">
        <v>4200</v>
      </c>
      <c r="R75" s="166">
        <v>1161</v>
      </c>
      <c r="S75" s="182">
        <f t="shared" si="9"/>
        <v>2352.157229930227</v>
      </c>
      <c r="T75" s="339">
        <v>0.39088942272036031</v>
      </c>
    </row>
    <row r="76" spans="1:20" x14ac:dyDescent="0.2">
      <c r="A76" s="153">
        <v>2007</v>
      </c>
      <c r="B76" s="153">
        <v>3</v>
      </c>
      <c r="C76" s="246">
        <v>46178.103000000003</v>
      </c>
      <c r="D76" s="173">
        <v>6.2826028990148872</v>
      </c>
      <c r="E76" s="173">
        <v>6.2826028990148872</v>
      </c>
      <c r="F76" s="173"/>
      <c r="G76" s="173">
        <v>29.45</v>
      </c>
      <c r="H76" s="154">
        <v>136.74518583</v>
      </c>
      <c r="I76" s="190">
        <f t="shared" si="6"/>
        <v>136.74518583</v>
      </c>
      <c r="J76" s="190">
        <f t="shared" si="7"/>
        <v>53.452246748877094</v>
      </c>
      <c r="K76" s="246">
        <v>24917</v>
      </c>
      <c r="L76" s="256">
        <v>24917</v>
      </c>
      <c r="M76" s="164">
        <v>7434.7625058000003</v>
      </c>
      <c r="N76" s="190">
        <f t="shared" si="8"/>
        <v>7434.7625058000003</v>
      </c>
      <c r="O76" s="260">
        <v>623</v>
      </c>
      <c r="P76" s="260">
        <v>1</v>
      </c>
      <c r="Q76" s="166">
        <v>4200</v>
      </c>
      <c r="R76" s="166">
        <v>1161</v>
      </c>
      <c r="S76" s="182">
        <f t="shared" si="9"/>
        <v>1853.276999638801</v>
      </c>
      <c r="T76" s="339">
        <v>0.39088942272036031</v>
      </c>
    </row>
    <row r="77" spans="1:20" x14ac:dyDescent="0.2">
      <c r="A77" s="153">
        <v>2007</v>
      </c>
      <c r="B77" s="153">
        <v>4</v>
      </c>
      <c r="C77" s="246">
        <v>32110.977999999999</v>
      </c>
      <c r="D77" s="173">
        <v>6.2826028990148872</v>
      </c>
      <c r="E77" s="173">
        <v>6.2826028990148872</v>
      </c>
      <c r="F77" s="173"/>
      <c r="G77" s="173">
        <v>30.55</v>
      </c>
      <c r="H77" s="154">
        <v>136.74518583</v>
      </c>
      <c r="I77" s="190">
        <f t="shared" si="6"/>
        <v>136.74518583</v>
      </c>
      <c r="J77" s="190">
        <f t="shared" si="7"/>
        <v>53.371643408056705</v>
      </c>
      <c r="K77" s="246">
        <v>24843</v>
      </c>
      <c r="L77" s="255">
        <v>24843</v>
      </c>
      <c r="M77" s="164">
        <v>7434.7625058000003</v>
      </c>
      <c r="N77" s="190">
        <f t="shared" si="8"/>
        <v>7434.7625058000003</v>
      </c>
      <c r="O77" s="260">
        <v>347.45</v>
      </c>
      <c r="P77" s="260">
        <v>7.2</v>
      </c>
      <c r="Q77" s="166">
        <v>4200</v>
      </c>
      <c r="R77" s="166">
        <v>1161</v>
      </c>
      <c r="S77" s="182">
        <f t="shared" si="9"/>
        <v>1292.5563740289015</v>
      </c>
      <c r="T77" s="339">
        <v>0.39029998083009448</v>
      </c>
    </row>
    <row r="78" spans="1:20" x14ac:dyDescent="0.2">
      <c r="A78" s="153">
        <v>2007</v>
      </c>
      <c r="B78" s="153">
        <v>5</v>
      </c>
      <c r="C78" s="246">
        <v>24884.69</v>
      </c>
      <c r="D78" s="173">
        <v>6.2826028990148872</v>
      </c>
      <c r="E78" s="173">
        <v>6.2826028990148872</v>
      </c>
      <c r="F78" s="173"/>
      <c r="G78" s="173">
        <v>29.75</v>
      </c>
      <c r="H78" s="154">
        <v>136.74518583</v>
      </c>
      <c r="I78" s="190">
        <f t="shared" si="6"/>
        <v>136.74518583</v>
      </c>
      <c r="J78" s="190">
        <f t="shared" si="7"/>
        <v>53.371643408056705</v>
      </c>
      <c r="K78" s="246">
        <v>24843</v>
      </c>
      <c r="L78" s="255">
        <v>24843</v>
      </c>
      <c r="M78" s="164">
        <v>7434.7625058000003</v>
      </c>
      <c r="N78" s="190">
        <f t="shared" si="8"/>
        <v>7434.7625058000003</v>
      </c>
      <c r="O78" s="260">
        <v>151.15</v>
      </c>
      <c r="P78" s="260">
        <v>36.5</v>
      </c>
      <c r="Q78" s="166">
        <v>4200</v>
      </c>
      <c r="R78" s="166">
        <v>1161</v>
      </c>
      <c r="S78" s="182">
        <f t="shared" si="9"/>
        <v>1001.6781387111058</v>
      </c>
      <c r="T78" s="339">
        <v>0.39029998083009448</v>
      </c>
    </row>
    <row r="79" spans="1:20" x14ac:dyDescent="0.2">
      <c r="A79" s="153">
        <v>2007</v>
      </c>
      <c r="B79" s="153">
        <v>6</v>
      </c>
      <c r="C79" s="246">
        <v>23171.86</v>
      </c>
      <c r="D79" s="173">
        <v>6.2826028990148872</v>
      </c>
      <c r="E79" s="173">
        <v>6.2826028990148872</v>
      </c>
      <c r="F79" s="173"/>
      <c r="G79" s="173">
        <v>30.7</v>
      </c>
      <c r="H79" s="154">
        <v>136.74518583</v>
      </c>
      <c r="I79" s="190">
        <f t="shared" si="6"/>
        <v>136.74518583</v>
      </c>
      <c r="J79" s="190">
        <f t="shared" si="7"/>
        <v>53.371643408056705</v>
      </c>
      <c r="K79" s="246">
        <v>24795</v>
      </c>
      <c r="L79" s="255">
        <v>24795</v>
      </c>
      <c r="M79" s="164">
        <v>7434.7625058000003</v>
      </c>
      <c r="N79" s="190">
        <f t="shared" si="8"/>
        <v>7434.7625058000003</v>
      </c>
      <c r="O79" s="260">
        <v>27.65</v>
      </c>
      <c r="P79" s="260">
        <v>171.05</v>
      </c>
      <c r="Q79" s="166">
        <v>4200</v>
      </c>
      <c r="R79" s="166">
        <v>1161</v>
      </c>
      <c r="S79" s="182">
        <f t="shared" si="9"/>
        <v>934.53760838878804</v>
      </c>
      <c r="T79" s="339">
        <v>0.39029998083009448</v>
      </c>
    </row>
    <row r="80" spans="1:20" x14ac:dyDescent="0.2">
      <c r="A80" s="153">
        <v>2007</v>
      </c>
      <c r="B80" s="153">
        <v>7</v>
      </c>
      <c r="C80" s="246">
        <v>25344.748</v>
      </c>
      <c r="D80" s="173">
        <v>6.2826028990148872</v>
      </c>
      <c r="E80" s="173">
        <v>6.2826028990148872</v>
      </c>
      <c r="F80" s="173"/>
      <c r="G80" s="173">
        <v>30.7</v>
      </c>
      <c r="H80" s="154">
        <v>136.74518583</v>
      </c>
      <c r="I80" s="190">
        <f t="shared" si="6"/>
        <v>136.74518583</v>
      </c>
      <c r="J80" s="190">
        <f t="shared" si="7"/>
        <v>53.51802461360974</v>
      </c>
      <c r="K80" s="246">
        <v>24793</v>
      </c>
      <c r="L80" s="255">
        <v>24793</v>
      </c>
      <c r="M80" s="164">
        <v>7434.7625058000003</v>
      </c>
      <c r="N80" s="190">
        <f t="shared" si="8"/>
        <v>7434.7625058000003</v>
      </c>
      <c r="O80" s="260">
        <v>0</v>
      </c>
      <c r="P80" s="260">
        <v>283.60000000000002</v>
      </c>
      <c r="Q80" s="166">
        <v>4200</v>
      </c>
      <c r="R80" s="166">
        <v>1161</v>
      </c>
      <c r="S80" s="182">
        <f t="shared" si="9"/>
        <v>1022.2541846488929</v>
      </c>
      <c r="T80" s="339">
        <v>0.39137044780605817</v>
      </c>
    </row>
    <row r="81" spans="1:20" x14ac:dyDescent="0.2">
      <c r="A81" s="153">
        <v>2007</v>
      </c>
      <c r="B81" s="153">
        <v>8</v>
      </c>
      <c r="C81" s="246">
        <v>27665.396000000001</v>
      </c>
      <c r="D81" s="173">
        <v>6.2826028990148872</v>
      </c>
      <c r="E81" s="173">
        <v>6.2826028990148872</v>
      </c>
      <c r="F81" s="173"/>
      <c r="G81" s="173">
        <v>30.2</v>
      </c>
      <c r="H81" s="154">
        <v>136.74518583</v>
      </c>
      <c r="I81" s="190">
        <f t="shared" si="6"/>
        <v>136.74518583</v>
      </c>
      <c r="J81" s="190">
        <f t="shared" si="7"/>
        <v>53.51802461360974</v>
      </c>
      <c r="K81" s="246">
        <v>24825</v>
      </c>
      <c r="L81" s="255">
        <v>24825</v>
      </c>
      <c r="M81" s="164">
        <v>7434.7625058000003</v>
      </c>
      <c r="N81" s="190">
        <f t="shared" si="8"/>
        <v>7434.7625058000003</v>
      </c>
      <c r="O81" s="260">
        <v>0</v>
      </c>
      <c r="P81" s="260">
        <v>328</v>
      </c>
      <c r="Q81" s="166">
        <v>4200</v>
      </c>
      <c r="R81" s="166">
        <v>1161</v>
      </c>
      <c r="S81" s="182">
        <f t="shared" si="9"/>
        <v>1114.4167573011077</v>
      </c>
      <c r="T81" s="339">
        <v>0.39137044780605817</v>
      </c>
    </row>
    <row r="82" spans="1:20" x14ac:dyDescent="0.2">
      <c r="A82" s="153">
        <v>2007</v>
      </c>
      <c r="B82" s="153">
        <v>9</v>
      </c>
      <c r="C82" s="246">
        <v>28126.134999999998</v>
      </c>
      <c r="D82" s="173">
        <v>6.2826028990148872</v>
      </c>
      <c r="E82" s="173">
        <v>6.2826028990148872</v>
      </c>
      <c r="F82" s="173"/>
      <c r="G82" s="173">
        <v>31.3</v>
      </c>
      <c r="H82" s="154">
        <v>136.74518583</v>
      </c>
      <c r="I82" s="190">
        <f t="shared" si="6"/>
        <v>136.74518583</v>
      </c>
      <c r="J82" s="190">
        <f t="shared" si="7"/>
        <v>53.51802461360974</v>
      </c>
      <c r="K82" s="246">
        <v>24847</v>
      </c>
      <c r="L82" s="255">
        <v>24847</v>
      </c>
      <c r="M82" s="164">
        <v>7434.7625058000003</v>
      </c>
      <c r="N82" s="190">
        <f t="shared" si="8"/>
        <v>7434.7625058000003</v>
      </c>
      <c r="O82" s="260">
        <v>4.5</v>
      </c>
      <c r="P82" s="260">
        <v>354.55</v>
      </c>
      <c r="Q82" s="166">
        <v>4200</v>
      </c>
      <c r="R82" s="166">
        <v>1161</v>
      </c>
      <c r="S82" s="182">
        <f t="shared" si="9"/>
        <v>1131.9730752203486</v>
      </c>
      <c r="T82" s="339">
        <v>0.39137044780605817</v>
      </c>
    </row>
    <row r="83" spans="1:20" x14ac:dyDescent="0.2">
      <c r="A83" s="153">
        <v>2007</v>
      </c>
      <c r="B83" s="153">
        <v>10</v>
      </c>
      <c r="C83" s="246">
        <v>22738.567999999999</v>
      </c>
      <c r="D83" s="173">
        <v>6.2826028990148872</v>
      </c>
      <c r="E83" s="173">
        <v>6.2826028990148872</v>
      </c>
      <c r="F83" s="173"/>
      <c r="G83" s="173">
        <v>29.6</v>
      </c>
      <c r="H83" s="154">
        <v>136.74518583</v>
      </c>
      <c r="I83" s="190">
        <f t="shared" si="6"/>
        <v>136.74518583</v>
      </c>
      <c r="J83" s="190">
        <f t="shared" si="7"/>
        <v>53.6647772788046</v>
      </c>
      <c r="K83" s="246">
        <v>24812</v>
      </c>
      <c r="L83" s="255">
        <v>24812</v>
      </c>
      <c r="M83" s="164">
        <v>7434.7625058000003</v>
      </c>
      <c r="N83" s="190">
        <f t="shared" si="8"/>
        <v>7434.7625058000003</v>
      </c>
      <c r="O83" s="260">
        <v>50.4</v>
      </c>
      <c r="P83" s="260">
        <v>133.05000000000001</v>
      </c>
      <c r="Q83" s="166">
        <v>4200</v>
      </c>
      <c r="R83" s="166">
        <v>1161</v>
      </c>
      <c r="S83" s="182">
        <f t="shared" si="9"/>
        <v>916.434305980977</v>
      </c>
      <c r="T83" s="339">
        <v>0.39244363121872544</v>
      </c>
    </row>
    <row r="84" spans="1:20" x14ac:dyDescent="0.2">
      <c r="A84" s="153">
        <v>2007</v>
      </c>
      <c r="B84" s="153">
        <v>11</v>
      </c>
      <c r="C84" s="246">
        <v>30051.217000000001</v>
      </c>
      <c r="D84" s="173">
        <v>6.2826028990148872</v>
      </c>
      <c r="E84" s="173">
        <v>6.2826028990148872</v>
      </c>
      <c r="F84" s="173"/>
      <c r="G84" s="173">
        <v>29.95</v>
      </c>
      <c r="H84" s="154">
        <v>136.74518583</v>
      </c>
      <c r="I84" s="190">
        <f t="shared" si="6"/>
        <v>136.74518583</v>
      </c>
      <c r="J84" s="190">
        <f t="shared" si="7"/>
        <v>53.6647772788046</v>
      </c>
      <c r="K84" s="246">
        <v>24802</v>
      </c>
      <c r="L84" s="255">
        <v>24802</v>
      </c>
      <c r="M84" s="164">
        <v>7434.7625058000003</v>
      </c>
      <c r="N84" s="190">
        <f t="shared" si="8"/>
        <v>7434.7625058000003</v>
      </c>
      <c r="O84" s="260">
        <v>359.15</v>
      </c>
      <c r="P84" s="260">
        <v>22.1</v>
      </c>
      <c r="Q84" s="166">
        <v>4200</v>
      </c>
      <c r="R84" s="166">
        <v>1161</v>
      </c>
      <c r="S84" s="182">
        <f t="shared" si="9"/>
        <v>1211.6449076687363</v>
      </c>
      <c r="T84" s="339">
        <v>0.39244363121872544</v>
      </c>
    </row>
    <row r="85" spans="1:20" x14ac:dyDescent="0.2">
      <c r="A85" s="153">
        <v>2007</v>
      </c>
      <c r="B85" s="153">
        <v>12</v>
      </c>
      <c r="C85" s="246">
        <v>43541.24</v>
      </c>
      <c r="D85" s="173">
        <v>6.2826028990148872</v>
      </c>
      <c r="E85" s="173">
        <v>6.2826028990148872</v>
      </c>
      <c r="F85" s="173"/>
      <c r="G85" s="173">
        <v>30.7</v>
      </c>
      <c r="H85" s="154">
        <v>136.74518583</v>
      </c>
      <c r="I85" s="190">
        <f t="shared" si="6"/>
        <v>136.74518583</v>
      </c>
      <c r="J85" s="190">
        <f t="shared" si="7"/>
        <v>53.6647772788046</v>
      </c>
      <c r="K85" s="246">
        <v>24826</v>
      </c>
      <c r="L85" s="255">
        <v>24826</v>
      </c>
      <c r="M85" s="164">
        <v>7434.7625058000003</v>
      </c>
      <c r="N85" s="190">
        <f t="shared" si="8"/>
        <v>7434.7625058000003</v>
      </c>
      <c r="O85" s="260">
        <v>628.54999999999995</v>
      </c>
      <c r="P85" s="260">
        <v>0</v>
      </c>
      <c r="Q85" s="166">
        <v>4200</v>
      </c>
      <c r="R85" s="166">
        <v>1161</v>
      </c>
      <c r="S85" s="182">
        <f t="shared" si="9"/>
        <v>1753.8564408281638</v>
      </c>
      <c r="T85" s="339">
        <v>0.39244363121872544</v>
      </c>
    </row>
    <row r="86" spans="1:20" x14ac:dyDescent="0.2">
      <c r="A86" s="153">
        <v>2008</v>
      </c>
      <c r="B86" s="153">
        <v>1</v>
      </c>
      <c r="C86" s="246">
        <v>57278.826999999997</v>
      </c>
      <c r="D86" s="173">
        <v>6.8191285113595219</v>
      </c>
      <c r="E86" s="173">
        <v>6.8191285113595219</v>
      </c>
      <c r="F86" s="173"/>
      <c r="G86" s="173">
        <v>33.15</v>
      </c>
      <c r="H86" s="154">
        <v>136.80036315000001</v>
      </c>
      <c r="I86" s="190">
        <f t="shared" si="6"/>
        <v>136.80036315000001</v>
      </c>
      <c r="J86" s="190">
        <f t="shared" si="7"/>
        <v>53.833635995161629</v>
      </c>
      <c r="K86" s="246">
        <v>25346</v>
      </c>
      <c r="L86" s="255">
        <v>24925</v>
      </c>
      <c r="M86" s="164">
        <v>7787.9512188000008</v>
      </c>
      <c r="N86" s="190">
        <f t="shared" si="8"/>
        <v>7787.9512188000008</v>
      </c>
      <c r="O86" s="260">
        <v>866</v>
      </c>
      <c r="P86" s="260">
        <v>0</v>
      </c>
      <c r="Q86" s="166">
        <v>4200</v>
      </c>
      <c r="R86" s="166">
        <v>1161</v>
      </c>
      <c r="S86" s="182">
        <f t="shared" si="9"/>
        <v>2259.8763907519924</v>
      </c>
      <c r="T86" s="339">
        <v>0.39351968631935336</v>
      </c>
    </row>
    <row r="87" spans="1:20" x14ac:dyDescent="0.2">
      <c r="A87" s="153">
        <v>2008</v>
      </c>
      <c r="B87" s="153">
        <v>2</v>
      </c>
      <c r="C87" s="246">
        <v>50464.298999999999</v>
      </c>
      <c r="D87" s="173">
        <v>6.8191285113595219</v>
      </c>
      <c r="E87" s="173">
        <v>6.8191285113595219</v>
      </c>
      <c r="F87" s="173"/>
      <c r="G87" s="173">
        <v>29.35</v>
      </c>
      <c r="H87" s="154">
        <v>136.80036315000001</v>
      </c>
      <c r="I87" s="190">
        <f t="shared" si="6"/>
        <v>136.80036315000001</v>
      </c>
      <c r="J87" s="190">
        <f t="shared" si="7"/>
        <v>53.833635995161629</v>
      </c>
      <c r="K87" s="246">
        <v>25378</v>
      </c>
      <c r="L87" s="255">
        <v>24855</v>
      </c>
      <c r="M87" s="164">
        <v>7787.9512188000008</v>
      </c>
      <c r="N87" s="190">
        <f t="shared" si="8"/>
        <v>7787.9512188000008</v>
      </c>
      <c r="O87" s="260">
        <v>788.4</v>
      </c>
      <c r="P87" s="260">
        <v>0</v>
      </c>
      <c r="Q87" s="166">
        <v>4200</v>
      </c>
      <c r="R87" s="166">
        <v>1161</v>
      </c>
      <c r="S87" s="182">
        <f t="shared" si="9"/>
        <v>1988.505753014422</v>
      </c>
      <c r="T87" s="339">
        <v>0.39351968631935336</v>
      </c>
    </row>
    <row r="88" spans="1:20" x14ac:dyDescent="0.2">
      <c r="A88" s="153">
        <v>2008</v>
      </c>
      <c r="B88" s="153">
        <v>3</v>
      </c>
      <c r="C88" s="246">
        <v>45552.356</v>
      </c>
      <c r="D88" s="173">
        <v>6.8191285113595219</v>
      </c>
      <c r="E88" s="173">
        <v>6.8191285113595219</v>
      </c>
      <c r="F88" s="173"/>
      <c r="G88" s="173">
        <v>29.9</v>
      </c>
      <c r="H88" s="154">
        <v>136.80036315000001</v>
      </c>
      <c r="I88" s="190">
        <f t="shared" si="6"/>
        <v>136.80036315000001</v>
      </c>
      <c r="J88" s="190">
        <f t="shared" si="7"/>
        <v>53.833635995161629</v>
      </c>
      <c r="K88" s="246">
        <v>25309</v>
      </c>
      <c r="L88" s="255">
        <v>24840</v>
      </c>
      <c r="M88" s="164">
        <v>7787.9512188000008</v>
      </c>
      <c r="N88" s="190">
        <f t="shared" si="8"/>
        <v>7787.9512188000008</v>
      </c>
      <c r="O88" s="260">
        <v>666</v>
      </c>
      <c r="P88" s="260">
        <v>0</v>
      </c>
      <c r="Q88" s="166">
        <v>4200</v>
      </c>
      <c r="R88" s="166">
        <v>1161</v>
      </c>
      <c r="S88" s="182">
        <f t="shared" si="9"/>
        <v>1799.848117270536</v>
      </c>
      <c r="T88" s="339">
        <v>0.39351968631935336</v>
      </c>
    </row>
    <row r="89" spans="1:20" s="158" customFormat="1" x14ac:dyDescent="0.2">
      <c r="A89" s="158">
        <v>2008</v>
      </c>
      <c r="B89" s="158">
        <v>4</v>
      </c>
      <c r="C89" s="246">
        <v>33427.995999999999</v>
      </c>
      <c r="D89" s="173">
        <v>6.8191285113595219</v>
      </c>
      <c r="E89" s="173">
        <v>6.8191285113595219</v>
      </c>
      <c r="F89" s="173"/>
      <c r="G89" s="173">
        <v>30.3</v>
      </c>
      <c r="H89" s="154">
        <v>136.80036315000001</v>
      </c>
      <c r="I89" s="190">
        <f t="shared" si="6"/>
        <v>136.80036315000001</v>
      </c>
      <c r="J89" s="190">
        <f t="shared" si="7"/>
        <v>53.981268356214365</v>
      </c>
      <c r="K89" s="246">
        <v>25241</v>
      </c>
      <c r="L89" s="255">
        <v>24778</v>
      </c>
      <c r="M89" s="164">
        <v>7787.9512188000008</v>
      </c>
      <c r="N89" s="190">
        <f t="shared" si="8"/>
        <v>7787.9512188000008</v>
      </c>
      <c r="O89" s="261">
        <v>400</v>
      </c>
      <c r="P89" s="261">
        <v>5</v>
      </c>
      <c r="Q89" s="166">
        <v>4200</v>
      </c>
      <c r="R89" s="166">
        <v>1161</v>
      </c>
      <c r="S89" s="182">
        <f t="shared" si="9"/>
        <v>1324.3530763440435</v>
      </c>
      <c r="T89" s="339">
        <v>0.39459886738037769</v>
      </c>
    </row>
    <row r="90" spans="1:20" x14ac:dyDescent="0.2">
      <c r="A90" s="153">
        <v>2008</v>
      </c>
      <c r="B90" s="153">
        <v>5</v>
      </c>
      <c r="C90" s="246">
        <v>24021.778999999999</v>
      </c>
      <c r="D90" s="173">
        <v>6.8191285113595219</v>
      </c>
      <c r="E90" s="173">
        <v>6.8191285113595219</v>
      </c>
      <c r="F90" s="173"/>
      <c r="G90" s="173">
        <v>29.57</v>
      </c>
      <c r="H90" s="154">
        <v>136.80036315000001</v>
      </c>
      <c r="I90" s="190">
        <f t="shared" si="6"/>
        <v>136.80036315000001</v>
      </c>
      <c r="J90" s="190">
        <f t="shared" si="7"/>
        <v>53.981268356214365</v>
      </c>
      <c r="K90" s="246">
        <v>25223</v>
      </c>
      <c r="L90" s="255">
        <v>24740</v>
      </c>
      <c r="M90" s="164">
        <v>7787.9512188000008</v>
      </c>
      <c r="N90" s="190">
        <f t="shared" si="8"/>
        <v>7787.9512188000008</v>
      </c>
      <c r="O90" s="260">
        <v>190.4</v>
      </c>
      <c r="P90" s="260">
        <v>17.55</v>
      </c>
      <c r="Q90" s="166">
        <v>4200</v>
      </c>
      <c r="R90" s="166">
        <v>1161</v>
      </c>
      <c r="S90" s="182">
        <f t="shared" si="9"/>
        <v>952.37596637989134</v>
      </c>
      <c r="T90" s="339">
        <v>0.39459886738037769</v>
      </c>
    </row>
    <row r="91" spans="1:20" x14ac:dyDescent="0.2">
      <c r="A91" s="153">
        <v>2008</v>
      </c>
      <c r="B91" s="153">
        <v>6</v>
      </c>
      <c r="C91" s="246">
        <v>23605.632000000001</v>
      </c>
      <c r="D91" s="173">
        <v>6.8191285113595219</v>
      </c>
      <c r="E91" s="173">
        <v>6.8191285113595219</v>
      </c>
      <c r="F91" s="173"/>
      <c r="G91" s="173">
        <v>30.67</v>
      </c>
      <c r="H91" s="154">
        <v>136.80036315000001</v>
      </c>
      <c r="I91" s="190">
        <f t="shared" si="6"/>
        <v>136.80036315000001</v>
      </c>
      <c r="J91" s="190">
        <f t="shared" si="7"/>
        <v>53.981268356214365</v>
      </c>
      <c r="K91" s="246">
        <v>25272</v>
      </c>
      <c r="L91" s="255">
        <v>24706</v>
      </c>
      <c r="M91" s="164">
        <v>7787.9512188000008</v>
      </c>
      <c r="N91" s="190">
        <f t="shared" si="8"/>
        <v>7787.9512188000008</v>
      </c>
      <c r="O91" s="260">
        <v>46.45</v>
      </c>
      <c r="P91" s="260">
        <v>163.4</v>
      </c>
      <c r="Q91" s="166">
        <v>4200</v>
      </c>
      <c r="R91" s="166">
        <v>1161</v>
      </c>
      <c r="S91" s="182">
        <f t="shared" si="9"/>
        <v>934.06267806267806</v>
      </c>
      <c r="T91" s="339">
        <v>0.39459886738037769</v>
      </c>
    </row>
    <row r="92" spans="1:20" x14ac:dyDescent="0.2">
      <c r="A92" s="153">
        <v>2008</v>
      </c>
      <c r="B92" s="153">
        <v>7</v>
      </c>
      <c r="C92" s="246">
        <v>25404.508000000002</v>
      </c>
      <c r="D92" s="173">
        <v>6.8191285113595219</v>
      </c>
      <c r="E92" s="173">
        <v>6.8191285113595219</v>
      </c>
      <c r="F92" s="173"/>
      <c r="G92" s="173">
        <v>30.62</v>
      </c>
      <c r="H92" s="154">
        <v>136.80036315000001</v>
      </c>
      <c r="I92" s="190">
        <f t="shared" si="6"/>
        <v>136.80036315000001</v>
      </c>
      <c r="J92" s="190">
        <f t="shared" si="7"/>
        <v>53.965490208664427</v>
      </c>
      <c r="K92" s="246">
        <v>25307</v>
      </c>
      <c r="L92" s="255">
        <v>24796</v>
      </c>
      <c r="M92" s="164">
        <v>7787.9512188000008</v>
      </c>
      <c r="N92" s="190">
        <f t="shared" si="8"/>
        <v>7787.9512188000008</v>
      </c>
      <c r="O92" s="260">
        <v>1</v>
      </c>
      <c r="P92" s="260">
        <v>265</v>
      </c>
      <c r="Q92" s="166">
        <v>4200</v>
      </c>
      <c r="R92" s="166">
        <v>1161</v>
      </c>
      <c r="S92" s="182">
        <f t="shared" si="9"/>
        <v>1003.853005097404</v>
      </c>
      <c r="T92" s="339">
        <v>0.39448353035066064</v>
      </c>
    </row>
    <row r="93" spans="1:20" x14ac:dyDescent="0.2">
      <c r="A93" s="153">
        <v>2008</v>
      </c>
      <c r="B93" s="153">
        <v>8</v>
      </c>
      <c r="C93" s="246">
        <v>25247.146000000001</v>
      </c>
      <c r="D93" s="173">
        <v>6.8191285113595219</v>
      </c>
      <c r="E93" s="173">
        <v>6.8191285113595219</v>
      </c>
      <c r="F93" s="173"/>
      <c r="G93" s="173">
        <v>29.52</v>
      </c>
      <c r="H93" s="154">
        <v>136.80036315000001</v>
      </c>
      <c r="I93" s="190">
        <f t="shared" si="6"/>
        <v>136.80036315000001</v>
      </c>
      <c r="J93" s="190">
        <f t="shared" si="7"/>
        <v>53.965490208664427</v>
      </c>
      <c r="K93" s="246">
        <v>25348</v>
      </c>
      <c r="L93" s="255">
        <v>24768</v>
      </c>
      <c r="M93" s="164">
        <v>7787.9512188000008</v>
      </c>
      <c r="N93" s="190">
        <f t="shared" si="8"/>
        <v>7787.9512188000008</v>
      </c>
      <c r="O93" s="260">
        <v>0</v>
      </c>
      <c r="P93" s="260">
        <v>274</v>
      </c>
      <c r="Q93" s="166">
        <v>4200</v>
      </c>
      <c r="R93" s="166">
        <v>1161</v>
      </c>
      <c r="S93" s="182">
        <f t="shared" si="9"/>
        <v>996.02122455420545</v>
      </c>
      <c r="T93" s="339">
        <v>0.39448353035066064</v>
      </c>
    </row>
    <row r="94" spans="1:20" x14ac:dyDescent="0.2">
      <c r="A94" s="153">
        <v>2008</v>
      </c>
      <c r="B94" s="153">
        <v>9</v>
      </c>
      <c r="C94" s="246">
        <v>24617.201000000001</v>
      </c>
      <c r="D94" s="173">
        <v>6.8191285113595219</v>
      </c>
      <c r="E94" s="173">
        <v>6.8191285113595219</v>
      </c>
      <c r="F94" s="173"/>
      <c r="G94" s="173">
        <v>30.71</v>
      </c>
      <c r="H94" s="154">
        <v>136.80036315000001</v>
      </c>
      <c r="I94" s="190">
        <f t="shared" si="6"/>
        <v>136.80036315000001</v>
      </c>
      <c r="J94" s="190">
        <f t="shared" si="7"/>
        <v>53.965490208664427</v>
      </c>
      <c r="K94" s="246">
        <v>25364</v>
      </c>
      <c r="L94" s="255">
        <v>24844</v>
      </c>
      <c r="M94" s="164">
        <v>7787.9512188000008</v>
      </c>
      <c r="N94" s="190">
        <f t="shared" si="8"/>
        <v>7787.9512188000008</v>
      </c>
      <c r="O94" s="260">
        <v>1.4</v>
      </c>
      <c r="P94" s="260">
        <v>237.7</v>
      </c>
      <c r="Q94" s="166">
        <v>4200</v>
      </c>
      <c r="R94" s="166">
        <v>1161</v>
      </c>
      <c r="S94" s="182">
        <f t="shared" si="9"/>
        <v>970.5567339536351</v>
      </c>
      <c r="T94" s="339">
        <v>0.39448353035066064</v>
      </c>
    </row>
    <row r="95" spans="1:20" x14ac:dyDescent="0.2">
      <c r="A95" s="153">
        <v>2008</v>
      </c>
      <c r="B95" s="153">
        <v>10</v>
      </c>
      <c r="C95" s="246">
        <v>22233.927</v>
      </c>
      <c r="D95" s="173">
        <v>6.8191285113595219</v>
      </c>
      <c r="E95" s="173">
        <v>6.8191285113595219</v>
      </c>
      <c r="F95" s="173"/>
      <c r="G95" s="173">
        <v>29.52</v>
      </c>
      <c r="H95" s="154">
        <v>136.80036315000001</v>
      </c>
      <c r="I95" s="190">
        <f t="shared" si="6"/>
        <v>136.80036315000001</v>
      </c>
      <c r="J95" s="190">
        <f t="shared" si="7"/>
        <v>53.949751053266056</v>
      </c>
      <c r="K95" s="246">
        <v>25377</v>
      </c>
      <c r="L95" s="255">
        <v>24844</v>
      </c>
      <c r="M95" s="164">
        <v>7787.9512188000008</v>
      </c>
      <c r="N95" s="190">
        <f t="shared" si="8"/>
        <v>7787.9512188000008</v>
      </c>
      <c r="O95" s="260">
        <v>109</v>
      </c>
      <c r="P95" s="260">
        <v>44</v>
      </c>
      <c r="Q95" s="166">
        <v>4200</v>
      </c>
      <c r="R95" s="166">
        <v>1161</v>
      </c>
      <c r="S95" s="182">
        <f t="shared" si="9"/>
        <v>876.14481617212437</v>
      </c>
      <c r="T95" s="339">
        <v>0.39436847835053462</v>
      </c>
    </row>
    <row r="96" spans="1:20" x14ac:dyDescent="0.2">
      <c r="A96" s="153">
        <v>2008</v>
      </c>
      <c r="B96" s="153">
        <v>11</v>
      </c>
      <c r="C96" s="246">
        <v>34415.57</v>
      </c>
      <c r="D96" s="173">
        <v>6.8191285113595219</v>
      </c>
      <c r="E96" s="173">
        <v>6.8191285113595219</v>
      </c>
      <c r="F96" s="173"/>
      <c r="G96" s="173">
        <v>29.38</v>
      </c>
      <c r="H96" s="154">
        <v>136.80036315000001</v>
      </c>
      <c r="I96" s="190">
        <f t="shared" si="6"/>
        <v>136.80036315000001</v>
      </c>
      <c r="J96" s="190">
        <f t="shared" si="7"/>
        <v>53.949751053266056</v>
      </c>
      <c r="K96" s="246">
        <v>25443</v>
      </c>
      <c r="L96" s="257">
        <v>24756</v>
      </c>
      <c r="M96" s="164">
        <v>7787.9512188000008</v>
      </c>
      <c r="N96" s="190">
        <f t="shared" si="8"/>
        <v>7787.9512188000008</v>
      </c>
      <c r="O96" s="260">
        <v>458</v>
      </c>
      <c r="P96" s="260">
        <v>2</v>
      </c>
      <c r="Q96" s="166">
        <v>4200</v>
      </c>
      <c r="R96" s="166">
        <v>1161</v>
      </c>
      <c r="S96" s="182">
        <f t="shared" si="9"/>
        <v>1352.6537751051371</v>
      </c>
      <c r="T96" s="339">
        <v>0.39436847835053462</v>
      </c>
    </row>
    <row r="97" spans="1:20" x14ac:dyDescent="0.2">
      <c r="A97" s="153">
        <v>2008</v>
      </c>
      <c r="B97" s="153">
        <v>12</v>
      </c>
      <c r="C97" s="246">
        <v>55409.154000000002</v>
      </c>
      <c r="D97" s="173">
        <v>6.8191285113595219</v>
      </c>
      <c r="E97" s="173">
        <v>6.8191285113595219</v>
      </c>
      <c r="F97" s="173"/>
      <c r="G97" s="173">
        <v>32.81</v>
      </c>
      <c r="H97" s="154">
        <v>136.80036315000001</v>
      </c>
      <c r="I97" s="190">
        <f t="shared" si="6"/>
        <v>136.80036315000001</v>
      </c>
      <c r="J97" s="190">
        <f t="shared" si="7"/>
        <v>53.949751053266056</v>
      </c>
      <c r="K97" s="246">
        <v>25435</v>
      </c>
      <c r="L97" s="257">
        <v>24930</v>
      </c>
      <c r="M97" s="164">
        <v>7787.9512188000008</v>
      </c>
      <c r="N97" s="190">
        <f t="shared" si="8"/>
        <v>7787.9512188000008</v>
      </c>
      <c r="O97" s="260">
        <v>828.6</v>
      </c>
      <c r="P97" s="260">
        <v>0</v>
      </c>
      <c r="Q97" s="166">
        <v>4200</v>
      </c>
      <c r="R97" s="166">
        <v>1161</v>
      </c>
      <c r="S97" s="182">
        <f t="shared" si="9"/>
        <v>2178.4609396500887</v>
      </c>
      <c r="T97" s="339">
        <v>0.39436847835053462</v>
      </c>
    </row>
    <row r="98" spans="1:20" x14ac:dyDescent="0.2">
      <c r="A98" s="153">
        <v>2009</v>
      </c>
      <c r="B98" s="153">
        <v>1</v>
      </c>
      <c r="C98" s="250">
        <v>58302.082000000002</v>
      </c>
      <c r="D98" s="173">
        <v>6.8549750593316237</v>
      </c>
      <c r="E98" s="173">
        <v>6.8549750593316237</v>
      </c>
      <c r="F98" s="173"/>
      <c r="G98" s="173">
        <v>32.950000000000003</v>
      </c>
      <c r="H98" s="154">
        <v>136.83034581000001</v>
      </c>
      <c r="I98" s="190">
        <f t="shared" si="6"/>
        <v>136.83034581000001</v>
      </c>
      <c r="J98" s="190">
        <f t="shared" si="7"/>
        <v>53.94582062625252</v>
      </c>
      <c r="K98" s="246">
        <v>25448</v>
      </c>
      <c r="L98" s="258">
        <v>24914</v>
      </c>
      <c r="M98" s="164">
        <v>8091.3029981999989</v>
      </c>
      <c r="N98" s="190">
        <f t="shared" si="8"/>
        <v>8091.3029981999989</v>
      </c>
      <c r="O98" s="260">
        <v>843</v>
      </c>
      <c r="P98" s="260">
        <v>0</v>
      </c>
      <c r="Q98" s="166">
        <v>4200</v>
      </c>
      <c r="R98" s="166">
        <v>1161</v>
      </c>
      <c r="S98" s="182">
        <f t="shared" si="9"/>
        <v>2291.0280572147126</v>
      </c>
      <c r="T98" s="339">
        <v>0.39425333837247367</v>
      </c>
    </row>
    <row r="99" spans="1:20" x14ac:dyDescent="0.2">
      <c r="A99" s="153">
        <v>2009</v>
      </c>
      <c r="B99" s="153">
        <v>2</v>
      </c>
      <c r="C99" s="250">
        <v>58873.061000000002</v>
      </c>
      <c r="D99" s="173">
        <v>6.8549750593316237</v>
      </c>
      <c r="E99" s="173">
        <v>6.8549750593316237</v>
      </c>
      <c r="F99" s="173"/>
      <c r="G99" s="173">
        <v>30.19</v>
      </c>
      <c r="H99" s="154">
        <v>136.83034581000001</v>
      </c>
      <c r="I99" s="190">
        <f t="shared" si="6"/>
        <v>136.83034581000001</v>
      </c>
      <c r="J99" s="190">
        <f t="shared" si="7"/>
        <v>53.94582062625252</v>
      </c>
      <c r="K99" s="246">
        <v>25421</v>
      </c>
      <c r="L99" s="258">
        <v>24895</v>
      </c>
      <c r="M99" s="164">
        <v>8091.3029981999989</v>
      </c>
      <c r="N99" s="190">
        <f t="shared" si="8"/>
        <v>8091.3029981999989</v>
      </c>
      <c r="O99" s="260">
        <v>845</v>
      </c>
      <c r="P99" s="260">
        <v>0</v>
      </c>
      <c r="Q99" s="166">
        <v>4200</v>
      </c>
      <c r="R99" s="166">
        <v>1161</v>
      </c>
      <c r="S99" s="182">
        <f t="shared" si="9"/>
        <v>2315.9223083277607</v>
      </c>
      <c r="T99" s="339">
        <v>0.39425333837247367</v>
      </c>
    </row>
    <row r="100" spans="1:20" s="158" customFormat="1" x14ac:dyDescent="0.2">
      <c r="A100" s="158">
        <v>2009</v>
      </c>
      <c r="B100" s="158">
        <v>3</v>
      </c>
      <c r="C100" s="250">
        <v>41758.906999999999</v>
      </c>
      <c r="D100" s="173">
        <v>6.8549750593316237</v>
      </c>
      <c r="E100" s="173">
        <v>6.8549750593316237</v>
      </c>
      <c r="F100" s="173"/>
      <c r="G100" s="173">
        <v>30.05</v>
      </c>
      <c r="H100" s="154">
        <v>136.83034581000001</v>
      </c>
      <c r="I100" s="190">
        <f t="shared" si="6"/>
        <v>136.83034581000001</v>
      </c>
      <c r="J100" s="190">
        <f t="shared" si="7"/>
        <v>53.94582062625252</v>
      </c>
      <c r="K100" s="246">
        <v>25447</v>
      </c>
      <c r="L100" s="255">
        <v>24830</v>
      </c>
      <c r="M100" s="164">
        <v>8091.3029981999989</v>
      </c>
      <c r="N100" s="190">
        <f t="shared" si="8"/>
        <v>8091.3029981999989</v>
      </c>
      <c r="O100" s="262">
        <v>615.70000000000005</v>
      </c>
      <c r="P100" s="262">
        <v>0</v>
      </c>
      <c r="Q100" s="166">
        <v>4200</v>
      </c>
      <c r="R100" s="166">
        <v>1161</v>
      </c>
      <c r="S100" s="182">
        <f t="shared" si="9"/>
        <v>1641.0149329979956</v>
      </c>
      <c r="T100" s="339">
        <v>0.39425333837247367</v>
      </c>
    </row>
    <row r="101" spans="1:20" x14ac:dyDescent="0.2">
      <c r="A101" s="153">
        <v>2009</v>
      </c>
      <c r="B101" s="153">
        <v>4</v>
      </c>
      <c r="C101" s="250">
        <v>38639.836000000003</v>
      </c>
      <c r="D101" s="173">
        <v>6.8549750593316237</v>
      </c>
      <c r="E101" s="173">
        <v>6.8549750593316237</v>
      </c>
      <c r="F101" s="173"/>
      <c r="G101" s="173">
        <v>30.38</v>
      </c>
      <c r="H101" s="154">
        <v>136.83034581000001</v>
      </c>
      <c r="I101" s="190">
        <f t="shared" si="6"/>
        <v>136.83034581000001</v>
      </c>
      <c r="J101" s="190">
        <f t="shared" si="7"/>
        <v>53.930073314475138</v>
      </c>
      <c r="K101" s="246">
        <v>25045</v>
      </c>
      <c r="L101" s="259">
        <v>25061</v>
      </c>
      <c r="M101" s="164">
        <v>8091.3029981999989</v>
      </c>
      <c r="N101" s="190">
        <f t="shared" si="8"/>
        <v>8091.3029981999989</v>
      </c>
      <c r="O101" s="263">
        <v>429</v>
      </c>
      <c r="P101" s="263">
        <v>1</v>
      </c>
      <c r="Q101" s="166">
        <v>4200</v>
      </c>
      <c r="R101" s="166">
        <v>1161</v>
      </c>
      <c r="S101" s="182">
        <f t="shared" si="9"/>
        <v>1542.8163705330408</v>
      </c>
      <c r="T101" s="339">
        <v>0.3941382519734431</v>
      </c>
    </row>
    <row r="102" spans="1:20" x14ac:dyDescent="0.2">
      <c r="A102" s="153">
        <v>2009</v>
      </c>
      <c r="B102" s="153">
        <v>5</v>
      </c>
      <c r="C102" s="250">
        <v>24249.574000000001</v>
      </c>
      <c r="D102" s="173">
        <v>6.8549750593316237</v>
      </c>
      <c r="E102" s="173">
        <v>6.8549750593316237</v>
      </c>
      <c r="F102" s="173"/>
      <c r="G102" s="173">
        <v>30.24</v>
      </c>
      <c r="H102" s="154">
        <v>136.83034581000001</v>
      </c>
      <c r="I102" s="190">
        <f t="shared" si="6"/>
        <v>136.83034581000001</v>
      </c>
      <c r="J102" s="190">
        <f t="shared" si="7"/>
        <v>53.930073314475138</v>
      </c>
      <c r="K102" s="246">
        <v>25039</v>
      </c>
      <c r="L102" s="259">
        <v>25014</v>
      </c>
      <c r="M102" s="164">
        <v>8091.3029981999989</v>
      </c>
      <c r="N102" s="190">
        <f t="shared" si="8"/>
        <v>8091.3029981999989</v>
      </c>
      <c r="O102" s="263">
        <v>173.35</v>
      </c>
      <c r="P102" s="263">
        <v>32.049999999999997</v>
      </c>
      <c r="Q102" s="166">
        <v>4200</v>
      </c>
      <c r="R102" s="166">
        <v>1161</v>
      </c>
      <c r="S102" s="182">
        <f t="shared" si="9"/>
        <v>968.4721434562083</v>
      </c>
      <c r="T102" s="339">
        <v>0.3941382519734431</v>
      </c>
    </row>
    <row r="103" spans="1:20" x14ac:dyDescent="0.2">
      <c r="A103" s="153">
        <v>2009</v>
      </c>
      <c r="B103" s="153">
        <v>6</v>
      </c>
      <c r="C103" s="250">
        <v>23090.169000000002</v>
      </c>
      <c r="D103" s="173">
        <v>6.8549750593316237</v>
      </c>
      <c r="E103" s="173">
        <v>6.8549750593316237</v>
      </c>
      <c r="F103" s="173"/>
      <c r="G103" s="173">
        <v>30.38</v>
      </c>
      <c r="H103" s="154">
        <v>136.83034581000001</v>
      </c>
      <c r="I103" s="190">
        <f t="shared" si="6"/>
        <v>136.83034581000001</v>
      </c>
      <c r="J103" s="190">
        <f t="shared" si="7"/>
        <v>53.930073314475138</v>
      </c>
      <c r="K103" s="246">
        <v>25074</v>
      </c>
      <c r="L103" s="259">
        <v>25087</v>
      </c>
      <c r="M103" s="164">
        <v>8091.3029981999989</v>
      </c>
      <c r="N103" s="190">
        <f t="shared" si="8"/>
        <v>8091.3029981999989</v>
      </c>
      <c r="O103" s="263">
        <v>38</v>
      </c>
      <c r="P103" s="263">
        <v>146</v>
      </c>
      <c r="Q103" s="166">
        <v>4200</v>
      </c>
      <c r="R103" s="166">
        <v>1161</v>
      </c>
      <c r="S103" s="182">
        <f t="shared" si="9"/>
        <v>920.88095238095252</v>
      </c>
      <c r="T103" s="339">
        <v>0.3941382519734431</v>
      </c>
    </row>
    <row r="104" spans="1:20" x14ac:dyDescent="0.2">
      <c r="A104" s="153">
        <v>2009</v>
      </c>
      <c r="B104" s="153">
        <v>7</v>
      </c>
      <c r="C104" s="250">
        <v>24945.046999999999</v>
      </c>
      <c r="D104" s="173">
        <v>6.8549750593316237</v>
      </c>
      <c r="E104" s="173">
        <v>6.8549750593316237</v>
      </c>
      <c r="F104" s="173"/>
      <c r="G104" s="173">
        <v>30.71</v>
      </c>
      <c r="H104" s="154">
        <v>136.83034581000001</v>
      </c>
      <c r="I104" s="190">
        <f t="shared" si="6"/>
        <v>136.83034581000001</v>
      </c>
      <c r="J104" s="190">
        <f t="shared" si="7"/>
        <v>54.026455892692738</v>
      </c>
      <c r="K104" s="246">
        <v>25048</v>
      </c>
      <c r="L104" s="259">
        <v>25050</v>
      </c>
      <c r="M104" s="164">
        <v>8091.3029981999989</v>
      </c>
      <c r="N104" s="190">
        <f t="shared" si="8"/>
        <v>8091.3029981999989</v>
      </c>
      <c r="O104" s="263">
        <v>0</v>
      </c>
      <c r="P104" s="263">
        <v>229.65</v>
      </c>
      <c r="Q104" s="166">
        <v>4200</v>
      </c>
      <c r="R104" s="166">
        <v>1161</v>
      </c>
      <c r="S104" s="182">
        <f t="shared" si="9"/>
        <v>995.88977163845414</v>
      </c>
      <c r="T104" s="339">
        <v>0.39484264673066627</v>
      </c>
    </row>
    <row r="105" spans="1:20" x14ac:dyDescent="0.2">
      <c r="A105" s="153">
        <v>2009</v>
      </c>
      <c r="B105" s="153">
        <v>8</v>
      </c>
      <c r="C105" s="250">
        <v>23423.012999999999</v>
      </c>
      <c r="D105" s="173">
        <v>6.8549750593316237</v>
      </c>
      <c r="E105" s="173">
        <v>6.8549750593316237</v>
      </c>
      <c r="F105" s="173"/>
      <c r="G105" s="173">
        <v>29.52</v>
      </c>
      <c r="H105" s="154">
        <v>136.83034581000001</v>
      </c>
      <c r="I105" s="190">
        <f t="shared" si="6"/>
        <v>136.83034581000001</v>
      </c>
      <c r="J105" s="190">
        <f t="shared" si="7"/>
        <v>54.026455892692738</v>
      </c>
      <c r="K105" s="246">
        <v>25100</v>
      </c>
      <c r="L105" s="259">
        <v>25076</v>
      </c>
      <c r="M105" s="164">
        <v>8091.3029981999989</v>
      </c>
      <c r="N105" s="190">
        <f t="shared" si="8"/>
        <v>8091.3029981999989</v>
      </c>
      <c r="O105" s="263">
        <v>0</v>
      </c>
      <c r="P105" s="263">
        <v>234</v>
      </c>
      <c r="Q105" s="166">
        <v>4200</v>
      </c>
      <c r="R105" s="166">
        <v>1161</v>
      </c>
      <c r="S105" s="182">
        <f t="shared" si="9"/>
        <v>933.18776892430276</v>
      </c>
      <c r="T105" s="339">
        <v>0.39484264673066627</v>
      </c>
    </row>
    <row r="106" spans="1:20" x14ac:dyDescent="0.2">
      <c r="A106" s="153">
        <v>2009</v>
      </c>
      <c r="B106" s="153">
        <v>9</v>
      </c>
      <c r="C106" s="250">
        <v>23276.022000000001</v>
      </c>
      <c r="D106" s="173">
        <v>6.8549750593316237</v>
      </c>
      <c r="E106" s="173">
        <v>6.8549750593316237</v>
      </c>
      <c r="F106" s="173"/>
      <c r="G106" s="173">
        <v>30.48</v>
      </c>
      <c r="H106" s="154">
        <v>136.83034581000001</v>
      </c>
      <c r="I106" s="190">
        <f t="shared" si="6"/>
        <v>136.83034581000001</v>
      </c>
      <c r="J106" s="190">
        <f t="shared" si="7"/>
        <v>54.026455892692738</v>
      </c>
      <c r="K106" s="246">
        <v>25114</v>
      </c>
      <c r="L106" s="259">
        <v>25104</v>
      </c>
      <c r="M106" s="164">
        <v>8091.3029981999989</v>
      </c>
      <c r="N106" s="190">
        <f t="shared" si="8"/>
        <v>8091.3029981999989</v>
      </c>
      <c r="O106" s="263">
        <v>0</v>
      </c>
      <c r="P106" s="263">
        <v>215</v>
      </c>
      <c r="Q106" s="166">
        <v>4200</v>
      </c>
      <c r="R106" s="166">
        <v>1161</v>
      </c>
      <c r="S106" s="182">
        <f t="shared" si="9"/>
        <v>926.81460539937893</v>
      </c>
      <c r="T106" s="339">
        <v>0.39484264673066627</v>
      </c>
    </row>
    <row r="107" spans="1:20" x14ac:dyDescent="0.2">
      <c r="A107" s="153">
        <v>2009</v>
      </c>
      <c r="B107" s="153">
        <v>10</v>
      </c>
      <c r="C107" s="250">
        <v>23300.35</v>
      </c>
      <c r="D107" s="173">
        <v>6.8549750593316237</v>
      </c>
      <c r="E107" s="173">
        <v>6.8549750593316237</v>
      </c>
      <c r="F107" s="173"/>
      <c r="G107" s="173">
        <v>29.67</v>
      </c>
      <c r="H107" s="154">
        <v>136.83034581000001</v>
      </c>
      <c r="I107" s="190">
        <f t="shared" si="6"/>
        <v>136.83034581000001</v>
      </c>
      <c r="J107" s="190">
        <f t="shared" si="7"/>
        <v>54.12787749293426</v>
      </c>
      <c r="K107" s="246">
        <v>25101</v>
      </c>
      <c r="L107" s="259">
        <v>25111</v>
      </c>
      <c r="M107" s="164">
        <v>8091.3029981999989</v>
      </c>
      <c r="N107" s="190">
        <f t="shared" si="8"/>
        <v>8091.3029981999989</v>
      </c>
      <c r="O107" s="263">
        <v>128.6</v>
      </c>
      <c r="P107" s="263">
        <v>85</v>
      </c>
      <c r="Q107" s="166">
        <v>4200</v>
      </c>
      <c r="R107" s="166">
        <v>1161</v>
      </c>
      <c r="S107" s="182">
        <f t="shared" si="9"/>
        <v>928.26381419066956</v>
      </c>
      <c r="T107" s="339">
        <v>0.39558386827506226</v>
      </c>
    </row>
    <row r="108" spans="1:20" x14ac:dyDescent="0.2">
      <c r="A108" s="153">
        <v>2009</v>
      </c>
      <c r="B108" s="153">
        <v>11</v>
      </c>
      <c r="C108" s="250">
        <v>29183.416000000001</v>
      </c>
      <c r="D108" s="173">
        <v>6.8549750593316237</v>
      </c>
      <c r="E108" s="173">
        <v>6.8549750593316237</v>
      </c>
      <c r="F108" s="173"/>
      <c r="G108" s="173">
        <v>29.76</v>
      </c>
      <c r="H108" s="154">
        <v>136.83034581000001</v>
      </c>
      <c r="I108" s="190">
        <f t="shared" si="6"/>
        <v>136.83034581000001</v>
      </c>
      <c r="J108" s="190">
        <f t="shared" si="7"/>
        <v>54.12787749293426</v>
      </c>
      <c r="K108" s="246">
        <v>25099</v>
      </c>
      <c r="L108" s="259">
        <v>25161</v>
      </c>
      <c r="M108" s="164">
        <v>8091.3029981999989</v>
      </c>
      <c r="N108" s="190">
        <f t="shared" si="8"/>
        <v>8091.3029981999989</v>
      </c>
      <c r="O108" s="164">
        <v>356.75</v>
      </c>
      <c r="P108" s="164">
        <v>3.7</v>
      </c>
      <c r="Q108" s="166">
        <v>4200</v>
      </c>
      <c r="R108" s="166">
        <v>1161</v>
      </c>
      <c r="S108" s="182">
        <f t="shared" si="9"/>
        <v>1162.7322204071875</v>
      </c>
      <c r="T108" s="339">
        <v>0.39558386827506226</v>
      </c>
    </row>
    <row r="109" spans="1:20" x14ac:dyDescent="0.2">
      <c r="A109" s="153">
        <v>2009</v>
      </c>
      <c r="B109" s="153">
        <v>12</v>
      </c>
      <c r="C109" s="250">
        <v>49150.864999999998</v>
      </c>
      <c r="D109" s="173">
        <v>6.8549750593316237</v>
      </c>
      <c r="E109" s="173">
        <v>6.8549750593316237</v>
      </c>
      <c r="F109" s="173"/>
      <c r="G109" s="173">
        <v>31.57</v>
      </c>
      <c r="H109" s="154">
        <v>136.83034581000001</v>
      </c>
      <c r="I109" s="190">
        <f t="shared" si="6"/>
        <v>136.83034581000001</v>
      </c>
      <c r="J109" s="190">
        <f t="shared" si="7"/>
        <v>54.12787749293426</v>
      </c>
      <c r="K109" s="246">
        <v>25164</v>
      </c>
      <c r="L109" s="259">
        <v>25157</v>
      </c>
      <c r="M109" s="164">
        <v>8091.3029981999989</v>
      </c>
      <c r="N109" s="190">
        <f t="shared" si="8"/>
        <v>8091.3029981999989</v>
      </c>
      <c r="O109" s="164">
        <v>684</v>
      </c>
      <c r="P109" s="263">
        <v>0</v>
      </c>
      <c r="Q109" s="166">
        <v>4200</v>
      </c>
      <c r="R109" s="166">
        <v>1161</v>
      </c>
      <c r="S109" s="182">
        <f t="shared" si="9"/>
        <v>1953.22146717533</v>
      </c>
      <c r="T109" s="339">
        <v>0.39558386827506226</v>
      </c>
    </row>
    <row r="110" spans="1:20" x14ac:dyDescent="0.2">
      <c r="A110" s="153">
        <v>2010</v>
      </c>
      <c r="B110" s="153">
        <v>1</v>
      </c>
      <c r="C110" s="250">
        <v>65031.042000000001</v>
      </c>
      <c r="D110" s="173">
        <v>6.867</v>
      </c>
      <c r="E110" s="173">
        <v>6.9421927241744967</v>
      </c>
      <c r="F110" s="173"/>
      <c r="G110" s="173">
        <v>32.520000000000003</v>
      </c>
      <c r="H110" s="154">
        <v>136.72222432000001</v>
      </c>
      <c r="I110" s="190">
        <f t="shared" si="6"/>
        <v>136.72222432000001</v>
      </c>
      <c r="J110" s="190">
        <f t="shared" si="7"/>
        <v>54.191646051728007</v>
      </c>
      <c r="K110" s="247">
        <v>25107</v>
      </c>
      <c r="L110" s="259">
        <v>25083</v>
      </c>
      <c r="M110" s="164">
        <v>8393.0723087999995</v>
      </c>
      <c r="N110" s="190">
        <f t="shared" si="8"/>
        <v>8393.0723087999995</v>
      </c>
      <c r="O110" s="263">
        <v>1052.2</v>
      </c>
      <c r="P110" s="263">
        <v>0</v>
      </c>
      <c r="Q110" s="166">
        <v>4200</v>
      </c>
      <c r="R110" s="166">
        <v>1161</v>
      </c>
      <c r="S110" s="182">
        <f t="shared" si="9"/>
        <v>2590.1558131198472</v>
      </c>
      <c r="T110" s="339">
        <v>0.39636311010338604</v>
      </c>
    </row>
    <row r="111" spans="1:20" x14ac:dyDescent="0.2">
      <c r="A111" s="153">
        <v>2010</v>
      </c>
      <c r="B111" s="153">
        <v>2</v>
      </c>
      <c r="C111" s="250">
        <v>53642.690999999999</v>
      </c>
      <c r="D111" s="173">
        <v>6.9421927241744967</v>
      </c>
      <c r="E111" s="173">
        <v>6.9421927241744967</v>
      </c>
      <c r="F111" s="173"/>
      <c r="G111" s="173">
        <v>30.14</v>
      </c>
      <c r="H111" s="154">
        <v>136.72222432000001</v>
      </c>
      <c r="I111" s="190">
        <f t="shared" si="6"/>
        <v>136.72222432000001</v>
      </c>
      <c r="J111" s="190">
        <f t="shared" si="7"/>
        <v>54.191646051728007</v>
      </c>
      <c r="K111" s="247">
        <v>25042</v>
      </c>
      <c r="L111" s="259">
        <v>25046</v>
      </c>
      <c r="M111" s="164">
        <v>8393.0723087999995</v>
      </c>
      <c r="N111" s="190">
        <f t="shared" si="8"/>
        <v>8393.0723087999995</v>
      </c>
      <c r="O111" s="263">
        <v>878</v>
      </c>
      <c r="P111" s="263">
        <v>0</v>
      </c>
      <c r="Q111" s="166">
        <v>4200</v>
      </c>
      <c r="R111" s="166">
        <v>1161</v>
      </c>
      <c r="S111" s="182">
        <f t="shared" si="9"/>
        <v>2142.1088970529509</v>
      </c>
      <c r="T111" s="339">
        <v>0.39636311010338604</v>
      </c>
    </row>
    <row r="112" spans="1:20" x14ac:dyDescent="0.2">
      <c r="A112" s="153">
        <v>2010</v>
      </c>
      <c r="B112" s="153">
        <v>3</v>
      </c>
      <c r="C112" s="250">
        <v>53439.336000000003</v>
      </c>
      <c r="D112" s="173">
        <v>6.9421927241744967</v>
      </c>
      <c r="E112" s="173">
        <v>6.9421927241744967</v>
      </c>
      <c r="F112" s="173"/>
      <c r="G112" s="173">
        <v>30</v>
      </c>
      <c r="H112" s="154">
        <v>136.72222432000001</v>
      </c>
      <c r="I112" s="190">
        <f t="shared" si="6"/>
        <v>136.72222432000001</v>
      </c>
      <c r="J112" s="190">
        <f t="shared" si="7"/>
        <v>54.191646051728007</v>
      </c>
      <c r="K112" s="247">
        <v>25028</v>
      </c>
      <c r="L112" s="259">
        <v>25020</v>
      </c>
      <c r="M112" s="164">
        <v>8393.0723087999995</v>
      </c>
      <c r="N112" s="190">
        <f t="shared" si="8"/>
        <v>8393.0723087999995</v>
      </c>
      <c r="O112" s="263">
        <v>852</v>
      </c>
      <c r="P112" s="263">
        <v>0</v>
      </c>
      <c r="Q112" s="166">
        <v>4200</v>
      </c>
      <c r="R112" s="166">
        <v>1161</v>
      </c>
      <c r="S112" s="182">
        <f t="shared" si="9"/>
        <v>2135.1820361195464</v>
      </c>
      <c r="T112" s="339">
        <v>0.39636311010338604</v>
      </c>
    </row>
    <row r="113" spans="1:20" x14ac:dyDescent="0.2">
      <c r="A113" s="153">
        <v>2010</v>
      </c>
      <c r="B113" s="153">
        <v>4</v>
      </c>
      <c r="C113" s="250">
        <v>32336.49</v>
      </c>
      <c r="D113" s="173">
        <v>6.9421927241744967</v>
      </c>
      <c r="E113" s="173">
        <v>6.9421927241744967</v>
      </c>
      <c r="F113" s="173"/>
      <c r="G113" s="173">
        <v>30.86</v>
      </c>
      <c r="H113" s="154">
        <v>136.72222432000001</v>
      </c>
      <c r="I113" s="190">
        <f t="shared" si="6"/>
        <v>136.72222432000001</v>
      </c>
      <c r="J113" s="190">
        <f t="shared" si="7"/>
        <v>54.186556465757896</v>
      </c>
      <c r="K113" s="247">
        <v>24926</v>
      </c>
      <c r="L113" s="259">
        <v>24927</v>
      </c>
      <c r="M113" s="164">
        <v>8393.0723087999995</v>
      </c>
      <c r="N113" s="190">
        <f t="shared" si="8"/>
        <v>8393.0723087999995</v>
      </c>
      <c r="O113" s="164">
        <v>396.95000000000005</v>
      </c>
      <c r="P113" s="164">
        <v>5.25</v>
      </c>
      <c r="Q113" s="166">
        <v>4200</v>
      </c>
      <c r="R113" s="166">
        <v>1161</v>
      </c>
      <c r="S113" s="182">
        <f t="shared" si="9"/>
        <v>1297.2996068362352</v>
      </c>
      <c r="T113" s="339">
        <v>0.39632588436342003</v>
      </c>
    </row>
    <row r="114" spans="1:20" x14ac:dyDescent="0.2">
      <c r="A114" s="153">
        <v>2010</v>
      </c>
      <c r="B114" s="153">
        <v>5</v>
      </c>
      <c r="C114" s="250">
        <v>22371.967000000001</v>
      </c>
      <c r="D114" s="173">
        <v>6.9421927241744967</v>
      </c>
      <c r="E114" s="173">
        <v>6.9421927241744967</v>
      </c>
      <c r="F114" s="173"/>
      <c r="G114" s="173">
        <v>30.48</v>
      </c>
      <c r="H114" s="154">
        <v>136.72222432000001</v>
      </c>
      <c r="I114" s="190">
        <f t="shared" si="6"/>
        <v>136.72222432000001</v>
      </c>
      <c r="J114" s="190">
        <f t="shared" si="7"/>
        <v>54.186556465757896</v>
      </c>
      <c r="K114" s="247">
        <v>24868</v>
      </c>
      <c r="L114" s="259">
        <v>24907</v>
      </c>
      <c r="M114" s="164">
        <v>8393.0723087999995</v>
      </c>
      <c r="N114" s="190">
        <f t="shared" si="8"/>
        <v>8393.0723087999995</v>
      </c>
      <c r="O114" s="263">
        <v>154.4</v>
      </c>
      <c r="P114" s="263">
        <v>46.5</v>
      </c>
      <c r="Q114" s="166">
        <v>4200</v>
      </c>
      <c r="R114" s="166">
        <v>1161</v>
      </c>
      <c r="S114" s="182">
        <f t="shared" si="9"/>
        <v>899.62871963969758</v>
      </c>
      <c r="T114" s="339">
        <v>0.39632588436342003</v>
      </c>
    </row>
    <row r="115" spans="1:20" x14ac:dyDescent="0.2">
      <c r="A115" s="153">
        <v>2010</v>
      </c>
      <c r="B115" s="153">
        <v>6</v>
      </c>
      <c r="C115" s="250">
        <v>23050.978999999999</v>
      </c>
      <c r="D115" s="173">
        <v>6.9421927241744967</v>
      </c>
      <c r="E115" s="173">
        <v>6.9421927241744967</v>
      </c>
      <c r="F115" s="173"/>
      <c r="G115" s="173">
        <v>30.67</v>
      </c>
      <c r="H115" s="154">
        <v>136.72222432000001</v>
      </c>
      <c r="I115" s="190">
        <f t="shared" si="6"/>
        <v>136.72222432000001</v>
      </c>
      <c r="J115" s="190">
        <f t="shared" si="7"/>
        <v>54.186556465757896</v>
      </c>
      <c r="K115" s="247">
        <v>24920</v>
      </c>
      <c r="L115" s="259">
        <v>24920</v>
      </c>
      <c r="M115" s="164">
        <v>8393.0723087999995</v>
      </c>
      <c r="N115" s="190">
        <f t="shared" si="8"/>
        <v>8393.0723087999995</v>
      </c>
      <c r="O115" s="263">
        <v>15.799999999999999</v>
      </c>
      <c r="P115" s="263">
        <v>201.65</v>
      </c>
      <c r="Q115" s="166">
        <v>4200</v>
      </c>
      <c r="R115" s="166">
        <v>1161</v>
      </c>
      <c r="S115" s="182">
        <f t="shared" si="9"/>
        <v>924.99915730337079</v>
      </c>
      <c r="T115" s="339">
        <v>0.39632588436342003</v>
      </c>
    </row>
    <row r="116" spans="1:20" x14ac:dyDescent="0.2">
      <c r="A116" s="153">
        <v>2010</v>
      </c>
      <c r="B116" s="153">
        <v>7</v>
      </c>
      <c r="C116" s="250">
        <v>27818.853999999999</v>
      </c>
      <c r="D116" s="173">
        <v>6.9421927241744967</v>
      </c>
      <c r="E116" s="173">
        <v>6.9421927241744967</v>
      </c>
      <c r="F116" s="173"/>
      <c r="G116" s="173">
        <v>30.71</v>
      </c>
      <c r="H116" s="154">
        <v>136.72222432000001</v>
      </c>
      <c r="I116" s="190">
        <f t="shared" si="6"/>
        <v>136.72222432000001</v>
      </c>
      <c r="J116" s="190">
        <f t="shared" si="7"/>
        <v>54.157694268303835</v>
      </c>
      <c r="K116" s="247">
        <v>24852</v>
      </c>
      <c r="L116" s="259">
        <v>24883</v>
      </c>
      <c r="M116" s="164">
        <v>8393.0723087999995</v>
      </c>
      <c r="N116" s="190">
        <f t="shared" si="8"/>
        <v>8393.0723087999995</v>
      </c>
      <c r="O116" s="263">
        <v>0</v>
      </c>
      <c r="P116" s="263">
        <v>372.85</v>
      </c>
      <c r="Q116" s="166">
        <v>4200</v>
      </c>
      <c r="R116" s="166">
        <v>1161</v>
      </c>
      <c r="S116" s="182">
        <f t="shared" si="9"/>
        <v>1119.3808948977951</v>
      </c>
      <c r="T116" s="339">
        <v>0.39611478336943307</v>
      </c>
    </row>
    <row r="117" spans="1:20" x14ac:dyDescent="0.2">
      <c r="A117" s="153">
        <v>2010</v>
      </c>
      <c r="B117" s="153">
        <v>8</v>
      </c>
      <c r="C117" s="250">
        <v>29062.985000000001</v>
      </c>
      <c r="D117" s="173">
        <v>6.9421927241744967</v>
      </c>
      <c r="E117" s="173">
        <v>6.9421927241744967</v>
      </c>
      <c r="F117" s="173"/>
      <c r="G117" s="173">
        <v>29.52</v>
      </c>
      <c r="H117" s="154">
        <v>136.72222432000001</v>
      </c>
      <c r="I117" s="190">
        <f t="shared" si="6"/>
        <v>136.72222432000001</v>
      </c>
      <c r="J117" s="190">
        <f t="shared" si="7"/>
        <v>54.157694268303835</v>
      </c>
      <c r="K117" s="247">
        <v>24950</v>
      </c>
      <c r="L117" s="259">
        <v>24974</v>
      </c>
      <c r="M117" s="164">
        <v>8393.0723087999995</v>
      </c>
      <c r="N117" s="190">
        <f t="shared" si="8"/>
        <v>8393.0723087999995</v>
      </c>
      <c r="O117" s="263">
        <v>0</v>
      </c>
      <c r="P117" s="263">
        <v>453.15</v>
      </c>
      <c r="Q117" s="166">
        <v>4200</v>
      </c>
      <c r="R117" s="166">
        <v>1161</v>
      </c>
      <c r="S117" s="182">
        <f t="shared" si="9"/>
        <v>1164.8490981963928</v>
      </c>
      <c r="T117" s="339">
        <v>0.39611478336943307</v>
      </c>
    </row>
    <row r="118" spans="1:20" x14ac:dyDescent="0.2">
      <c r="A118" s="153">
        <v>2010</v>
      </c>
      <c r="B118" s="153">
        <v>9</v>
      </c>
      <c r="C118" s="250">
        <v>26095.475999999999</v>
      </c>
      <c r="D118" s="173">
        <v>6.9421927241744967</v>
      </c>
      <c r="E118" s="173">
        <v>6.9421927241744967</v>
      </c>
      <c r="F118" s="173"/>
      <c r="G118" s="173">
        <v>30.52</v>
      </c>
      <c r="H118" s="154">
        <v>136.72222432000001</v>
      </c>
      <c r="I118" s="190">
        <f t="shared" si="6"/>
        <v>136.72222432000001</v>
      </c>
      <c r="J118" s="190">
        <f t="shared" si="7"/>
        <v>54.157694268303835</v>
      </c>
      <c r="K118" s="247">
        <v>24928</v>
      </c>
      <c r="L118" s="259">
        <v>24965</v>
      </c>
      <c r="M118" s="164">
        <v>8393.0723087999995</v>
      </c>
      <c r="N118" s="190">
        <f t="shared" si="8"/>
        <v>8393.0723087999995</v>
      </c>
      <c r="O118" s="263">
        <v>1.55</v>
      </c>
      <c r="P118" s="263">
        <v>294.64999999999998</v>
      </c>
      <c r="Q118" s="166">
        <v>4200</v>
      </c>
      <c r="R118" s="166">
        <v>1161</v>
      </c>
      <c r="S118" s="182">
        <f t="shared" si="9"/>
        <v>1046.8339216944801</v>
      </c>
      <c r="T118" s="339">
        <v>0.39611478336943307</v>
      </c>
    </row>
    <row r="119" spans="1:20" x14ac:dyDescent="0.2">
      <c r="A119" s="153">
        <v>2010</v>
      </c>
      <c r="B119" s="153">
        <v>10</v>
      </c>
      <c r="C119" s="250">
        <v>22565.238000000001</v>
      </c>
      <c r="D119" s="173">
        <v>6.9421927241744967</v>
      </c>
      <c r="E119" s="173">
        <v>6.9421927241744967</v>
      </c>
      <c r="F119" s="173"/>
      <c r="G119" s="173">
        <v>29.62</v>
      </c>
      <c r="H119" s="154">
        <v>136.72222432000001</v>
      </c>
      <c r="I119" s="190">
        <f t="shared" si="6"/>
        <v>136.72222432000001</v>
      </c>
      <c r="J119" s="190">
        <f t="shared" si="7"/>
        <v>54.11690936046444</v>
      </c>
      <c r="K119" s="247">
        <v>24902</v>
      </c>
      <c r="L119" s="259">
        <v>24930</v>
      </c>
      <c r="M119" s="164">
        <v>8393.0723087999995</v>
      </c>
      <c r="N119" s="190">
        <f t="shared" si="8"/>
        <v>8393.0723087999995</v>
      </c>
      <c r="O119" s="263">
        <v>121.85000000000001</v>
      </c>
      <c r="P119" s="263">
        <v>81.650000000000006</v>
      </c>
      <c r="Q119" s="166">
        <v>4200</v>
      </c>
      <c r="R119" s="166">
        <v>1161</v>
      </c>
      <c r="S119" s="182">
        <f t="shared" si="9"/>
        <v>906.16167376114379</v>
      </c>
      <c r="T119" s="339">
        <v>0.39581647848123919</v>
      </c>
    </row>
    <row r="120" spans="1:20" x14ac:dyDescent="0.2">
      <c r="A120" s="153">
        <v>2010</v>
      </c>
      <c r="B120" s="153">
        <v>11</v>
      </c>
      <c r="C120" s="250">
        <v>28643.159</v>
      </c>
      <c r="D120" s="173">
        <v>6.9421927241744967</v>
      </c>
      <c r="E120" s="173">
        <v>6.9421927241744967</v>
      </c>
      <c r="F120" s="173"/>
      <c r="G120" s="173">
        <v>29.6</v>
      </c>
      <c r="H120" s="154">
        <v>136.72222432000001</v>
      </c>
      <c r="I120" s="190">
        <f t="shared" si="6"/>
        <v>136.72222432000001</v>
      </c>
      <c r="J120" s="190">
        <f t="shared" si="7"/>
        <v>54.11690936046444</v>
      </c>
      <c r="K120" s="247">
        <v>24928</v>
      </c>
      <c r="L120" s="259">
        <v>24940</v>
      </c>
      <c r="M120" s="164">
        <v>8393.0723087999995</v>
      </c>
      <c r="N120" s="190">
        <f t="shared" si="8"/>
        <v>8393.0723087999995</v>
      </c>
      <c r="O120" s="263">
        <v>354</v>
      </c>
      <c r="P120" s="263">
        <v>3</v>
      </c>
      <c r="Q120" s="166">
        <v>4200</v>
      </c>
      <c r="R120" s="166">
        <v>1161</v>
      </c>
      <c r="S120" s="182">
        <f t="shared" si="9"/>
        <v>1149.0355824775354</v>
      </c>
      <c r="T120" s="339">
        <v>0.39581647848123919</v>
      </c>
    </row>
    <row r="121" spans="1:20" x14ac:dyDescent="0.2">
      <c r="A121" s="153">
        <v>2010</v>
      </c>
      <c r="B121" s="153">
        <v>12</v>
      </c>
      <c r="C121" s="250">
        <v>51672.137000000002</v>
      </c>
      <c r="D121" s="173">
        <v>6.9421927241744967</v>
      </c>
      <c r="E121" s="173">
        <v>6.9421927241744967</v>
      </c>
      <c r="F121" s="173"/>
      <c r="G121" s="173">
        <v>31.17</v>
      </c>
      <c r="H121" s="154">
        <v>136.72222432000001</v>
      </c>
      <c r="I121" s="190">
        <f t="shared" si="6"/>
        <v>136.72222432000001</v>
      </c>
      <c r="J121" s="190">
        <f t="shared" si="7"/>
        <v>54.11690936046444</v>
      </c>
      <c r="K121" s="247">
        <v>24803</v>
      </c>
      <c r="L121" s="259">
        <v>25002</v>
      </c>
      <c r="M121" s="164">
        <v>8393.0723087999995</v>
      </c>
      <c r="N121" s="190">
        <f t="shared" si="8"/>
        <v>8393.0723087999995</v>
      </c>
      <c r="O121" s="263">
        <v>751.25</v>
      </c>
      <c r="P121" s="263">
        <v>0</v>
      </c>
      <c r="Q121" s="166">
        <v>4200</v>
      </c>
      <c r="R121" s="166">
        <v>1161</v>
      </c>
      <c r="S121" s="182">
        <f t="shared" si="9"/>
        <v>2083.3018989638349</v>
      </c>
      <c r="T121" s="339">
        <v>0.39581647848123919</v>
      </c>
    </row>
    <row r="122" spans="1:20" x14ac:dyDescent="0.2">
      <c r="A122" s="153">
        <v>2011</v>
      </c>
      <c r="B122" s="153">
        <v>1</v>
      </c>
      <c r="C122" s="250">
        <v>70343.077000000005</v>
      </c>
      <c r="D122" s="173">
        <v>6.867</v>
      </c>
      <c r="E122" s="279">
        <f>D122</f>
        <v>6.867</v>
      </c>
      <c r="F122" s="173"/>
      <c r="G122" s="173">
        <v>32.71</v>
      </c>
      <c r="H122" s="154">
        <v>136.34601402000001</v>
      </c>
      <c r="I122" s="190">
        <f t="shared" si="6"/>
        <v>136.34601402000001</v>
      </c>
      <c r="J122" s="190">
        <f t="shared" si="7"/>
        <v>53.995648974941282</v>
      </c>
      <c r="K122" s="247">
        <v>24960</v>
      </c>
      <c r="L122" s="259">
        <v>24982</v>
      </c>
      <c r="M122" s="164">
        <v>8707.5028902000013</v>
      </c>
      <c r="N122" s="190">
        <f t="shared" si="8"/>
        <v>8707.5028902000013</v>
      </c>
      <c r="O122" s="263">
        <v>1131.8499999999999</v>
      </c>
      <c r="P122" s="263">
        <v>0</v>
      </c>
      <c r="Q122" s="166">
        <v>4200</v>
      </c>
      <c r="R122" s="166">
        <v>1161</v>
      </c>
      <c r="S122" s="182">
        <f t="shared" si="9"/>
        <v>2818.2322516025642</v>
      </c>
      <c r="T122" s="339">
        <v>0.39601927025912831</v>
      </c>
    </row>
    <row r="123" spans="1:20" x14ac:dyDescent="0.2">
      <c r="A123" s="153">
        <v>2011</v>
      </c>
      <c r="B123" s="153">
        <v>2</v>
      </c>
      <c r="C123" s="250">
        <v>53202.078999999998</v>
      </c>
      <c r="D123" s="173">
        <v>6.867</v>
      </c>
      <c r="E123" s="279">
        <f t="shared" ref="E123:E133" si="10">D123</f>
        <v>6.867</v>
      </c>
      <c r="F123" s="173"/>
      <c r="G123" s="173">
        <v>29.81</v>
      </c>
      <c r="H123" s="154">
        <v>136.34601402000001</v>
      </c>
      <c r="I123" s="190">
        <f t="shared" si="6"/>
        <v>136.34601402000001</v>
      </c>
      <c r="J123" s="190">
        <f t="shared" si="7"/>
        <v>53.995648974941282</v>
      </c>
      <c r="K123" s="247">
        <v>24950</v>
      </c>
      <c r="L123" s="259">
        <v>24990</v>
      </c>
      <c r="M123" s="164">
        <v>8707.5028902000013</v>
      </c>
      <c r="N123" s="190">
        <f t="shared" si="8"/>
        <v>8707.5028902000013</v>
      </c>
      <c r="O123" s="263">
        <v>817.85</v>
      </c>
      <c r="P123" s="263">
        <v>0</v>
      </c>
      <c r="Q123" s="166">
        <v>4200</v>
      </c>
      <c r="R123" s="166">
        <v>1161</v>
      </c>
      <c r="S123" s="182">
        <f t="shared" si="9"/>
        <v>2132.3478557114227</v>
      </c>
      <c r="T123" s="339">
        <v>0.39601927025912831</v>
      </c>
    </row>
    <row r="124" spans="1:20" x14ac:dyDescent="0.2">
      <c r="A124" s="153">
        <v>2011</v>
      </c>
      <c r="B124" s="153">
        <v>3</v>
      </c>
      <c r="C124" s="250">
        <v>41169.398999999998</v>
      </c>
      <c r="D124" s="173">
        <v>6.867</v>
      </c>
      <c r="E124" s="279">
        <f t="shared" si="10"/>
        <v>6.867</v>
      </c>
      <c r="F124" s="173"/>
      <c r="G124" s="173">
        <v>30.33</v>
      </c>
      <c r="H124" s="154">
        <v>136.34601402000001</v>
      </c>
      <c r="I124" s="190">
        <f t="shared" si="6"/>
        <v>136.34601402000001</v>
      </c>
      <c r="J124" s="190">
        <f t="shared" si="7"/>
        <v>53.995648974941282</v>
      </c>
      <c r="K124" s="247">
        <v>24950</v>
      </c>
      <c r="L124" s="259">
        <v>24972</v>
      </c>
      <c r="M124" s="164">
        <v>8707.5028902000013</v>
      </c>
      <c r="N124" s="190">
        <f t="shared" si="8"/>
        <v>8707.5028902000013</v>
      </c>
      <c r="O124" s="263">
        <v>556.95000000000005</v>
      </c>
      <c r="P124" s="263">
        <v>0</v>
      </c>
      <c r="Q124" s="166">
        <v>4200</v>
      </c>
      <c r="R124" s="166">
        <v>1161</v>
      </c>
      <c r="S124" s="182">
        <f t="shared" si="9"/>
        <v>1650.0761122244487</v>
      </c>
      <c r="T124" s="339">
        <v>0.39601927025912831</v>
      </c>
    </row>
    <row r="125" spans="1:20" x14ac:dyDescent="0.2">
      <c r="A125" s="153">
        <v>2011</v>
      </c>
      <c r="B125" s="153">
        <v>4</v>
      </c>
      <c r="C125" s="250">
        <v>32984.226999999999</v>
      </c>
      <c r="D125" s="173">
        <v>6.8669999999999991</v>
      </c>
      <c r="E125" s="279">
        <f t="shared" si="10"/>
        <v>6.8669999999999991</v>
      </c>
      <c r="F125" s="173"/>
      <c r="G125" s="173">
        <v>29.86</v>
      </c>
      <c r="H125" s="154">
        <v>136.34601402000001</v>
      </c>
      <c r="I125" s="190">
        <f t="shared" si="6"/>
        <v>136.34601402000001</v>
      </c>
      <c r="J125" s="190">
        <f t="shared" si="7"/>
        <v>53.994145682983955</v>
      </c>
      <c r="K125" s="246">
        <v>24948</v>
      </c>
      <c r="L125" s="259">
        <v>24864</v>
      </c>
      <c r="M125" s="164">
        <v>8707.5028902000013</v>
      </c>
      <c r="N125" s="190">
        <f t="shared" si="8"/>
        <v>8707.5028902000013</v>
      </c>
      <c r="O125" s="263">
        <v>377.1</v>
      </c>
      <c r="P125" s="263">
        <v>8</v>
      </c>
      <c r="Q125" s="166">
        <v>4200</v>
      </c>
      <c r="R125" s="166">
        <v>1161</v>
      </c>
      <c r="S125" s="182">
        <f t="shared" si="9"/>
        <v>1322.119087702421</v>
      </c>
      <c r="T125" s="339">
        <v>0.39600824469326829</v>
      </c>
    </row>
    <row r="126" spans="1:20" x14ac:dyDescent="0.2">
      <c r="A126" s="153">
        <v>2011</v>
      </c>
      <c r="B126" s="153">
        <v>5</v>
      </c>
      <c r="C126" s="250">
        <v>23199.846000000001</v>
      </c>
      <c r="D126" s="173">
        <v>6.8669999999999991</v>
      </c>
      <c r="E126" s="279">
        <f t="shared" si="10"/>
        <v>6.8669999999999991</v>
      </c>
      <c r="F126" s="173"/>
      <c r="G126" s="173">
        <v>30.48</v>
      </c>
      <c r="H126" s="154">
        <v>136.34601402000001</v>
      </c>
      <c r="I126" s="190">
        <f t="shared" si="6"/>
        <v>136.34601402000001</v>
      </c>
      <c r="J126" s="190">
        <f t="shared" si="7"/>
        <v>53.994145682983955</v>
      </c>
      <c r="K126" s="246">
        <v>24946</v>
      </c>
      <c r="L126" s="259">
        <v>24900</v>
      </c>
      <c r="M126" s="164">
        <v>8707.5028902000013</v>
      </c>
      <c r="N126" s="190">
        <f t="shared" si="8"/>
        <v>8707.5028902000013</v>
      </c>
      <c r="O126" s="263">
        <v>142.39999999999998</v>
      </c>
      <c r="P126" s="263">
        <v>76.2</v>
      </c>
      <c r="Q126" s="166">
        <v>4200</v>
      </c>
      <c r="R126" s="166">
        <v>1161</v>
      </c>
      <c r="S126" s="182">
        <f t="shared" si="9"/>
        <v>930.00264571474395</v>
      </c>
      <c r="T126" s="339">
        <v>0.39600824469326829</v>
      </c>
    </row>
    <row r="127" spans="1:20" x14ac:dyDescent="0.2">
      <c r="A127" s="153">
        <v>2011</v>
      </c>
      <c r="B127" s="153">
        <v>6</v>
      </c>
      <c r="C127" s="250">
        <v>25088.501</v>
      </c>
      <c r="D127" s="173">
        <v>6.8669999999999991</v>
      </c>
      <c r="E127" s="279">
        <f t="shared" si="10"/>
        <v>6.8669999999999991</v>
      </c>
      <c r="F127" s="173"/>
      <c r="G127" s="173">
        <v>30.67</v>
      </c>
      <c r="H127" s="154">
        <v>136.34601402000001</v>
      </c>
      <c r="I127" s="190">
        <f t="shared" si="6"/>
        <v>136.34601402000001</v>
      </c>
      <c r="J127" s="190">
        <f t="shared" si="7"/>
        <v>53.994145682983955</v>
      </c>
      <c r="K127" s="246">
        <v>24944</v>
      </c>
      <c r="L127" s="259">
        <v>24842</v>
      </c>
      <c r="M127" s="164">
        <v>8707.5028902000013</v>
      </c>
      <c r="N127" s="190">
        <f t="shared" si="8"/>
        <v>8707.5028902000013</v>
      </c>
      <c r="O127" s="263">
        <v>38.700000000000003</v>
      </c>
      <c r="P127" s="263">
        <v>271</v>
      </c>
      <c r="Q127" s="166">
        <v>4200</v>
      </c>
      <c r="R127" s="166">
        <v>1161</v>
      </c>
      <c r="S127" s="182">
        <f t="shared" si="9"/>
        <v>1005.7930163566389</v>
      </c>
      <c r="T127" s="339">
        <v>0.39600824469326829</v>
      </c>
    </row>
    <row r="128" spans="1:20" x14ac:dyDescent="0.2">
      <c r="A128" s="153">
        <v>2011</v>
      </c>
      <c r="B128" s="153">
        <v>7</v>
      </c>
      <c r="C128" s="250">
        <v>25208.544000000002</v>
      </c>
      <c r="D128" s="173">
        <v>6.8669999999999991</v>
      </c>
      <c r="E128" s="279">
        <f t="shared" si="10"/>
        <v>6.8669999999999991</v>
      </c>
      <c r="F128" s="173"/>
      <c r="G128" s="173">
        <v>30.71</v>
      </c>
      <c r="H128" s="154">
        <v>136.34601402000001</v>
      </c>
      <c r="I128" s="190">
        <f t="shared" si="6"/>
        <v>136.34601402000001</v>
      </c>
      <c r="J128" s="190">
        <f t="shared" si="7"/>
        <v>53.998030466308215</v>
      </c>
      <c r="K128" s="246">
        <v>24942</v>
      </c>
      <c r="L128" s="259">
        <v>24817</v>
      </c>
      <c r="M128" s="164">
        <v>8707.5028902000013</v>
      </c>
      <c r="N128" s="190">
        <f t="shared" si="8"/>
        <v>8707.5028902000013</v>
      </c>
      <c r="O128" s="263">
        <v>0</v>
      </c>
      <c r="P128" s="263">
        <v>323</v>
      </c>
      <c r="Q128" s="166">
        <v>4200</v>
      </c>
      <c r="R128" s="166">
        <v>1161</v>
      </c>
      <c r="S128" s="182">
        <f t="shared" si="9"/>
        <v>1010.686552802502</v>
      </c>
      <c r="T128" s="339">
        <v>0.39603673678636087</v>
      </c>
    </row>
    <row r="129" spans="1:20" x14ac:dyDescent="0.2">
      <c r="A129" s="153">
        <v>2011</v>
      </c>
      <c r="B129" s="153">
        <v>8</v>
      </c>
      <c r="C129" s="250">
        <v>28238.304</v>
      </c>
      <c r="D129" s="173">
        <v>6.8669999999999991</v>
      </c>
      <c r="E129" s="279">
        <f t="shared" si="10"/>
        <v>6.8669999999999991</v>
      </c>
      <c r="F129" s="173"/>
      <c r="G129" s="173">
        <v>29.52</v>
      </c>
      <c r="H129" s="154">
        <v>136.34601402000001</v>
      </c>
      <c r="I129" s="190">
        <f t="shared" si="6"/>
        <v>136.34601402000001</v>
      </c>
      <c r="J129" s="190">
        <f t="shared" si="7"/>
        <v>53.998030466308215</v>
      </c>
      <c r="K129" s="246">
        <v>24940</v>
      </c>
      <c r="L129" s="259">
        <v>24854</v>
      </c>
      <c r="M129" s="164">
        <v>8707.5028902000013</v>
      </c>
      <c r="N129" s="190">
        <f t="shared" si="8"/>
        <v>8707.5028902000013</v>
      </c>
      <c r="O129" s="263">
        <v>0</v>
      </c>
      <c r="P129" s="263">
        <v>412.8</v>
      </c>
      <c r="Q129" s="166">
        <v>4200</v>
      </c>
      <c r="R129" s="166">
        <v>1161</v>
      </c>
      <c r="S129" s="182">
        <f t="shared" si="9"/>
        <v>1132.2495589414593</v>
      </c>
      <c r="T129" s="339">
        <v>0.39603673678636087</v>
      </c>
    </row>
    <row r="130" spans="1:20" x14ac:dyDescent="0.2">
      <c r="A130" s="153">
        <v>2011</v>
      </c>
      <c r="B130" s="153">
        <v>9</v>
      </c>
      <c r="C130" s="250">
        <v>24902.756000000001</v>
      </c>
      <c r="D130" s="173">
        <v>6.8669999999999991</v>
      </c>
      <c r="E130" s="279">
        <f t="shared" si="10"/>
        <v>6.8669999999999991</v>
      </c>
      <c r="F130" s="173"/>
      <c r="G130" s="173">
        <v>30.52</v>
      </c>
      <c r="H130" s="154">
        <v>136.34601402000001</v>
      </c>
      <c r="I130" s="190">
        <f t="shared" si="6"/>
        <v>136.34601402000001</v>
      </c>
      <c r="J130" s="190">
        <f t="shared" si="7"/>
        <v>53.998030466308215</v>
      </c>
      <c r="K130" s="246">
        <v>24938</v>
      </c>
      <c r="L130" s="259">
        <v>24771</v>
      </c>
      <c r="M130" s="164">
        <v>8707.5028902000013</v>
      </c>
      <c r="N130" s="190">
        <f t="shared" si="8"/>
        <v>8707.5028902000013</v>
      </c>
      <c r="O130" s="263">
        <v>4.5</v>
      </c>
      <c r="P130" s="263">
        <v>258.15000000000003</v>
      </c>
      <c r="Q130" s="166">
        <v>4200</v>
      </c>
      <c r="R130" s="166">
        <v>1161</v>
      </c>
      <c r="S130" s="182">
        <f t="shared" si="9"/>
        <v>998.58673510305562</v>
      </c>
      <c r="T130" s="339">
        <v>0.39603673678636087</v>
      </c>
    </row>
    <row r="131" spans="1:20" x14ac:dyDescent="0.2">
      <c r="A131" s="153">
        <v>2011</v>
      </c>
      <c r="B131" s="153">
        <v>10</v>
      </c>
      <c r="C131" s="250">
        <v>22230.395</v>
      </c>
      <c r="D131" s="173">
        <v>6.8669999999999991</v>
      </c>
      <c r="E131" s="279">
        <f t="shared" si="10"/>
        <v>6.8669999999999991</v>
      </c>
      <c r="F131" s="173"/>
      <c r="G131" s="173">
        <v>29.62</v>
      </c>
      <c r="H131" s="154">
        <v>136.34601402000001</v>
      </c>
      <c r="I131" s="190">
        <f t="shared" ref="I131:I194" si="11">H131</f>
        <v>136.34601402000001</v>
      </c>
      <c r="J131" s="190">
        <f t="shared" ref="J131:J194" si="12">H131*T131</f>
        <v>54.009985225382707</v>
      </c>
      <c r="K131" s="246">
        <v>24936</v>
      </c>
      <c r="L131" s="259">
        <v>24785</v>
      </c>
      <c r="M131" s="164">
        <v>8707.5028902000013</v>
      </c>
      <c r="N131" s="190">
        <f t="shared" ref="N131:N194" si="13">M131</f>
        <v>8707.5028902000013</v>
      </c>
      <c r="O131" s="263">
        <v>107.15</v>
      </c>
      <c r="P131" s="263">
        <v>57.35</v>
      </c>
      <c r="Q131" s="166">
        <v>4200</v>
      </c>
      <c r="R131" s="166">
        <v>1161</v>
      </c>
      <c r="S131" s="182">
        <f t="shared" ref="S131:S194" si="14">C131/K131*1000</f>
        <v>891.498034969522</v>
      </c>
      <c r="T131" s="339">
        <v>0.39612441635044948</v>
      </c>
    </row>
    <row r="132" spans="1:20" x14ac:dyDescent="0.2">
      <c r="A132" s="153">
        <v>2011</v>
      </c>
      <c r="B132" s="153">
        <v>11</v>
      </c>
      <c r="C132" s="250">
        <v>29108.956999999999</v>
      </c>
      <c r="D132" s="173">
        <v>6.8669999999999991</v>
      </c>
      <c r="E132" s="279">
        <f t="shared" si="10"/>
        <v>6.8669999999999991</v>
      </c>
      <c r="F132" s="173"/>
      <c r="G132" s="173">
        <v>29.95</v>
      </c>
      <c r="H132" s="154">
        <v>136.34601402000001</v>
      </c>
      <c r="I132" s="190">
        <f t="shared" si="11"/>
        <v>136.34601402000001</v>
      </c>
      <c r="J132" s="190">
        <f t="shared" si="12"/>
        <v>54.009985225382707</v>
      </c>
      <c r="K132" s="246">
        <v>24934</v>
      </c>
      <c r="L132" s="259">
        <v>24770</v>
      </c>
      <c r="M132" s="164">
        <v>8707.5028902000013</v>
      </c>
      <c r="N132" s="190">
        <f t="shared" si="13"/>
        <v>8707.5028902000013</v>
      </c>
      <c r="O132" s="263">
        <v>387.7</v>
      </c>
      <c r="P132" s="263">
        <v>0.9</v>
      </c>
      <c r="Q132" s="166">
        <v>4200</v>
      </c>
      <c r="R132" s="166">
        <v>1161</v>
      </c>
      <c r="S132" s="182">
        <f t="shared" si="14"/>
        <v>1167.4403224512712</v>
      </c>
      <c r="T132" s="339">
        <v>0.39612441635044948</v>
      </c>
    </row>
    <row r="133" spans="1:20" x14ac:dyDescent="0.2">
      <c r="A133" s="153">
        <v>2011</v>
      </c>
      <c r="B133" s="153">
        <v>12</v>
      </c>
      <c r="C133" s="250">
        <v>39803.669000000002</v>
      </c>
      <c r="D133" s="173">
        <v>6.8669999999999991</v>
      </c>
      <c r="E133" s="279">
        <f t="shared" si="10"/>
        <v>6.8669999999999991</v>
      </c>
      <c r="F133" s="173"/>
      <c r="G133" s="173">
        <v>31.24</v>
      </c>
      <c r="H133" s="154">
        <v>136.34601402000001</v>
      </c>
      <c r="I133" s="190">
        <f t="shared" si="11"/>
        <v>136.34601402000001</v>
      </c>
      <c r="J133" s="190">
        <f t="shared" si="12"/>
        <v>54.009985225382707</v>
      </c>
      <c r="K133" s="246">
        <v>24932</v>
      </c>
      <c r="L133" s="259">
        <v>24727</v>
      </c>
      <c r="M133" s="164">
        <v>8707.5028902000013</v>
      </c>
      <c r="N133" s="190">
        <f t="shared" si="13"/>
        <v>8707.5028902000013</v>
      </c>
      <c r="O133" s="263">
        <v>559.85</v>
      </c>
      <c r="P133" s="263">
        <v>0</v>
      </c>
      <c r="Q133" s="166">
        <v>4200</v>
      </c>
      <c r="R133" s="166">
        <v>1161</v>
      </c>
      <c r="S133" s="182">
        <f t="shared" si="14"/>
        <v>1596.4892106529762</v>
      </c>
      <c r="T133" s="339">
        <v>0.39612441635044948</v>
      </c>
    </row>
    <row r="134" spans="1:20" x14ac:dyDescent="0.2">
      <c r="A134" s="153">
        <v>2012</v>
      </c>
      <c r="B134" s="153">
        <v>1</v>
      </c>
      <c r="C134" s="250">
        <v>53504.392</v>
      </c>
      <c r="D134" s="173">
        <v>7.4624290124847041</v>
      </c>
      <c r="E134" s="279">
        <f>HLOOKUP($A134,'OD Rates'!$B$1:$K$13,13,0)*100</f>
        <v>8.8233866865828006</v>
      </c>
      <c r="F134" s="173"/>
      <c r="G134" s="173">
        <v>32.549999999999997</v>
      </c>
      <c r="H134" s="154">
        <v>136.38378685999999</v>
      </c>
      <c r="I134" s="190">
        <f t="shared" si="11"/>
        <v>136.38378685999999</v>
      </c>
      <c r="J134" s="190">
        <f t="shared" si="12"/>
        <v>54.051983296156834</v>
      </c>
      <c r="K134" s="246">
        <v>24930</v>
      </c>
      <c r="L134" s="259">
        <v>24773</v>
      </c>
      <c r="M134" s="164">
        <v>9049.0733648000005</v>
      </c>
      <c r="N134" s="190">
        <f t="shared" si="13"/>
        <v>9049.0733648000005</v>
      </c>
      <c r="O134" s="263">
        <v>807.09999999999991</v>
      </c>
      <c r="P134" s="263">
        <v>0</v>
      </c>
      <c r="Q134" s="166">
        <v>4200</v>
      </c>
      <c r="R134" s="166">
        <v>1161</v>
      </c>
      <c r="S134" s="182">
        <f t="shared" si="14"/>
        <v>2146.1849979943845</v>
      </c>
      <c r="T134" s="339">
        <v>0.39632264611952744</v>
      </c>
    </row>
    <row r="135" spans="1:20" x14ac:dyDescent="0.2">
      <c r="A135" s="153">
        <v>2012</v>
      </c>
      <c r="B135" s="153">
        <v>2</v>
      </c>
      <c r="C135" s="250">
        <v>45848.913999999997</v>
      </c>
      <c r="D135" s="173">
        <v>7.4624290124847041</v>
      </c>
      <c r="E135" s="279">
        <f>HLOOKUP($A135,'OD Rates'!$B$1:$K$13,13,0)*100</f>
        <v>8.8233866865828006</v>
      </c>
      <c r="F135" s="173"/>
      <c r="G135" s="173">
        <v>29.75</v>
      </c>
      <c r="H135" s="154">
        <v>136.38378685999999</v>
      </c>
      <c r="I135" s="190">
        <f t="shared" si="11"/>
        <v>136.38378685999999</v>
      </c>
      <c r="J135" s="190">
        <f t="shared" si="12"/>
        <v>54.051983296156834</v>
      </c>
      <c r="K135" s="246">
        <v>24928</v>
      </c>
      <c r="L135" s="259">
        <v>24759</v>
      </c>
      <c r="M135" s="164">
        <v>9049.0733648000005</v>
      </c>
      <c r="N135" s="190">
        <f t="shared" si="13"/>
        <v>9049.0733648000005</v>
      </c>
      <c r="O135" s="263">
        <v>689.15</v>
      </c>
      <c r="P135" s="263">
        <v>0</v>
      </c>
      <c r="Q135" s="166">
        <v>4200</v>
      </c>
      <c r="R135" s="166">
        <v>1161</v>
      </c>
      <c r="S135" s="182">
        <f t="shared" si="14"/>
        <v>1839.253610397946</v>
      </c>
      <c r="T135" s="339">
        <v>0.39632264611952744</v>
      </c>
    </row>
    <row r="136" spans="1:20" x14ac:dyDescent="0.2">
      <c r="A136" s="153">
        <v>2012</v>
      </c>
      <c r="B136" s="153">
        <v>3</v>
      </c>
      <c r="C136" s="250">
        <v>38058.786</v>
      </c>
      <c r="D136" s="173">
        <v>7.4624290124847041</v>
      </c>
      <c r="E136" s="279">
        <f>HLOOKUP($A136,'OD Rates'!$B$1:$K$13,13,0)*100</f>
        <v>8.8233866865828006</v>
      </c>
      <c r="F136" s="173"/>
      <c r="G136" s="173">
        <v>30.38</v>
      </c>
      <c r="H136" s="154">
        <v>136.38378685999999</v>
      </c>
      <c r="I136" s="190">
        <f t="shared" si="11"/>
        <v>136.38378685999999</v>
      </c>
      <c r="J136" s="190">
        <f t="shared" si="12"/>
        <v>54.051983296156834</v>
      </c>
      <c r="K136" s="246">
        <v>24926</v>
      </c>
      <c r="L136" s="259">
        <v>24707</v>
      </c>
      <c r="M136" s="164">
        <v>9049.0733648000005</v>
      </c>
      <c r="N136" s="190">
        <f t="shared" si="13"/>
        <v>9049.0733648000005</v>
      </c>
      <c r="O136" s="340">
        <v>494</v>
      </c>
      <c r="P136" s="340">
        <v>1.5</v>
      </c>
      <c r="Q136" s="166">
        <v>4200</v>
      </c>
      <c r="R136" s="166">
        <v>1161</v>
      </c>
      <c r="S136" s="182">
        <f t="shared" si="14"/>
        <v>1526.8709780951617</v>
      </c>
      <c r="T136" s="339">
        <v>0.39632264611952744</v>
      </c>
    </row>
    <row r="137" spans="1:20" x14ac:dyDescent="0.2">
      <c r="A137" s="153">
        <v>2012</v>
      </c>
      <c r="B137" s="153">
        <v>4</v>
      </c>
      <c r="C137" s="250">
        <v>23648.072</v>
      </c>
      <c r="D137" s="173">
        <v>7.4624290124847041</v>
      </c>
      <c r="E137" s="279">
        <f>HLOOKUP($A137,'OD Rates'!$B$1:$K$13,13,0)*100</f>
        <v>8.8233866865828006</v>
      </c>
      <c r="F137" s="173"/>
      <c r="G137" s="173">
        <v>30.67</v>
      </c>
      <c r="H137" s="154">
        <v>136.38378685999999</v>
      </c>
      <c r="I137" s="190">
        <f t="shared" si="11"/>
        <v>136.38378685999999</v>
      </c>
      <c r="J137" s="190">
        <f t="shared" si="12"/>
        <v>54.073605074429324</v>
      </c>
      <c r="K137" s="246">
        <v>24924</v>
      </c>
      <c r="L137" s="259">
        <v>24634</v>
      </c>
      <c r="M137" s="164">
        <v>9049.0733648000005</v>
      </c>
      <c r="N137" s="190">
        <f t="shared" si="13"/>
        <v>9049.0733648000005</v>
      </c>
      <c r="O137" s="164">
        <v>188</v>
      </c>
      <c r="P137" s="164">
        <v>7</v>
      </c>
      <c r="Q137" s="166">
        <v>4200</v>
      </c>
      <c r="R137" s="166">
        <v>1161</v>
      </c>
      <c r="S137" s="182">
        <f t="shared" si="14"/>
        <v>948.80725405231908</v>
      </c>
      <c r="T137" s="339">
        <v>0.39648118239990426</v>
      </c>
    </row>
    <row r="138" spans="1:20" x14ac:dyDescent="0.2">
      <c r="A138" s="153">
        <v>2012</v>
      </c>
      <c r="B138" s="153">
        <v>5</v>
      </c>
      <c r="C138" s="168"/>
      <c r="D138" s="173">
        <v>7.4624290124847041</v>
      </c>
      <c r="E138" s="279">
        <f>HLOOKUP($A138,'OD Rates'!$B$1:$K$13,13,0)*100</f>
        <v>8.8233866865828006</v>
      </c>
      <c r="F138" s="173"/>
      <c r="G138" s="173">
        <v>29.71</v>
      </c>
      <c r="H138" s="154">
        <v>136.38378685999999</v>
      </c>
      <c r="I138" s="190">
        <f t="shared" si="11"/>
        <v>136.38378685999999</v>
      </c>
      <c r="J138" s="190">
        <f t="shared" si="12"/>
        <v>54.073605074429324</v>
      </c>
      <c r="K138" s="246">
        <v>24922</v>
      </c>
      <c r="L138" s="248">
        <f>L137-1</f>
        <v>24633</v>
      </c>
      <c r="M138" s="164">
        <v>9049.0733648000005</v>
      </c>
      <c r="N138" s="190">
        <f t="shared" si="13"/>
        <v>9049.0733648000005</v>
      </c>
      <c r="O138" s="164">
        <v>70</v>
      </c>
      <c r="P138" s="164">
        <v>34.6</v>
      </c>
      <c r="Q138" s="166">
        <v>4200</v>
      </c>
      <c r="R138" s="166">
        <v>1161</v>
      </c>
      <c r="S138" s="182">
        <f t="shared" si="14"/>
        <v>0</v>
      </c>
      <c r="T138" s="339">
        <v>0.39648118239990426</v>
      </c>
    </row>
    <row r="139" spans="1:20" x14ac:dyDescent="0.2">
      <c r="A139" s="153">
        <v>2012</v>
      </c>
      <c r="B139" s="153">
        <v>6</v>
      </c>
      <c r="C139" s="168"/>
      <c r="D139" s="173">
        <v>7.4624290124847041</v>
      </c>
      <c r="E139" s="279">
        <f>HLOOKUP($A139,'OD Rates'!$B$1:$K$13,13,0)*100</f>
        <v>8.8233866865828006</v>
      </c>
      <c r="F139" s="173"/>
      <c r="G139" s="173">
        <v>30.62</v>
      </c>
      <c r="H139" s="154">
        <v>136.38378685999999</v>
      </c>
      <c r="I139" s="190">
        <f t="shared" si="11"/>
        <v>136.38378685999999</v>
      </c>
      <c r="J139" s="190">
        <f t="shared" si="12"/>
        <v>54.073605074429324</v>
      </c>
      <c r="K139" s="246">
        <v>24920</v>
      </c>
      <c r="L139" s="248">
        <f t="shared" ref="L139:L202" si="15">L138-1</f>
        <v>24632</v>
      </c>
      <c r="M139" s="164">
        <v>9049.0733648000005</v>
      </c>
      <c r="N139" s="190">
        <f t="shared" si="13"/>
        <v>9049.0733648000005</v>
      </c>
      <c r="O139" s="164">
        <v>1.25</v>
      </c>
      <c r="P139" s="164">
        <v>144.5</v>
      </c>
      <c r="Q139" s="166">
        <v>4200</v>
      </c>
      <c r="R139" s="166">
        <v>1161</v>
      </c>
      <c r="S139" s="182">
        <f t="shared" si="14"/>
        <v>0</v>
      </c>
      <c r="T139" s="339">
        <v>0.39648118239990426</v>
      </c>
    </row>
    <row r="140" spans="1:20" x14ac:dyDescent="0.2">
      <c r="A140" s="153">
        <v>2012</v>
      </c>
      <c r="B140" s="153">
        <v>7</v>
      </c>
      <c r="C140" s="168"/>
      <c r="D140" s="173">
        <v>7.4624290124847041</v>
      </c>
      <c r="E140" s="279">
        <f>HLOOKUP($A140,'OD Rates'!$B$1:$K$13,13,0)*100</f>
        <v>8.8233866865828006</v>
      </c>
      <c r="F140" s="173"/>
      <c r="G140" s="173">
        <v>30.76</v>
      </c>
      <c r="H140" s="154">
        <v>136.38378685999999</v>
      </c>
      <c r="I140" s="190">
        <f t="shared" si="11"/>
        <v>136.38378685999999</v>
      </c>
      <c r="J140" s="190">
        <f t="shared" si="12"/>
        <v>54.083928967681345</v>
      </c>
      <c r="K140" s="246">
        <v>24918</v>
      </c>
      <c r="L140" s="248">
        <f t="shared" si="15"/>
        <v>24631</v>
      </c>
      <c r="M140" s="164">
        <v>9049.0733648000005</v>
      </c>
      <c r="N140" s="190">
        <f t="shared" si="13"/>
        <v>9049.0733648000005</v>
      </c>
      <c r="O140" s="164">
        <v>0</v>
      </c>
      <c r="P140" s="164">
        <v>287</v>
      </c>
      <c r="Q140" s="166">
        <v>4200</v>
      </c>
      <c r="R140" s="166">
        <v>1161</v>
      </c>
      <c r="S140" s="182">
        <f t="shared" si="14"/>
        <v>0</v>
      </c>
      <c r="T140" s="339">
        <v>0.3965568797645963</v>
      </c>
    </row>
    <row r="141" spans="1:20" x14ac:dyDescent="0.2">
      <c r="A141" s="153">
        <v>2012</v>
      </c>
      <c r="B141" s="153">
        <v>8</v>
      </c>
      <c r="C141" s="168"/>
      <c r="D141" s="173">
        <v>7.4624290124847041</v>
      </c>
      <c r="E141" s="279">
        <f>HLOOKUP($A141,'OD Rates'!$B$1:$K$13,13,0)*100</f>
        <v>8.8233866865828006</v>
      </c>
      <c r="F141" s="173"/>
      <c r="G141" s="173">
        <v>29.48</v>
      </c>
      <c r="H141" s="154">
        <v>136.38378685999999</v>
      </c>
      <c r="I141" s="190">
        <f t="shared" si="11"/>
        <v>136.38378685999999</v>
      </c>
      <c r="J141" s="190">
        <f t="shared" si="12"/>
        <v>54.083928967681345</v>
      </c>
      <c r="K141" s="246">
        <v>24916</v>
      </c>
      <c r="L141" s="248">
        <f t="shared" si="15"/>
        <v>24630</v>
      </c>
      <c r="M141" s="164">
        <v>9049.0733648000005</v>
      </c>
      <c r="N141" s="190">
        <f t="shared" si="13"/>
        <v>9049.0733648000005</v>
      </c>
      <c r="O141" s="164">
        <v>0</v>
      </c>
      <c r="P141" s="164">
        <v>302.10000000000002</v>
      </c>
      <c r="Q141" s="166">
        <v>4200</v>
      </c>
      <c r="R141" s="166">
        <v>1161</v>
      </c>
      <c r="S141" s="182">
        <f t="shared" si="14"/>
        <v>0</v>
      </c>
      <c r="T141" s="339">
        <v>0.3965568797645963</v>
      </c>
    </row>
    <row r="142" spans="1:20" x14ac:dyDescent="0.2">
      <c r="A142" s="153">
        <v>2012</v>
      </c>
      <c r="B142" s="153">
        <v>9</v>
      </c>
      <c r="C142" s="168"/>
      <c r="D142" s="173">
        <v>7.4624290124847041</v>
      </c>
      <c r="E142" s="279">
        <f>HLOOKUP($A142,'OD Rates'!$B$1:$K$13,13,0)*100</f>
        <v>8.8233866865828006</v>
      </c>
      <c r="F142" s="173"/>
      <c r="G142" s="173">
        <v>30.57</v>
      </c>
      <c r="H142" s="154">
        <v>136.38378685999999</v>
      </c>
      <c r="I142" s="190">
        <f t="shared" si="11"/>
        <v>136.38378685999999</v>
      </c>
      <c r="J142" s="190">
        <f t="shared" si="12"/>
        <v>54.083928967681345</v>
      </c>
      <c r="K142" s="246">
        <v>24914</v>
      </c>
      <c r="L142" s="248">
        <f t="shared" si="15"/>
        <v>24629</v>
      </c>
      <c r="M142" s="164">
        <v>9049.0733648000005</v>
      </c>
      <c r="N142" s="190">
        <f t="shared" si="13"/>
        <v>9049.0733648000005</v>
      </c>
      <c r="O142" s="164">
        <v>43.5</v>
      </c>
      <c r="P142" s="164">
        <v>227.65</v>
      </c>
      <c r="Q142" s="166">
        <v>4200</v>
      </c>
      <c r="R142" s="166">
        <v>1161</v>
      </c>
      <c r="S142" s="182">
        <f t="shared" si="14"/>
        <v>0</v>
      </c>
      <c r="T142" s="339">
        <v>0.3965568797645963</v>
      </c>
    </row>
    <row r="143" spans="1:20" x14ac:dyDescent="0.2">
      <c r="A143" s="153">
        <v>2012</v>
      </c>
      <c r="B143" s="153">
        <v>10</v>
      </c>
      <c r="C143" s="168"/>
      <c r="D143" s="173">
        <v>7.4624290124847041</v>
      </c>
      <c r="E143" s="279">
        <f>HLOOKUP($A143,'OD Rates'!$B$1:$K$13,13,0)*100</f>
        <v>8.8233866865828006</v>
      </c>
      <c r="F143" s="173"/>
      <c r="G143" s="173">
        <v>29.67</v>
      </c>
      <c r="H143" s="154">
        <v>136.38378685999999</v>
      </c>
      <c r="I143" s="190">
        <f t="shared" si="11"/>
        <v>136.38378685999999</v>
      </c>
      <c r="J143" s="190">
        <f t="shared" si="12"/>
        <v>54.0947010267476</v>
      </c>
      <c r="K143" s="246">
        <v>24912</v>
      </c>
      <c r="L143" s="248">
        <f t="shared" si="15"/>
        <v>24628</v>
      </c>
      <c r="M143" s="164">
        <v>9049.0733648000005</v>
      </c>
      <c r="N143" s="190">
        <f t="shared" si="13"/>
        <v>9049.0733648000005</v>
      </c>
      <c r="O143" s="164">
        <v>259.5</v>
      </c>
      <c r="P143" s="164">
        <v>58.5</v>
      </c>
      <c r="Q143" s="166">
        <v>4200</v>
      </c>
      <c r="R143" s="166">
        <v>1161</v>
      </c>
      <c r="S143" s="182">
        <f t="shared" si="14"/>
        <v>0</v>
      </c>
      <c r="T143" s="339">
        <v>0.39663586319301009</v>
      </c>
    </row>
    <row r="144" spans="1:20" x14ac:dyDescent="0.2">
      <c r="A144" s="153">
        <v>2012</v>
      </c>
      <c r="B144" s="153">
        <v>11</v>
      </c>
      <c r="C144" s="168"/>
      <c r="D144" s="173">
        <v>7.4624290124847041</v>
      </c>
      <c r="E144" s="279">
        <f>HLOOKUP($A144,'OD Rates'!$B$1:$K$13,13,0)*100</f>
        <v>8.8233866865828006</v>
      </c>
      <c r="F144" s="173"/>
      <c r="G144" s="173">
        <v>29.95</v>
      </c>
      <c r="H144" s="154">
        <v>136.38378685999999</v>
      </c>
      <c r="I144" s="190">
        <f t="shared" si="11"/>
        <v>136.38378685999999</v>
      </c>
      <c r="J144" s="190">
        <f t="shared" si="12"/>
        <v>54.0947010267476</v>
      </c>
      <c r="K144" s="246">
        <v>24910</v>
      </c>
      <c r="L144" s="248">
        <f t="shared" si="15"/>
        <v>24627</v>
      </c>
      <c r="M144" s="164">
        <v>9049.0733648000005</v>
      </c>
      <c r="N144" s="190">
        <f t="shared" si="13"/>
        <v>9049.0733648000005</v>
      </c>
      <c r="O144" s="164">
        <v>529.75</v>
      </c>
      <c r="P144" s="164">
        <v>4.45</v>
      </c>
      <c r="Q144" s="166">
        <v>4200</v>
      </c>
      <c r="R144" s="166">
        <v>1161</v>
      </c>
      <c r="S144" s="182">
        <f t="shared" si="14"/>
        <v>0</v>
      </c>
      <c r="T144" s="339">
        <v>0.39663586319301009</v>
      </c>
    </row>
    <row r="145" spans="1:20" x14ac:dyDescent="0.2">
      <c r="A145" s="153">
        <v>2012</v>
      </c>
      <c r="B145" s="153">
        <v>12</v>
      </c>
      <c r="C145" s="168"/>
      <c r="D145" s="173">
        <v>7.4624290124847041</v>
      </c>
      <c r="E145" s="279">
        <f>HLOOKUP($A145,'OD Rates'!$B$1:$K$13,13,0)*100</f>
        <v>8.8233866865828006</v>
      </c>
      <c r="F145" s="173"/>
      <c r="G145" s="173">
        <v>31.1</v>
      </c>
      <c r="H145" s="154">
        <v>136.38378685999999</v>
      </c>
      <c r="I145" s="190">
        <f t="shared" si="11"/>
        <v>136.38378685999999</v>
      </c>
      <c r="J145" s="190">
        <f t="shared" si="12"/>
        <v>54.0947010267476</v>
      </c>
      <c r="K145" s="246">
        <v>24908</v>
      </c>
      <c r="L145" s="248">
        <f t="shared" si="15"/>
        <v>24626</v>
      </c>
      <c r="M145" s="164">
        <v>9049.0733648000005</v>
      </c>
      <c r="N145" s="190">
        <f t="shared" si="13"/>
        <v>9049.0733648000005</v>
      </c>
      <c r="O145" s="164">
        <v>719</v>
      </c>
      <c r="P145" s="164">
        <v>0.2</v>
      </c>
      <c r="Q145" s="166">
        <v>4200</v>
      </c>
      <c r="R145" s="166">
        <v>1161</v>
      </c>
      <c r="S145" s="182">
        <f t="shared" si="14"/>
        <v>0</v>
      </c>
      <c r="T145" s="339">
        <v>0.39663586319301009</v>
      </c>
    </row>
    <row r="146" spans="1:20" x14ac:dyDescent="0.2">
      <c r="A146" s="153">
        <v>2013</v>
      </c>
      <c r="B146" s="153">
        <v>1</v>
      </c>
      <c r="C146" s="168"/>
      <c r="D146" s="173">
        <v>7.4591080954466298</v>
      </c>
      <c r="E146" s="279">
        <f>HLOOKUP($A146,'OD Rates'!$B$1:$K$13,13,0)*100</f>
        <v>8.8478702501483504</v>
      </c>
      <c r="F146" s="173"/>
      <c r="G146" s="173">
        <v>32.71</v>
      </c>
      <c r="H146" s="154">
        <v>136.5423097</v>
      </c>
      <c r="I146" s="190">
        <f t="shared" si="11"/>
        <v>136.5423097</v>
      </c>
      <c r="J146" s="190">
        <f t="shared" si="12"/>
        <v>54.162774020754739</v>
      </c>
      <c r="K146" s="246">
        <v>24906</v>
      </c>
      <c r="L146" s="248">
        <f t="shared" si="15"/>
        <v>24625</v>
      </c>
      <c r="M146" s="164">
        <v>9383.5757761999994</v>
      </c>
      <c r="N146" s="190">
        <f t="shared" si="13"/>
        <v>9383.5757761999994</v>
      </c>
      <c r="O146" s="164">
        <v>903.25</v>
      </c>
      <c r="P146" s="164">
        <v>0</v>
      </c>
      <c r="Q146" s="166">
        <v>4200</v>
      </c>
      <c r="R146" s="166">
        <v>1161</v>
      </c>
      <c r="S146" s="182">
        <f t="shared" si="14"/>
        <v>0</v>
      </c>
      <c r="T146" s="339">
        <v>0.39667392575793475</v>
      </c>
    </row>
    <row r="147" spans="1:20" x14ac:dyDescent="0.2">
      <c r="A147" s="153">
        <v>2013</v>
      </c>
      <c r="B147" s="153">
        <v>2</v>
      </c>
      <c r="C147" s="168"/>
      <c r="D147" s="173">
        <v>7.4591080954466298</v>
      </c>
      <c r="E147" s="279">
        <f>HLOOKUP($A147,'OD Rates'!$B$1:$K$13,13,0)*100</f>
        <v>8.8478702501483504</v>
      </c>
      <c r="F147" s="173"/>
      <c r="G147" s="173">
        <v>29.9</v>
      </c>
      <c r="H147" s="154">
        <v>136.5423097</v>
      </c>
      <c r="I147" s="190">
        <f t="shared" si="11"/>
        <v>136.5423097</v>
      </c>
      <c r="J147" s="190">
        <f t="shared" si="12"/>
        <v>54.162774020754739</v>
      </c>
      <c r="K147" s="246">
        <v>24904</v>
      </c>
      <c r="L147" s="248">
        <f t="shared" si="15"/>
        <v>24624</v>
      </c>
      <c r="M147" s="164">
        <v>9383.5757761999994</v>
      </c>
      <c r="N147" s="190">
        <f t="shared" si="13"/>
        <v>9383.5757761999994</v>
      </c>
      <c r="O147" s="164">
        <v>652.25</v>
      </c>
      <c r="P147" s="164">
        <v>0</v>
      </c>
      <c r="Q147" s="166">
        <v>4200</v>
      </c>
      <c r="R147" s="166">
        <v>1161</v>
      </c>
      <c r="S147" s="182">
        <f t="shared" si="14"/>
        <v>0</v>
      </c>
      <c r="T147" s="339">
        <v>0.39667392575793475</v>
      </c>
    </row>
    <row r="148" spans="1:20" x14ac:dyDescent="0.2">
      <c r="A148" s="153">
        <v>2013</v>
      </c>
      <c r="B148" s="153">
        <v>3</v>
      </c>
      <c r="C148" s="168"/>
      <c r="D148" s="173">
        <v>7.4591080954466298</v>
      </c>
      <c r="E148" s="279">
        <f>HLOOKUP($A148,'OD Rates'!$B$1:$K$13,13,0)*100</f>
        <v>8.8478702501483504</v>
      </c>
      <c r="F148" s="173"/>
      <c r="G148" s="173">
        <v>30.52</v>
      </c>
      <c r="H148" s="154">
        <v>136.5423097</v>
      </c>
      <c r="I148" s="190">
        <f t="shared" si="11"/>
        <v>136.5423097</v>
      </c>
      <c r="J148" s="190">
        <f t="shared" si="12"/>
        <v>54.162774020754739</v>
      </c>
      <c r="K148" s="246">
        <v>24902</v>
      </c>
      <c r="L148" s="248">
        <f t="shared" si="15"/>
        <v>24623</v>
      </c>
      <c r="M148" s="164">
        <v>9383.5757761999994</v>
      </c>
      <c r="N148" s="190">
        <f t="shared" si="13"/>
        <v>9383.5757761999994</v>
      </c>
      <c r="O148" s="164">
        <v>489.25</v>
      </c>
      <c r="P148" s="164">
        <v>0</v>
      </c>
      <c r="Q148" s="166">
        <v>4200</v>
      </c>
      <c r="R148" s="166">
        <v>1161</v>
      </c>
      <c r="S148" s="182">
        <f t="shared" si="14"/>
        <v>0</v>
      </c>
      <c r="T148" s="339">
        <v>0.39667392575793475</v>
      </c>
    </row>
    <row r="149" spans="1:20" x14ac:dyDescent="0.2">
      <c r="A149" s="153">
        <v>2013</v>
      </c>
      <c r="B149" s="153">
        <v>4</v>
      </c>
      <c r="C149" s="168"/>
      <c r="D149" s="173">
        <v>7.4591080954466298</v>
      </c>
      <c r="E149" s="279">
        <f>HLOOKUP($A149,'OD Rates'!$B$1:$K$13,13,0)*100</f>
        <v>8.8478702501483504</v>
      </c>
      <c r="F149" s="173"/>
      <c r="G149" s="173">
        <v>30.57</v>
      </c>
      <c r="H149" s="154">
        <v>136.5423097</v>
      </c>
      <c r="I149" s="190">
        <f t="shared" si="11"/>
        <v>136.5423097</v>
      </c>
      <c r="J149" s="190">
        <f t="shared" si="12"/>
        <v>54.17099972517827</v>
      </c>
      <c r="K149" s="246">
        <v>24900</v>
      </c>
      <c r="L149" s="248">
        <f t="shared" si="15"/>
        <v>24622</v>
      </c>
      <c r="M149" s="164">
        <v>9383.5757761999994</v>
      </c>
      <c r="N149" s="190">
        <f t="shared" si="13"/>
        <v>9383.5757761999994</v>
      </c>
      <c r="O149" s="164">
        <v>184.25</v>
      </c>
      <c r="P149" s="164">
        <v>27.25</v>
      </c>
      <c r="Q149" s="166">
        <v>4200</v>
      </c>
      <c r="R149" s="166">
        <v>1161</v>
      </c>
      <c r="S149" s="182">
        <f t="shared" si="14"/>
        <v>0</v>
      </c>
      <c r="T149" s="339">
        <v>0.39673416865584388</v>
      </c>
    </row>
    <row r="150" spans="1:20" x14ac:dyDescent="0.2">
      <c r="A150" s="153">
        <v>2013</v>
      </c>
      <c r="B150" s="153">
        <v>5</v>
      </c>
      <c r="C150" s="168"/>
      <c r="D150" s="173">
        <v>7.4591080954466298</v>
      </c>
      <c r="E150" s="279">
        <f>HLOOKUP($A150,'OD Rates'!$B$1:$K$13,13,0)*100</f>
        <v>8.8478702501483504</v>
      </c>
      <c r="F150" s="173"/>
      <c r="G150" s="173">
        <v>29.57</v>
      </c>
      <c r="H150" s="154">
        <v>136.5423097</v>
      </c>
      <c r="I150" s="190">
        <f t="shared" si="11"/>
        <v>136.5423097</v>
      </c>
      <c r="J150" s="190">
        <f t="shared" si="12"/>
        <v>54.17099972517827</v>
      </c>
      <c r="K150" s="246">
        <v>24898</v>
      </c>
      <c r="L150" s="248">
        <f t="shared" si="15"/>
        <v>24621</v>
      </c>
      <c r="M150" s="164">
        <v>9383.5757761999994</v>
      </c>
      <c r="N150" s="190">
        <f t="shared" si="13"/>
        <v>9383.5757761999994</v>
      </c>
      <c r="O150" s="164">
        <v>70</v>
      </c>
      <c r="P150" s="164">
        <v>138.5</v>
      </c>
      <c r="Q150" s="166">
        <v>4200</v>
      </c>
      <c r="R150" s="166">
        <v>1161</v>
      </c>
      <c r="S150" s="182">
        <f t="shared" si="14"/>
        <v>0</v>
      </c>
      <c r="T150" s="339">
        <v>0.39673416865584388</v>
      </c>
    </row>
    <row r="151" spans="1:20" x14ac:dyDescent="0.2">
      <c r="A151" s="153">
        <v>2013</v>
      </c>
      <c r="B151" s="153">
        <v>6</v>
      </c>
      <c r="C151" s="168"/>
      <c r="D151" s="173">
        <v>7.4591080954466298</v>
      </c>
      <c r="E151" s="279">
        <f>HLOOKUP($A151,'OD Rates'!$B$1:$K$13,13,0)*100</f>
        <v>8.8478702501483504</v>
      </c>
      <c r="F151" s="173"/>
      <c r="G151" s="173">
        <v>30.67</v>
      </c>
      <c r="H151" s="154">
        <v>136.5423097</v>
      </c>
      <c r="I151" s="190">
        <f t="shared" si="11"/>
        <v>136.5423097</v>
      </c>
      <c r="J151" s="190">
        <f t="shared" si="12"/>
        <v>54.17099972517827</v>
      </c>
      <c r="K151" s="246">
        <v>24896</v>
      </c>
      <c r="L151" s="248">
        <f t="shared" si="15"/>
        <v>24620</v>
      </c>
      <c r="M151" s="164">
        <v>9383.5757761999994</v>
      </c>
      <c r="N151" s="190">
        <f t="shared" si="13"/>
        <v>9383.5757761999994</v>
      </c>
      <c r="O151" s="164">
        <v>1.25</v>
      </c>
      <c r="P151" s="164">
        <v>239.5</v>
      </c>
      <c r="Q151" s="166">
        <v>4200</v>
      </c>
      <c r="R151" s="166">
        <v>1161</v>
      </c>
      <c r="S151" s="182">
        <f t="shared" si="14"/>
        <v>0</v>
      </c>
      <c r="T151" s="339">
        <v>0.39673416865584388</v>
      </c>
    </row>
    <row r="152" spans="1:20" x14ac:dyDescent="0.2">
      <c r="A152" s="153">
        <v>2013</v>
      </c>
      <c r="B152" s="153">
        <v>7</v>
      </c>
      <c r="C152" s="168"/>
      <c r="D152" s="173">
        <v>7.4591080954466298</v>
      </c>
      <c r="E152" s="279">
        <f>HLOOKUP($A152,'OD Rates'!$B$1:$K$13,13,0)*100</f>
        <v>8.8478702501483504</v>
      </c>
      <c r="F152" s="173"/>
      <c r="G152" s="173">
        <v>30.67</v>
      </c>
      <c r="H152" s="154">
        <v>136.5423097</v>
      </c>
      <c r="I152" s="190">
        <f t="shared" si="11"/>
        <v>136.5423097</v>
      </c>
      <c r="J152" s="190">
        <f t="shared" si="12"/>
        <v>54.171065853389379</v>
      </c>
      <c r="K152" s="246">
        <v>24894</v>
      </c>
      <c r="L152" s="248">
        <f t="shared" si="15"/>
        <v>24619</v>
      </c>
      <c r="M152" s="164">
        <v>9383.5757761999994</v>
      </c>
      <c r="N152" s="190">
        <f t="shared" si="13"/>
        <v>9383.5757761999994</v>
      </c>
      <c r="O152" s="164">
        <v>0</v>
      </c>
      <c r="P152" s="164">
        <v>391</v>
      </c>
      <c r="Q152" s="166">
        <v>4200</v>
      </c>
      <c r="R152" s="166">
        <v>1161</v>
      </c>
      <c r="S152" s="182">
        <f t="shared" si="14"/>
        <v>0</v>
      </c>
      <c r="T152" s="339">
        <v>0.39673465296148697</v>
      </c>
    </row>
    <row r="153" spans="1:20" x14ac:dyDescent="0.2">
      <c r="A153" s="153">
        <v>2013</v>
      </c>
      <c r="B153" s="153">
        <v>8</v>
      </c>
      <c r="C153" s="168"/>
      <c r="D153" s="173">
        <v>7.4591080954466298</v>
      </c>
      <c r="E153" s="279">
        <f>HLOOKUP($A153,'OD Rates'!$B$1:$K$13,13,0)*100</f>
        <v>8.8478702501483504</v>
      </c>
      <c r="F153" s="173"/>
      <c r="G153" s="173">
        <v>29.48</v>
      </c>
      <c r="H153" s="154">
        <v>136.5423097</v>
      </c>
      <c r="I153" s="190">
        <f t="shared" si="11"/>
        <v>136.5423097</v>
      </c>
      <c r="J153" s="190">
        <f t="shared" si="12"/>
        <v>54.171065853389379</v>
      </c>
      <c r="K153" s="246">
        <v>24892</v>
      </c>
      <c r="L153" s="248">
        <f t="shared" si="15"/>
        <v>24618</v>
      </c>
      <c r="M153" s="164">
        <v>9383.5757761999994</v>
      </c>
      <c r="N153" s="190">
        <f t="shared" si="13"/>
        <v>9383.5757761999994</v>
      </c>
      <c r="O153" s="164">
        <v>0</v>
      </c>
      <c r="P153" s="164">
        <v>292.5</v>
      </c>
      <c r="Q153" s="166">
        <v>4200</v>
      </c>
      <c r="R153" s="166">
        <v>1161</v>
      </c>
      <c r="S153" s="182">
        <f t="shared" si="14"/>
        <v>0</v>
      </c>
      <c r="T153" s="339">
        <v>0.39673465296148697</v>
      </c>
    </row>
    <row r="154" spans="1:20" x14ac:dyDescent="0.2">
      <c r="A154" s="153">
        <v>2013</v>
      </c>
      <c r="B154" s="153">
        <v>9</v>
      </c>
      <c r="C154" s="168"/>
      <c r="D154" s="173">
        <v>7.4591080954466298</v>
      </c>
      <c r="E154" s="279">
        <f>HLOOKUP($A154,'OD Rates'!$B$1:$K$13,13,0)*100</f>
        <v>8.8478702501483504</v>
      </c>
      <c r="F154" s="173"/>
      <c r="G154" s="173">
        <v>30.71</v>
      </c>
      <c r="H154" s="154">
        <v>136.5423097</v>
      </c>
      <c r="I154" s="190">
        <f t="shared" si="11"/>
        <v>136.5423097</v>
      </c>
      <c r="J154" s="190">
        <f t="shared" si="12"/>
        <v>54.171065853389379</v>
      </c>
      <c r="K154" s="246">
        <v>24890</v>
      </c>
      <c r="L154" s="248">
        <f t="shared" si="15"/>
        <v>24617</v>
      </c>
      <c r="M154" s="164">
        <v>9383.5757761999994</v>
      </c>
      <c r="N154" s="190">
        <f t="shared" si="13"/>
        <v>9383.5757761999994</v>
      </c>
      <c r="O154" s="164">
        <v>43.5</v>
      </c>
      <c r="P154" s="164">
        <v>138.5</v>
      </c>
      <c r="Q154" s="166">
        <v>4200</v>
      </c>
      <c r="R154" s="166">
        <v>1161</v>
      </c>
      <c r="S154" s="182">
        <f t="shared" si="14"/>
        <v>0</v>
      </c>
      <c r="T154" s="339">
        <v>0.39673465296148697</v>
      </c>
    </row>
    <row r="155" spans="1:20" x14ac:dyDescent="0.2">
      <c r="A155" s="153">
        <v>2013</v>
      </c>
      <c r="B155" s="153">
        <v>10</v>
      </c>
      <c r="C155" s="168"/>
      <c r="D155" s="173">
        <v>7.4591080954466298</v>
      </c>
      <c r="E155" s="279">
        <f>HLOOKUP($A155,'OD Rates'!$B$1:$K$13,13,0)*100</f>
        <v>8.8478702501483504</v>
      </c>
      <c r="F155" s="173"/>
      <c r="G155" s="173">
        <v>29.52</v>
      </c>
      <c r="H155" s="154">
        <v>136.5423097</v>
      </c>
      <c r="I155" s="190">
        <f t="shared" si="11"/>
        <v>136.5423097</v>
      </c>
      <c r="J155" s="190">
        <f t="shared" si="12"/>
        <v>54.182335607854156</v>
      </c>
      <c r="K155" s="246">
        <v>24888</v>
      </c>
      <c r="L155" s="248">
        <f t="shared" si="15"/>
        <v>24616</v>
      </c>
      <c r="M155" s="164">
        <v>9383.5757761999994</v>
      </c>
      <c r="N155" s="190">
        <f t="shared" si="13"/>
        <v>9383.5757761999994</v>
      </c>
      <c r="O155" s="164">
        <v>259.5</v>
      </c>
      <c r="P155" s="164">
        <v>8</v>
      </c>
      <c r="Q155" s="166">
        <v>4200</v>
      </c>
      <c r="R155" s="166">
        <v>1161</v>
      </c>
      <c r="S155" s="182">
        <f t="shared" si="14"/>
        <v>0</v>
      </c>
      <c r="T155" s="339">
        <v>0.39681718968207957</v>
      </c>
    </row>
    <row r="156" spans="1:20" x14ac:dyDescent="0.2">
      <c r="A156" s="153">
        <v>2013</v>
      </c>
      <c r="B156" s="153">
        <v>11</v>
      </c>
      <c r="C156" s="168"/>
      <c r="D156" s="173">
        <v>7.4591080954466298</v>
      </c>
      <c r="E156" s="279">
        <f>HLOOKUP($A156,'OD Rates'!$B$1:$K$13,13,0)*100</f>
        <v>8.8478702501483504</v>
      </c>
      <c r="F156" s="173"/>
      <c r="G156" s="173">
        <v>29.38</v>
      </c>
      <c r="H156" s="154">
        <v>136.5423097</v>
      </c>
      <c r="I156" s="190">
        <f t="shared" si="11"/>
        <v>136.5423097</v>
      </c>
      <c r="J156" s="190">
        <f t="shared" si="12"/>
        <v>54.182335607854156</v>
      </c>
      <c r="K156" s="246">
        <v>24886</v>
      </c>
      <c r="L156" s="248">
        <f t="shared" si="15"/>
        <v>24615</v>
      </c>
      <c r="M156" s="164">
        <v>9383.5757761999994</v>
      </c>
      <c r="N156" s="190">
        <f t="shared" si="13"/>
        <v>9383.5757761999994</v>
      </c>
      <c r="O156" s="164">
        <v>529.75</v>
      </c>
      <c r="P156" s="164">
        <v>1</v>
      </c>
      <c r="Q156" s="166">
        <v>4200</v>
      </c>
      <c r="R156" s="166">
        <v>1161</v>
      </c>
      <c r="S156" s="182">
        <f t="shared" si="14"/>
        <v>0</v>
      </c>
      <c r="T156" s="339">
        <v>0.39681718968207957</v>
      </c>
    </row>
    <row r="157" spans="1:20" x14ac:dyDescent="0.2">
      <c r="A157" s="153">
        <v>2013</v>
      </c>
      <c r="B157" s="153">
        <v>12</v>
      </c>
      <c r="C157" s="168"/>
      <c r="D157" s="173">
        <v>7.4591080954466298</v>
      </c>
      <c r="E157" s="279">
        <f>HLOOKUP($A157,'OD Rates'!$B$1:$K$13,13,0)*100</f>
        <v>8.8478702501483504</v>
      </c>
      <c r="F157" s="173"/>
      <c r="G157" s="173">
        <v>32.049999999999997</v>
      </c>
      <c r="H157" s="154">
        <v>136.5423097</v>
      </c>
      <c r="I157" s="190">
        <f t="shared" si="11"/>
        <v>136.5423097</v>
      </c>
      <c r="J157" s="190">
        <f t="shared" si="12"/>
        <v>54.182335607854156</v>
      </c>
      <c r="K157" s="246">
        <v>24884</v>
      </c>
      <c r="L157" s="248">
        <f t="shared" si="15"/>
        <v>24614</v>
      </c>
      <c r="M157" s="164">
        <v>9383.5757761999994</v>
      </c>
      <c r="N157" s="190">
        <f t="shared" si="13"/>
        <v>9383.5757761999994</v>
      </c>
      <c r="O157" s="164">
        <v>719</v>
      </c>
      <c r="P157" s="164">
        <v>0</v>
      </c>
      <c r="Q157" s="166">
        <v>4200</v>
      </c>
      <c r="R157" s="166">
        <v>1161</v>
      </c>
      <c r="S157" s="182">
        <f t="shared" si="14"/>
        <v>0</v>
      </c>
      <c r="T157" s="339">
        <v>0.39681718968207957</v>
      </c>
    </row>
    <row r="158" spans="1:20" x14ac:dyDescent="0.2">
      <c r="A158" s="153">
        <v>2014</v>
      </c>
      <c r="B158" s="153">
        <v>1</v>
      </c>
      <c r="C158" s="168"/>
      <c r="D158" s="173">
        <v>8.1713101443026481</v>
      </c>
      <c r="E158" s="279">
        <f>HLOOKUP($A158,'OD Rates'!$B$1:$K$13,13,0)*100</f>
        <v>9.8567702208098193</v>
      </c>
      <c r="F158" s="173"/>
      <c r="G158" s="173">
        <v>32.33</v>
      </c>
      <c r="H158" s="154">
        <v>136.53362824999999</v>
      </c>
      <c r="I158" s="190">
        <f t="shared" si="11"/>
        <v>136.53362824999999</v>
      </c>
      <c r="J158" s="190">
        <f t="shared" si="12"/>
        <v>54.18795176869763</v>
      </c>
      <c r="K158" s="246">
        <v>24882</v>
      </c>
      <c r="L158" s="248">
        <f t="shared" si="15"/>
        <v>24613</v>
      </c>
      <c r="M158" s="164">
        <v>9733.2135728000012</v>
      </c>
      <c r="N158" s="190">
        <f t="shared" si="13"/>
        <v>9733.2135728000012</v>
      </c>
      <c r="O158" s="264">
        <f>O146</f>
        <v>903.25</v>
      </c>
      <c r="P158" s="264">
        <f>P146</f>
        <v>0</v>
      </c>
      <c r="Q158" s="166">
        <v>4200</v>
      </c>
      <c r="R158" s="166">
        <v>1161</v>
      </c>
      <c r="S158" s="182">
        <f t="shared" si="14"/>
        <v>0</v>
      </c>
      <c r="T158" s="339">
        <v>0.39688355508634654</v>
      </c>
    </row>
    <row r="159" spans="1:20" x14ac:dyDescent="0.2">
      <c r="A159" s="153">
        <v>2014</v>
      </c>
      <c r="B159" s="153">
        <v>2</v>
      </c>
      <c r="C159" s="168"/>
      <c r="D159" s="173">
        <v>8.1713101443026481</v>
      </c>
      <c r="E159" s="279">
        <f>HLOOKUP($A159,'OD Rates'!$B$1:$K$13,13,0)*100</f>
        <v>9.8567702208098193</v>
      </c>
      <c r="F159" s="173"/>
      <c r="G159" s="173">
        <v>30.05</v>
      </c>
      <c r="H159" s="154">
        <v>136.53362824999999</v>
      </c>
      <c r="I159" s="190">
        <f t="shared" si="11"/>
        <v>136.53362824999999</v>
      </c>
      <c r="J159" s="190">
        <f t="shared" si="12"/>
        <v>54.18795176869763</v>
      </c>
      <c r="K159" s="246">
        <v>24880</v>
      </c>
      <c r="L159" s="248">
        <f t="shared" si="15"/>
        <v>24612</v>
      </c>
      <c r="M159" s="164">
        <v>9733.2135728000012</v>
      </c>
      <c r="N159" s="190">
        <f t="shared" si="13"/>
        <v>9733.2135728000012</v>
      </c>
      <c r="O159" s="264">
        <f t="shared" ref="O159:P174" si="16">O147</f>
        <v>652.25</v>
      </c>
      <c r="P159" s="264">
        <f t="shared" si="16"/>
        <v>0</v>
      </c>
      <c r="Q159" s="166">
        <v>4200</v>
      </c>
      <c r="R159" s="166">
        <v>1161</v>
      </c>
      <c r="S159" s="182">
        <f t="shared" si="14"/>
        <v>0</v>
      </c>
      <c r="T159" s="339">
        <v>0.39688355508634654</v>
      </c>
    </row>
    <row r="160" spans="1:20" x14ac:dyDescent="0.2">
      <c r="A160" s="153">
        <v>2014</v>
      </c>
      <c r="B160" s="153">
        <v>3</v>
      </c>
      <c r="C160" s="168"/>
      <c r="D160" s="173">
        <v>8.1713101443026481</v>
      </c>
      <c r="E160" s="279">
        <f>HLOOKUP($A160,'OD Rates'!$B$1:$K$13,13,0)*100</f>
        <v>9.8567702208098193</v>
      </c>
      <c r="F160" s="173"/>
      <c r="G160" s="173">
        <v>30.19</v>
      </c>
      <c r="H160" s="154">
        <v>136.53362824999999</v>
      </c>
      <c r="I160" s="190">
        <f t="shared" si="11"/>
        <v>136.53362824999999</v>
      </c>
      <c r="J160" s="190">
        <f t="shared" si="12"/>
        <v>54.18795176869763</v>
      </c>
      <c r="K160" s="246">
        <v>24878</v>
      </c>
      <c r="L160" s="248">
        <f t="shared" si="15"/>
        <v>24611</v>
      </c>
      <c r="M160" s="164">
        <v>9733.2135728000012</v>
      </c>
      <c r="N160" s="190">
        <f t="shared" si="13"/>
        <v>9733.2135728000012</v>
      </c>
      <c r="O160" s="264">
        <f t="shared" si="16"/>
        <v>489.25</v>
      </c>
      <c r="P160" s="264">
        <f t="shared" si="16"/>
        <v>0</v>
      </c>
      <c r="Q160" s="166">
        <v>4200</v>
      </c>
      <c r="R160" s="166">
        <v>1161</v>
      </c>
      <c r="S160" s="182">
        <f t="shared" si="14"/>
        <v>0</v>
      </c>
      <c r="T160" s="339">
        <v>0.39688355508634654</v>
      </c>
    </row>
    <row r="161" spans="1:20" x14ac:dyDescent="0.2">
      <c r="A161" s="153">
        <v>2014</v>
      </c>
      <c r="B161" s="153">
        <v>4</v>
      </c>
      <c r="C161" s="168"/>
      <c r="D161" s="173">
        <v>8.1713101443026481</v>
      </c>
      <c r="E161" s="279">
        <f>HLOOKUP($A161,'OD Rates'!$B$1:$K$13,13,0)*100</f>
        <v>9.8567702208098193</v>
      </c>
      <c r="F161" s="173"/>
      <c r="G161" s="173">
        <v>30</v>
      </c>
      <c r="H161" s="154">
        <v>136.53362824999999</v>
      </c>
      <c r="I161" s="190">
        <f t="shared" si="11"/>
        <v>136.53362824999999</v>
      </c>
      <c r="J161" s="190">
        <f t="shared" si="12"/>
        <v>54.194268031963702</v>
      </c>
      <c r="K161" s="246">
        <v>24876</v>
      </c>
      <c r="L161" s="248">
        <f t="shared" si="15"/>
        <v>24610</v>
      </c>
      <c r="M161" s="164">
        <v>9733.2135728000012</v>
      </c>
      <c r="N161" s="190">
        <f t="shared" si="13"/>
        <v>9733.2135728000012</v>
      </c>
      <c r="O161" s="264">
        <f t="shared" si="16"/>
        <v>184.25</v>
      </c>
      <c r="P161" s="264">
        <f t="shared" si="16"/>
        <v>27.25</v>
      </c>
      <c r="Q161" s="166">
        <v>4200</v>
      </c>
      <c r="R161" s="166">
        <v>1161</v>
      </c>
      <c r="S161" s="182">
        <f t="shared" si="14"/>
        <v>0</v>
      </c>
      <c r="T161" s="339">
        <v>0.39692981668026323</v>
      </c>
    </row>
    <row r="162" spans="1:20" x14ac:dyDescent="0.2">
      <c r="A162" s="153">
        <v>2014</v>
      </c>
      <c r="B162" s="153">
        <v>5</v>
      </c>
      <c r="C162" s="168"/>
      <c r="D162" s="173">
        <v>8.1713101443026481</v>
      </c>
      <c r="E162" s="279">
        <f>HLOOKUP($A162,'OD Rates'!$B$1:$K$13,13,0)*100</f>
        <v>9.8567702208098193</v>
      </c>
      <c r="F162" s="173"/>
      <c r="G162" s="173">
        <v>30.48</v>
      </c>
      <c r="H162" s="154">
        <v>136.53362824999999</v>
      </c>
      <c r="I162" s="190">
        <f t="shared" si="11"/>
        <v>136.53362824999999</v>
      </c>
      <c r="J162" s="190">
        <f t="shared" si="12"/>
        <v>54.194268031963702</v>
      </c>
      <c r="K162" s="246">
        <v>24874</v>
      </c>
      <c r="L162" s="248">
        <f t="shared" si="15"/>
        <v>24609</v>
      </c>
      <c r="M162" s="164">
        <v>9733.2135728000012</v>
      </c>
      <c r="N162" s="190">
        <f t="shared" si="13"/>
        <v>9733.2135728000012</v>
      </c>
      <c r="O162" s="264">
        <f t="shared" si="16"/>
        <v>70</v>
      </c>
      <c r="P162" s="264">
        <f t="shared" si="16"/>
        <v>138.5</v>
      </c>
      <c r="Q162" s="166">
        <v>4200</v>
      </c>
      <c r="R162" s="166">
        <v>1161</v>
      </c>
      <c r="S162" s="182">
        <f t="shared" si="14"/>
        <v>0</v>
      </c>
      <c r="T162" s="339">
        <v>0.39692981668026323</v>
      </c>
    </row>
    <row r="163" spans="1:20" x14ac:dyDescent="0.2">
      <c r="A163" s="153">
        <v>2014</v>
      </c>
      <c r="B163" s="153">
        <v>6</v>
      </c>
      <c r="C163" s="168"/>
      <c r="D163" s="173">
        <v>8.1713101443026481</v>
      </c>
      <c r="E163" s="279">
        <f>HLOOKUP($A163,'OD Rates'!$B$1:$K$13,13,0)*100</f>
        <v>9.8567702208098193</v>
      </c>
      <c r="F163" s="173"/>
      <c r="G163" s="173">
        <v>30.52</v>
      </c>
      <c r="H163" s="154">
        <v>136.53362824999999</v>
      </c>
      <c r="I163" s="190">
        <f t="shared" si="11"/>
        <v>136.53362824999999</v>
      </c>
      <c r="J163" s="190">
        <f t="shared" si="12"/>
        <v>54.194268031963702</v>
      </c>
      <c r="K163" s="246">
        <v>24872</v>
      </c>
      <c r="L163" s="248">
        <f t="shared" si="15"/>
        <v>24608</v>
      </c>
      <c r="M163" s="164">
        <v>9733.2135728000012</v>
      </c>
      <c r="N163" s="190">
        <f t="shared" si="13"/>
        <v>9733.2135728000012</v>
      </c>
      <c r="O163" s="264">
        <f t="shared" si="16"/>
        <v>1.25</v>
      </c>
      <c r="P163" s="264">
        <f t="shared" si="16"/>
        <v>239.5</v>
      </c>
      <c r="Q163" s="166">
        <v>4200</v>
      </c>
      <c r="R163" s="166">
        <v>1161</v>
      </c>
      <c r="S163" s="182">
        <f t="shared" si="14"/>
        <v>0</v>
      </c>
      <c r="T163" s="339">
        <v>0.39692981668026323</v>
      </c>
    </row>
    <row r="164" spans="1:20" x14ac:dyDescent="0.2">
      <c r="A164" s="153">
        <v>2014</v>
      </c>
      <c r="B164" s="153">
        <v>7</v>
      </c>
      <c r="C164" s="168"/>
      <c r="D164" s="173">
        <v>8.1713101443026481</v>
      </c>
      <c r="E164" s="279">
        <f>HLOOKUP($A164,'OD Rates'!$B$1:$K$13,13,0)*100</f>
        <v>9.8567702208098193</v>
      </c>
      <c r="F164" s="173"/>
      <c r="G164" s="173">
        <v>30.67</v>
      </c>
      <c r="H164" s="154">
        <v>136.53362824999999</v>
      </c>
      <c r="I164" s="190">
        <f t="shared" si="11"/>
        <v>136.53362824999999</v>
      </c>
      <c r="J164" s="190">
        <f t="shared" si="12"/>
        <v>54.210288119624281</v>
      </c>
      <c r="K164" s="246">
        <v>24870</v>
      </c>
      <c r="L164" s="248">
        <f t="shared" si="15"/>
        <v>24607</v>
      </c>
      <c r="M164" s="164">
        <v>9733.2135728000012</v>
      </c>
      <c r="N164" s="190">
        <f t="shared" si="13"/>
        <v>9733.2135728000012</v>
      </c>
      <c r="O164" s="264">
        <f t="shared" si="16"/>
        <v>0</v>
      </c>
      <c r="P164" s="264">
        <f t="shared" si="16"/>
        <v>391</v>
      </c>
      <c r="Q164" s="166">
        <v>4200</v>
      </c>
      <c r="R164" s="166">
        <v>1161</v>
      </c>
      <c r="S164" s="182">
        <f t="shared" si="14"/>
        <v>0</v>
      </c>
      <c r="T164" s="339">
        <v>0.39704715105323718</v>
      </c>
    </row>
    <row r="165" spans="1:20" x14ac:dyDescent="0.2">
      <c r="A165" s="153">
        <v>2014</v>
      </c>
      <c r="B165" s="153">
        <v>8</v>
      </c>
      <c r="C165" s="168"/>
      <c r="D165" s="173">
        <v>8.1713101443026481</v>
      </c>
      <c r="E165" s="279">
        <f>HLOOKUP($A165,'OD Rates'!$B$1:$K$13,13,0)*100</f>
        <v>9.8567702208098193</v>
      </c>
      <c r="F165" s="173"/>
      <c r="G165" s="173">
        <v>29.48</v>
      </c>
      <c r="H165" s="154">
        <v>136.53362824999999</v>
      </c>
      <c r="I165" s="190">
        <f t="shared" si="11"/>
        <v>136.53362824999999</v>
      </c>
      <c r="J165" s="190">
        <f t="shared" si="12"/>
        <v>54.210288119624281</v>
      </c>
      <c r="K165" s="246">
        <v>24868</v>
      </c>
      <c r="L165" s="248">
        <f t="shared" si="15"/>
        <v>24606</v>
      </c>
      <c r="M165" s="164">
        <v>9733.2135728000012</v>
      </c>
      <c r="N165" s="190">
        <f t="shared" si="13"/>
        <v>9733.2135728000012</v>
      </c>
      <c r="O165" s="264">
        <f t="shared" si="16"/>
        <v>0</v>
      </c>
      <c r="P165" s="264">
        <f t="shared" si="16"/>
        <v>292.5</v>
      </c>
      <c r="Q165" s="166">
        <v>4200</v>
      </c>
      <c r="R165" s="166">
        <v>1161</v>
      </c>
      <c r="S165" s="182">
        <f t="shared" si="14"/>
        <v>0</v>
      </c>
      <c r="T165" s="339">
        <v>0.39704715105323718</v>
      </c>
    </row>
    <row r="166" spans="1:20" x14ac:dyDescent="0.2">
      <c r="A166" s="153">
        <v>2014</v>
      </c>
      <c r="B166" s="153">
        <v>9</v>
      </c>
      <c r="C166" s="168"/>
      <c r="D166" s="173">
        <v>8.1713101443026481</v>
      </c>
      <c r="E166" s="279">
        <f>HLOOKUP($A166,'OD Rates'!$B$1:$K$13,13,0)*100</f>
        <v>9.8567702208098193</v>
      </c>
      <c r="F166" s="173"/>
      <c r="G166" s="173">
        <v>30.86</v>
      </c>
      <c r="H166" s="154">
        <v>136.53362824999999</v>
      </c>
      <c r="I166" s="190">
        <f t="shared" si="11"/>
        <v>136.53362824999999</v>
      </c>
      <c r="J166" s="190">
        <f t="shared" si="12"/>
        <v>54.210288119624281</v>
      </c>
      <c r="K166" s="246">
        <v>24866</v>
      </c>
      <c r="L166" s="248">
        <f t="shared" si="15"/>
        <v>24605</v>
      </c>
      <c r="M166" s="164">
        <v>9733.2135728000012</v>
      </c>
      <c r="N166" s="190">
        <f t="shared" si="13"/>
        <v>9733.2135728000012</v>
      </c>
      <c r="O166" s="264">
        <f t="shared" si="16"/>
        <v>43.5</v>
      </c>
      <c r="P166" s="264">
        <f t="shared" si="16"/>
        <v>138.5</v>
      </c>
      <c r="Q166" s="166">
        <v>4200</v>
      </c>
      <c r="R166" s="166">
        <v>1161</v>
      </c>
      <c r="S166" s="182">
        <f t="shared" si="14"/>
        <v>0</v>
      </c>
      <c r="T166" s="339">
        <v>0.39704715105323718</v>
      </c>
    </row>
    <row r="167" spans="1:20" x14ac:dyDescent="0.2">
      <c r="A167" s="153">
        <v>2014</v>
      </c>
      <c r="B167" s="153">
        <v>10</v>
      </c>
      <c r="C167" s="168"/>
      <c r="D167" s="173">
        <v>8.1713101443026481</v>
      </c>
      <c r="E167" s="279">
        <f>HLOOKUP($A167,'OD Rates'!$B$1:$K$13,13,0)*100</f>
        <v>9.8567702208098193</v>
      </c>
      <c r="F167" s="173"/>
      <c r="G167" s="173">
        <v>29.38</v>
      </c>
      <c r="H167" s="154">
        <v>136.53362824999999</v>
      </c>
      <c r="I167" s="190">
        <f t="shared" si="11"/>
        <v>136.53362824999999</v>
      </c>
      <c r="J167" s="190">
        <f t="shared" si="12"/>
        <v>54.221114130786255</v>
      </c>
      <c r="K167" s="246">
        <v>24864</v>
      </c>
      <c r="L167" s="248">
        <f t="shared" si="15"/>
        <v>24604</v>
      </c>
      <c r="M167" s="164">
        <v>9733.2135728000012</v>
      </c>
      <c r="N167" s="190">
        <f t="shared" si="13"/>
        <v>9733.2135728000012</v>
      </c>
      <c r="O167" s="264">
        <f t="shared" si="16"/>
        <v>259.5</v>
      </c>
      <c r="P167" s="264">
        <f t="shared" si="16"/>
        <v>8</v>
      </c>
      <c r="Q167" s="166">
        <v>4200</v>
      </c>
      <c r="R167" s="166">
        <v>1161</v>
      </c>
      <c r="S167" s="182">
        <f t="shared" si="14"/>
        <v>0</v>
      </c>
      <c r="T167" s="339">
        <v>0.39712644295590421</v>
      </c>
    </row>
    <row r="168" spans="1:20" x14ac:dyDescent="0.2">
      <c r="A168" s="153">
        <v>2014</v>
      </c>
      <c r="B168" s="153">
        <v>11</v>
      </c>
      <c r="C168" s="168"/>
      <c r="D168" s="173">
        <v>8.1713101443026481</v>
      </c>
      <c r="E168" s="279">
        <f>HLOOKUP($A168,'OD Rates'!$B$1:$K$13,13,0)*100</f>
        <v>9.8567702208098193</v>
      </c>
      <c r="F168" s="173"/>
      <c r="G168" s="173">
        <v>29.57</v>
      </c>
      <c r="H168" s="154">
        <v>136.53362824999999</v>
      </c>
      <c r="I168" s="190">
        <f t="shared" si="11"/>
        <v>136.53362824999999</v>
      </c>
      <c r="J168" s="190">
        <f t="shared" si="12"/>
        <v>54.221114130786255</v>
      </c>
      <c r="K168" s="246">
        <v>24862</v>
      </c>
      <c r="L168" s="248">
        <f t="shared" si="15"/>
        <v>24603</v>
      </c>
      <c r="M168" s="164">
        <v>9733.2135728000012</v>
      </c>
      <c r="N168" s="190">
        <f t="shared" si="13"/>
        <v>9733.2135728000012</v>
      </c>
      <c r="O168" s="264">
        <f t="shared" si="16"/>
        <v>529.75</v>
      </c>
      <c r="P168" s="264">
        <f t="shared" si="16"/>
        <v>1</v>
      </c>
      <c r="Q168" s="166">
        <v>4200</v>
      </c>
      <c r="R168" s="166">
        <v>1161</v>
      </c>
      <c r="S168" s="182">
        <f t="shared" si="14"/>
        <v>0</v>
      </c>
      <c r="T168" s="339">
        <v>0.39712644295590421</v>
      </c>
    </row>
    <row r="169" spans="1:20" x14ac:dyDescent="0.2">
      <c r="A169" s="153">
        <v>2014</v>
      </c>
      <c r="B169" s="153">
        <v>12</v>
      </c>
      <c r="C169" s="168"/>
      <c r="D169" s="173">
        <v>8.1713101443026481</v>
      </c>
      <c r="E169" s="279">
        <f>HLOOKUP($A169,'OD Rates'!$B$1:$K$13,13,0)*100</f>
        <v>9.8567702208098193</v>
      </c>
      <c r="F169" s="173"/>
      <c r="G169" s="173">
        <v>31.81</v>
      </c>
      <c r="H169" s="154">
        <v>136.53362824999999</v>
      </c>
      <c r="I169" s="190">
        <f t="shared" si="11"/>
        <v>136.53362824999999</v>
      </c>
      <c r="J169" s="190">
        <f t="shared" si="12"/>
        <v>54.221114130786255</v>
      </c>
      <c r="K169" s="246">
        <v>24860</v>
      </c>
      <c r="L169" s="248">
        <f t="shared" si="15"/>
        <v>24602</v>
      </c>
      <c r="M169" s="164">
        <v>9733.2135728000012</v>
      </c>
      <c r="N169" s="190">
        <f t="shared" si="13"/>
        <v>9733.2135728000012</v>
      </c>
      <c r="O169" s="264">
        <f t="shared" si="16"/>
        <v>719</v>
      </c>
      <c r="P169" s="264">
        <f t="shared" si="16"/>
        <v>0</v>
      </c>
      <c r="Q169" s="166">
        <v>4200</v>
      </c>
      <c r="R169" s="166">
        <v>1161</v>
      </c>
      <c r="S169" s="182">
        <f t="shared" si="14"/>
        <v>0</v>
      </c>
      <c r="T169" s="339">
        <v>0.39712644295590421</v>
      </c>
    </row>
    <row r="170" spans="1:20" x14ac:dyDescent="0.2">
      <c r="A170" s="153">
        <v>2015</v>
      </c>
      <c r="B170" s="153">
        <v>1</v>
      </c>
      <c r="C170" s="168"/>
      <c r="D170" s="173">
        <v>8.1602139087259289</v>
      </c>
      <c r="E170" s="279">
        <f>HLOOKUP($A170,'OD Rates'!$B$1:$K$13,13,0)*100</f>
        <v>9.98435440913366</v>
      </c>
      <c r="F170" s="173"/>
      <c r="G170" s="173">
        <v>32.380000000000003</v>
      </c>
      <c r="H170" s="154">
        <v>136.48636771</v>
      </c>
      <c r="I170" s="190">
        <f t="shared" si="11"/>
        <v>136.48636771</v>
      </c>
      <c r="J170" s="190">
        <f t="shared" si="12"/>
        <v>54.219780160637399</v>
      </c>
      <c r="K170" s="246">
        <v>24858</v>
      </c>
      <c r="L170" s="248">
        <f t="shared" si="15"/>
        <v>24601</v>
      </c>
      <c r="M170" s="164">
        <v>10113.8908242</v>
      </c>
      <c r="N170" s="190">
        <f t="shared" si="13"/>
        <v>10113.8908242</v>
      </c>
      <c r="O170" s="264">
        <f t="shared" si="16"/>
        <v>903.25</v>
      </c>
      <c r="P170" s="264">
        <f t="shared" si="16"/>
        <v>0</v>
      </c>
      <c r="Q170" s="166">
        <v>4200</v>
      </c>
      <c r="R170" s="166">
        <v>1161</v>
      </c>
      <c r="S170" s="182">
        <f t="shared" si="14"/>
        <v>0</v>
      </c>
      <c r="T170" s="339">
        <v>0.39725418054820766</v>
      </c>
    </row>
    <row r="171" spans="1:20" x14ac:dyDescent="0.2">
      <c r="A171" s="153">
        <v>2015</v>
      </c>
      <c r="B171" s="153">
        <v>2</v>
      </c>
      <c r="C171" s="168"/>
      <c r="D171" s="173">
        <v>8.1602139087259289</v>
      </c>
      <c r="E171" s="279">
        <f>HLOOKUP($A171,'OD Rates'!$B$1:$K$13,13,0)*100</f>
        <v>9.98435440913366</v>
      </c>
      <c r="F171" s="173"/>
      <c r="G171" s="173">
        <v>30.19</v>
      </c>
      <c r="H171" s="154">
        <v>136.48636771</v>
      </c>
      <c r="I171" s="190">
        <f t="shared" si="11"/>
        <v>136.48636771</v>
      </c>
      <c r="J171" s="190">
        <f t="shared" si="12"/>
        <v>54.219780160637399</v>
      </c>
      <c r="K171" s="246">
        <v>24856</v>
      </c>
      <c r="L171" s="248">
        <f t="shared" si="15"/>
        <v>24600</v>
      </c>
      <c r="M171" s="164">
        <v>10113.8908242</v>
      </c>
      <c r="N171" s="190">
        <f t="shared" si="13"/>
        <v>10113.8908242</v>
      </c>
      <c r="O171" s="264">
        <f t="shared" si="16"/>
        <v>652.25</v>
      </c>
      <c r="P171" s="264">
        <f t="shared" si="16"/>
        <v>0</v>
      </c>
      <c r="Q171" s="166">
        <v>4200</v>
      </c>
      <c r="R171" s="166">
        <v>1161</v>
      </c>
      <c r="S171" s="182">
        <f t="shared" si="14"/>
        <v>0</v>
      </c>
      <c r="T171" s="339">
        <v>0.39725418054820766</v>
      </c>
    </row>
    <row r="172" spans="1:20" x14ac:dyDescent="0.2">
      <c r="A172" s="153">
        <v>2015</v>
      </c>
      <c r="B172" s="153">
        <v>3</v>
      </c>
      <c r="C172" s="168"/>
      <c r="D172" s="173">
        <v>8.1602139087259289</v>
      </c>
      <c r="E172" s="279">
        <f>HLOOKUP($A172,'OD Rates'!$B$1:$K$13,13,0)*100</f>
        <v>9.98435440913366</v>
      </c>
      <c r="F172" s="173"/>
      <c r="G172" s="173">
        <v>30.05</v>
      </c>
      <c r="H172" s="154">
        <v>136.48636771</v>
      </c>
      <c r="I172" s="190">
        <f t="shared" si="11"/>
        <v>136.48636771</v>
      </c>
      <c r="J172" s="190">
        <f t="shared" si="12"/>
        <v>54.219780160637399</v>
      </c>
      <c r="K172" s="246">
        <v>24854</v>
      </c>
      <c r="L172" s="248">
        <f t="shared" si="15"/>
        <v>24599</v>
      </c>
      <c r="M172" s="164">
        <v>10113.8908242</v>
      </c>
      <c r="N172" s="190">
        <f t="shared" si="13"/>
        <v>10113.8908242</v>
      </c>
      <c r="O172" s="264">
        <f t="shared" si="16"/>
        <v>489.25</v>
      </c>
      <c r="P172" s="264">
        <f t="shared" si="16"/>
        <v>0</v>
      </c>
      <c r="Q172" s="166">
        <v>4200</v>
      </c>
      <c r="R172" s="166">
        <v>1161</v>
      </c>
      <c r="S172" s="182">
        <f t="shared" si="14"/>
        <v>0</v>
      </c>
      <c r="T172" s="339">
        <v>0.39725418054820766</v>
      </c>
    </row>
    <row r="173" spans="1:20" x14ac:dyDescent="0.2">
      <c r="A173" s="153">
        <v>2015</v>
      </c>
      <c r="B173" s="153">
        <v>4</v>
      </c>
      <c r="C173" s="168"/>
      <c r="D173" s="173">
        <v>8.1602139087259289</v>
      </c>
      <c r="E173" s="279">
        <f>HLOOKUP($A173,'OD Rates'!$B$1:$K$13,13,0)*100</f>
        <v>9.98435440913366</v>
      </c>
      <c r="F173" s="173"/>
      <c r="G173" s="173">
        <v>30.71</v>
      </c>
      <c r="H173" s="154">
        <v>136.48636771</v>
      </c>
      <c r="I173" s="190">
        <f t="shared" si="11"/>
        <v>136.48636771</v>
      </c>
      <c r="J173" s="190">
        <f t="shared" si="12"/>
        <v>54.242827971994544</v>
      </c>
      <c r="K173" s="246">
        <v>24852</v>
      </c>
      <c r="L173" s="248">
        <f t="shared" si="15"/>
        <v>24598</v>
      </c>
      <c r="M173" s="164">
        <v>10113.8908242</v>
      </c>
      <c r="N173" s="190">
        <f t="shared" si="13"/>
        <v>10113.8908242</v>
      </c>
      <c r="O173" s="264">
        <f t="shared" si="16"/>
        <v>184.25</v>
      </c>
      <c r="P173" s="264">
        <f t="shared" si="16"/>
        <v>27.25</v>
      </c>
      <c r="Q173" s="166">
        <v>4200</v>
      </c>
      <c r="R173" s="166">
        <v>1161</v>
      </c>
      <c r="S173" s="182">
        <f t="shared" si="14"/>
        <v>0</v>
      </c>
      <c r="T173" s="339">
        <v>0.39742304584767929</v>
      </c>
    </row>
    <row r="174" spans="1:20" x14ac:dyDescent="0.2">
      <c r="A174" s="153">
        <v>2015</v>
      </c>
      <c r="B174" s="153">
        <v>5</v>
      </c>
      <c r="C174" s="168"/>
      <c r="D174" s="173">
        <v>8.1602139087259289</v>
      </c>
      <c r="E174" s="279">
        <f>HLOOKUP($A174,'OD Rates'!$B$1:$K$13,13,0)*100</f>
        <v>9.98435440913366</v>
      </c>
      <c r="F174" s="173"/>
      <c r="G174" s="173">
        <v>29.9</v>
      </c>
      <c r="H174" s="154">
        <v>136.48636771</v>
      </c>
      <c r="I174" s="190">
        <f t="shared" si="11"/>
        <v>136.48636771</v>
      </c>
      <c r="J174" s="190">
        <f t="shared" si="12"/>
        <v>54.242827971994544</v>
      </c>
      <c r="K174" s="246">
        <v>24850</v>
      </c>
      <c r="L174" s="248">
        <f t="shared" si="15"/>
        <v>24597</v>
      </c>
      <c r="M174" s="164">
        <v>10113.8908242</v>
      </c>
      <c r="N174" s="190">
        <f t="shared" si="13"/>
        <v>10113.8908242</v>
      </c>
      <c r="O174" s="264">
        <f t="shared" si="16"/>
        <v>70</v>
      </c>
      <c r="P174" s="264">
        <f t="shared" si="16"/>
        <v>138.5</v>
      </c>
      <c r="Q174" s="166">
        <v>4200</v>
      </c>
      <c r="R174" s="166">
        <v>1161</v>
      </c>
      <c r="S174" s="182">
        <f t="shared" si="14"/>
        <v>0</v>
      </c>
      <c r="T174" s="339">
        <v>0.39742304584767929</v>
      </c>
    </row>
    <row r="175" spans="1:20" x14ac:dyDescent="0.2">
      <c r="A175" s="153">
        <v>2015</v>
      </c>
      <c r="B175" s="153">
        <v>6</v>
      </c>
      <c r="C175" s="168"/>
      <c r="D175" s="173">
        <v>8.1602139087259289</v>
      </c>
      <c r="E175" s="279">
        <f>HLOOKUP($A175,'OD Rates'!$B$1:$K$13,13,0)*100</f>
        <v>9.98435440913366</v>
      </c>
      <c r="F175" s="173"/>
      <c r="G175" s="173">
        <v>30.38</v>
      </c>
      <c r="H175" s="154">
        <v>136.48636771</v>
      </c>
      <c r="I175" s="190">
        <f t="shared" si="11"/>
        <v>136.48636771</v>
      </c>
      <c r="J175" s="190">
        <f t="shared" si="12"/>
        <v>54.242827971994544</v>
      </c>
      <c r="K175" s="246">
        <v>24848</v>
      </c>
      <c r="L175" s="248">
        <f t="shared" si="15"/>
        <v>24596</v>
      </c>
      <c r="M175" s="164">
        <v>10113.8908242</v>
      </c>
      <c r="N175" s="190">
        <f t="shared" si="13"/>
        <v>10113.8908242</v>
      </c>
      <c r="O175" s="264">
        <f t="shared" ref="O175:P190" si="17">O163</f>
        <v>1.25</v>
      </c>
      <c r="P175" s="264">
        <f t="shared" si="17"/>
        <v>239.5</v>
      </c>
      <c r="Q175" s="166">
        <v>4200</v>
      </c>
      <c r="R175" s="166">
        <v>1161</v>
      </c>
      <c r="S175" s="182">
        <f t="shared" si="14"/>
        <v>0</v>
      </c>
      <c r="T175" s="339">
        <v>0.39742304584767929</v>
      </c>
    </row>
    <row r="176" spans="1:20" x14ac:dyDescent="0.2">
      <c r="A176" s="153">
        <v>2015</v>
      </c>
      <c r="B176" s="153">
        <v>7</v>
      </c>
      <c r="C176" s="168"/>
      <c r="D176" s="173">
        <v>8.1602139087259289</v>
      </c>
      <c r="E176" s="279">
        <f>HLOOKUP($A176,'OD Rates'!$B$1:$K$13,13,0)*100</f>
        <v>9.98435440913366</v>
      </c>
      <c r="F176" s="173"/>
      <c r="G176" s="173">
        <v>30.71</v>
      </c>
      <c r="H176" s="154">
        <v>136.48636771</v>
      </c>
      <c r="I176" s="190">
        <f t="shared" si="11"/>
        <v>136.48636771</v>
      </c>
      <c r="J176" s="190">
        <f t="shared" si="12"/>
        <v>54.260318936199781</v>
      </c>
      <c r="K176" s="246">
        <v>24846</v>
      </c>
      <c r="L176" s="248">
        <f t="shared" si="15"/>
        <v>24595</v>
      </c>
      <c r="M176" s="164">
        <v>10113.8908242</v>
      </c>
      <c r="N176" s="190">
        <f t="shared" si="13"/>
        <v>10113.8908242</v>
      </c>
      <c r="O176" s="264">
        <f t="shared" si="17"/>
        <v>0</v>
      </c>
      <c r="P176" s="264">
        <f t="shared" si="17"/>
        <v>391</v>
      </c>
      <c r="Q176" s="166">
        <v>4200</v>
      </c>
      <c r="R176" s="166">
        <v>1161</v>
      </c>
      <c r="S176" s="182">
        <f t="shared" si="14"/>
        <v>0</v>
      </c>
      <c r="T176" s="339">
        <v>0.39755119757813195</v>
      </c>
    </row>
    <row r="177" spans="1:20" x14ac:dyDescent="0.2">
      <c r="A177" s="153">
        <v>2015</v>
      </c>
      <c r="B177" s="153">
        <v>8</v>
      </c>
      <c r="C177" s="168"/>
      <c r="D177" s="173">
        <v>8.1602139087259289</v>
      </c>
      <c r="E177" s="279">
        <f>HLOOKUP($A177,'OD Rates'!$B$1:$K$13,13,0)*100</f>
        <v>9.98435440913366</v>
      </c>
      <c r="F177" s="173"/>
      <c r="G177" s="173">
        <v>29.52</v>
      </c>
      <c r="H177" s="154">
        <v>136.48636771</v>
      </c>
      <c r="I177" s="190">
        <f t="shared" si="11"/>
        <v>136.48636771</v>
      </c>
      <c r="J177" s="190">
        <f t="shared" si="12"/>
        <v>54.260318936199781</v>
      </c>
      <c r="K177" s="246">
        <v>24844</v>
      </c>
      <c r="L177" s="248">
        <f t="shared" si="15"/>
        <v>24594</v>
      </c>
      <c r="M177" s="164">
        <v>10113.8908242</v>
      </c>
      <c r="N177" s="190">
        <f t="shared" si="13"/>
        <v>10113.8908242</v>
      </c>
      <c r="O177" s="264">
        <f t="shared" si="17"/>
        <v>0</v>
      </c>
      <c r="P177" s="264">
        <f t="shared" si="17"/>
        <v>292.5</v>
      </c>
      <c r="Q177" s="166">
        <v>4200</v>
      </c>
      <c r="R177" s="166">
        <v>1161</v>
      </c>
      <c r="S177" s="182">
        <f t="shared" si="14"/>
        <v>0</v>
      </c>
      <c r="T177" s="339">
        <v>0.39755119757813195</v>
      </c>
    </row>
    <row r="178" spans="1:20" x14ac:dyDescent="0.2">
      <c r="A178" s="153">
        <v>2015</v>
      </c>
      <c r="B178" s="153">
        <v>9</v>
      </c>
      <c r="C178" s="168"/>
      <c r="D178" s="173">
        <v>8.1602139087259289</v>
      </c>
      <c r="E178" s="279">
        <f>HLOOKUP($A178,'OD Rates'!$B$1:$K$13,13,0)*100</f>
        <v>9.98435440913366</v>
      </c>
      <c r="F178" s="173"/>
      <c r="G178" s="173">
        <v>30.48</v>
      </c>
      <c r="H178" s="154">
        <v>136.48636771</v>
      </c>
      <c r="I178" s="190">
        <f t="shared" si="11"/>
        <v>136.48636771</v>
      </c>
      <c r="J178" s="190">
        <f t="shared" si="12"/>
        <v>54.260318936199781</v>
      </c>
      <c r="K178" s="246">
        <v>24842</v>
      </c>
      <c r="L178" s="248">
        <f t="shared" si="15"/>
        <v>24593</v>
      </c>
      <c r="M178" s="164">
        <v>10113.8908242</v>
      </c>
      <c r="N178" s="190">
        <f t="shared" si="13"/>
        <v>10113.8908242</v>
      </c>
      <c r="O178" s="264">
        <f t="shared" si="17"/>
        <v>43.5</v>
      </c>
      <c r="P178" s="264">
        <f t="shared" si="17"/>
        <v>138.5</v>
      </c>
      <c r="Q178" s="166">
        <v>4200</v>
      </c>
      <c r="R178" s="166">
        <v>1161</v>
      </c>
      <c r="S178" s="182">
        <f t="shared" si="14"/>
        <v>0</v>
      </c>
      <c r="T178" s="339">
        <v>0.39755119757813195</v>
      </c>
    </row>
    <row r="179" spans="1:20" x14ac:dyDescent="0.2">
      <c r="A179" s="153">
        <v>2015</v>
      </c>
      <c r="B179" s="153">
        <v>10</v>
      </c>
      <c r="C179" s="168"/>
      <c r="D179" s="173">
        <v>8.1602139087259289</v>
      </c>
      <c r="E179" s="279">
        <f>HLOOKUP($A179,'OD Rates'!$B$1:$K$13,13,0)*100</f>
        <v>9.98435440913366</v>
      </c>
      <c r="F179" s="173"/>
      <c r="G179" s="173">
        <v>29.67</v>
      </c>
      <c r="H179" s="154">
        <v>136.48636771</v>
      </c>
      <c r="I179" s="190">
        <f t="shared" si="11"/>
        <v>136.48636771</v>
      </c>
      <c r="J179" s="190">
        <f t="shared" si="12"/>
        <v>54.273804906817006</v>
      </c>
      <c r="K179" s="246">
        <v>24840</v>
      </c>
      <c r="L179" s="248">
        <f t="shared" si="15"/>
        <v>24592</v>
      </c>
      <c r="M179" s="164">
        <v>10113.8908242</v>
      </c>
      <c r="N179" s="190">
        <f t="shared" si="13"/>
        <v>10113.8908242</v>
      </c>
      <c r="O179" s="264">
        <f t="shared" si="17"/>
        <v>259.5</v>
      </c>
      <c r="P179" s="264">
        <f t="shared" si="17"/>
        <v>8</v>
      </c>
      <c r="Q179" s="166">
        <v>4200</v>
      </c>
      <c r="R179" s="166">
        <v>1161</v>
      </c>
      <c r="S179" s="182">
        <f t="shared" si="14"/>
        <v>0</v>
      </c>
      <c r="T179" s="339">
        <v>0.39765000576567111</v>
      </c>
    </row>
    <row r="180" spans="1:20" x14ac:dyDescent="0.2">
      <c r="A180" s="153">
        <v>2015</v>
      </c>
      <c r="B180" s="153">
        <v>11</v>
      </c>
      <c r="C180" s="168"/>
      <c r="D180" s="173">
        <v>8.1602139087259289</v>
      </c>
      <c r="E180" s="279">
        <f>HLOOKUP($A180,'OD Rates'!$B$1:$K$13,13,0)*100</f>
        <v>9.98435440913366</v>
      </c>
      <c r="F180" s="173"/>
      <c r="G180" s="173">
        <v>29.76</v>
      </c>
      <c r="H180" s="154">
        <v>136.48636771</v>
      </c>
      <c r="I180" s="190">
        <f t="shared" si="11"/>
        <v>136.48636771</v>
      </c>
      <c r="J180" s="190">
        <f t="shared" si="12"/>
        <v>54.273804906817006</v>
      </c>
      <c r="K180" s="246">
        <v>24838</v>
      </c>
      <c r="L180" s="248">
        <f t="shared" si="15"/>
        <v>24591</v>
      </c>
      <c r="M180" s="164">
        <v>10113.8908242</v>
      </c>
      <c r="N180" s="190">
        <f t="shared" si="13"/>
        <v>10113.8908242</v>
      </c>
      <c r="O180" s="264">
        <f t="shared" si="17"/>
        <v>529.75</v>
      </c>
      <c r="P180" s="264">
        <f t="shared" si="17"/>
        <v>1</v>
      </c>
      <c r="Q180" s="166">
        <v>4200</v>
      </c>
      <c r="R180" s="166">
        <v>1161</v>
      </c>
      <c r="S180" s="182">
        <f t="shared" si="14"/>
        <v>0</v>
      </c>
      <c r="T180" s="339">
        <v>0.39765000576567111</v>
      </c>
    </row>
    <row r="181" spans="1:20" x14ac:dyDescent="0.2">
      <c r="A181" s="153">
        <v>2015</v>
      </c>
      <c r="B181" s="153">
        <v>12</v>
      </c>
      <c r="C181" s="168"/>
      <c r="D181" s="173">
        <v>8.1602139087259289</v>
      </c>
      <c r="E181" s="279">
        <f>HLOOKUP($A181,'OD Rates'!$B$1:$K$13,13,0)*100</f>
        <v>9.98435440913366</v>
      </c>
      <c r="F181" s="173"/>
      <c r="G181" s="173">
        <v>31.57</v>
      </c>
      <c r="H181" s="154">
        <v>136.48636771</v>
      </c>
      <c r="I181" s="190">
        <f t="shared" si="11"/>
        <v>136.48636771</v>
      </c>
      <c r="J181" s="190">
        <f t="shared" si="12"/>
        <v>54.273804906817006</v>
      </c>
      <c r="K181" s="246">
        <v>24836</v>
      </c>
      <c r="L181" s="248">
        <f t="shared" si="15"/>
        <v>24590</v>
      </c>
      <c r="M181" s="164">
        <v>10113.8908242</v>
      </c>
      <c r="N181" s="190">
        <f t="shared" si="13"/>
        <v>10113.8908242</v>
      </c>
      <c r="O181" s="264">
        <f t="shared" si="17"/>
        <v>719</v>
      </c>
      <c r="P181" s="264">
        <f t="shared" si="17"/>
        <v>0</v>
      </c>
      <c r="Q181" s="166">
        <v>4200</v>
      </c>
      <c r="R181" s="166">
        <v>1161</v>
      </c>
      <c r="S181" s="182">
        <f t="shared" si="14"/>
        <v>0</v>
      </c>
      <c r="T181" s="339">
        <v>0.39765000576567111</v>
      </c>
    </row>
    <row r="182" spans="1:20" x14ac:dyDescent="0.2">
      <c r="A182" s="153">
        <v>2016</v>
      </c>
      <c r="B182" s="153">
        <v>1</v>
      </c>
      <c r="C182" s="168"/>
      <c r="D182" s="173">
        <v>8.9141516065326432</v>
      </c>
      <c r="E182" s="279">
        <f>HLOOKUP($A182,'OD Rates'!$B$1:$K$13,13,0)*100</f>
        <v>11.1511374889444</v>
      </c>
      <c r="F182" s="173"/>
      <c r="G182" s="173">
        <v>32.520000000000003</v>
      </c>
      <c r="H182" s="154">
        <v>136.45708119</v>
      </c>
      <c r="I182" s="190">
        <f t="shared" si="11"/>
        <v>136.45708119</v>
      </c>
      <c r="J182" s="190">
        <f t="shared" si="12"/>
        <v>54.272083060717364</v>
      </c>
      <c r="K182" s="246">
        <v>24834</v>
      </c>
      <c r="L182" s="248">
        <f t="shared" si="15"/>
        <v>24589</v>
      </c>
      <c r="M182" s="164">
        <v>10485.507251000001</v>
      </c>
      <c r="N182" s="190">
        <f t="shared" si="13"/>
        <v>10485.507251000001</v>
      </c>
      <c r="O182" s="264">
        <f t="shared" si="17"/>
        <v>903.25</v>
      </c>
      <c r="P182" s="264">
        <f t="shared" si="17"/>
        <v>0</v>
      </c>
      <c r="Q182" s="166">
        <v>4200</v>
      </c>
      <c r="R182" s="166">
        <v>1161</v>
      </c>
      <c r="S182" s="182">
        <f t="shared" si="14"/>
        <v>0</v>
      </c>
      <c r="T182" s="339">
        <v>0.39772273148031101</v>
      </c>
    </row>
    <row r="183" spans="1:20" x14ac:dyDescent="0.2">
      <c r="A183" s="153">
        <v>2016</v>
      </c>
      <c r="B183" s="153">
        <v>2</v>
      </c>
      <c r="C183" s="168"/>
      <c r="D183" s="173">
        <v>8.9141516065326432</v>
      </c>
      <c r="E183" s="279">
        <f>HLOOKUP($A183,'OD Rates'!$B$1:$K$13,13,0)*100</f>
        <v>11.1511374889444</v>
      </c>
      <c r="F183" s="173"/>
      <c r="G183" s="173">
        <v>30.14</v>
      </c>
      <c r="H183" s="154">
        <v>136.45708119</v>
      </c>
      <c r="I183" s="190">
        <f t="shared" si="11"/>
        <v>136.45708119</v>
      </c>
      <c r="J183" s="190">
        <f t="shared" si="12"/>
        <v>54.272083060717364</v>
      </c>
      <c r="K183" s="246">
        <v>24832</v>
      </c>
      <c r="L183" s="248">
        <f t="shared" si="15"/>
        <v>24588</v>
      </c>
      <c r="M183" s="164">
        <v>10485.507251000001</v>
      </c>
      <c r="N183" s="190">
        <f t="shared" si="13"/>
        <v>10485.507251000001</v>
      </c>
      <c r="O183" s="264">
        <f t="shared" si="17"/>
        <v>652.25</v>
      </c>
      <c r="P183" s="264">
        <f t="shared" si="17"/>
        <v>0</v>
      </c>
      <c r="Q183" s="166">
        <v>4200</v>
      </c>
      <c r="R183" s="166">
        <v>1161</v>
      </c>
      <c r="S183" s="182">
        <f t="shared" si="14"/>
        <v>0</v>
      </c>
      <c r="T183" s="339">
        <v>0.39772273148031101</v>
      </c>
    </row>
    <row r="184" spans="1:20" x14ac:dyDescent="0.2">
      <c r="A184" s="153">
        <v>2016</v>
      </c>
      <c r="B184" s="153">
        <v>3</v>
      </c>
      <c r="C184" s="168"/>
      <c r="D184" s="173">
        <v>8.9141516065326432</v>
      </c>
      <c r="E184" s="279">
        <f>HLOOKUP($A184,'OD Rates'!$B$1:$K$13,13,0)*100</f>
        <v>11.1511374889444</v>
      </c>
      <c r="F184" s="173"/>
      <c r="G184" s="173">
        <v>30.33</v>
      </c>
      <c r="H184" s="154">
        <v>136.45708119</v>
      </c>
      <c r="I184" s="190">
        <f t="shared" si="11"/>
        <v>136.45708119</v>
      </c>
      <c r="J184" s="190">
        <f t="shared" si="12"/>
        <v>54.272083060717364</v>
      </c>
      <c r="K184" s="246">
        <v>24830</v>
      </c>
      <c r="L184" s="248">
        <f t="shared" si="15"/>
        <v>24587</v>
      </c>
      <c r="M184" s="164">
        <v>10485.507251000001</v>
      </c>
      <c r="N184" s="190">
        <f t="shared" si="13"/>
        <v>10485.507251000001</v>
      </c>
      <c r="O184" s="264">
        <f t="shared" si="17"/>
        <v>489.25</v>
      </c>
      <c r="P184" s="264">
        <f t="shared" si="17"/>
        <v>0</v>
      </c>
      <c r="Q184" s="166">
        <v>4200</v>
      </c>
      <c r="R184" s="166">
        <v>1161</v>
      </c>
      <c r="S184" s="182">
        <f t="shared" si="14"/>
        <v>0</v>
      </c>
      <c r="T184" s="339">
        <v>0.39772273148031101</v>
      </c>
    </row>
    <row r="185" spans="1:20" x14ac:dyDescent="0.2">
      <c r="A185" s="153">
        <v>2016</v>
      </c>
      <c r="B185" s="153">
        <v>4</v>
      </c>
      <c r="C185" s="168"/>
      <c r="D185" s="173">
        <v>8.9141516065326432</v>
      </c>
      <c r="E185" s="279">
        <f>HLOOKUP($A185,'OD Rates'!$B$1:$K$13,13,0)*100</f>
        <v>11.1511374889444</v>
      </c>
      <c r="F185" s="173"/>
      <c r="G185" s="173">
        <v>30.52</v>
      </c>
      <c r="H185" s="154">
        <v>136.45708119</v>
      </c>
      <c r="I185" s="190">
        <f t="shared" si="11"/>
        <v>136.45708119</v>
      </c>
      <c r="J185" s="190">
        <f t="shared" si="12"/>
        <v>54.280690783760562</v>
      </c>
      <c r="K185" s="246">
        <v>24828</v>
      </c>
      <c r="L185" s="248">
        <f t="shared" si="15"/>
        <v>24586</v>
      </c>
      <c r="M185" s="164">
        <v>10485.507251000001</v>
      </c>
      <c r="N185" s="190">
        <f t="shared" si="13"/>
        <v>10485.507251000001</v>
      </c>
      <c r="O185" s="264">
        <f t="shared" si="17"/>
        <v>184.25</v>
      </c>
      <c r="P185" s="264">
        <f t="shared" si="17"/>
        <v>27.25</v>
      </c>
      <c r="Q185" s="166">
        <v>4200</v>
      </c>
      <c r="R185" s="166">
        <v>1161</v>
      </c>
      <c r="S185" s="182">
        <f t="shared" si="14"/>
        <v>0</v>
      </c>
      <c r="T185" s="339">
        <v>0.39778581155624498</v>
      </c>
    </row>
    <row r="186" spans="1:20" x14ac:dyDescent="0.2">
      <c r="A186" s="153">
        <v>2016</v>
      </c>
      <c r="B186" s="153">
        <v>5</v>
      </c>
      <c r="C186" s="168"/>
      <c r="D186" s="173">
        <v>8.9141516065326432</v>
      </c>
      <c r="E186" s="279">
        <f>HLOOKUP($A186,'OD Rates'!$B$1:$K$13,13,0)*100</f>
        <v>11.1511374889444</v>
      </c>
      <c r="F186" s="173"/>
      <c r="G186" s="173">
        <v>29.48</v>
      </c>
      <c r="H186" s="154">
        <v>136.45708119</v>
      </c>
      <c r="I186" s="190">
        <f t="shared" si="11"/>
        <v>136.45708119</v>
      </c>
      <c r="J186" s="190">
        <f t="shared" si="12"/>
        <v>54.280690783760562</v>
      </c>
      <c r="K186" s="246">
        <v>24826</v>
      </c>
      <c r="L186" s="248">
        <f t="shared" si="15"/>
        <v>24585</v>
      </c>
      <c r="M186" s="164">
        <v>10485.507251000001</v>
      </c>
      <c r="N186" s="190">
        <f t="shared" si="13"/>
        <v>10485.507251000001</v>
      </c>
      <c r="O186" s="264">
        <f t="shared" si="17"/>
        <v>70</v>
      </c>
      <c r="P186" s="264">
        <f t="shared" si="17"/>
        <v>138.5</v>
      </c>
      <c r="Q186" s="166">
        <v>4200</v>
      </c>
      <c r="R186" s="166">
        <v>1161</v>
      </c>
      <c r="S186" s="182">
        <f t="shared" si="14"/>
        <v>0</v>
      </c>
      <c r="T186" s="339">
        <v>0.39778581155624498</v>
      </c>
    </row>
    <row r="187" spans="1:20" x14ac:dyDescent="0.2">
      <c r="A187" s="153">
        <v>2016</v>
      </c>
      <c r="B187" s="153">
        <v>6</v>
      </c>
      <c r="C187" s="168"/>
      <c r="D187" s="173">
        <v>8.9141516065326432</v>
      </c>
      <c r="E187" s="279">
        <f>HLOOKUP($A187,'OD Rates'!$B$1:$K$13,13,0)*100</f>
        <v>11.1511374889444</v>
      </c>
      <c r="F187" s="173"/>
      <c r="G187" s="173">
        <v>30.67</v>
      </c>
      <c r="H187" s="154">
        <v>136.45708119</v>
      </c>
      <c r="I187" s="190">
        <f t="shared" si="11"/>
        <v>136.45708119</v>
      </c>
      <c r="J187" s="190">
        <f t="shared" si="12"/>
        <v>54.280690783760562</v>
      </c>
      <c r="K187" s="246">
        <v>24824</v>
      </c>
      <c r="L187" s="248">
        <f t="shared" si="15"/>
        <v>24584</v>
      </c>
      <c r="M187" s="164">
        <v>10485.507251000001</v>
      </c>
      <c r="N187" s="190">
        <f t="shared" si="13"/>
        <v>10485.507251000001</v>
      </c>
      <c r="O187" s="264">
        <f t="shared" si="17"/>
        <v>1.25</v>
      </c>
      <c r="P187" s="264">
        <f t="shared" si="17"/>
        <v>239.5</v>
      </c>
      <c r="Q187" s="166">
        <v>4200</v>
      </c>
      <c r="R187" s="166">
        <v>1161</v>
      </c>
      <c r="S187" s="182">
        <f t="shared" si="14"/>
        <v>0</v>
      </c>
      <c r="T187" s="339">
        <v>0.39778581155624498</v>
      </c>
    </row>
    <row r="188" spans="1:20" x14ac:dyDescent="0.2">
      <c r="A188" s="153">
        <v>2016</v>
      </c>
      <c r="B188" s="153">
        <v>7</v>
      </c>
      <c r="C188" s="168"/>
      <c r="D188" s="173">
        <v>8.9141516065326432</v>
      </c>
      <c r="E188" s="279">
        <f>HLOOKUP($A188,'OD Rates'!$B$1:$K$13,13,0)*100</f>
        <v>11.1511374889444</v>
      </c>
      <c r="F188" s="173"/>
      <c r="G188" s="173">
        <v>30.71</v>
      </c>
      <c r="H188" s="154">
        <v>136.45708119</v>
      </c>
      <c r="I188" s="190">
        <f t="shared" si="11"/>
        <v>136.45708119</v>
      </c>
      <c r="J188" s="190">
        <f t="shared" si="12"/>
        <v>54.28886384776149</v>
      </c>
      <c r="K188" s="246">
        <v>24822</v>
      </c>
      <c r="L188" s="248">
        <f t="shared" si="15"/>
        <v>24583</v>
      </c>
      <c r="M188" s="164">
        <v>10485.507251000001</v>
      </c>
      <c r="N188" s="190">
        <f t="shared" si="13"/>
        <v>10485.507251000001</v>
      </c>
      <c r="O188" s="264">
        <f t="shared" si="17"/>
        <v>0</v>
      </c>
      <c r="P188" s="264">
        <f t="shared" si="17"/>
        <v>391</v>
      </c>
      <c r="Q188" s="166">
        <v>4200</v>
      </c>
      <c r="R188" s="166">
        <v>1161</v>
      </c>
      <c r="S188" s="182">
        <f t="shared" si="14"/>
        <v>0</v>
      </c>
      <c r="T188" s="339">
        <v>0.39784570631531246</v>
      </c>
    </row>
    <row r="189" spans="1:20" x14ac:dyDescent="0.2">
      <c r="A189" s="153">
        <v>2016</v>
      </c>
      <c r="B189" s="153">
        <v>8</v>
      </c>
      <c r="C189" s="168"/>
      <c r="D189" s="173">
        <v>8.9141516065326432</v>
      </c>
      <c r="E189" s="279">
        <f>HLOOKUP($A189,'OD Rates'!$B$1:$K$13,13,0)*100</f>
        <v>11.1511374889444</v>
      </c>
      <c r="F189" s="173"/>
      <c r="G189" s="173">
        <v>29.52</v>
      </c>
      <c r="H189" s="154">
        <v>136.45708119</v>
      </c>
      <c r="I189" s="190">
        <f t="shared" si="11"/>
        <v>136.45708119</v>
      </c>
      <c r="J189" s="190">
        <f t="shared" si="12"/>
        <v>54.28886384776149</v>
      </c>
      <c r="K189" s="246">
        <v>24820</v>
      </c>
      <c r="L189" s="248">
        <f t="shared" si="15"/>
        <v>24582</v>
      </c>
      <c r="M189" s="164">
        <v>10485.507251000001</v>
      </c>
      <c r="N189" s="190">
        <f t="shared" si="13"/>
        <v>10485.507251000001</v>
      </c>
      <c r="O189" s="264">
        <f t="shared" si="17"/>
        <v>0</v>
      </c>
      <c r="P189" s="264">
        <f t="shared" si="17"/>
        <v>292.5</v>
      </c>
      <c r="Q189" s="166">
        <v>4200</v>
      </c>
      <c r="R189" s="166">
        <v>1161</v>
      </c>
      <c r="S189" s="182">
        <f t="shared" si="14"/>
        <v>0</v>
      </c>
      <c r="T189" s="339">
        <v>0.39784570631531246</v>
      </c>
    </row>
    <row r="190" spans="1:20" x14ac:dyDescent="0.2">
      <c r="A190" s="153">
        <v>2016</v>
      </c>
      <c r="B190" s="153">
        <v>9</v>
      </c>
      <c r="C190" s="168"/>
      <c r="D190" s="173">
        <v>8.9141516065326432</v>
      </c>
      <c r="E190" s="279">
        <f>HLOOKUP($A190,'OD Rates'!$B$1:$K$13,13,0)*100</f>
        <v>11.1511374889444</v>
      </c>
      <c r="F190" s="173"/>
      <c r="G190" s="173">
        <v>30.52</v>
      </c>
      <c r="H190" s="154">
        <v>136.45708119</v>
      </c>
      <c r="I190" s="190">
        <f t="shared" si="11"/>
        <v>136.45708119</v>
      </c>
      <c r="J190" s="190">
        <f t="shared" si="12"/>
        <v>54.28886384776149</v>
      </c>
      <c r="K190" s="246">
        <v>24818</v>
      </c>
      <c r="L190" s="248">
        <f t="shared" si="15"/>
        <v>24581</v>
      </c>
      <c r="M190" s="164">
        <v>10485.507251000001</v>
      </c>
      <c r="N190" s="190">
        <f t="shared" si="13"/>
        <v>10485.507251000001</v>
      </c>
      <c r="O190" s="264">
        <f t="shared" si="17"/>
        <v>43.5</v>
      </c>
      <c r="P190" s="264">
        <f t="shared" si="17"/>
        <v>138.5</v>
      </c>
      <c r="Q190" s="166">
        <v>4200</v>
      </c>
      <c r="R190" s="166">
        <v>1161</v>
      </c>
      <c r="S190" s="182">
        <f t="shared" si="14"/>
        <v>0</v>
      </c>
      <c r="T190" s="339">
        <v>0.39784570631531246</v>
      </c>
    </row>
    <row r="191" spans="1:20" x14ac:dyDescent="0.2">
      <c r="A191" s="153">
        <v>2016</v>
      </c>
      <c r="B191" s="153">
        <v>10</v>
      </c>
      <c r="C191" s="168"/>
      <c r="D191" s="173">
        <v>8.9141516065326432</v>
      </c>
      <c r="E191" s="279">
        <f>HLOOKUP($A191,'OD Rates'!$B$1:$K$13,13,0)*100</f>
        <v>11.1511374889444</v>
      </c>
      <c r="F191" s="173"/>
      <c r="G191" s="173">
        <v>29.62</v>
      </c>
      <c r="H191" s="154">
        <v>136.45708119</v>
      </c>
      <c r="I191" s="190">
        <f t="shared" si="11"/>
        <v>136.45708119</v>
      </c>
      <c r="J191" s="190">
        <f t="shared" si="12"/>
        <v>54.297290563652339</v>
      </c>
      <c r="K191" s="246">
        <v>24816</v>
      </c>
      <c r="L191" s="248">
        <f t="shared" si="15"/>
        <v>24580</v>
      </c>
      <c r="M191" s="164">
        <v>10485.507251000001</v>
      </c>
      <c r="N191" s="190">
        <f t="shared" si="13"/>
        <v>10485.507251000001</v>
      </c>
      <c r="O191" s="264">
        <f t="shared" ref="O191:P206" si="18">O179</f>
        <v>259.5</v>
      </c>
      <c r="P191" s="264">
        <f t="shared" si="18"/>
        <v>8</v>
      </c>
      <c r="Q191" s="166">
        <v>4200</v>
      </c>
      <c r="R191" s="166">
        <v>1161</v>
      </c>
      <c r="S191" s="182">
        <f t="shared" si="14"/>
        <v>0</v>
      </c>
      <c r="T191" s="339">
        <v>0.39790745991444681</v>
      </c>
    </row>
    <row r="192" spans="1:20" x14ac:dyDescent="0.2">
      <c r="A192" s="153">
        <v>2016</v>
      </c>
      <c r="B192" s="153">
        <v>11</v>
      </c>
      <c r="C192" s="168"/>
      <c r="D192" s="173">
        <v>8.9141516065326432</v>
      </c>
      <c r="E192" s="279">
        <f>HLOOKUP($A192,'OD Rates'!$B$1:$K$13,13,0)*100</f>
        <v>11.1511374889444</v>
      </c>
      <c r="F192" s="173"/>
      <c r="G192" s="173">
        <v>29.95</v>
      </c>
      <c r="H192" s="154">
        <v>136.45708119</v>
      </c>
      <c r="I192" s="190">
        <f t="shared" si="11"/>
        <v>136.45708119</v>
      </c>
      <c r="J192" s="190">
        <f t="shared" si="12"/>
        <v>54.297290563652339</v>
      </c>
      <c r="K192" s="246">
        <v>24814</v>
      </c>
      <c r="L192" s="248">
        <f t="shared" si="15"/>
        <v>24579</v>
      </c>
      <c r="M192" s="164">
        <v>10485.507251000001</v>
      </c>
      <c r="N192" s="190">
        <f t="shared" si="13"/>
        <v>10485.507251000001</v>
      </c>
      <c r="O192" s="264">
        <f t="shared" si="18"/>
        <v>529.75</v>
      </c>
      <c r="P192" s="264">
        <f t="shared" si="18"/>
        <v>1</v>
      </c>
      <c r="Q192" s="166">
        <v>4200</v>
      </c>
      <c r="R192" s="166">
        <v>1161</v>
      </c>
      <c r="S192" s="182">
        <f t="shared" si="14"/>
        <v>0</v>
      </c>
      <c r="T192" s="339">
        <v>0.39790745991444681</v>
      </c>
    </row>
    <row r="193" spans="1:20" x14ac:dyDescent="0.2">
      <c r="A193" s="153">
        <v>2016</v>
      </c>
      <c r="B193" s="153">
        <v>12</v>
      </c>
      <c r="C193" s="168"/>
      <c r="D193" s="173">
        <v>8.9141516065326432</v>
      </c>
      <c r="E193" s="279">
        <f>HLOOKUP($A193,'OD Rates'!$B$1:$K$13,13,0)*100</f>
        <v>11.1511374889444</v>
      </c>
      <c r="F193" s="173"/>
      <c r="G193" s="173">
        <v>31.24</v>
      </c>
      <c r="H193" s="154">
        <v>136.45708119</v>
      </c>
      <c r="I193" s="190">
        <f t="shared" si="11"/>
        <v>136.45708119</v>
      </c>
      <c r="J193" s="190">
        <f t="shared" si="12"/>
        <v>54.297290563652339</v>
      </c>
      <c r="K193" s="246">
        <v>24812</v>
      </c>
      <c r="L193" s="248">
        <f t="shared" si="15"/>
        <v>24578</v>
      </c>
      <c r="M193" s="164">
        <v>10485.507251000001</v>
      </c>
      <c r="N193" s="190">
        <f t="shared" si="13"/>
        <v>10485.507251000001</v>
      </c>
      <c r="O193" s="264">
        <f t="shared" si="18"/>
        <v>719</v>
      </c>
      <c r="P193" s="264">
        <f t="shared" si="18"/>
        <v>0</v>
      </c>
      <c r="Q193" s="166">
        <v>4200</v>
      </c>
      <c r="R193" s="166">
        <v>1161</v>
      </c>
      <c r="S193" s="182">
        <f t="shared" si="14"/>
        <v>0</v>
      </c>
      <c r="T193" s="339">
        <v>0.39790745991444681</v>
      </c>
    </row>
    <row r="194" spans="1:20" x14ac:dyDescent="0.2">
      <c r="A194" s="153">
        <v>2017</v>
      </c>
      <c r="B194" s="153">
        <v>1</v>
      </c>
      <c r="C194" s="168"/>
      <c r="D194" s="173">
        <v>8.9002615420299822</v>
      </c>
      <c r="E194" s="281">
        <f>E182*(1+0.02)</f>
        <v>11.374160238723288</v>
      </c>
      <c r="F194" s="173"/>
      <c r="G194" s="173">
        <v>32.67</v>
      </c>
      <c r="H194" s="154">
        <v>136.43033462</v>
      </c>
      <c r="I194" s="190">
        <f t="shared" si="11"/>
        <v>136.43033462</v>
      </c>
      <c r="J194" s="190">
        <f t="shared" si="12"/>
        <v>54.261862535715153</v>
      </c>
      <c r="K194" s="246">
        <v>24810</v>
      </c>
      <c r="L194" s="248">
        <f t="shared" si="15"/>
        <v>24577</v>
      </c>
      <c r="M194" s="164">
        <v>10899.1221188</v>
      </c>
      <c r="N194" s="190">
        <f t="shared" si="13"/>
        <v>10899.1221188</v>
      </c>
      <c r="O194" s="264">
        <f t="shared" si="18"/>
        <v>903.25</v>
      </c>
      <c r="P194" s="264">
        <f t="shared" si="18"/>
        <v>0</v>
      </c>
      <c r="Q194" s="166">
        <v>4200</v>
      </c>
      <c r="R194" s="166">
        <v>1161</v>
      </c>
      <c r="S194" s="182">
        <f t="shared" si="14"/>
        <v>0</v>
      </c>
      <c r="T194" s="339">
        <v>0.39772578940637326</v>
      </c>
    </row>
    <row r="195" spans="1:20" x14ac:dyDescent="0.2">
      <c r="A195" s="153">
        <v>2017</v>
      </c>
      <c r="B195" s="153">
        <v>2</v>
      </c>
      <c r="C195" s="168"/>
      <c r="D195" s="173">
        <v>8.9002615420299822</v>
      </c>
      <c r="E195" s="281">
        <f t="shared" ref="E195:E258" si="19">E183*(1+0.02)</f>
        <v>11.374160238723288</v>
      </c>
      <c r="F195" s="173"/>
      <c r="G195" s="173">
        <v>29.86</v>
      </c>
      <c r="H195" s="154">
        <v>136.43033462</v>
      </c>
      <c r="I195" s="190">
        <f t="shared" ref="I195:I258" si="20">H195</f>
        <v>136.43033462</v>
      </c>
      <c r="J195" s="190">
        <f t="shared" ref="J195:J258" si="21">H195*T195</f>
        <v>54.261862535715153</v>
      </c>
      <c r="K195" s="246">
        <v>24808</v>
      </c>
      <c r="L195" s="248">
        <f t="shared" si="15"/>
        <v>24576</v>
      </c>
      <c r="M195" s="164">
        <v>10899.1221188</v>
      </c>
      <c r="N195" s="190">
        <f t="shared" ref="N195:N258" si="22">M195</f>
        <v>10899.1221188</v>
      </c>
      <c r="O195" s="264">
        <f t="shared" si="18"/>
        <v>652.25</v>
      </c>
      <c r="P195" s="264">
        <f t="shared" si="18"/>
        <v>0</v>
      </c>
      <c r="Q195" s="166">
        <v>4200</v>
      </c>
      <c r="R195" s="166">
        <v>1161</v>
      </c>
      <c r="S195" s="182">
        <f t="shared" ref="S195:S258" si="23">C195/K195*1000</f>
        <v>0</v>
      </c>
      <c r="T195" s="339">
        <v>0.39772578940637326</v>
      </c>
    </row>
    <row r="196" spans="1:20" x14ac:dyDescent="0.2">
      <c r="A196" s="153">
        <v>2017</v>
      </c>
      <c r="B196" s="153">
        <v>3</v>
      </c>
      <c r="C196" s="168"/>
      <c r="D196" s="173">
        <v>8.9002615420299822</v>
      </c>
      <c r="E196" s="281">
        <f t="shared" si="19"/>
        <v>11.374160238723288</v>
      </c>
      <c r="F196" s="173"/>
      <c r="G196" s="173">
        <v>30.29</v>
      </c>
      <c r="H196" s="154">
        <v>136.43033462</v>
      </c>
      <c r="I196" s="190">
        <f t="shared" si="20"/>
        <v>136.43033462</v>
      </c>
      <c r="J196" s="190">
        <f t="shared" si="21"/>
        <v>54.261862535715153</v>
      </c>
      <c r="K196" s="246">
        <v>24806</v>
      </c>
      <c r="L196" s="248">
        <f t="shared" si="15"/>
        <v>24575</v>
      </c>
      <c r="M196" s="164">
        <v>10899.1221188</v>
      </c>
      <c r="N196" s="190">
        <f t="shared" si="22"/>
        <v>10899.1221188</v>
      </c>
      <c r="O196" s="264">
        <f t="shared" si="18"/>
        <v>489.25</v>
      </c>
      <c r="P196" s="264">
        <f t="shared" si="18"/>
        <v>0</v>
      </c>
      <c r="Q196" s="166">
        <v>4200</v>
      </c>
      <c r="R196" s="166">
        <v>1161</v>
      </c>
      <c r="S196" s="182">
        <f t="shared" si="23"/>
        <v>0</v>
      </c>
      <c r="T196" s="339">
        <v>0.39772578940637326</v>
      </c>
    </row>
    <row r="197" spans="1:20" x14ac:dyDescent="0.2">
      <c r="A197" s="153">
        <v>2017</v>
      </c>
      <c r="B197" s="153">
        <v>4</v>
      </c>
      <c r="C197" s="168"/>
      <c r="D197" s="173">
        <v>8.9002615420299822</v>
      </c>
      <c r="E197" s="281">
        <f t="shared" si="19"/>
        <v>11.374160238723288</v>
      </c>
      <c r="F197" s="173"/>
      <c r="G197" s="173">
        <v>30.33</v>
      </c>
      <c r="H197" s="154">
        <v>136.43033462</v>
      </c>
      <c r="I197" s="190">
        <f t="shared" si="20"/>
        <v>136.43033462</v>
      </c>
      <c r="J197" s="190">
        <f t="shared" si="21"/>
        <v>54.237845985487475</v>
      </c>
      <c r="K197" s="246">
        <v>24804</v>
      </c>
      <c r="L197" s="248">
        <f t="shared" si="15"/>
        <v>24574</v>
      </c>
      <c r="M197" s="164">
        <v>10899.1221188</v>
      </c>
      <c r="N197" s="190">
        <f t="shared" si="22"/>
        <v>10899.1221188</v>
      </c>
      <c r="O197" s="264">
        <f t="shared" si="18"/>
        <v>184.25</v>
      </c>
      <c r="P197" s="264">
        <f t="shared" si="18"/>
        <v>27.25</v>
      </c>
      <c r="Q197" s="166">
        <v>4200</v>
      </c>
      <c r="R197" s="166">
        <v>1161</v>
      </c>
      <c r="S197" s="182">
        <f t="shared" si="23"/>
        <v>0</v>
      </c>
      <c r="T197" s="339">
        <v>0.39754975414050242</v>
      </c>
    </row>
    <row r="198" spans="1:20" x14ac:dyDescent="0.2">
      <c r="A198" s="153">
        <v>2017</v>
      </c>
      <c r="B198" s="153">
        <v>5</v>
      </c>
      <c r="C198" s="168"/>
      <c r="D198" s="173">
        <v>8.9002615420299822</v>
      </c>
      <c r="E198" s="281">
        <f t="shared" si="19"/>
        <v>11.374160238723288</v>
      </c>
      <c r="F198" s="173"/>
      <c r="G198" s="173">
        <v>30.05</v>
      </c>
      <c r="H198" s="154">
        <v>136.43033462</v>
      </c>
      <c r="I198" s="190">
        <f t="shared" si="20"/>
        <v>136.43033462</v>
      </c>
      <c r="J198" s="190">
        <f t="shared" si="21"/>
        <v>54.237845985487475</v>
      </c>
      <c r="K198" s="246">
        <v>24802</v>
      </c>
      <c r="L198" s="248">
        <f t="shared" si="15"/>
        <v>24573</v>
      </c>
      <c r="M198" s="164">
        <v>10899.1221188</v>
      </c>
      <c r="N198" s="190">
        <f t="shared" si="22"/>
        <v>10899.1221188</v>
      </c>
      <c r="O198" s="264">
        <f t="shared" si="18"/>
        <v>70</v>
      </c>
      <c r="P198" s="264">
        <f t="shared" si="18"/>
        <v>138.5</v>
      </c>
      <c r="Q198" s="166">
        <v>4200</v>
      </c>
      <c r="R198" s="166">
        <v>1161</v>
      </c>
      <c r="S198" s="182">
        <f t="shared" si="23"/>
        <v>0</v>
      </c>
      <c r="T198" s="339">
        <v>0.39754975414050242</v>
      </c>
    </row>
    <row r="199" spans="1:20" x14ac:dyDescent="0.2">
      <c r="A199" s="153">
        <v>2017</v>
      </c>
      <c r="B199" s="153">
        <v>6</v>
      </c>
      <c r="C199" s="168"/>
      <c r="D199" s="173">
        <v>8.9002615420299822</v>
      </c>
      <c r="E199" s="281">
        <f t="shared" si="19"/>
        <v>11.374160238723288</v>
      </c>
      <c r="F199" s="173"/>
      <c r="G199" s="173">
        <v>30.62</v>
      </c>
      <c r="H199" s="154">
        <v>136.43033462</v>
      </c>
      <c r="I199" s="190">
        <f t="shared" si="20"/>
        <v>136.43033462</v>
      </c>
      <c r="J199" s="190">
        <f t="shared" si="21"/>
        <v>54.237845985487475</v>
      </c>
      <c r="K199" s="246">
        <v>24800</v>
      </c>
      <c r="L199" s="248">
        <f t="shared" si="15"/>
        <v>24572</v>
      </c>
      <c r="M199" s="164">
        <v>10899.1221188</v>
      </c>
      <c r="N199" s="190">
        <f t="shared" si="22"/>
        <v>10899.1221188</v>
      </c>
      <c r="O199" s="264">
        <f t="shared" si="18"/>
        <v>1.25</v>
      </c>
      <c r="P199" s="264">
        <f t="shared" si="18"/>
        <v>239.5</v>
      </c>
      <c r="Q199" s="166">
        <v>4200</v>
      </c>
      <c r="R199" s="166">
        <v>1161</v>
      </c>
      <c r="S199" s="182">
        <f t="shared" si="23"/>
        <v>0</v>
      </c>
      <c r="T199" s="339">
        <v>0.39754975414050242</v>
      </c>
    </row>
    <row r="200" spans="1:20" x14ac:dyDescent="0.2">
      <c r="A200" s="153">
        <v>2017</v>
      </c>
      <c r="B200" s="153">
        <v>7</v>
      </c>
      <c r="C200" s="168"/>
      <c r="D200" s="173">
        <v>8.9002615420299822</v>
      </c>
      <c r="E200" s="281">
        <f t="shared" si="19"/>
        <v>11.374160238723288</v>
      </c>
      <c r="F200" s="173"/>
      <c r="G200" s="173">
        <v>30.81</v>
      </c>
      <c r="H200" s="154">
        <v>136.43033462</v>
      </c>
      <c r="I200" s="190">
        <f t="shared" si="20"/>
        <v>136.43033462</v>
      </c>
      <c r="J200" s="190">
        <f t="shared" si="21"/>
        <v>54.213474905811609</v>
      </c>
      <c r="K200" s="246">
        <v>24798</v>
      </c>
      <c r="L200" s="248">
        <f t="shared" si="15"/>
        <v>24571</v>
      </c>
      <c r="M200" s="164">
        <v>10899.1221188</v>
      </c>
      <c r="N200" s="190">
        <f t="shared" si="22"/>
        <v>10899.1221188</v>
      </c>
      <c r="O200" s="264">
        <f t="shared" si="18"/>
        <v>0</v>
      </c>
      <c r="P200" s="264">
        <f t="shared" si="18"/>
        <v>391</v>
      </c>
      <c r="Q200" s="166">
        <v>4200</v>
      </c>
      <c r="R200" s="166">
        <v>1161</v>
      </c>
      <c r="S200" s="182">
        <f t="shared" si="23"/>
        <v>0</v>
      </c>
      <c r="T200" s="339">
        <v>0.39737112026304588</v>
      </c>
    </row>
    <row r="201" spans="1:20" x14ac:dyDescent="0.2">
      <c r="A201" s="153">
        <v>2017</v>
      </c>
      <c r="B201" s="153">
        <v>8</v>
      </c>
      <c r="C201" s="168"/>
      <c r="D201" s="173">
        <v>8.9002615420299822</v>
      </c>
      <c r="E201" s="281">
        <f t="shared" si="19"/>
        <v>11.374160238723288</v>
      </c>
      <c r="F201" s="173"/>
      <c r="G201" s="173">
        <v>29.43</v>
      </c>
      <c r="H201" s="154">
        <v>136.43033462</v>
      </c>
      <c r="I201" s="190">
        <f t="shared" si="20"/>
        <v>136.43033462</v>
      </c>
      <c r="J201" s="190">
        <f t="shared" si="21"/>
        <v>54.213474905811609</v>
      </c>
      <c r="K201" s="246">
        <v>24796</v>
      </c>
      <c r="L201" s="248">
        <f t="shared" si="15"/>
        <v>24570</v>
      </c>
      <c r="M201" s="164">
        <v>10899.1221188</v>
      </c>
      <c r="N201" s="190">
        <f t="shared" si="22"/>
        <v>10899.1221188</v>
      </c>
      <c r="O201" s="264">
        <f t="shared" si="18"/>
        <v>0</v>
      </c>
      <c r="P201" s="264">
        <f t="shared" si="18"/>
        <v>292.5</v>
      </c>
      <c r="Q201" s="166">
        <v>4200</v>
      </c>
      <c r="R201" s="166">
        <v>1161</v>
      </c>
      <c r="S201" s="182">
        <f t="shared" si="23"/>
        <v>0</v>
      </c>
      <c r="T201" s="339">
        <v>0.39737112026304588</v>
      </c>
    </row>
    <row r="202" spans="1:20" x14ac:dyDescent="0.2">
      <c r="A202" s="153">
        <v>2017</v>
      </c>
      <c r="B202" s="153">
        <v>9</v>
      </c>
      <c r="C202" s="168"/>
      <c r="D202" s="173">
        <v>8.9002615420299822</v>
      </c>
      <c r="E202" s="281">
        <f t="shared" si="19"/>
        <v>11.374160238723288</v>
      </c>
      <c r="F202" s="173"/>
      <c r="G202" s="173">
        <v>30.57</v>
      </c>
      <c r="H202" s="154">
        <v>136.43033462</v>
      </c>
      <c r="I202" s="190">
        <f t="shared" si="20"/>
        <v>136.43033462</v>
      </c>
      <c r="J202" s="190">
        <f t="shared" si="21"/>
        <v>54.213474905811609</v>
      </c>
      <c r="K202" s="246">
        <v>24794</v>
      </c>
      <c r="L202" s="248">
        <f t="shared" si="15"/>
        <v>24569</v>
      </c>
      <c r="M202" s="164">
        <v>10899.1221188</v>
      </c>
      <c r="N202" s="190">
        <f t="shared" si="22"/>
        <v>10899.1221188</v>
      </c>
      <c r="O202" s="264">
        <f t="shared" si="18"/>
        <v>43.5</v>
      </c>
      <c r="P202" s="264">
        <f t="shared" si="18"/>
        <v>138.5</v>
      </c>
      <c r="Q202" s="166">
        <v>4200</v>
      </c>
      <c r="R202" s="166">
        <v>1161</v>
      </c>
      <c r="S202" s="182">
        <f t="shared" si="23"/>
        <v>0</v>
      </c>
      <c r="T202" s="339">
        <v>0.39737112026304588</v>
      </c>
    </row>
    <row r="203" spans="1:20" x14ac:dyDescent="0.2">
      <c r="A203" s="153">
        <v>2017</v>
      </c>
      <c r="B203" s="153">
        <v>10</v>
      </c>
      <c r="C203" s="168"/>
      <c r="D203" s="173">
        <v>8.9002615420299822</v>
      </c>
      <c r="E203" s="281">
        <f t="shared" si="19"/>
        <v>11.374160238723288</v>
      </c>
      <c r="F203" s="173"/>
      <c r="G203" s="173">
        <v>29.67</v>
      </c>
      <c r="H203" s="154">
        <v>136.43033462</v>
      </c>
      <c r="I203" s="190">
        <f t="shared" si="20"/>
        <v>136.43033462</v>
      </c>
      <c r="J203" s="190">
        <f t="shared" si="21"/>
        <v>54.186814784848067</v>
      </c>
      <c r="K203" s="246">
        <v>24792</v>
      </c>
      <c r="L203" s="248">
        <f t="shared" ref="L203:L266" si="24">L202-1</f>
        <v>24568</v>
      </c>
      <c r="M203" s="164">
        <v>10899.1221188</v>
      </c>
      <c r="N203" s="190">
        <f t="shared" si="22"/>
        <v>10899.1221188</v>
      </c>
      <c r="O203" s="264">
        <f t="shared" si="18"/>
        <v>259.5</v>
      </c>
      <c r="P203" s="264">
        <f t="shared" si="18"/>
        <v>8</v>
      </c>
      <c r="Q203" s="166">
        <v>4200</v>
      </c>
      <c r="R203" s="166">
        <v>1161</v>
      </c>
      <c r="S203" s="182">
        <f t="shared" si="23"/>
        <v>0</v>
      </c>
      <c r="T203" s="339">
        <v>0.39717570828932464</v>
      </c>
    </row>
    <row r="204" spans="1:20" x14ac:dyDescent="0.2">
      <c r="A204" s="153">
        <v>2017</v>
      </c>
      <c r="B204" s="153">
        <v>11</v>
      </c>
      <c r="C204" s="168"/>
      <c r="D204" s="173">
        <v>8.9002615420299822</v>
      </c>
      <c r="E204" s="281">
        <f t="shared" si="19"/>
        <v>11.374160238723288</v>
      </c>
      <c r="F204" s="173"/>
      <c r="G204" s="173">
        <v>30.05</v>
      </c>
      <c r="H204" s="154">
        <v>136.43033462</v>
      </c>
      <c r="I204" s="190">
        <f t="shared" si="20"/>
        <v>136.43033462</v>
      </c>
      <c r="J204" s="190">
        <f t="shared" si="21"/>
        <v>54.186814784848067</v>
      </c>
      <c r="K204" s="246">
        <v>24790</v>
      </c>
      <c r="L204" s="248">
        <f t="shared" si="24"/>
        <v>24567</v>
      </c>
      <c r="M204" s="164">
        <v>10899.1221188</v>
      </c>
      <c r="N204" s="190">
        <f t="shared" si="22"/>
        <v>10899.1221188</v>
      </c>
      <c r="O204" s="264">
        <f t="shared" si="18"/>
        <v>529.75</v>
      </c>
      <c r="P204" s="264">
        <f t="shared" si="18"/>
        <v>1</v>
      </c>
      <c r="Q204" s="166">
        <v>4200</v>
      </c>
      <c r="R204" s="166">
        <v>1161</v>
      </c>
      <c r="S204" s="182">
        <f t="shared" si="23"/>
        <v>0</v>
      </c>
      <c r="T204" s="339">
        <v>0.39717570828932464</v>
      </c>
    </row>
    <row r="205" spans="1:20" x14ac:dyDescent="0.2">
      <c r="A205" s="153">
        <v>2017</v>
      </c>
      <c r="B205" s="153">
        <v>12</v>
      </c>
      <c r="C205" s="168"/>
      <c r="D205" s="173">
        <v>8.9002615420299822</v>
      </c>
      <c r="E205" s="281">
        <f t="shared" si="19"/>
        <v>11.374160238723288</v>
      </c>
      <c r="F205" s="173"/>
      <c r="G205" s="173">
        <v>30.67</v>
      </c>
      <c r="H205" s="154">
        <v>136.43033462</v>
      </c>
      <c r="I205" s="190">
        <f t="shared" si="20"/>
        <v>136.43033462</v>
      </c>
      <c r="J205" s="190">
        <f t="shared" si="21"/>
        <v>54.186814784848067</v>
      </c>
      <c r="K205" s="246">
        <v>24788</v>
      </c>
      <c r="L205" s="248">
        <f t="shared" si="24"/>
        <v>24566</v>
      </c>
      <c r="M205" s="164">
        <v>10899.1221188</v>
      </c>
      <c r="N205" s="190">
        <f t="shared" si="22"/>
        <v>10899.1221188</v>
      </c>
      <c r="O205" s="264">
        <f t="shared" si="18"/>
        <v>719</v>
      </c>
      <c r="P205" s="264">
        <f t="shared" si="18"/>
        <v>0</v>
      </c>
      <c r="Q205" s="166">
        <v>4200</v>
      </c>
      <c r="R205" s="166">
        <v>1161</v>
      </c>
      <c r="S205" s="182">
        <f t="shared" si="23"/>
        <v>0</v>
      </c>
      <c r="T205" s="339">
        <v>0.39717570828932464</v>
      </c>
    </row>
    <row r="206" spans="1:20" x14ac:dyDescent="0.2">
      <c r="A206" s="153">
        <v>2018</v>
      </c>
      <c r="B206" s="153">
        <v>1</v>
      </c>
      <c r="C206" s="168"/>
      <c r="D206" s="173">
        <v>10.265524702749273</v>
      </c>
      <c r="E206" s="281">
        <f t="shared" si="19"/>
        <v>11.601643443497753</v>
      </c>
      <c r="F206" s="173"/>
      <c r="G206" s="173">
        <v>32.67</v>
      </c>
      <c r="H206" s="154">
        <v>136.49621035000001</v>
      </c>
      <c r="I206" s="190">
        <f t="shared" si="20"/>
        <v>136.49621035000001</v>
      </c>
      <c r="J206" s="190">
        <f t="shared" si="21"/>
        <v>54.215476482987164</v>
      </c>
      <c r="K206" s="246">
        <v>24786</v>
      </c>
      <c r="L206" s="248">
        <f t="shared" si="24"/>
        <v>24565</v>
      </c>
      <c r="M206" s="164">
        <v>11318.781959800001</v>
      </c>
      <c r="N206" s="190">
        <f t="shared" si="22"/>
        <v>11318.781959800001</v>
      </c>
      <c r="O206" s="264">
        <f t="shared" si="18"/>
        <v>903.25</v>
      </c>
      <c r="P206" s="264">
        <f t="shared" si="18"/>
        <v>0</v>
      </c>
      <c r="Q206" s="166">
        <v>4200</v>
      </c>
      <c r="R206" s="166">
        <v>1161</v>
      </c>
      <c r="S206" s="182">
        <f t="shared" si="23"/>
        <v>0</v>
      </c>
      <c r="T206" s="339">
        <v>0.39719400519596298</v>
      </c>
    </row>
    <row r="207" spans="1:20" x14ac:dyDescent="0.2">
      <c r="A207" s="153">
        <v>2018</v>
      </c>
      <c r="B207" s="153">
        <v>2</v>
      </c>
      <c r="C207" s="168"/>
      <c r="D207" s="173">
        <v>10.265524702749273</v>
      </c>
      <c r="E207" s="281">
        <f t="shared" si="19"/>
        <v>11.601643443497753</v>
      </c>
      <c r="F207" s="173"/>
      <c r="G207" s="173">
        <v>29.86</v>
      </c>
      <c r="H207" s="154">
        <v>136.49621035000001</v>
      </c>
      <c r="I207" s="190">
        <f t="shared" si="20"/>
        <v>136.49621035000001</v>
      </c>
      <c r="J207" s="190">
        <f t="shared" si="21"/>
        <v>54.215476482987164</v>
      </c>
      <c r="K207" s="246">
        <v>24784</v>
      </c>
      <c r="L207" s="248">
        <f t="shared" si="24"/>
        <v>24564</v>
      </c>
      <c r="M207" s="164">
        <v>11318.781959800001</v>
      </c>
      <c r="N207" s="190">
        <f t="shared" si="22"/>
        <v>11318.781959800001</v>
      </c>
      <c r="O207" s="264">
        <f t="shared" ref="O207:P222" si="25">O195</f>
        <v>652.25</v>
      </c>
      <c r="P207" s="264">
        <f t="shared" si="25"/>
        <v>0</v>
      </c>
      <c r="Q207" s="166">
        <v>4200</v>
      </c>
      <c r="R207" s="166">
        <v>1161</v>
      </c>
      <c r="S207" s="182">
        <f t="shared" si="23"/>
        <v>0</v>
      </c>
      <c r="T207" s="339">
        <v>0.39719400519596298</v>
      </c>
    </row>
    <row r="208" spans="1:20" x14ac:dyDescent="0.2">
      <c r="A208" s="153">
        <v>2018</v>
      </c>
      <c r="B208" s="153">
        <v>3</v>
      </c>
      <c r="C208" s="168"/>
      <c r="D208" s="173">
        <v>10.265524702749273</v>
      </c>
      <c r="E208" s="281">
        <f t="shared" si="19"/>
        <v>11.601643443497753</v>
      </c>
      <c r="F208" s="173"/>
      <c r="G208" s="173">
        <v>30.43</v>
      </c>
      <c r="H208" s="154">
        <v>136.49621035000001</v>
      </c>
      <c r="I208" s="190">
        <f t="shared" si="20"/>
        <v>136.49621035000001</v>
      </c>
      <c r="J208" s="190">
        <f t="shared" si="21"/>
        <v>54.215476482987164</v>
      </c>
      <c r="K208" s="246">
        <v>24782</v>
      </c>
      <c r="L208" s="248">
        <f t="shared" si="24"/>
        <v>24563</v>
      </c>
      <c r="M208" s="164">
        <v>11318.781959800001</v>
      </c>
      <c r="N208" s="190">
        <f t="shared" si="22"/>
        <v>11318.781959800001</v>
      </c>
      <c r="O208" s="264">
        <f t="shared" si="25"/>
        <v>489.25</v>
      </c>
      <c r="P208" s="264">
        <f t="shared" si="25"/>
        <v>0</v>
      </c>
      <c r="Q208" s="166">
        <v>4200</v>
      </c>
      <c r="R208" s="166">
        <v>1161</v>
      </c>
      <c r="S208" s="182">
        <f t="shared" si="23"/>
        <v>0</v>
      </c>
      <c r="T208" s="339">
        <v>0.39719400519596298</v>
      </c>
    </row>
    <row r="209" spans="1:20" x14ac:dyDescent="0.2">
      <c r="A209" s="153">
        <v>2018</v>
      </c>
      <c r="B209" s="153">
        <v>4</v>
      </c>
      <c r="C209" s="168"/>
      <c r="D209" s="173">
        <v>10.265524702749273</v>
      </c>
      <c r="E209" s="281">
        <f t="shared" si="19"/>
        <v>11.601643443497753</v>
      </c>
      <c r="F209" s="173"/>
      <c r="G209" s="173">
        <v>30.71</v>
      </c>
      <c r="H209" s="154">
        <v>136.49621035000001</v>
      </c>
      <c r="I209" s="190">
        <f t="shared" si="20"/>
        <v>136.49621035000001</v>
      </c>
      <c r="J209" s="190">
        <f t="shared" si="21"/>
        <v>54.216714031292227</v>
      </c>
      <c r="K209" s="246">
        <v>24780</v>
      </c>
      <c r="L209" s="248">
        <f t="shared" si="24"/>
        <v>24562</v>
      </c>
      <c r="M209" s="164">
        <v>11318.781959800001</v>
      </c>
      <c r="N209" s="190">
        <f t="shared" si="22"/>
        <v>11318.781959800001</v>
      </c>
      <c r="O209" s="264">
        <f t="shared" si="25"/>
        <v>184.25</v>
      </c>
      <c r="P209" s="264">
        <f t="shared" si="25"/>
        <v>27.25</v>
      </c>
      <c r="Q209" s="166">
        <v>4200</v>
      </c>
      <c r="R209" s="166">
        <v>1161</v>
      </c>
      <c r="S209" s="182">
        <f t="shared" si="23"/>
        <v>0</v>
      </c>
      <c r="T209" s="339">
        <v>0.39720307173562658</v>
      </c>
    </row>
    <row r="210" spans="1:20" x14ac:dyDescent="0.2">
      <c r="A210" s="153">
        <v>2018</v>
      </c>
      <c r="B210" s="153">
        <v>5</v>
      </c>
      <c r="C210" s="168"/>
      <c r="D210" s="173">
        <v>10.265524702749273</v>
      </c>
      <c r="E210" s="281">
        <f t="shared" si="19"/>
        <v>11.601643443497753</v>
      </c>
      <c r="F210" s="173"/>
      <c r="G210" s="173">
        <v>29.52</v>
      </c>
      <c r="H210" s="154">
        <v>136.49621035000001</v>
      </c>
      <c r="I210" s="190">
        <f t="shared" si="20"/>
        <v>136.49621035000001</v>
      </c>
      <c r="J210" s="190">
        <f t="shared" si="21"/>
        <v>54.216714031292227</v>
      </c>
      <c r="K210" s="246">
        <v>24778</v>
      </c>
      <c r="L210" s="248">
        <f t="shared" si="24"/>
        <v>24561</v>
      </c>
      <c r="M210" s="164">
        <v>11318.781959800001</v>
      </c>
      <c r="N210" s="190">
        <f t="shared" si="22"/>
        <v>11318.781959800001</v>
      </c>
      <c r="O210" s="264">
        <f t="shared" si="25"/>
        <v>70</v>
      </c>
      <c r="P210" s="264">
        <f t="shared" si="25"/>
        <v>138.5</v>
      </c>
      <c r="Q210" s="166">
        <v>4200</v>
      </c>
      <c r="R210" s="166">
        <v>1161</v>
      </c>
      <c r="S210" s="182">
        <f t="shared" si="23"/>
        <v>0</v>
      </c>
      <c r="T210" s="339">
        <v>0.39720307173562658</v>
      </c>
    </row>
    <row r="211" spans="1:20" x14ac:dyDescent="0.2">
      <c r="A211" s="153">
        <v>2018</v>
      </c>
      <c r="B211" s="153">
        <v>6</v>
      </c>
      <c r="C211" s="168"/>
      <c r="D211" s="173">
        <v>10.265524702749273</v>
      </c>
      <c r="E211" s="281">
        <f t="shared" si="19"/>
        <v>11.601643443497753</v>
      </c>
      <c r="F211" s="173"/>
      <c r="G211" s="173">
        <v>30.62</v>
      </c>
      <c r="H211" s="154">
        <v>136.49621035000001</v>
      </c>
      <c r="I211" s="190">
        <f t="shared" si="20"/>
        <v>136.49621035000001</v>
      </c>
      <c r="J211" s="190">
        <f t="shared" si="21"/>
        <v>54.216714031292227</v>
      </c>
      <c r="K211" s="246">
        <v>24776</v>
      </c>
      <c r="L211" s="248">
        <f t="shared" si="24"/>
        <v>24560</v>
      </c>
      <c r="M211" s="164">
        <v>11318.781959800001</v>
      </c>
      <c r="N211" s="190">
        <f t="shared" si="22"/>
        <v>11318.781959800001</v>
      </c>
      <c r="O211" s="264">
        <f t="shared" si="25"/>
        <v>1.25</v>
      </c>
      <c r="P211" s="264">
        <f t="shared" si="25"/>
        <v>239.5</v>
      </c>
      <c r="Q211" s="166">
        <v>4200</v>
      </c>
      <c r="R211" s="166">
        <v>1161</v>
      </c>
      <c r="S211" s="182">
        <f t="shared" si="23"/>
        <v>0</v>
      </c>
      <c r="T211" s="339">
        <v>0.39720307173562658</v>
      </c>
    </row>
    <row r="212" spans="1:20" x14ac:dyDescent="0.2">
      <c r="A212" s="153">
        <v>2018</v>
      </c>
      <c r="B212" s="153">
        <v>7</v>
      </c>
      <c r="C212" s="168"/>
      <c r="D212" s="173">
        <v>10.265524702749273</v>
      </c>
      <c r="E212" s="281">
        <f t="shared" si="19"/>
        <v>11.601643443497753</v>
      </c>
      <c r="F212" s="173"/>
      <c r="G212" s="173">
        <v>30.76</v>
      </c>
      <c r="H212" s="154">
        <v>136.49621035000001</v>
      </c>
      <c r="I212" s="190">
        <f t="shared" si="20"/>
        <v>136.49621035000001</v>
      </c>
      <c r="J212" s="190">
        <f t="shared" si="21"/>
        <v>54.218148539400687</v>
      </c>
      <c r="K212" s="246">
        <v>24774</v>
      </c>
      <c r="L212" s="248">
        <f t="shared" si="24"/>
        <v>24559</v>
      </c>
      <c r="M212" s="164">
        <v>11318.781959800001</v>
      </c>
      <c r="N212" s="190">
        <f t="shared" si="22"/>
        <v>11318.781959800001</v>
      </c>
      <c r="O212" s="264">
        <f t="shared" si="25"/>
        <v>0</v>
      </c>
      <c r="P212" s="264">
        <f t="shared" si="25"/>
        <v>391</v>
      </c>
      <c r="Q212" s="166">
        <v>4200</v>
      </c>
      <c r="R212" s="166">
        <v>1161</v>
      </c>
      <c r="S212" s="182">
        <f t="shared" si="23"/>
        <v>0</v>
      </c>
      <c r="T212" s="339">
        <v>0.39721358124431388</v>
      </c>
    </row>
    <row r="213" spans="1:20" x14ac:dyDescent="0.2">
      <c r="A213" s="153">
        <v>2018</v>
      </c>
      <c r="B213" s="153">
        <v>8</v>
      </c>
      <c r="C213" s="168"/>
      <c r="D213" s="173">
        <v>10.265524702749273</v>
      </c>
      <c r="E213" s="281">
        <f t="shared" si="19"/>
        <v>11.601643443497753</v>
      </c>
      <c r="F213" s="173"/>
      <c r="G213" s="173">
        <v>29.48</v>
      </c>
      <c r="H213" s="154">
        <v>136.49621035000001</v>
      </c>
      <c r="I213" s="190">
        <f t="shared" si="20"/>
        <v>136.49621035000001</v>
      </c>
      <c r="J213" s="190">
        <f t="shared" si="21"/>
        <v>54.218148539400687</v>
      </c>
      <c r="K213" s="246">
        <v>24772</v>
      </c>
      <c r="L213" s="248">
        <f t="shared" si="24"/>
        <v>24558</v>
      </c>
      <c r="M213" s="164">
        <v>11318.781959800001</v>
      </c>
      <c r="N213" s="190">
        <f t="shared" si="22"/>
        <v>11318.781959800001</v>
      </c>
      <c r="O213" s="264">
        <f t="shared" si="25"/>
        <v>0</v>
      </c>
      <c r="P213" s="264">
        <f t="shared" si="25"/>
        <v>292.5</v>
      </c>
      <c r="Q213" s="166">
        <v>4200</v>
      </c>
      <c r="R213" s="166">
        <v>1161</v>
      </c>
      <c r="S213" s="182">
        <f t="shared" si="23"/>
        <v>0</v>
      </c>
      <c r="T213" s="339">
        <v>0.39721358124431388</v>
      </c>
    </row>
    <row r="214" spans="1:20" x14ac:dyDescent="0.2">
      <c r="A214" s="153">
        <v>2018</v>
      </c>
      <c r="B214" s="153">
        <v>9</v>
      </c>
      <c r="C214" s="168"/>
      <c r="D214" s="173">
        <v>10.265524702749273</v>
      </c>
      <c r="E214" s="281">
        <f t="shared" si="19"/>
        <v>11.601643443497753</v>
      </c>
      <c r="F214" s="173"/>
      <c r="G214" s="173">
        <v>30.57</v>
      </c>
      <c r="H214" s="154">
        <v>136.49621035000001</v>
      </c>
      <c r="I214" s="190">
        <f t="shared" si="20"/>
        <v>136.49621035000001</v>
      </c>
      <c r="J214" s="190">
        <f t="shared" si="21"/>
        <v>54.218148539400687</v>
      </c>
      <c r="K214" s="246">
        <v>24770</v>
      </c>
      <c r="L214" s="248">
        <f t="shared" si="24"/>
        <v>24557</v>
      </c>
      <c r="M214" s="164">
        <v>11318.781959800001</v>
      </c>
      <c r="N214" s="190">
        <f t="shared" si="22"/>
        <v>11318.781959800001</v>
      </c>
      <c r="O214" s="264">
        <f t="shared" si="25"/>
        <v>43.5</v>
      </c>
      <c r="P214" s="264">
        <f t="shared" si="25"/>
        <v>138.5</v>
      </c>
      <c r="Q214" s="166">
        <v>4200</v>
      </c>
      <c r="R214" s="166">
        <v>1161</v>
      </c>
      <c r="S214" s="182">
        <f t="shared" si="23"/>
        <v>0</v>
      </c>
      <c r="T214" s="339">
        <v>0.39721358124431388</v>
      </c>
    </row>
    <row r="215" spans="1:20" x14ac:dyDescent="0.2">
      <c r="A215" s="153">
        <v>2018</v>
      </c>
      <c r="B215" s="153">
        <v>10</v>
      </c>
      <c r="C215" s="168"/>
      <c r="D215" s="173">
        <v>10.265524702749273</v>
      </c>
      <c r="E215" s="281">
        <f t="shared" si="19"/>
        <v>11.601643443497753</v>
      </c>
      <c r="F215" s="173"/>
      <c r="G215" s="173">
        <v>29.67</v>
      </c>
      <c r="H215" s="154">
        <v>136.49621035000001</v>
      </c>
      <c r="I215" s="190">
        <f t="shared" si="20"/>
        <v>136.49621035000001</v>
      </c>
      <c r="J215" s="190">
        <f t="shared" si="21"/>
        <v>54.219274691967584</v>
      </c>
      <c r="K215" s="246">
        <v>24768</v>
      </c>
      <c r="L215" s="248">
        <f t="shared" si="24"/>
        <v>24556</v>
      </c>
      <c r="M215" s="164">
        <v>11318.781959800001</v>
      </c>
      <c r="N215" s="190">
        <f t="shared" si="22"/>
        <v>11318.781959800001</v>
      </c>
      <c r="O215" s="264">
        <f t="shared" si="25"/>
        <v>259.5</v>
      </c>
      <c r="P215" s="264">
        <f t="shared" si="25"/>
        <v>8</v>
      </c>
      <c r="Q215" s="166">
        <v>4200</v>
      </c>
      <c r="R215" s="166">
        <v>1161</v>
      </c>
      <c r="S215" s="182">
        <f t="shared" si="23"/>
        <v>0</v>
      </c>
      <c r="T215" s="339">
        <v>0.39722183167532593</v>
      </c>
    </row>
    <row r="216" spans="1:20" x14ac:dyDescent="0.2">
      <c r="A216" s="153">
        <v>2018</v>
      </c>
      <c r="B216" s="153">
        <v>11</v>
      </c>
      <c r="C216" s="168"/>
      <c r="D216" s="173">
        <v>10.265524702749273</v>
      </c>
      <c r="E216" s="281">
        <f t="shared" si="19"/>
        <v>11.601643443497753</v>
      </c>
      <c r="F216" s="173"/>
      <c r="G216" s="173">
        <v>29.95</v>
      </c>
      <c r="H216" s="154">
        <v>136.49621035000001</v>
      </c>
      <c r="I216" s="190">
        <f t="shared" si="20"/>
        <v>136.49621035000001</v>
      </c>
      <c r="J216" s="190">
        <f t="shared" si="21"/>
        <v>54.219274691967584</v>
      </c>
      <c r="K216" s="246">
        <v>24766</v>
      </c>
      <c r="L216" s="248">
        <f t="shared" si="24"/>
        <v>24555</v>
      </c>
      <c r="M216" s="164">
        <v>11318.781959800001</v>
      </c>
      <c r="N216" s="190">
        <f t="shared" si="22"/>
        <v>11318.781959800001</v>
      </c>
      <c r="O216" s="264">
        <f t="shared" si="25"/>
        <v>529.75</v>
      </c>
      <c r="P216" s="264">
        <f t="shared" si="25"/>
        <v>1</v>
      </c>
      <c r="Q216" s="166">
        <v>4200</v>
      </c>
      <c r="R216" s="166">
        <v>1161</v>
      </c>
      <c r="S216" s="182">
        <f t="shared" si="23"/>
        <v>0</v>
      </c>
      <c r="T216" s="339">
        <v>0.39722183167532593</v>
      </c>
    </row>
    <row r="217" spans="1:20" x14ac:dyDescent="0.2">
      <c r="A217" s="153">
        <v>2018</v>
      </c>
      <c r="B217" s="153">
        <v>12</v>
      </c>
      <c r="C217" s="168"/>
      <c r="D217" s="173">
        <v>10.265524702749273</v>
      </c>
      <c r="E217" s="281">
        <f t="shared" si="19"/>
        <v>11.601643443497753</v>
      </c>
      <c r="F217" s="173"/>
      <c r="G217" s="173">
        <v>31.1</v>
      </c>
      <c r="H217" s="154">
        <v>136.49621035000001</v>
      </c>
      <c r="I217" s="190">
        <f t="shared" si="20"/>
        <v>136.49621035000001</v>
      </c>
      <c r="J217" s="190">
        <f t="shared" si="21"/>
        <v>54.219274691967584</v>
      </c>
      <c r="K217" s="246">
        <v>24764</v>
      </c>
      <c r="L217" s="248">
        <f t="shared" si="24"/>
        <v>24554</v>
      </c>
      <c r="M217" s="164">
        <v>11318.781959800001</v>
      </c>
      <c r="N217" s="190">
        <f t="shared" si="22"/>
        <v>11318.781959800001</v>
      </c>
      <c r="O217" s="264">
        <f t="shared" si="25"/>
        <v>719</v>
      </c>
      <c r="P217" s="264">
        <f t="shared" si="25"/>
        <v>0</v>
      </c>
      <c r="Q217" s="166">
        <v>4200</v>
      </c>
      <c r="R217" s="166">
        <v>1161</v>
      </c>
      <c r="S217" s="182">
        <f t="shared" si="23"/>
        <v>0</v>
      </c>
      <c r="T217" s="339">
        <v>0.39722183167532593</v>
      </c>
    </row>
    <row r="218" spans="1:20" x14ac:dyDescent="0.2">
      <c r="A218" s="153">
        <v>2019</v>
      </c>
      <c r="B218" s="153">
        <v>1</v>
      </c>
      <c r="C218" s="168"/>
      <c r="D218" s="173">
        <v>10.239441999711172</v>
      </c>
      <c r="E218" s="281">
        <f t="shared" si="19"/>
        <v>11.833676312367709</v>
      </c>
      <c r="F218" s="173"/>
      <c r="G218" s="173">
        <v>32.71</v>
      </c>
      <c r="H218" s="154">
        <v>136.52182888999999</v>
      </c>
      <c r="I218" s="190">
        <f t="shared" si="20"/>
        <v>136.52182888999999</v>
      </c>
      <c r="J218" s="190">
        <f t="shared" si="21"/>
        <v>54.23092206160532</v>
      </c>
      <c r="K218" s="246">
        <v>24762</v>
      </c>
      <c r="L218" s="248">
        <f t="shared" si="24"/>
        <v>24553</v>
      </c>
      <c r="M218" s="164">
        <v>11755.450726599998</v>
      </c>
      <c r="N218" s="190">
        <f t="shared" si="22"/>
        <v>11755.450726599998</v>
      </c>
      <c r="O218" s="264">
        <f t="shared" si="25"/>
        <v>903.25</v>
      </c>
      <c r="P218" s="264">
        <f t="shared" si="25"/>
        <v>0</v>
      </c>
      <c r="Q218" s="166">
        <v>4200</v>
      </c>
      <c r="R218" s="166">
        <v>1161</v>
      </c>
      <c r="S218" s="182">
        <f t="shared" si="23"/>
        <v>0</v>
      </c>
      <c r="T218" s="339">
        <v>0.39723260743379663</v>
      </c>
    </row>
    <row r="219" spans="1:20" x14ac:dyDescent="0.2">
      <c r="A219" s="153">
        <v>2019</v>
      </c>
      <c r="B219" s="153">
        <v>2</v>
      </c>
      <c r="C219" s="168"/>
      <c r="D219" s="173">
        <v>10.239441999711172</v>
      </c>
      <c r="E219" s="281">
        <f t="shared" si="19"/>
        <v>11.833676312367709</v>
      </c>
      <c r="F219" s="173"/>
      <c r="G219" s="173">
        <v>29.9</v>
      </c>
      <c r="H219" s="154">
        <v>136.52182888999999</v>
      </c>
      <c r="I219" s="190">
        <f t="shared" si="20"/>
        <v>136.52182888999999</v>
      </c>
      <c r="J219" s="190">
        <f t="shared" si="21"/>
        <v>54.23092206160532</v>
      </c>
      <c r="K219" s="246">
        <v>24760</v>
      </c>
      <c r="L219" s="248">
        <f t="shared" si="24"/>
        <v>24552</v>
      </c>
      <c r="M219" s="164">
        <v>11755.450726599998</v>
      </c>
      <c r="N219" s="190">
        <f t="shared" si="22"/>
        <v>11755.450726599998</v>
      </c>
      <c r="O219" s="264">
        <f t="shared" si="25"/>
        <v>652.25</v>
      </c>
      <c r="P219" s="264">
        <f t="shared" si="25"/>
        <v>0</v>
      </c>
      <c r="Q219" s="166">
        <v>4200</v>
      </c>
      <c r="R219" s="166">
        <v>1161</v>
      </c>
      <c r="S219" s="182">
        <f t="shared" si="23"/>
        <v>0</v>
      </c>
      <c r="T219" s="339">
        <v>0.39723260743379663</v>
      </c>
    </row>
    <row r="220" spans="1:20" x14ac:dyDescent="0.2">
      <c r="A220" s="153">
        <v>2019</v>
      </c>
      <c r="B220" s="153">
        <v>3</v>
      </c>
      <c r="C220" s="168"/>
      <c r="D220" s="173">
        <v>10.239441999711172</v>
      </c>
      <c r="E220" s="281">
        <f t="shared" si="19"/>
        <v>11.833676312367709</v>
      </c>
      <c r="F220" s="173"/>
      <c r="G220" s="173">
        <v>30.33</v>
      </c>
      <c r="H220" s="154">
        <v>136.52182888999999</v>
      </c>
      <c r="I220" s="190">
        <f t="shared" si="20"/>
        <v>136.52182888999999</v>
      </c>
      <c r="J220" s="190">
        <f t="shared" si="21"/>
        <v>54.23092206160532</v>
      </c>
      <c r="K220" s="246">
        <v>24758</v>
      </c>
      <c r="L220" s="248">
        <f t="shared" si="24"/>
        <v>24551</v>
      </c>
      <c r="M220" s="164">
        <v>11755.450726599998</v>
      </c>
      <c r="N220" s="190">
        <f t="shared" si="22"/>
        <v>11755.450726599998</v>
      </c>
      <c r="O220" s="264">
        <f t="shared" si="25"/>
        <v>489.25</v>
      </c>
      <c r="P220" s="264">
        <f t="shared" si="25"/>
        <v>0</v>
      </c>
      <c r="Q220" s="166">
        <v>4200</v>
      </c>
      <c r="R220" s="166">
        <v>1161</v>
      </c>
      <c r="S220" s="182">
        <f t="shared" si="23"/>
        <v>0</v>
      </c>
      <c r="T220" s="339">
        <v>0.39723260743379663</v>
      </c>
    </row>
    <row r="221" spans="1:20" x14ac:dyDescent="0.2">
      <c r="A221" s="153">
        <v>2019</v>
      </c>
      <c r="B221" s="153">
        <v>4</v>
      </c>
      <c r="C221" s="168"/>
      <c r="D221" s="173">
        <v>10.239441999711172</v>
      </c>
      <c r="E221" s="281">
        <f t="shared" si="19"/>
        <v>11.833676312367709</v>
      </c>
      <c r="F221" s="173"/>
      <c r="G221" s="173">
        <v>29.95</v>
      </c>
      <c r="H221" s="154">
        <v>136.52182888999999</v>
      </c>
      <c r="I221" s="190">
        <f t="shared" si="20"/>
        <v>136.52182888999999</v>
      </c>
      <c r="J221" s="190">
        <f t="shared" si="21"/>
        <v>54.232050139438584</v>
      </c>
      <c r="K221" s="246">
        <v>24756</v>
      </c>
      <c r="L221" s="248">
        <f t="shared" si="24"/>
        <v>24550</v>
      </c>
      <c r="M221" s="164">
        <v>11755.450726599998</v>
      </c>
      <c r="N221" s="190">
        <f t="shared" si="22"/>
        <v>11755.450726599998</v>
      </c>
      <c r="O221" s="264">
        <f t="shared" si="25"/>
        <v>184.25</v>
      </c>
      <c r="P221" s="264">
        <f t="shared" si="25"/>
        <v>27.25</v>
      </c>
      <c r="Q221" s="166">
        <v>4200</v>
      </c>
      <c r="R221" s="166">
        <v>1161</v>
      </c>
      <c r="S221" s="182">
        <f t="shared" si="23"/>
        <v>0</v>
      </c>
      <c r="T221" s="339">
        <v>0.39724087041886236</v>
      </c>
    </row>
    <row r="222" spans="1:20" x14ac:dyDescent="0.2">
      <c r="A222" s="153">
        <v>2019</v>
      </c>
      <c r="B222" s="153">
        <v>5</v>
      </c>
      <c r="C222" s="168"/>
      <c r="D222" s="173">
        <v>10.239441999711172</v>
      </c>
      <c r="E222" s="281">
        <f t="shared" si="19"/>
        <v>11.833676312367709</v>
      </c>
      <c r="F222" s="173"/>
      <c r="G222" s="173">
        <v>30.38</v>
      </c>
      <c r="H222" s="154">
        <v>136.52182888999999</v>
      </c>
      <c r="I222" s="190">
        <f t="shared" si="20"/>
        <v>136.52182888999999</v>
      </c>
      <c r="J222" s="190">
        <f t="shared" si="21"/>
        <v>54.232050139438584</v>
      </c>
      <c r="K222" s="246">
        <v>24754</v>
      </c>
      <c r="L222" s="248">
        <f t="shared" si="24"/>
        <v>24549</v>
      </c>
      <c r="M222" s="164">
        <v>11755.450726599998</v>
      </c>
      <c r="N222" s="190">
        <f t="shared" si="22"/>
        <v>11755.450726599998</v>
      </c>
      <c r="O222" s="264">
        <f t="shared" si="25"/>
        <v>70</v>
      </c>
      <c r="P222" s="264">
        <f t="shared" si="25"/>
        <v>138.5</v>
      </c>
      <c r="Q222" s="166">
        <v>4200</v>
      </c>
      <c r="R222" s="166">
        <v>1161</v>
      </c>
      <c r="S222" s="182">
        <f t="shared" si="23"/>
        <v>0</v>
      </c>
      <c r="T222" s="339">
        <v>0.39724087041886236</v>
      </c>
    </row>
    <row r="223" spans="1:20" x14ac:dyDescent="0.2">
      <c r="A223" s="153">
        <v>2019</v>
      </c>
      <c r="B223" s="153">
        <v>6</v>
      </c>
      <c r="C223" s="168"/>
      <c r="D223" s="173">
        <v>10.239441999711172</v>
      </c>
      <c r="E223" s="281">
        <f t="shared" si="19"/>
        <v>11.833676312367709</v>
      </c>
      <c r="F223" s="173"/>
      <c r="G223" s="173">
        <v>30.67</v>
      </c>
      <c r="H223" s="154">
        <v>136.52182888999999</v>
      </c>
      <c r="I223" s="190">
        <f t="shared" si="20"/>
        <v>136.52182888999999</v>
      </c>
      <c r="J223" s="190">
        <f t="shared" si="21"/>
        <v>54.232050139438584</v>
      </c>
      <c r="K223" s="246">
        <v>24752</v>
      </c>
      <c r="L223" s="248">
        <f t="shared" si="24"/>
        <v>24548</v>
      </c>
      <c r="M223" s="164">
        <v>11755.450726599998</v>
      </c>
      <c r="N223" s="190">
        <f t="shared" si="22"/>
        <v>11755.450726599998</v>
      </c>
      <c r="O223" s="264">
        <f t="shared" ref="O223:P238" si="26">O211</f>
        <v>1.25</v>
      </c>
      <c r="P223" s="264">
        <f t="shared" si="26"/>
        <v>239.5</v>
      </c>
      <c r="Q223" s="166">
        <v>4200</v>
      </c>
      <c r="R223" s="166">
        <v>1161</v>
      </c>
      <c r="S223" s="182">
        <f t="shared" si="23"/>
        <v>0</v>
      </c>
      <c r="T223" s="339">
        <v>0.39724087041886236</v>
      </c>
    </row>
    <row r="224" spans="1:20" x14ac:dyDescent="0.2">
      <c r="A224" s="153">
        <v>2019</v>
      </c>
      <c r="B224" s="153">
        <v>7</v>
      </c>
      <c r="C224" s="168"/>
      <c r="D224" s="173">
        <v>10.239441999711172</v>
      </c>
      <c r="E224" s="281">
        <f t="shared" si="19"/>
        <v>11.833676312367709</v>
      </c>
      <c r="F224" s="173"/>
      <c r="G224" s="173">
        <v>30.67</v>
      </c>
      <c r="H224" s="154">
        <v>136.52182888999999</v>
      </c>
      <c r="I224" s="190">
        <f t="shared" si="20"/>
        <v>136.52182888999999</v>
      </c>
      <c r="J224" s="190">
        <f t="shared" si="21"/>
        <v>54.233154727770028</v>
      </c>
      <c r="K224" s="246">
        <v>24750</v>
      </c>
      <c r="L224" s="248">
        <f t="shared" si="24"/>
        <v>24547</v>
      </c>
      <c r="M224" s="164">
        <v>11755.450726599998</v>
      </c>
      <c r="N224" s="190">
        <f t="shared" si="22"/>
        <v>11755.450726599998</v>
      </c>
      <c r="O224" s="264">
        <f t="shared" si="26"/>
        <v>0</v>
      </c>
      <c r="P224" s="264">
        <f t="shared" si="26"/>
        <v>391</v>
      </c>
      <c r="Q224" s="166">
        <v>4200</v>
      </c>
      <c r="R224" s="166">
        <v>1161</v>
      </c>
      <c r="S224" s="182">
        <f t="shared" si="23"/>
        <v>0</v>
      </c>
      <c r="T224" s="339">
        <v>0.39724896134718074</v>
      </c>
    </row>
    <row r="225" spans="1:20" x14ac:dyDescent="0.2">
      <c r="A225" s="153">
        <v>2019</v>
      </c>
      <c r="B225" s="153">
        <v>8</v>
      </c>
      <c r="C225" s="168"/>
      <c r="D225" s="173">
        <v>10.239441999711172</v>
      </c>
      <c r="E225" s="281">
        <f t="shared" si="19"/>
        <v>11.833676312367709</v>
      </c>
      <c r="F225" s="173"/>
      <c r="G225" s="173">
        <v>29.48</v>
      </c>
      <c r="H225" s="154">
        <v>136.52182888999999</v>
      </c>
      <c r="I225" s="190">
        <f t="shared" si="20"/>
        <v>136.52182888999999</v>
      </c>
      <c r="J225" s="190">
        <f t="shared" si="21"/>
        <v>54.233154727770028</v>
      </c>
      <c r="K225" s="246">
        <v>24748</v>
      </c>
      <c r="L225" s="248">
        <f t="shared" si="24"/>
        <v>24546</v>
      </c>
      <c r="M225" s="164">
        <v>11755.450726599998</v>
      </c>
      <c r="N225" s="190">
        <f t="shared" si="22"/>
        <v>11755.450726599998</v>
      </c>
      <c r="O225" s="264">
        <f t="shared" si="26"/>
        <v>0</v>
      </c>
      <c r="P225" s="264">
        <f t="shared" si="26"/>
        <v>292.5</v>
      </c>
      <c r="Q225" s="166">
        <v>4200</v>
      </c>
      <c r="R225" s="166">
        <v>1161</v>
      </c>
      <c r="S225" s="182">
        <f t="shared" si="23"/>
        <v>0</v>
      </c>
      <c r="T225" s="339">
        <v>0.39724896134718074</v>
      </c>
    </row>
    <row r="226" spans="1:20" x14ac:dyDescent="0.2">
      <c r="A226" s="153">
        <v>2019</v>
      </c>
      <c r="B226" s="153">
        <v>9</v>
      </c>
      <c r="C226" s="168"/>
      <c r="D226" s="173">
        <v>10.239441999711172</v>
      </c>
      <c r="E226" s="281">
        <f t="shared" si="19"/>
        <v>11.833676312367709</v>
      </c>
      <c r="F226" s="173"/>
      <c r="G226" s="173">
        <v>30.71</v>
      </c>
      <c r="H226" s="154">
        <v>136.52182888999999</v>
      </c>
      <c r="I226" s="190">
        <f t="shared" si="20"/>
        <v>136.52182888999999</v>
      </c>
      <c r="J226" s="190">
        <f t="shared" si="21"/>
        <v>54.233154727770028</v>
      </c>
      <c r="K226" s="246">
        <v>24746</v>
      </c>
      <c r="L226" s="248">
        <f t="shared" si="24"/>
        <v>24545</v>
      </c>
      <c r="M226" s="164">
        <v>11755.450726599998</v>
      </c>
      <c r="N226" s="190">
        <f t="shared" si="22"/>
        <v>11755.450726599998</v>
      </c>
      <c r="O226" s="264">
        <f t="shared" si="26"/>
        <v>43.5</v>
      </c>
      <c r="P226" s="264">
        <f t="shared" si="26"/>
        <v>138.5</v>
      </c>
      <c r="Q226" s="166">
        <v>4200</v>
      </c>
      <c r="R226" s="166">
        <v>1161</v>
      </c>
      <c r="S226" s="182">
        <f t="shared" si="23"/>
        <v>0</v>
      </c>
      <c r="T226" s="339">
        <v>0.39724896134718074</v>
      </c>
    </row>
    <row r="227" spans="1:20" x14ac:dyDescent="0.2">
      <c r="A227" s="153">
        <v>2019</v>
      </c>
      <c r="B227" s="153">
        <v>10</v>
      </c>
      <c r="C227" s="168"/>
      <c r="D227" s="173">
        <v>10.239441999711172</v>
      </c>
      <c r="E227" s="281">
        <f t="shared" si="19"/>
        <v>11.833676312367709</v>
      </c>
      <c r="F227" s="173"/>
      <c r="G227" s="173">
        <v>29.52</v>
      </c>
      <c r="H227" s="154">
        <v>136.52182888999999</v>
      </c>
      <c r="I227" s="190">
        <f t="shared" si="20"/>
        <v>136.52182888999999</v>
      </c>
      <c r="J227" s="190">
        <f t="shared" si="21"/>
        <v>54.233712675044877</v>
      </c>
      <c r="K227" s="246">
        <v>24744</v>
      </c>
      <c r="L227" s="248">
        <f t="shared" si="24"/>
        <v>24544</v>
      </c>
      <c r="M227" s="164">
        <v>11755.450726599998</v>
      </c>
      <c r="N227" s="190">
        <f t="shared" si="22"/>
        <v>11755.450726599998</v>
      </c>
      <c r="O227" s="264">
        <f t="shared" si="26"/>
        <v>259.5</v>
      </c>
      <c r="P227" s="264">
        <f t="shared" si="26"/>
        <v>8</v>
      </c>
      <c r="Q227" s="166">
        <v>4200</v>
      </c>
      <c r="R227" s="166">
        <v>1161</v>
      </c>
      <c r="S227" s="182">
        <f t="shared" si="23"/>
        <v>0</v>
      </c>
      <c r="T227" s="339">
        <v>0.39725304821943686</v>
      </c>
    </row>
    <row r="228" spans="1:20" x14ac:dyDescent="0.2">
      <c r="A228" s="153">
        <v>2019</v>
      </c>
      <c r="B228" s="153">
        <v>11</v>
      </c>
      <c r="C228" s="168"/>
      <c r="D228" s="173">
        <v>10.239441999711172</v>
      </c>
      <c r="E228" s="281">
        <f t="shared" si="19"/>
        <v>11.833676312367709</v>
      </c>
      <c r="F228" s="173"/>
      <c r="G228" s="173">
        <v>29.38</v>
      </c>
      <c r="H228" s="154">
        <v>136.52182888999999</v>
      </c>
      <c r="I228" s="190">
        <f t="shared" si="20"/>
        <v>136.52182888999999</v>
      </c>
      <c r="J228" s="190">
        <f t="shared" si="21"/>
        <v>54.233712675044877</v>
      </c>
      <c r="K228" s="246">
        <v>24742</v>
      </c>
      <c r="L228" s="248">
        <f t="shared" si="24"/>
        <v>24543</v>
      </c>
      <c r="M228" s="164">
        <v>11755.450726599998</v>
      </c>
      <c r="N228" s="190">
        <f t="shared" si="22"/>
        <v>11755.450726599998</v>
      </c>
      <c r="O228" s="264">
        <f t="shared" si="26"/>
        <v>529.75</v>
      </c>
      <c r="P228" s="264">
        <f t="shared" si="26"/>
        <v>1</v>
      </c>
      <c r="Q228" s="166">
        <v>4200</v>
      </c>
      <c r="R228" s="166">
        <v>1161</v>
      </c>
      <c r="S228" s="182">
        <f t="shared" si="23"/>
        <v>0</v>
      </c>
      <c r="T228" s="339">
        <v>0.39725304821943686</v>
      </c>
    </row>
    <row r="229" spans="1:20" x14ac:dyDescent="0.2">
      <c r="A229" s="153">
        <v>2019</v>
      </c>
      <c r="B229" s="153">
        <v>12</v>
      </c>
      <c r="C229" s="168"/>
      <c r="D229" s="173">
        <v>10.239441999711172</v>
      </c>
      <c r="E229" s="281">
        <f t="shared" si="19"/>
        <v>11.833676312367709</v>
      </c>
      <c r="F229" s="173"/>
      <c r="G229" s="173">
        <v>32.049999999999997</v>
      </c>
      <c r="H229" s="154">
        <v>136.52182888999999</v>
      </c>
      <c r="I229" s="190">
        <f t="shared" si="20"/>
        <v>136.52182888999999</v>
      </c>
      <c r="J229" s="190">
        <f t="shared" si="21"/>
        <v>54.233712675044877</v>
      </c>
      <c r="K229" s="246">
        <v>24740</v>
      </c>
      <c r="L229" s="248">
        <f t="shared" si="24"/>
        <v>24542</v>
      </c>
      <c r="M229" s="164">
        <v>11755.450726599998</v>
      </c>
      <c r="N229" s="190">
        <f t="shared" si="22"/>
        <v>11755.450726599998</v>
      </c>
      <c r="O229" s="264">
        <f t="shared" si="26"/>
        <v>719</v>
      </c>
      <c r="P229" s="264">
        <f t="shared" si="26"/>
        <v>0</v>
      </c>
      <c r="Q229" s="166">
        <v>4200</v>
      </c>
      <c r="R229" s="166">
        <v>1161</v>
      </c>
      <c r="S229" s="182">
        <f t="shared" si="23"/>
        <v>0</v>
      </c>
      <c r="T229" s="339">
        <v>0.39725304821943686</v>
      </c>
    </row>
    <row r="230" spans="1:20" x14ac:dyDescent="0.2">
      <c r="A230" s="153">
        <v>2020</v>
      </c>
      <c r="B230" s="153">
        <v>1</v>
      </c>
      <c r="C230" s="168"/>
      <c r="D230" s="173">
        <v>10.760366634676476</v>
      </c>
      <c r="E230" s="281">
        <f t="shared" si="19"/>
        <v>12.070349838615064</v>
      </c>
      <c r="F230" s="173"/>
      <c r="G230" s="173">
        <v>32.33</v>
      </c>
      <c r="H230" s="154">
        <v>136.58184248999999</v>
      </c>
      <c r="I230" s="190">
        <f t="shared" si="20"/>
        <v>136.58184248999999</v>
      </c>
      <c r="J230" s="190">
        <f t="shared" si="21"/>
        <v>54.258667489578691</v>
      </c>
      <c r="K230" s="246">
        <v>24738</v>
      </c>
      <c r="L230" s="248">
        <f t="shared" si="24"/>
        <v>24541</v>
      </c>
      <c r="M230" s="164">
        <v>12194.911138200001</v>
      </c>
      <c r="N230" s="190">
        <f t="shared" si="22"/>
        <v>12194.911138200001</v>
      </c>
      <c r="O230" s="264">
        <f t="shared" si="26"/>
        <v>903.25</v>
      </c>
      <c r="P230" s="264">
        <f t="shared" si="26"/>
        <v>0</v>
      </c>
      <c r="Q230" s="166">
        <v>4200</v>
      </c>
      <c r="R230" s="166">
        <v>1161</v>
      </c>
      <c r="S230" s="182">
        <f t="shared" si="23"/>
        <v>0</v>
      </c>
      <c r="T230" s="339">
        <v>0.39726120617790983</v>
      </c>
    </row>
    <row r="231" spans="1:20" x14ac:dyDescent="0.2">
      <c r="A231" s="153">
        <v>2020</v>
      </c>
      <c r="B231" s="153">
        <v>2</v>
      </c>
      <c r="C231" s="168"/>
      <c r="D231" s="173">
        <v>10.760366634676476</v>
      </c>
      <c r="E231" s="281">
        <f t="shared" si="19"/>
        <v>12.070349838615064</v>
      </c>
      <c r="F231" s="173"/>
      <c r="G231" s="173">
        <v>30.05</v>
      </c>
      <c r="H231" s="154">
        <v>136.58184248999999</v>
      </c>
      <c r="I231" s="190">
        <f t="shared" si="20"/>
        <v>136.58184248999999</v>
      </c>
      <c r="J231" s="190">
        <f t="shared" si="21"/>
        <v>54.258667489578691</v>
      </c>
      <c r="K231" s="246">
        <v>24736</v>
      </c>
      <c r="L231" s="248">
        <f t="shared" si="24"/>
        <v>24540</v>
      </c>
      <c r="M231" s="164">
        <v>12194.911138200001</v>
      </c>
      <c r="N231" s="190">
        <f t="shared" si="22"/>
        <v>12194.911138200001</v>
      </c>
      <c r="O231" s="264">
        <f t="shared" si="26"/>
        <v>652.25</v>
      </c>
      <c r="P231" s="264">
        <f t="shared" si="26"/>
        <v>0</v>
      </c>
      <c r="Q231" s="166">
        <v>4200</v>
      </c>
      <c r="R231" s="166">
        <v>1161</v>
      </c>
      <c r="S231" s="182">
        <f t="shared" si="23"/>
        <v>0</v>
      </c>
      <c r="T231" s="339">
        <v>0.39726120617790983</v>
      </c>
    </row>
    <row r="232" spans="1:20" x14ac:dyDescent="0.2">
      <c r="A232" s="153">
        <v>2020</v>
      </c>
      <c r="B232" s="153">
        <v>3</v>
      </c>
      <c r="C232" s="168"/>
      <c r="D232" s="173">
        <v>10.760366634676476</v>
      </c>
      <c r="E232" s="281">
        <f t="shared" si="19"/>
        <v>12.070349838615064</v>
      </c>
      <c r="F232" s="173"/>
      <c r="G232" s="173">
        <v>30.19</v>
      </c>
      <c r="H232" s="154">
        <v>136.58184248999999</v>
      </c>
      <c r="I232" s="190">
        <f t="shared" si="20"/>
        <v>136.58184248999999</v>
      </c>
      <c r="J232" s="190">
        <f t="shared" si="21"/>
        <v>54.258667489578691</v>
      </c>
      <c r="K232" s="246">
        <v>24734</v>
      </c>
      <c r="L232" s="248">
        <f t="shared" si="24"/>
        <v>24539</v>
      </c>
      <c r="M232" s="164">
        <v>12194.911138200001</v>
      </c>
      <c r="N232" s="190">
        <f t="shared" si="22"/>
        <v>12194.911138200001</v>
      </c>
      <c r="O232" s="264">
        <f t="shared" si="26"/>
        <v>489.25</v>
      </c>
      <c r="P232" s="264">
        <f t="shared" si="26"/>
        <v>0</v>
      </c>
      <c r="Q232" s="166">
        <v>4200</v>
      </c>
      <c r="R232" s="166">
        <v>1161</v>
      </c>
      <c r="S232" s="182">
        <f t="shared" si="23"/>
        <v>0</v>
      </c>
      <c r="T232" s="339">
        <v>0.39726120617790983</v>
      </c>
    </row>
    <row r="233" spans="1:20" x14ac:dyDescent="0.2">
      <c r="A233" s="153">
        <v>2020</v>
      </c>
      <c r="B233" s="153">
        <v>4</v>
      </c>
      <c r="C233" s="168"/>
      <c r="D233" s="173">
        <v>10.760366634676476</v>
      </c>
      <c r="E233" s="281">
        <f t="shared" si="19"/>
        <v>12.070349838615064</v>
      </c>
      <c r="F233" s="173"/>
      <c r="G233" s="173">
        <v>30.33</v>
      </c>
      <c r="H233" s="154">
        <v>136.58184248999999</v>
      </c>
      <c r="I233" s="190">
        <f t="shared" si="20"/>
        <v>136.58184248999999</v>
      </c>
      <c r="J233" s="190">
        <f t="shared" si="21"/>
        <v>54.25278913660101</v>
      </c>
      <c r="K233" s="246">
        <v>24732</v>
      </c>
      <c r="L233" s="248">
        <f t="shared" si="24"/>
        <v>24538</v>
      </c>
      <c r="M233" s="164">
        <v>12194.911138200001</v>
      </c>
      <c r="N233" s="190">
        <f t="shared" si="22"/>
        <v>12194.911138200001</v>
      </c>
      <c r="O233" s="264">
        <f t="shared" si="26"/>
        <v>184.25</v>
      </c>
      <c r="P233" s="264">
        <f t="shared" si="26"/>
        <v>27.25</v>
      </c>
      <c r="Q233" s="166">
        <v>4200</v>
      </c>
      <c r="R233" s="166">
        <v>1161</v>
      </c>
      <c r="S233" s="182">
        <f t="shared" si="23"/>
        <v>0</v>
      </c>
      <c r="T233" s="339">
        <v>0.39721816712622832</v>
      </c>
    </row>
    <row r="234" spans="1:20" x14ac:dyDescent="0.2">
      <c r="A234" s="153">
        <v>2020</v>
      </c>
      <c r="B234" s="153">
        <v>5</v>
      </c>
      <c r="C234" s="168"/>
      <c r="D234" s="173">
        <v>10.760366634676476</v>
      </c>
      <c r="E234" s="281">
        <f t="shared" si="19"/>
        <v>12.070349838615064</v>
      </c>
      <c r="F234" s="173"/>
      <c r="G234" s="173">
        <v>30.14</v>
      </c>
      <c r="H234" s="154">
        <v>136.58184248999999</v>
      </c>
      <c r="I234" s="190">
        <f t="shared" si="20"/>
        <v>136.58184248999999</v>
      </c>
      <c r="J234" s="190">
        <f t="shared" si="21"/>
        <v>54.25278913660101</v>
      </c>
      <c r="K234" s="246">
        <v>24730</v>
      </c>
      <c r="L234" s="248">
        <f t="shared" si="24"/>
        <v>24537</v>
      </c>
      <c r="M234" s="164">
        <v>12194.911138200001</v>
      </c>
      <c r="N234" s="190">
        <f t="shared" si="22"/>
        <v>12194.911138200001</v>
      </c>
      <c r="O234" s="264">
        <f t="shared" si="26"/>
        <v>70</v>
      </c>
      <c r="P234" s="264">
        <f t="shared" si="26"/>
        <v>138.5</v>
      </c>
      <c r="Q234" s="166">
        <v>4200</v>
      </c>
      <c r="R234" s="166">
        <v>1161</v>
      </c>
      <c r="S234" s="182">
        <f t="shared" si="23"/>
        <v>0</v>
      </c>
      <c r="T234" s="339">
        <v>0.39721816712622832</v>
      </c>
    </row>
    <row r="235" spans="1:20" x14ac:dyDescent="0.2">
      <c r="A235" s="153">
        <v>2020</v>
      </c>
      <c r="B235" s="153">
        <v>6</v>
      </c>
      <c r="C235" s="168"/>
      <c r="D235" s="173">
        <v>10.760366634676476</v>
      </c>
      <c r="E235" s="281">
        <f t="shared" si="19"/>
        <v>12.070349838615064</v>
      </c>
      <c r="F235" s="173"/>
      <c r="G235" s="173">
        <v>30.52</v>
      </c>
      <c r="H235" s="154">
        <v>136.58184248999999</v>
      </c>
      <c r="I235" s="190">
        <f t="shared" si="20"/>
        <v>136.58184248999999</v>
      </c>
      <c r="J235" s="190">
        <f t="shared" si="21"/>
        <v>54.25278913660101</v>
      </c>
      <c r="K235" s="246">
        <v>24728</v>
      </c>
      <c r="L235" s="248">
        <f t="shared" si="24"/>
        <v>24536</v>
      </c>
      <c r="M235" s="164">
        <v>12194.911138200001</v>
      </c>
      <c r="N235" s="190">
        <f t="shared" si="22"/>
        <v>12194.911138200001</v>
      </c>
      <c r="O235" s="264">
        <f t="shared" si="26"/>
        <v>1.25</v>
      </c>
      <c r="P235" s="264">
        <f t="shared" si="26"/>
        <v>239.5</v>
      </c>
      <c r="Q235" s="166">
        <v>4200</v>
      </c>
      <c r="R235" s="166">
        <v>1161</v>
      </c>
      <c r="S235" s="182">
        <f t="shared" si="23"/>
        <v>0</v>
      </c>
      <c r="T235" s="339">
        <v>0.39721816712622832</v>
      </c>
    </row>
    <row r="236" spans="1:20" x14ac:dyDescent="0.2">
      <c r="A236" s="153">
        <v>2020</v>
      </c>
      <c r="B236" s="153">
        <v>7</v>
      </c>
      <c r="C236" s="168"/>
      <c r="D236" s="173">
        <v>10.760366634676476</v>
      </c>
      <c r="E236" s="281">
        <f t="shared" si="19"/>
        <v>12.070349838615064</v>
      </c>
      <c r="F236" s="173"/>
      <c r="G236" s="173">
        <v>30.67</v>
      </c>
      <c r="H236" s="154">
        <v>136.58184248999999</v>
      </c>
      <c r="I236" s="190">
        <f t="shared" si="20"/>
        <v>136.58184248999999</v>
      </c>
      <c r="J236" s="190">
        <f t="shared" si="21"/>
        <v>54.246473655943198</v>
      </c>
      <c r="K236" s="246">
        <v>24726</v>
      </c>
      <c r="L236" s="248">
        <f t="shared" si="24"/>
        <v>24535</v>
      </c>
      <c r="M236" s="164">
        <v>12194.911138200001</v>
      </c>
      <c r="N236" s="190">
        <f t="shared" si="22"/>
        <v>12194.911138200001</v>
      </c>
      <c r="O236" s="264">
        <f t="shared" si="26"/>
        <v>0</v>
      </c>
      <c r="P236" s="264">
        <f t="shared" si="26"/>
        <v>391</v>
      </c>
      <c r="Q236" s="166">
        <v>4200</v>
      </c>
      <c r="R236" s="166">
        <v>1161</v>
      </c>
      <c r="S236" s="182">
        <f t="shared" si="23"/>
        <v>0</v>
      </c>
      <c r="T236" s="339">
        <v>0.39717192759290038</v>
      </c>
    </row>
    <row r="237" spans="1:20" x14ac:dyDescent="0.2">
      <c r="A237" s="153">
        <v>2020</v>
      </c>
      <c r="B237" s="153">
        <v>8</v>
      </c>
      <c r="C237" s="168"/>
      <c r="D237" s="173">
        <v>10.760366634676476</v>
      </c>
      <c r="E237" s="281">
        <f t="shared" si="19"/>
        <v>12.070349838615064</v>
      </c>
      <c r="F237" s="173"/>
      <c r="G237" s="173">
        <v>29.48</v>
      </c>
      <c r="H237" s="154">
        <v>136.58184248999999</v>
      </c>
      <c r="I237" s="190">
        <f t="shared" si="20"/>
        <v>136.58184248999999</v>
      </c>
      <c r="J237" s="190">
        <f t="shared" si="21"/>
        <v>54.246473655943198</v>
      </c>
      <c r="K237" s="246">
        <v>24724</v>
      </c>
      <c r="L237" s="248">
        <f t="shared" si="24"/>
        <v>24534</v>
      </c>
      <c r="M237" s="164">
        <v>12194.911138200001</v>
      </c>
      <c r="N237" s="190">
        <f t="shared" si="22"/>
        <v>12194.911138200001</v>
      </c>
      <c r="O237" s="264">
        <f t="shared" si="26"/>
        <v>0</v>
      </c>
      <c r="P237" s="264">
        <f t="shared" si="26"/>
        <v>292.5</v>
      </c>
      <c r="Q237" s="166">
        <v>4200</v>
      </c>
      <c r="R237" s="166">
        <v>1161</v>
      </c>
      <c r="S237" s="182">
        <f t="shared" si="23"/>
        <v>0</v>
      </c>
      <c r="T237" s="339">
        <v>0.39717192759290038</v>
      </c>
    </row>
    <row r="238" spans="1:20" x14ac:dyDescent="0.2">
      <c r="A238" s="153">
        <v>2020</v>
      </c>
      <c r="B238" s="153">
        <v>9</v>
      </c>
      <c r="C238" s="168"/>
      <c r="D238" s="173">
        <v>10.760366634676476</v>
      </c>
      <c r="E238" s="281">
        <f t="shared" si="19"/>
        <v>12.070349838615064</v>
      </c>
      <c r="F238" s="173"/>
      <c r="G238" s="173">
        <v>30.52</v>
      </c>
      <c r="H238" s="154">
        <v>136.58184248999999</v>
      </c>
      <c r="I238" s="190">
        <f t="shared" si="20"/>
        <v>136.58184248999999</v>
      </c>
      <c r="J238" s="190">
        <f t="shared" si="21"/>
        <v>54.246473655943198</v>
      </c>
      <c r="K238" s="246">
        <v>24722</v>
      </c>
      <c r="L238" s="248">
        <f t="shared" si="24"/>
        <v>24533</v>
      </c>
      <c r="M238" s="164">
        <v>12194.911138200001</v>
      </c>
      <c r="N238" s="190">
        <f t="shared" si="22"/>
        <v>12194.911138200001</v>
      </c>
      <c r="O238" s="264">
        <f t="shared" si="26"/>
        <v>43.5</v>
      </c>
      <c r="P238" s="264">
        <f t="shared" si="26"/>
        <v>138.5</v>
      </c>
      <c r="Q238" s="166">
        <v>4200</v>
      </c>
      <c r="R238" s="166">
        <v>1161</v>
      </c>
      <c r="S238" s="182">
        <f t="shared" si="23"/>
        <v>0</v>
      </c>
      <c r="T238" s="339">
        <v>0.39717192759290038</v>
      </c>
    </row>
    <row r="239" spans="1:20" x14ac:dyDescent="0.2">
      <c r="A239" s="153">
        <v>2020</v>
      </c>
      <c r="B239" s="153">
        <v>10</v>
      </c>
      <c r="C239" s="168"/>
      <c r="D239" s="173">
        <v>10.760366634676476</v>
      </c>
      <c r="E239" s="281">
        <f t="shared" si="19"/>
        <v>12.070349838615064</v>
      </c>
      <c r="F239" s="173"/>
      <c r="G239" s="173">
        <v>29.71</v>
      </c>
      <c r="H239" s="154">
        <v>136.58184248999999</v>
      </c>
      <c r="I239" s="190">
        <f t="shared" si="20"/>
        <v>136.58184248999999</v>
      </c>
      <c r="J239" s="190">
        <f t="shared" si="21"/>
        <v>54.239957385115275</v>
      </c>
      <c r="K239" s="246">
        <v>24720</v>
      </c>
      <c r="L239" s="248">
        <f t="shared" si="24"/>
        <v>24532</v>
      </c>
      <c r="M239" s="164">
        <v>12194.911138200001</v>
      </c>
      <c r="N239" s="190">
        <f t="shared" si="22"/>
        <v>12194.911138200001</v>
      </c>
      <c r="O239" s="264">
        <f t="shared" ref="O239:P254" si="27">O227</f>
        <v>259.5</v>
      </c>
      <c r="P239" s="264">
        <f t="shared" si="27"/>
        <v>8</v>
      </c>
      <c r="Q239" s="166">
        <v>4200</v>
      </c>
      <c r="R239" s="166">
        <v>1161</v>
      </c>
      <c r="S239" s="182">
        <f t="shared" si="23"/>
        <v>0</v>
      </c>
      <c r="T239" s="339">
        <v>0.39712421795076108</v>
      </c>
    </row>
    <row r="240" spans="1:20" x14ac:dyDescent="0.2">
      <c r="A240" s="153">
        <v>2020</v>
      </c>
      <c r="B240" s="153">
        <v>11</v>
      </c>
      <c r="C240" s="168"/>
      <c r="D240" s="173">
        <v>10.760366634676476</v>
      </c>
      <c r="E240" s="281">
        <f t="shared" si="19"/>
        <v>12.070349838615064</v>
      </c>
      <c r="F240" s="173"/>
      <c r="G240" s="173">
        <v>29.57</v>
      </c>
      <c r="H240" s="154">
        <v>136.58184248999999</v>
      </c>
      <c r="I240" s="190">
        <f t="shared" si="20"/>
        <v>136.58184248999999</v>
      </c>
      <c r="J240" s="190">
        <f t="shared" si="21"/>
        <v>54.239957385115275</v>
      </c>
      <c r="K240" s="246">
        <v>24718</v>
      </c>
      <c r="L240" s="248">
        <f t="shared" si="24"/>
        <v>24531</v>
      </c>
      <c r="M240" s="164">
        <v>12194.911138200001</v>
      </c>
      <c r="N240" s="190">
        <f t="shared" si="22"/>
        <v>12194.911138200001</v>
      </c>
      <c r="O240" s="264">
        <f t="shared" si="27"/>
        <v>529.75</v>
      </c>
      <c r="P240" s="264">
        <f t="shared" si="27"/>
        <v>1</v>
      </c>
      <c r="Q240" s="166">
        <v>4200</v>
      </c>
      <c r="R240" s="166">
        <v>1161</v>
      </c>
      <c r="S240" s="182">
        <f t="shared" si="23"/>
        <v>0</v>
      </c>
      <c r="T240" s="339">
        <v>0.39712421795076108</v>
      </c>
    </row>
    <row r="241" spans="1:20" x14ac:dyDescent="0.2">
      <c r="A241" s="153">
        <v>2020</v>
      </c>
      <c r="B241" s="153">
        <v>12</v>
      </c>
      <c r="C241" s="176"/>
      <c r="D241" s="173">
        <v>10.760366634676476</v>
      </c>
      <c r="E241" s="281">
        <f t="shared" si="19"/>
        <v>12.070349838615064</v>
      </c>
      <c r="F241" s="173"/>
      <c r="G241" s="173">
        <v>32.619999999999997</v>
      </c>
      <c r="H241" s="154">
        <v>136.58184248999999</v>
      </c>
      <c r="I241" s="190">
        <f t="shared" si="20"/>
        <v>136.58184248999999</v>
      </c>
      <c r="J241" s="190">
        <f t="shared" si="21"/>
        <v>54.239957385115275</v>
      </c>
      <c r="K241" s="246">
        <v>24716</v>
      </c>
      <c r="L241" s="248">
        <f t="shared" si="24"/>
        <v>24530</v>
      </c>
      <c r="M241" s="249">
        <v>12194.911138200001</v>
      </c>
      <c r="N241" s="190">
        <f t="shared" si="22"/>
        <v>12194.911138200001</v>
      </c>
      <c r="O241" s="264">
        <f t="shared" si="27"/>
        <v>719</v>
      </c>
      <c r="P241" s="264">
        <f t="shared" si="27"/>
        <v>0</v>
      </c>
      <c r="Q241" s="166">
        <v>4200</v>
      </c>
      <c r="R241" s="166">
        <v>1161</v>
      </c>
      <c r="S241" s="182">
        <f t="shared" si="23"/>
        <v>0</v>
      </c>
      <c r="T241" s="339">
        <v>0.39712421795076108</v>
      </c>
    </row>
    <row r="242" spans="1:20" x14ac:dyDescent="0.2">
      <c r="A242" s="153">
        <v>2021</v>
      </c>
      <c r="B242" s="153">
        <v>1</v>
      </c>
      <c r="C242" s="176"/>
      <c r="D242" s="173">
        <v>11.029375800543386</v>
      </c>
      <c r="E242" s="281">
        <f t="shared" si="19"/>
        <v>12.311756835387365</v>
      </c>
      <c r="F242" s="173"/>
      <c r="G242" s="173">
        <v>33.049999999999997</v>
      </c>
      <c r="H242" s="154">
        <v>136.64819033999999</v>
      </c>
      <c r="I242" s="190">
        <f t="shared" si="20"/>
        <v>136.64819033999999</v>
      </c>
      <c r="J242" s="190">
        <f t="shared" si="21"/>
        <v>54.253871223449401</v>
      </c>
      <c r="K242" s="246">
        <v>24714</v>
      </c>
      <c r="L242" s="248">
        <f t="shared" si="24"/>
        <v>24529</v>
      </c>
      <c r="M242" s="164">
        <v>12631.648254200001</v>
      </c>
      <c r="N242" s="190">
        <f t="shared" si="22"/>
        <v>12631.648254200001</v>
      </c>
      <c r="O242" s="264">
        <f t="shared" si="27"/>
        <v>903.25</v>
      </c>
      <c r="P242" s="264">
        <f t="shared" si="27"/>
        <v>0</v>
      </c>
      <c r="Q242" s="166">
        <v>4200</v>
      </c>
      <c r="R242" s="166">
        <v>1161</v>
      </c>
      <c r="S242" s="182">
        <f t="shared" si="23"/>
        <v>0</v>
      </c>
      <c r="T242" s="339">
        <v>0.39703322150449349</v>
      </c>
    </row>
    <row r="243" spans="1:20" x14ac:dyDescent="0.2">
      <c r="A243" s="153">
        <v>2021</v>
      </c>
      <c r="B243" s="153">
        <v>2</v>
      </c>
      <c r="C243" s="176"/>
      <c r="D243" s="173">
        <v>11.029375800543386</v>
      </c>
      <c r="E243" s="281">
        <f t="shared" si="19"/>
        <v>12.311756835387365</v>
      </c>
      <c r="F243" s="173"/>
      <c r="G243" s="173">
        <v>30.14</v>
      </c>
      <c r="H243" s="154">
        <v>136.64819033999999</v>
      </c>
      <c r="I243" s="190">
        <f t="shared" si="20"/>
        <v>136.64819033999999</v>
      </c>
      <c r="J243" s="190">
        <f t="shared" si="21"/>
        <v>54.253871223449401</v>
      </c>
      <c r="K243" s="246">
        <v>24712</v>
      </c>
      <c r="L243" s="248">
        <f t="shared" si="24"/>
        <v>24528</v>
      </c>
      <c r="M243" s="164">
        <v>12631.648254200001</v>
      </c>
      <c r="N243" s="190">
        <f t="shared" si="22"/>
        <v>12631.648254200001</v>
      </c>
      <c r="O243" s="264">
        <f t="shared" si="27"/>
        <v>652.25</v>
      </c>
      <c r="P243" s="264">
        <f t="shared" si="27"/>
        <v>0</v>
      </c>
      <c r="Q243" s="166">
        <v>4200</v>
      </c>
      <c r="R243" s="166">
        <v>1161</v>
      </c>
      <c r="S243" s="182">
        <f t="shared" si="23"/>
        <v>0</v>
      </c>
      <c r="T243" s="339">
        <v>0.39703322150449349</v>
      </c>
    </row>
    <row r="244" spans="1:20" x14ac:dyDescent="0.2">
      <c r="A244" s="153">
        <v>2021</v>
      </c>
      <c r="B244" s="153">
        <v>3</v>
      </c>
      <c r="C244" s="176"/>
      <c r="D244" s="173">
        <v>11.029375800543386</v>
      </c>
      <c r="E244" s="281">
        <f t="shared" si="19"/>
        <v>12.311756835387365</v>
      </c>
      <c r="F244" s="173"/>
      <c r="G244" s="173">
        <v>30</v>
      </c>
      <c r="H244" s="154">
        <v>136.64819033999999</v>
      </c>
      <c r="I244" s="190">
        <f t="shared" si="20"/>
        <v>136.64819033999999</v>
      </c>
      <c r="J244" s="190">
        <f t="shared" si="21"/>
        <v>54.253871223449401</v>
      </c>
      <c r="K244" s="246">
        <v>24710</v>
      </c>
      <c r="L244" s="248">
        <f t="shared" si="24"/>
        <v>24527</v>
      </c>
      <c r="M244" s="164">
        <v>12631.648254200001</v>
      </c>
      <c r="N244" s="190">
        <f t="shared" si="22"/>
        <v>12631.648254200001</v>
      </c>
      <c r="O244" s="264">
        <f t="shared" si="27"/>
        <v>489.25</v>
      </c>
      <c r="P244" s="264">
        <f t="shared" si="27"/>
        <v>0</v>
      </c>
      <c r="Q244" s="166">
        <v>4200</v>
      </c>
      <c r="R244" s="166">
        <v>1161</v>
      </c>
      <c r="S244" s="182">
        <f t="shared" si="23"/>
        <v>0</v>
      </c>
      <c r="T244" s="339">
        <v>0.39703322150449349</v>
      </c>
    </row>
    <row r="245" spans="1:20" x14ac:dyDescent="0.2">
      <c r="A245" s="153">
        <v>2021</v>
      </c>
      <c r="B245" s="153">
        <v>4</v>
      </c>
      <c r="C245" s="176"/>
      <c r="D245" s="173">
        <v>11.029375800543386</v>
      </c>
      <c r="E245" s="281">
        <f t="shared" si="19"/>
        <v>12.311756835387365</v>
      </c>
      <c r="F245" s="173"/>
      <c r="G245" s="173">
        <v>30.86</v>
      </c>
      <c r="H245" s="154">
        <v>136.64819033999999</v>
      </c>
      <c r="I245" s="190">
        <f t="shared" si="20"/>
        <v>136.64819033999999</v>
      </c>
      <c r="J245" s="190">
        <f t="shared" si="21"/>
        <v>54.244249328474524</v>
      </c>
      <c r="K245" s="246">
        <v>24708</v>
      </c>
      <c r="L245" s="248">
        <f t="shared" si="24"/>
        <v>24526</v>
      </c>
      <c r="M245" s="164">
        <v>12631.648254200001</v>
      </c>
      <c r="N245" s="190">
        <f t="shared" si="22"/>
        <v>12631.648254200001</v>
      </c>
      <c r="O245" s="264">
        <f t="shared" si="27"/>
        <v>184.25</v>
      </c>
      <c r="P245" s="264">
        <f t="shared" si="27"/>
        <v>27.25</v>
      </c>
      <c r="Q245" s="166">
        <v>4200</v>
      </c>
      <c r="R245" s="166">
        <v>1161</v>
      </c>
      <c r="S245" s="182">
        <f t="shared" si="23"/>
        <v>0</v>
      </c>
      <c r="T245" s="339">
        <v>0.39696280787551724</v>
      </c>
    </row>
    <row r="246" spans="1:20" x14ac:dyDescent="0.2">
      <c r="A246" s="153">
        <v>2021</v>
      </c>
      <c r="B246" s="153">
        <v>5</v>
      </c>
      <c r="C246" s="176"/>
      <c r="D246" s="173">
        <v>11.029375800543386</v>
      </c>
      <c r="E246" s="281">
        <f t="shared" si="19"/>
        <v>12.311756835387365</v>
      </c>
      <c r="F246" s="173"/>
      <c r="G246" s="173">
        <v>29.48</v>
      </c>
      <c r="H246" s="154">
        <v>136.64819033999999</v>
      </c>
      <c r="I246" s="190">
        <f t="shared" si="20"/>
        <v>136.64819033999999</v>
      </c>
      <c r="J246" s="190">
        <f t="shared" si="21"/>
        <v>54.244249328474524</v>
      </c>
      <c r="K246" s="246">
        <v>24706</v>
      </c>
      <c r="L246" s="248">
        <f t="shared" si="24"/>
        <v>24525</v>
      </c>
      <c r="M246" s="164">
        <v>12631.648254200001</v>
      </c>
      <c r="N246" s="190">
        <f t="shared" si="22"/>
        <v>12631.648254200001</v>
      </c>
      <c r="O246" s="264">
        <f t="shared" si="27"/>
        <v>70</v>
      </c>
      <c r="P246" s="264">
        <f t="shared" si="27"/>
        <v>138.5</v>
      </c>
      <c r="Q246" s="166">
        <v>4200</v>
      </c>
      <c r="R246" s="166">
        <v>1161</v>
      </c>
      <c r="S246" s="182">
        <f t="shared" si="23"/>
        <v>0</v>
      </c>
      <c r="T246" s="339">
        <v>0.39696280787551724</v>
      </c>
    </row>
    <row r="247" spans="1:20" x14ac:dyDescent="0.2">
      <c r="A247" s="153">
        <v>2021</v>
      </c>
      <c r="B247" s="153">
        <v>6</v>
      </c>
      <c r="C247" s="176"/>
      <c r="D247" s="173">
        <v>11.029375800543386</v>
      </c>
      <c r="E247" s="281">
        <f t="shared" si="19"/>
        <v>12.311756835387365</v>
      </c>
      <c r="F247" s="173"/>
      <c r="G247" s="173">
        <v>30.67</v>
      </c>
      <c r="H247" s="154">
        <v>136.64819033999999</v>
      </c>
      <c r="I247" s="190">
        <f t="shared" si="20"/>
        <v>136.64819033999999</v>
      </c>
      <c r="J247" s="190">
        <f t="shared" si="21"/>
        <v>54.244249328474524</v>
      </c>
      <c r="K247" s="246">
        <v>24704</v>
      </c>
      <c r="L247" s="248">
        <f t="shared" si="24"/>
        <v>24524</v>
      </c>
      <c r="M247" s="164">
        <v>12631.648254200001</v>
      </c>
      <c r="N247" s="190">
        <f t="shared" si="22"/>
        <v>12631.648254200001</v>
      </c>
      <c r="O247" s="264">
        <f t="shared" si="27"/>
        <v>1.25</v>
      </c>
      <c r="P247" s="264">
        <f t="shared" si="27"/>
        <v>239.5</v>
      </c>
      <c r="Q247" s="166">
        <v>4200</v>
      </c>
      <c r="R247" s="166">
        <v>1161</v>
      </c>
      <c r="S247" s="182">
        <f t="shared" si="23"/>
        <v>0</v>
      </c>
      <c r="T247" s="339">
        <v>0.39696280787551724</v>
      </c>
    </row>
    <row r="248" spans="1:20" x14ac:dyDescent="0.2">
      <c r="A248" s="153">
        <v>2021</v>
      </c>
      <c r="B248" s="153">
        <v>7</v>
      </c>
      <c r="C248" s="176"/>
      <c r="D248" s="173">
        <v>11.029375800543386</v>
      </c>
      <c r="E248" s="281">
        <f t="shared" si="19"/>
        <v>12.311756835387365</v>
      </c>
      <c r="F248" s="173"/>
      <c r="G248" s="173">
        <v>30.71</v>
      </c>
      <c r="H248" s="154">
        <v>136.64819033999999</v>
      </c>
      <c r="I248" s="190">
        <f t="shared" si="20"/>
        <v>136.64819033999999</v>
      </c>
      <c r="J248" s="190">
        <f t="shared" si="21"/>
        <v>54.233413982144668</v>
      </c>
      <c r="K248" s="246">
        <v>24702</v>
      </c>
      <c r="L248" s="248">
        <f t="shared" si="24"/>
        <v>24523</v>
      </c>
      <c r="M248" s="164">
        <v>12631.648254200001</v>
      </c>
      <c r="N248" s="190">
        <f t="shared" si="22"/>
        <v>12631.648254200001</v>
      </c>
      <c r="O248" s="264">
        <f t="shared" si="27"/>
        <v>0</v>
      </c>
      <c r="P248" s="264">
        <f t="shared" si="27"/>
        <v>391</v>
      </c>
      <c r="Q248" s="166">
        <v>4200</v>
      </c>
      <c r="R248" s="166">
        <v>1161</v>
      </c>
      <c r="S248" s="182">
        <f t="shared" si="23"/>
        <v>0</v>
      </c>
      <c r="T248" s="339">
        <v>0.39688351413366163</v>
      </c>
    </row>
    <row r="249" spans="1:20" x14ac:dyDescent="0.2">
      <c r="A249" s="153">
        <v>2021</v>
      </c>
      <c r="B249" s="153">
        <v>8</v>
      </c>
      <c r="C249" s="176"/>
      <c r="D249" s="173">
        <v>11.029375800543386</v>
      </c>
      <c r="E249" s="281">
        <f t="shared" si="19"/>
        <v>12.311756835387365</v>
      </c>
      <c r="F249" s="173"/>
      <c r="G249" s="173">
        <v>29.52</v>
      </c>
      <c r="H249" s="154">
        <v>136.64819033999999</v>
      </c>
      <c r="I249" s="190">
        <f t="shared" si="20"/>
        <v>136.64819033999999</v>
      </c>
      <c r="J249" s="190">
        <f t="shared" si="21"/>
        <v>54.233413982144668</v>
      </c>
      <c r="K249" s="246">
        <v>24700</v>
      </c>
      <c r="L249" s="248">
        <f t="shared" si="24"/>
        <v>24522</v>
      </c>
      <c r="M249" s="164">
        <v>12631.648254200001</v>
      </c>
      <c r="N249" s="190">
        <f t="shared" si="22"/>
        <v>12631.648254200001</v>
      </c>
      <c r="O249" s="264">
        <f t="shared" si="27"/>
        <v>0</v>
      </c>
      <c r="P249" s="264">
        <f t="shared" si="27"/>
        <v>292.5</v>
      </c>
      <c r="Q249" s="166">
        <v>4200</v>
      </c>
      <c r="R249" s="166">
        <v>1161</v>
      </c>
      <c r="S249" s="182">
        <f t="shared" si="23"/>
        <v>0</v>
      </c>
      <c r="T249" s="339">
        <v>0.39688351413366163</v>
      </c>
    </row>
    <row r="250" spans="1:20" x14ac:dyDescent="0.2">
      <c r="A250" s="153">
        <v>2021</v>
      </c>
      <c r="B250" s="153">
        <v>9</v>
      </c>
      <c r="C250" s="176"/>
      <c r="D250" s="173">
        <v>11.029375800543386</v>
      </c>
      <c r="E250" s="281">
        <f t="shared" si="19"/>
        <v>12.311756835387365</v>
      </c>
      <c r="F250" s="173"/>
      <c r="G250" s="173">
        <v>30.52</v>
      </c>
      <c r="H250" s="154">
        <v>136.64819033999999</v>
      </c>
      <c r="I250" s="190">
        <f t="shared" si="20"/>
        <v>136.64819033999999</v>
      </c>
      <c r="J250" s="190">
        <f t="shared" si="21"/>
        <v>54.233413982144668</v>
      </c>
      <c r="K250" s="246">
        <v>24698</v>
      </c>
      <c r="L250" s="248">
        <f t="shared" si="24"/>
        <v>24521</v>
      </c>
      <c r="M250" s="164">
        <v>12631.648254200001</v>
      </c>
      <c r="N250" s="190">
        <f t="shared" si="22"/>
        <v>12631.648254200001</v>
      </c>
      <c r="O250" s="264">
        <f t="shared" si="27"/>
        <v>43.5</v>
      </c>
      <c r="P250" s="264">
        <f t="shared" si="27"/>
        <v>138.5</v>
      </c>
      <c r="Q250" s="166">
        <v>4200</v>
      </c>
      <c r="R250" s="166">
        <v>1161</v>
      </c>
      <c r="S250" s="182">
        <f t="shared" si="23"/>
        <v>0</v>
      </c>
      <c r="T250" s="339">
        <v>0.39688351413366163</v>
      </c>
    </row>
    <row r="251" spans="1:20" x14ac:dyDescent="0.2">
      <c r="A251" s="153">
        <v>2021</v>
      </c>
      <c r="B251" s="153">
        <v>10</v>
      </c>
      <c r="C251" s="176"/>
      <c r="D251" s="173">
        <v>11.029375800543386</v>
      </c>
      <c r="E251" s="281">
        <f t="shared" si="19"/>
        <v>12.311756835387365</v>
      </c>
      <c r="F251" s="173"/>
      <c r="G251" s="173">
        <v>29.62</v>
      </c>
      <c r="H251" s="154">
        <v>136.64819033999999</v>
      </c>
      <c r="I251" s="190">
        <f t="shared" si="20"/>
        <v>136.64819033999999</v>
      </c>
      <c r="J251" s="190">
        <f t="shared" si="21"/>
        <v>54.261143390592188</v>
      </c>
      <c r="K251" s="246">
        <v>24696</v>
      </c>
      <c r="L251" s="248">
        <f t="shared" si="24"/>
        <v>24520</v>
      </c>
      <c r="M251" s="164">
        <v>12631.648254200001</v>
      </c>
      <c r="N251" s="190">
        <f t="shared" si="22"/>
        <v>12631.648254200001</v>
      </c>
      <c r="O251" s="264">
        <f t="shared" si="27"/>
        <v>259.5</v>
      </c>
      <c r="P251" s="264">
        <f t="shared" si="27"/>
        <v>8</v>
      </c>
      <c r="Q251" s="166">
        <v>4200</v>
      </c>
      <c r="R251" s="166">
        <v>1161</v>
      </c>
      <c r="S251" s="182">
        <f t="shared" si="23"/>
        <v>0</v>
      </c>
      <c r="T251" s="339">
        <v>0.39708643967829216</v>
      </c>
    </row>
    <row r="252" spans="1:20" x14ac:dyDescent="0.2">
      <c r="A252" s="153">
        <v>2021</v>
      </c>
      <c r="B252" s="153">
        <v>11</v>
      </c>
      <c r="C252" s="176"/>
      <c r="D252" s="173">
        <v>11.029375800543386</v>
      </c>
      <c r="E252" s="281">
        <f t="shared" si="19"/>
        <v>12.311756835387365</v>
      </c>
      <c r="F252" s="173"/>
      <c r="G252" s="173">
        <v>29.1</v>
      </c>
      <c r="H252" s="154">
        <v>136.64819033999999</v>
      </c>
      <c r="I252" s="190">
        <f t="shared" si="20"/>
        <v>136.64819033999999</v>
      </c>
      <c r="J252" s="190">
        <f t="shared" si="21"/>
        <v>54.261143390592188</v>
      </c>
      <c r="K252" s="246">
        <v>24694</v>
      </c>
      <c r="L252" s="248">
        <f t="shared" si="24"/>
        <v>24519</v>
      </c>
      <c r="M252" s="164">
        <v>12631.648254200001</v>
      </c>
      <c r="N252" s="190">
        <f t="shared" si="22"/>
        <v>12631.648254200001</v>
      </c>
      <c r="O252" s="264">
        <f t="shared" si="27"/>
        <v>529.75</v>
      </c>
      <c r="P252" s="264">
        <f t="shared" si="27"/>
        <v>1</v>
      </c>
      <c r="Q252" s="166">
        <v>4200</v>
      </c>
      <c r="R252" s="166">
        <v>1161</v>
      </c>
      <c r="S252" s="182">
        <f t="shared" si="23"/>
        <v>0</v>
      </c>
      <c r="T252" s="339">
        <v>0.39708643967829216</v>
      </c>
    </row>
    <row r="253" spans="1:20" x14ac:dyDescent="0.2">
      <c r="A253" s="153">
        <v>2021</v>
      </c>
      <c r="B253" s="153">
        <v>12</v>
      </c>
      <c r="C253" s="176"/>
      <c r="D253" s="173">
        <v>11.029375800543386</v>
      </c>
      <c r="E253" s="281">
        <f t="shared" si="19"/>
        <v>12.311756835387365</v>
      </c>
      <c r="F253" s="173"/>
      <c r="G253" s="173">
        <v>31.67</v>
      </c>
      <c r="H253" s="154">
        <v>136.64819033999999</v>
      </c>
      <c r="I253" s="190">
        <f t="shared" si="20"/>
        <v>136.64819033999999</v>
      </c>
      <c r="J253" s="190">
        <f t="shared" si="21"/>
        <v>54.261143390592188</v>
      </c>
      <c r="K253" s="246">
        <v>24692</v>
      </c>
      <c r="L253" s="248">
        <f t="shared" si="24"/>
        <v>24518</v>
      </c>
      <c r="M253" s="164">
        <v>12631.648254200001</v>
      </c>
      <c r="N253" s="190">
        <f t="shared" si="22"/>
        <v>12631.648254200001</v>
      </c>
      <c r="O253" s="264">
        <f t="shared" si="27"/>
        <v>719</v>
      </c>
      <c r="P253" s="264">
        <f t="shared" si="27"/>
        <v>0</v>
      </c>
      <c r="Q253" s="166">
        <v>4200</v>
      </c>
      <c r="R253" s="166">
        <v>1161</v>
      </c>
      <c r="S253" s="182">
        <f t="shared" si="23"/>
        <v>0</v>
      </c>
      <c r="T253" s="339">
        <v>0.39708643967829216</v>
      </c>
    </row>
    <row r="254" spans="1:20" x14ac:dyDescent="0.2">
      <c r="A254" s="153">
        <v>2022</v>
      </c>
      <c r="B254" s="153">
        <v>1</v>
      </c>
      <c r="C254" s="176"/>
      <c r="D254" s="173">
        <v>11.305110195556971</v>
      </c>
      <c r="E254" s="281">
        <f t="shared" si="19"/>
        <v>12.557991972095113</v>
      </c>
      <c r="F254" s="173"/>
      <c r="G254" s="173">
        <v>32.71</v>
      </c>
      <c r="H254" s="154">
        <v>136.78675090000002</v>
      </c>
      <c r="I254" s="190">
        <f t="shared" si="20"/>
        <v>136.78675090000002</v>
      </c>
      <c r="J254" s="190">
        <f t="shared" si="21"/>
        <v>54.282181785936146</v>
      </c>
      <c r="K254" s="246">
        <v>24690</v>
      </c>
      <c r="L254" s="248">
        <f t="shared" si="24"/>
        <v>24517</v>
      </c>
      <c r="M254" s="164">
        <v>13141.726165600001</v>
      </c>
      <c r="N254" s="190">
        <f t="shared" si="22"/>
        <v>13141.726165600001</v>
      </c>
      <c r="O254" s="264">
        <f t="shared" si="27"/>
        <v>903.25</v>
      </c>
      <c r="P254" s="264">
        <f t="shared" si="27"/>
        <v>0</v>
      </c>
      <c r="Q254" s="166">
        <v>4200</v>
      </c>
      <c r="R254" s="166">
        <v>1161</v>
      </c>
      <c r="S254" s="182">
        <f t="shared" si="23"/>
        <v>0</v>
      </c>
      <c r="T254" s="339">
        <v>0.39683800827771648</v>
      </c>
    </row>
    <row r="255" spans="1:20" x14ac:dyDescent="0.2">
      <c r="A255" s="153">
        <v>2022</v>
      </c>
      <c r="B255" s="153">
        <v>2</v>
      </c>
      <c r="C255" s="176"/>
      <c r="D255" s="173">
        <v>11.305110195556971</v>
      </c>
      <c r="E255" s="281">
        <f t="shared" si="19"/>
        <v>12.557991972095113</v>
      </c>
      <c r="F255" s="173"/>
      <c r="G255" s="173">
        <v>29.81</v>
      </c>
      <c r="H255" s="154">
        <v>136.78675090000002</v>
      </c>
      <c r="I255" s="190">
        <f t="shared" si="20"/>
        <v>136.78675090000002</v>
      </c>
      <c r="J255" s="190">
        <f t="shared" si="21"/>
        <v>54.282181785936146</v>
      </c>
      <c r="K255" s="246">
        <v>24688</v>
      </c>
      <c r="L255" s="248">
        <f t="shared" si="24"/>
        <v>24516</v>
      </c>
      <c r="M255" s="164">
        <v>13141.726165600001</v>
      </c>
      <c r="N255" s="190">
        <f t="shared" si="22"/>
        <v>13141.726165600001</v>
      </c>
      <c r="O255" s="264">
        <f t="shared" ref="O255:P270" si="28">O243</f>
        <v>652.25</v>
      </c>
      <c r="P255" s="264">
        <f t="shared" si="28"/>
        <v>0</v>
      </c>
      <c r="Q255" s="166">
        <v>4200</v>
      </c>
      <c r="R255" s="166">
        <v>1161</v>
      </c>
      <c r="S255" s="182">
        <f t="shared" si="23"/>
        <v>0</v>
      </c>
      <c r="T255" s="339">
        <v>0.39683800827771648</v>
      </c>
    </row>
    <row r="256" spans="1:20" x14ac:dyDescent="0.2">
      <c r="A256" s="153">
        <v>2022</v>
      </c>
      <c r="B256" s="153">
        <v>3</v>
      </c>
      <c r="C256" s="176"/>
      <c r="D256" s="173">
        <v>11.305110195556971</v>
      </c>
      <c r="E256" s="281">
        <f t="shared" si="19"/>
        <v>12.557991972095113</v>
      </c>
      <c r="F256" s="173"/>
      <c r="G256" s="173">
        <v>30.33</v>
      </c>
      <c r="H256" s="154">
        <v>136.78675090000002</v>
      </c>
      <c r="I256" s="190">
        <f t="shared" si="20"/>
        <v>136.78675090000002</v>
      </c>
      <c r="J256" s="190">
        <f t="shared" si="21"/>
        <v>54.282181785936146</v>
      </c>
      <c r="K256" s="246">
        <v>24686</v>
      </c>
      <c r="L256" s="248">
        <f t="shared" si="24"/>
        <v>24515</v>
      </c>
      <c r="M256" s="164">
        <v>13141.726165600001</v>
      </c>
      <c r="N256" s="190">
        <f t="shared" si="22"/>
        <v>13141.726165600001</v>
      </c>
      <c r="O256" s="264">
        <f t="shared" si="28"/>
        <v>489.25</v>
      </c>
      <c r="P256" s="264">
        <f t="shared" si="28"/>
        <v>0</v>
      </c>
      <c r="Q256" s="166">
        <v>4200</v>
      </c>
      <c r="R256" s="166">
        <v>1161</v>
      </c>
      <c r="S256" s="182">
        <f t="shared" si="23"/>
        <v>0</v>
      </c>
      <c r="T256" s="339">
        <v>0.39683800827771648</v>
      </c>
    </row>
    <row r="257" spans="1:20" x14ac:dyDescent="0.2">
      <c r="A257" s="153">
        <v>2022</v>
      </c>
      <c r="B257" s="153">
        <v>4</v>
      </c>
      <c r="C257" s="176"/>
      <c r="D257" s="173">
        <v>11.305110195556971</v>
      </c>
      <c r="E257" s="281">
        <f t="shared" si="19"/>
        <v>12.557991972095113</v>
      </c>
      <c r="F257" s="173"/>
      <c r="G257" s="173">
        <v>30.19</v>
      </c>
      <c r="H257" s="154">
        <v>136.78675090000002</v>
      </c>
      <c r="I257" s="190">
        <f t="shared" si="20"/>
        <v>136.78675090000002</v>
      </c>
      <c r="J257" s="190">
        <f t="shared" si="21"/>
        <v>54.277889233998124</v>
      </c>
      <c r="K257" s="246">
        <v>24684</v>
      </c>
      <c r="L257" s="248">
        <f t="shared" si="24"/>
        <v>24514</v>
      </c>
      <c r="M257" s="164">
        <v>13141.726165600001</v>
      </c>
      <c r="N257" s="190">
        <f t="shared" si="22"/>
        <v>13141.726165600001</v>
      </c>
      <c r="O257" s="264">
        <f t="shared" si="28"/>
        <v>184.25</v>
      </c>
      <c r="P257" s="264">
        <f t="shared" si="28"/>
        <v>27.25</v>
      </c>
      <c r="Q257" s="166">
        <v>4200</v>
      </c>
      <c r="R257" s="166">
        <v>1161</v>
      </c>
      <c r="S257" s="182">
        <f t="shared" si="23"/>
        <v>0</v>
      </c>
      <c r="T257" s="339">
        <v>0.3968066269347883</v>
      </c>
    </row>
    <row r="258" spans="1:20" x14ac:dyDescent="0.2">
      <c r="A258" s="153">
        <v>2022</v>
      </c>
      <c r="B258" s="153">
        <v>5</v>
      </c>
      <c r="C258" s="176"/>
      <c r="D258" s="173">
        <v>11.305110195556971</v>
      </c>
      <c r="E258" s="281">
        <f t="shared" si="19"/>
        <v>12.557991972095113</v>
      </c>
      <c r="F258" s="173"/>
      <c r="G258" s="173">
        <v>30.14</v>
      </c>
      <c r="H258" s="154">
        <v>136.78675090000002</v>
      </c>
      <c r="I258" s="190">
        <f t="shared" si="20"/>
        <v>136.78675090000002</v>
      </c>
      <c r="J258" s="190">
        <f t="shared" si="21"/>
        <v>54.277889233998124</v>
      </c>
      <c r="K258" s="246">
        <v>24682</v>
      </c>
      <c r="L258" s="248">
        <f t="shared" si="24"/>
        <v>24513</v>
      </c>
      <c r="M258" s="164">
        <v>13141.726165600001</v>
      </c>
      <c r="N258" s="190">
        <f t="shared" si="22"/>
        <v>13141.726165600001</v>
      </c>
      <c r="O258" s="264">
        <f t="shared" si="28"/>
        <v>70</v>
      </c>
      <c r="P258" s="264">
        <f t="shared" si="28"/>
        <v>138.5</v>
      </c>
      <c r="Q258" s="166">
        <v>4200</v>
      </c>
      <c r="R258" s="166">
        <v>1161</v>
      </c>
      <c r="S258" s="182">
        <f t="shared" si="23"/>
        <v>0</v>
      </c>
      <c r="T258" s="339">
        <v>0.3968066269347883</v>
      </c>
    </row>
    <row r="259" spans="1:20" x14ac:dyDescent="0.2">
      <c r="A259" s="153">
        <v>2022</v>
      </c>
      <c r="B259" s="153">
        <v>6</v>
      </c>
      <c r="C259" s="176"/>
      <c r="D259" s="173">
        <v>11.305110195556971</v>
      </c>
      <c r="E259" s="281">
        <f t="shared" ref="E259:E322" si="29">E247*(1+0.02)</f>
        <v>12.557991972095113</v>
      </c>
      <c r="F259" s="173"/>
      <c r="G259" s="173">
        <v>30.67</v>
      </c>
      <c r="H259" s="154">
        <v>136.78675090000002</v>
      </c>
      <c r="I259" s="190">
        <f t="shared" ref="I259:I322" si="30">H259</f>
        <v>136.78675090000002</v>
      </c>
      <c r="J259" s="190">
        <f t="shared" ref="J259:J322" si="31">H259*T259</f>
        <v>54.277889233998124</v>
      </c>
      <c r="K259" s="246">
        <v>24680</v>
      </c>
      <c r="L259" s="248">
        <f t="shared" si="24"/>
        <v>24512</v>
      </c>
      <c r="M259" s="164">
        <v>13141.726165600001</v>
      </c>
      <c r="N259" s="190">
        <f t="shared" ref="N259:N322" si="32">M259</f>
        <v>13141.726165600001</v>
      </c>
      <c r="O259" s="264">
        <f t="shared" si="28"/>
        <v>1.25</v>
      </c>
      <c r="P259" s="264">
        <f t="shared" si="28"/>
        <v>239.5</v>
      </c>
      <c r="Q259" s="166">
        <v>4200</v>
      </c>
      <c r="R259" s="166">
        <v>1161</v>
      </c>
      <c r="S259" s="182">
        <f t="shared" ref="S259:S322" si="33">C259/K259*1000</f>
        <v>0</v>
      </c>
      <c r="T259" s="339">
        <v>0.3968066269347883</v>
      </c>
    </row>
    <row r="260" spans="1:20" x14ac:dyDescent="0.2">
      <c r="A260" s="153">
        <v>2022</v>
      </c>
      <c r="B260" s="153">
        <v>7</v>
      </c>
      <c r="C260" s="176"/>
      <c r="D260" s="173">
        <v>11.305110195556971</v>
      </c>
      <c r="E260" s="281">
        <f t="shared" si="29"/>
        <v>12.557991972095113</v>
      </c>
      <c r="F260" s="173"/>
      <c r="G260" s="173">
        <v>30.71</v>
      </c>
      <c r="H260" s="154">
        <v>136.78675090000002</v>
      </c>
      <c r="I260" s="190">
        <f t="shared" si="30"/>
        <v>136.78675090000002</v>
      </c>
      <c r="J260" s="190">
        <f t="shared" si="31"/>
        <v>54.273116761774673</v>
      </c>
      <c r="K260" s="246">
        <v>24678</v>
      </c>
      <c r="L260" s="248">
        <f t="shared" si="24"/>
        <v>24511</v>
      </c>
      <c r="M260" s="164">
        <v>13141.726165600001</v>
      </c>
      <c r="N260" s="190">
        <f t="shared" si="32"/>
        <v>13141.726165600001</v>
      </c>
      <c r="O260" s="264">
        <f t="shared" si="28"/>
        <v>0</v>
      </c>
      <c r="P260" s="264">
        <f t="shared" si="28"/>
        <v>391</v>
      </c>
      <c r="Q260" s="166">
        <v>4200</v>
      </c>
      <c r="R260" s="166">
        <v>1161</v>
      </c>
      <c r="S260" s="182">
        <f t="shared" si="33"/>
        <v>0</v>
      </c>
      <c r="T260" s="339">
        <v>0.39677173706283764</v>
      </c>
    </row>
    <row r="261" spans="1:20" x14ac:dyDescent="0.2">
      <c r="A261" s="153">
        <v>2022</v>
      </c>
      <c r="B261" s="153">
        <v>8</v>
      </c>
      <c r="C261" s="176"/>
      <c r="D261" s="173">
        <v>11.305110195556971</v>
      </c>
      <c r="E261" s="281">
        <f t="shared" si="29"/>
        <v>12.557991972095113</v>
      </c>
      <c r="F261" s="173"/>
      <c r="G261" s="173">
        <v>29.52</v>
      </c>
      <c r="H261" s="154">
        <v>136.78675090000002</v>
      </c>
      <c r="I261" s="190">
        <f t="shared" si="30"/>
        <v>136.78675090000002</v>
      </c>
      <c r="J261" s="190">
        <f t="shared" si="31"/>
        <v>54.273116761774673</v>
      </c>
      <c r="K261" s="246">
        <v>24676</v>
      </c>
      <c r="L261" s="248">
        <f t="shared" si="24"/>
        <v>24510</v>
      </c>
      <c r="M261" s="164">
        <v>13141.726165600001</v>
      </c>
      <c r="N261" s="190">
        <f t="shared" si="32"/>
        <v>13141.726165600001</v>
      </c>
      <c r="O261" s="264">
        <f t="shared" si="28"/>
        <v>0</v>
      </c>
      <c r="P261" s="264">
        <f t="shared" si="28"/>
        <v>292.5</v>
      </c>
      <c r="Q261" s="166">
        <v>4200</v>
      </c>
      <c r="R261" s="166">
        <v>1161</v>
      </c>
      <c r="S261" s="182">
        <f t="shared" si="33"/>
        <v>0</v>
      </c>
      <c r="T261" s="339">
        <v>0.39677173706283764</v>
      </c>
    </row>
    <row r="262" spans="1:20" x14ac:dyDescent="0.2">
      <c r="A262" s="153">
        <v>2022</v>
      </c>
      <c r="B262" s="153">
        <v>9</v>
      </c>
      <c r="C262" s="176"/>
      <c r="D262" s="173">
        <v>11.305110195556971</v>
      </c>
      <c r="E262" s="281">
        <f t="shared" si="29"/>
        <v>12.557991972095113</v>
      </c>
      <c r="F262" s="173"/>
      <c r="G262" s="173">
        <v>30.52</v>
      </c>
      <c r="H262" s="154">
        <v>136.78675090000002</v>
      </c>
      <c r="I262" s="190">
        <f t="shared" si="30"/>
        <v>136.78675090000002</v>
      </c>
      <c r="J262" s="190">
        <f t="shared" si="31"/>
        <v>54.273116761774673</v>
      </c>
      <c r="K262" s="246">
        <v>24674</v>
      </c>
      <c r="L262" s="248">
        <f t="shared" si="24"/>
        <v>24509</v>
      </c>
      <c r="M262" s="164">
        <v>13141.726165600001</v>
      </c>
      <c r="N262" s="190">
        <f t="shared" si="32"/>
        <v>13141.726165600001</v>
      </c>
      <c r="O262" s="264">
        <f t="shared" si="28"/>
        <v>43.5</v>
      </c>
      <c r="P262" s="264">
        <f t="shared" si="28"/>
        <v>138.5</v>
      </c>
      <c r="Q262" s="166">
        <v>4200</v>
      </c>
      <c r="R262" s="166">
        <v>1161</v>
      </c>
      <c r="S262" s="182">
        <f t="shared" si="33"/>
        <v>0</v>
      </c>
      <c r="T262" s="339">
        <v>0.39677173706283764</v>
      </c>
    </row>
    <row r="263" spans="1:20" x14ac:dyDescent="0.2">
      <c r="A263" s="153">
        <v>2022</v>
      </c>
      <c r="B263" s="153">
        <v>10</v>
      </c>
      <c r="C263" s="176"/>
      <c r="D263" s="173">
        <v>11.305110195556971</v>
      </c>
      <c r="E263" s="281">
        <f t="shared" si="29"/>
        <v>12.557991972095113</v>
      </c>
      <c r="F263" s="173"/>
      <c r="G263" s="173">
        <v>29.62</v>
      </c>
      <c r="H263" s="154">
        <v>136.78675090000002</v>
      </c>
      <c r="I263" s="190">
        <f t="shared" si="30"/>
        <v>136.78675090000002</v>
      </c>
      <c r="J263" s="190">
        <f t="shared" si="31"/>
        <v>54.270913382670805</v>
      </c>
      <c r="K263" s="246">
        <v>24672</v>
      </c>
      <c r="L263" s="248">
        <f t="shared" si="24"/>
        <v>24508</v>
      </c>
      <c r="M263" s="164">
        <v>13141.726165600001</v>
      </c>
      <c r="N263" s="190">
        <f t="shared" si="32"/>
        <v>13141.726165600001</v>
      </c>
      <c r="O263" s="264">
        <f t="shared" si="28"/>
        <v>259.5</v>
      </c>
      <c r="P263" s="264">
        <f t="shared" si="28"/>
        <v>8</v>
      </c>
      <c r="Q263" s="166">
        <v>4200</v>
      </c>
      <c r="R263" s="166">
        <v>1161</v>
      </c>
      <c r="S263" s="182">
        <f t="shared" si="33"/>
        <v>0</v>
      </c>
      <c r="T263" s="339">
        <v>0.39675562893036592</v>
      </c>
    </row>
    <row r="264" spans="1:20" x14ac:dyDescent="0.2">
      <c r="A264" s="153">
        <v>2022</v>
      </c>
      <c r="B264" s="153">
        <v>11</v>
      </c>
      <c r="C264" s="176"/>
      <c r="D264" s="173">
        <v>11.305110195556971</v>
      </c>
      <c r="E264" s="281">
        <f t="shared" si="29"/>
        <v>12.557991972095113</v>
      </c>
      <c r="F264" s="173"/>
      <c r="G264" s="173">
        <v>29.95</v>
      </c>
      <c r="H264" s="154">
        <v>136.78675090000002</v>
      </c>
      <c r="I264" s="190">
        <f t="shared" si="30"/>
        <v>136.78675090000002</v>
      </c>
      <c r="J264" s="190">
        <f t="shared" si="31"/>
        <v>54.270913382670805</v>
      </c>
      <c r="K264" s="246">
        <v>24670</v>
      </c>
      <c r="L264" s="248">
        <f t="shared" si="24"/>
        <v>24507</v>
      </c>
      <c r="M264" s="164">
        <v>13141.726165600001</v>
      </c>
      <c r="N264" s="190">
        <f t="shared" si="32"/>
        <v>13141.726165600001</v>
      </c>
      <c r="O264" s="264">
        <f t="shared" si="28"/>
        <v>529.75</v>
      </c>
      <c r="P264" s="264">
        <f t="shared" si="28"/>
        <v>1</v>
      </c>
      <c r="Q264" s="166">
        <v>4200</v>
      </c>
      <c r="R264" s="166">
        <v>1161</v>
      </c>
      <c r="S264" s="182">
        <f t="shared" si="33"/>
        <v>0</v>
      </c>
      <c r="T264" s="339">
        <v>0.39675562893036592</v>
      </c>
    </row>
    <row r="265" spans="1:20" x14ac:dyDescent="0.2">
      <c r="A265" s="153">
        <v>2022</v>
      </c>
      <c r="B265" s="153">
        <v>12</v>
      </c>
      <c r="C265" s="176"/>
      <c r="D265" s="173">
        <v>11.305110195556971</v>
      </c>
      <c r="E265" s="281">
        <f t="shared" si="29"/>
        <v>12.557991972095113</v>
      </c>
      <c r="F265" s="173"/>
      <c r="G265" s="173">
        <v>31.24</v>
      </c>
      <c r="H265" s="154">
        <v>136.78675090000002</v>
      </c>
      <c r="I265" s="190">
        <f t="shared" si="30"/>
        <v>136.78675090000002</v>
      </c>
      <c r="J265" s="190">
        <f t="shared" si="31"/>
        <v>54.270913382670805</v>
      </c>
      <c r="K265" s="246">
        <v>24668</v>
      </c>
      <c r="L265" s="248">
        <f t="shared" si="24"/>
        <v>24506</v>
      </c>
      <c r="M265" s="164">
        <v>13141.726165600001</v>
      </c>
      <c r="N265" s="190">
        <f t="shared" si="32"/>
        <v>13141.726165600001</v>
      </c>
      <c r="O265" s="264">
        <f t="shared" si="28"/>
        <v>719</v>
      </c>
      <c r="P265" s="264">
        <f t="shared" si="28"/>
        <v>0</v>
      </c>
      <c r="Q265" s="166">
        <v>4200</v>
      </c>
      <c r="R265" s="166">
        <v>1161</v>
      </c>
      <c r="S265" s="182">
        <f t="shared" si="33"/>
        <v>0</v>
      </c>
      <c r="T265" s="339">
        <v>0.39675562893036592</v>
      </c>
    </row>
    <row r="266" spans="1:20" x14ac:dyDescent="0.2">
      <c r="A266" s="153">
        <v>2023</v>
      </c>
      <c r="B266" s="153">
        <v>1</v>
      </c>
      <c r="C266" s="176"/>
      <c r="D266" s="173">
        <v>11.587737950445893</v>
      </c>
      <c r="E266" s="281">
        <f t="shared" si="29"/>
        <v>12.809151811537015</v>
      </c>
      <c r="F266" s="173"/>
      <c r="G266" s="173">
        <v>32.67</v>
      </c>
      <c r="H266" s="154">
        <v>136.95361055000001</v>
      </c>
      <c r="I266" s="190">
        <f t="shared" si="30"/>
        <v>136.95361055000001</v>
      </c>
      <c r="J266" s="190">
        <f t="shared" si="31"/>
        <v>54.338173287711165</v>
      </c>
      <c r="K266" s="246">
        <v>24666</v>
      </c>
      <c r="L266" s="248">
        <f t="shared" si="24"/>
        <v>24505</v>
      </c>
      <c r="M266" s="164">
        <v>13677.498799199999</v>
      </c>
      <c r="N266" s="190">
        <f t="shared" si="32"/>
        <v>13677.498799199999</v>
      </c>
      <c r="O266" s="264">
        <f t="shared" si="28"/>
        <v>903.25</v>
      </c>
      <c r="P266" s="264">
        <f t="shared" si="28"/>
        <v>0</v>
      </c>
      <c r="Q266" s="166">
        <v>4200</v>
      </c>
      <c r="R266" s="166">
        <v>1161</v>
      </c>
      <c r="S266" s="182">
        <f t="shared" si="33"/>
        <v>0</v>
      </c>
      <c r="T266" s="339">
        <v>0.39676334979042405</v>
      </c>
    </row>
    <row r="267" spans="1:20" x14ac:dyDescent="0.2">
      <c r="A267" s="153">
        <v>2023</v>
      </c>
      <c r="B267" s="153">
        <v>2</v>
      </c>
      <c r="C267" s="176"/>
      <c r="D267" s="173">
        <v>11.587737950445893</v>
      </c>
      <c r="E267" s="281">
        <f t="shared" si="29"/>
        <v>12.809151811537015</v>
      </c>
      <c r="F267" s="173"/>
      <c r="G267" s="173">
        <v>29.86</v>
      </c>
      <c r="H267" s="154">
        <v>136.95361055000001</v>
      </c>
      <c r="I267" s="190">
        <f t="shared" si="30"/>
        <v>136.95361055000001</v>
      </c>
      <c r="J267" s="190">
        <f t="shared" si="31"/>
        <v>54.338173287711165</v>
      </c>
      <c r="K267" s="246">
        <v>24664</v>
      </c>
      <c r="L267" s="248">
        <f t="shared" ref="L267:L330" si="34">L266-1</f>
        <v>24504</v>
      </c>
      <c r="M267" s="164">
        <v>13677.498799199999</v>
      </c>
      <c r="N267" s="190">
        <f t="shared" si="32"/>
        <v>13677.498799199999</v>
      </c>
      <c r="O267" s="264">
        <f t="shared" si="28"/>
        <v>652.25</v>
      </c>
      <c r="P267" s="264">
        <f t="shared" si="28"/>
        <v>0</v>
      </c>
      <c r="Q267" s="166">
        <v>4200</v>
      </c>
      <c r="R267" s="166">
        <v>1161</v>
      </c>
      <c r="S267" s="182">
        <f t="shared" si="33"/>
        <v>0</v>
      </c>
      <c r="T267" s="339">
        <v>0.39676334979042405</v>
      </c>
    </row>
    <row r="268" spans="1:20" x14ac:dyDescent="0.2">
      <c r="A268" s="153">
        <v>2023</v>
      </c>
      <c r="B268" s="153">
        <v>3</v>
      </c>
      <c r="C268" s="176"/>
      <c r="D268" s="173">
        <v>11.587737950445893</v>
      </c>
      <c r="E268" s="281">
        <f t="shared" si="29"/>
        <v>12.809151811537015</v>
      </c>
      <c r="F268" s="173"/>
      <c r="G268" s="173">
        <v>30.29</v>
      </c>
      <c r="H268" s="154">
        <v>136.95361055000001</v>
      </c>
      <c r="I268" s="190">
        <f t="shared" si="30"/>
        <v>136.95361055000001</v>
      </c>
      <c r="J268" s="190">
        <f t="shared" si="31"/>
        <v>54.338173287711165</v>
      </c>
      <c r="K268" s="246">
        <v>24662</v>
      </c>
      <c r="L268" s="248">
        <f t="shared" si="34"/>
        <v>24503</v>
      </c>
      <c r="M268" s="164">
        <v>13677.498799199999</v>
      </c>
      <c r="N268" s="190">
        <f t="shared" si="32"/>
        <v>13677.498799199999</v>
      </c>
      <c r="O268" s="264">
        <f t="shared" si="28"/>
        <v>489.25</v>
      </c>
      <c r="P268" s="264">
        <f t="shared" si="28"/>
        <v>0</v>
      </c>
      <c r="Q268" s="166">
        <v>4200</v>
      </c>
      <c r="R268" s="166">
        <v>1161</v>
      </c>
      <c r="S268" s="182">
        <f t="shared" si="33"/>
        <v>0</v>
      </c>
      <c r="T268" s="339">
        <v>0.39676334979042405</v>
      </c>
    </row>
    <row r="269" spans="1:20" x14ac:dyDescent="0.2">
      <c r="A269" s="153">
        <v>2023</v>
      </c>
      <c r="B269" s="153">
        <v>4</v>
      </c>
      <c r="C269" s="176"/>
      <c r="D269" s="173">
        <v>11.587737950445893</v>
      </c>
      <c r="E269" s="281">
        <f t="shared" si="29"/>
        <v>12.809151811537015</v>
      </c>
      <c r="F269" s="173"/>
      <c r="G269" s="173">
        <v>30.67</v>
      </c>
      <c r="H269" s="154">
        <v>136.95361055000001</v>
      </c>
      <c r="I269" s="190">
        <f t="shared" si="30"/>
        <v>136.95361055000001</v>
      </c>
      <c r="J269" s="190">
        <f t="shared" si="31"/>
        <v>54.341623956091446</v>
      </c>
      <c r="K269" s="246">
        <v>24660</v>
      </c>
      <c r="L269" s="248">
        <f t="shared" si="34"/>
        <v>24502</v>
      </c>
      <c r="M269" s="164">
        <v>13677.498799199999</v>
      </c>
      <c r="N269" s="190">
        <f t="shared" si="32"/>
        <v>13677.498799199999</v>
      </c>
      <c r="O269" s="264">
        <f t="shared" si="28"/>
        <v>184.25</v>
      </c>
      <c r="P269" s="264">
        <f t="shared" si="28"/>
        <v>27.25</v>
      </c>
      <c r="Q269" s="166">
        <v>4200</v>
      </c>
      <c r="R269" s="166">
        <v>1161</v>
      </c>
      <c r="S269" s="182">
        <f t="shared" si="33"/>
        <v>0</v>
      </c>
      <c r="T269" s="339">
        <v>0.396788545682423</v>
      </c>
    </row>
    <row r="270" spans="1:20" x14ac:dyDescent="0.2">
      <c r="A270" s="153">
        <v>2023</v>
      </c>
      <c r="B270" s="153">
        <v>5</v>
      </c>
      <c r="C270" s="176"/>
      <c r="D270" s="173">
        <v>11.587737950445893</v>
      </c>
      <c r="E270" s="281">
        <f t="shared" si="29"/>
        <v>12.809151811537015</v>
      </c>
      <c r="F270" s="173"/>
      <c r="G270" s="173">
        <v>29.71</v>
      </c>
      <c r="H270" s="154">
        <v>136.95361055000001</v>
      </c>
      <c r="I270" s="190">
        <f t="shared" si="30"/>
        <v>136.95361055000001</v>
      </c>
      <c r="J270" s="190">
        <f t="shared" si="31"/>
        <v>54.341623956091446</v>
      </c>
      <c r="K270" s="246">
        <v>24658</v>
      </c>
      <c r="L270" s="248">
        <f t="shared" si="34"/>
        <v>24501</v>
      </c>
      <c r="M270" s="164">
        <v>13677.498799199999</v>
      </c>
      <c r="N270" s="190">
        <f t="shared" si="32"/>
        <v>13677.498799199999</v>
      </c>
      <c r="O270" s="264">
        <f t="shared" si="28"/>
        <v>70</v>
      </c>
      <c r="P270" s="264">
        <f t="shared" si="28"/>
        <v>138.5</v>
      </c>
      <c r="Q270" s="166">
        <v>4200</v>
      </c>
      <c r="R270" s="166">
        <v>1161</v>
      </c>
      <c r="S270" s="182">
        <f t="shared" si="33"/>
        <v>0</v>
      </c>
      <c r="T270" s="339">
        <v>0.396788545682423</v>
      </c>
    </row>
    <row r="271" spans="1:20" x14ac:dyDescent="0.2">
      <c r="A271" s="153">
        <v>2023</v>
      </c>
      <c r="B271" s="153">
        <v>6</v>
      </c>
      <c r="C271" s="176"/>
      <c r="D271" s="173">
        <v>11.587737950445893</v>
      </c>
      <c r="E271" s="281">
        <f t="shared" si="29"/>
        <v>12.809151811537015</v>
      </c>
      <c r="F271" s="173"/>
      <c r="G271" s="173">
        <v>30.62</v>
      </c>
      <c r="H271" s="154">
        <v>136.95361055000001</v>
      </c>
      <c r="I271" s="190">
        <f t="shared" si="30"/>
        <v>136.95361055000001</v>
      </c>
      <c r="J271" s="190">
        <f t="shared" si="31"/>
        <v>54.341623956091446</v>
      </c>
      <c r="K271" s="246">
        <v>24656</v>
      </c>
      <c r="L271" s="248">
        <f t="shared" si="34"/>
        <v>24500</v>
      </c>
      <c r="M271" s="164">
        <v>13677.498799199999</v>
      </c>
      <c r="N271" s="190">
        <f t="shared" si="32"/>
        <v>13677.498799199999</v>
      </c>
      <c r="O271" s="264">
        <f t="shared" ref="O271:P286" si="35">O259</f>
        <v>1.25</v>
      </c>
      <c r="P271" s="264">
        <f t="shared" si="35"/>
        <v>239.5</v>
      </c>
      <c r="Q271" s="166">
        <v>4200</v>
      </c>
      <c r="R271" s="166">
        <v>1161</v>
      </c>
      <c r="S271" s="182">
        <f t="shared" si="33"/>
        <v>0</v>
      </c>
      <c r="T271" s="339">
        <v>0.396788545682423</v>
      </c>
    </row>
    <row r="272" spans="1:20" x14ac:dyDescent="0.2">
      <c r="A272" s="153">
        <v>2023</v>
      </c>
      <c r="B272" s="153">
        <v>7</v>
      </c>
      <c r="C272" s="176"/>
      <c r="D272" s="173">
        <v>11.587737950445893</v>
      </c>
      <c r="E272" s="281">
        <f t="shared" si="29"/>
        <v>12.809151811537015</v>
      </c>
      <c r="F272" s="173"/>
      <c r="G272" s="173">
        <v>30.81</v>
      </c>
      <c r="H272" s="154">
        <v>136.95361055000001</v>
      </c>
      <c r="I272" s="190">
        <f t="shared" si="30"/>
        <v>136.95361055000001</v>
      </c>
      <c r="J272" s="190">
        <f t="shared" si="31"/>
        <v>54.344144614405423</v>
      </c>
      <c r="K272" s="246">
        <v>24654</v>
      </c>
      <c r="L272" s="248">
        <f t="shared" si="34"/>
        <v>24499</v>
      </c>
      <c r="M272" s="164">
        <v>13677.498799199999</v>
      </c>
      <c r="N272" s="190">
        <f t="shared" si="32"/>
        <v>13677.498799199999</v>
      </c>
      <c r="O272" s="264">
        <f t="shared" si="35"/>
        <v>0</v>
      </c>
      <c r="P272" s="264">
        <f t="shared" si="35"/>
        <v>391</v>
      </c>
      <c r="Q272" s="166">
        <v>4200</v>
      </c>
      <c r="R272" s="166">
        <v>1161</v>
      </c>
      <c r="S272" s="182">
        <f t="shared" si="33"/>
        <v>0</v>
      </c>
      <c r="T272" s="339">
        <v>0.39680695088038642</v>
      </c>
    </row>
    <row r="273" spans="1:20" x14ac:dyDescent="0.2">
      <c r="A273" s="153">
        <v>2023</v>
      </c>
      <c r="B273" s="153">
        <v>8</v>
      </c>
      <c r="C273" s="176"/>
      <c r="D273" s="173">
        <v>11.587737950445893</v>
      </c>
      <c r="E273" s="281">
        <f t="shared" si="29"/>
        <v>12.809151811537015</v>
      </c>
      <c r="F273" s="173"/>
      <c r="G273" s="173">
        <v>29.43</v>
      </c>
      <c r="H273" s="154">
        <v>136.95361055000001</v>
      </c>
      <c r="I273" s="190">
        <f t="shared" si="30"/>
        <v>136.95361055000001</v>
      </c>
      <c r="J273" s="190">
        <f t="shared" si="31"/>
        <v>54.344144614405423</v>
      </c>
      <c r="K273" s="246">
        <v>24652</v>
      </c>
      <c r="L273" s="248">
        <f t="shared" si="34"/>
        <v>24498</v>
      </c>
      <c r="M273" s="164">
        <v>13677.498799199999</v>
      </c>
      <c r="N273" s="190">
        <f t="shared" si="32"/>
        <v>13677.498799199999</v>
      </c>
      <c r="O273" s="264">
        <f t="shared" si="35"/>
        <v>0</v>
      </c>
      <c r="P273" s="264">
        <f t="shared" si="35"/>
        <v>292.5</v>
      </c>
      <c r="Q273" s="166">
        <v>4200</v>
      </c>
      <c r="R273" s="166">
        <v>1161</v>
      </c>
      <c r="S273" s="182">
        <f t="shared" si="33"/>
        <v>0</v>
      </c>
      <c r="T273" s="339">
        <v>0.39680695088038642</v>
      </c>
    </row>
    <row r="274" spans="1:20" x14ac:dyDescent="0.2">
      <c r="A274" s="153">
        <v>2023</v>
      </c>
      <c r="B274" s="153">
        <v>9</v>
      </c>
      <c r="C274" s="176"/>
      <c r="D274" s="173">
        <v>11.587737950445893</v>
      </c>
      <c r="E274" s="281">
        <f t="shared" si="29"/>
        <v>12.809151811537015</v>
      </c>
      <c r="F274" s="173"/>
      <c r="G274" s="173">
        <v>30.57</v>
      </c>
      <c r="H274" s="154">
        <v>136.95361055000001</v>
      </c>
      <c r="I274" s="190">
        <f t="shared" si="30"/>
        <v>136.95361055000001</v>
      </c>
      <c r="J274" s="190">
        <f t="shared" si="31"/>
        <v>54.344144614405423</v>
      </c>
      <c r="K274" s="246">
        <v>24650</v>
      </c>
      <c r="L274" s="248">
        <f t="shared" si="34"/>
        <v>24497</v>
      </c>
      <c r="M274" s="164">
        <v>13677.498799199999</v>
      </c>
      <c r="N274" s="190">
        <f t="shared" si="32"/>
        <v>13677.498799199999</v>
      </c>
      <c r="O274" s="264">
        <f t="shared" si="35"/>
        <v>43.5</v>
      </c>
      <c r="P274" s="264">
        <f t="shared" si="35"/>
        <v>138.5</v>
      </c>
      <c r="Q274" s="166">
        <v>4200</v>
      </c>
      <c r="R274" s="166">
        <v>1161</v>
      </c>
      <c r="S274" s="182">
        <f t="shared" si="33"/>
        <v>0</v>
      </c>
      <c r="T274" s="339">
        <v>0.39680695088038642</v>
      </c>
    </row>
    <row r="275" spans="1:20" x14ac:dyDescent="0.2">
      <c r="A275" s="153">
        <v>2023</v>
      </c>
      <c r="B275" s="153">
        <v>10</v>
      </c>
      <c r="C275" s="176"/>
      <c r="D275" s="173">
        <v>11.587737950445893</v>
      </c>
      <c r="E275" s="281">
        <f t="shared" si="29"/>
        <v>12.809151811537015</v>
      </c>
      <c r="F275" s="173"/>
      <c r="G275" s="173">
        <v>29.67</v>
      </c>
      <c r="H275" s="154">
        <v>136.95361055000001</v>
      </c>
      <c r="I275" s="190">
        <f t="shared" si="30"/>
        <v>136.95361055000001</v>
      </c>
      <c r="J275" s="190">
        <f t="shared" si="31"/>
        <v>54.39898502599479</v>
      </c>
      <c r="K275" s="246">
        <v>24648</v>
      </c>
      <c r="L275" s="248">
        <f t="shared" si="34"/>
        <v>24496</v>
      </c>
      <c r="M275" s="164">
        <v>13677.498799199999</v>
      </c>
      <c r="N275" s="190">
        <f t="shared" si="32"/>
        <v>13677.498799199999</v>
      </c>
      <c r="O275" s="264">
        <f t="shared" si="35"/>
        <v>259.5</v>
      </c>
      <c r="P275" s="264">
        <f t="shared" si="35"/>
        <v>8</v>
      </c>
      <c r="Q275" s="166">
        <v>4200</v>
      </c>
      <c r="R275" s="166">
        <v>1161</v>
      </c>
      <c r="S275" s="182">
        <f t="shared" si="33"/>
        <v>0</v>
      </c>
      <c r="T275" s="339">
        <v>0.397207381444934</v>
      </c>
    </row>
    <row r="276" spans="1:20" x14ac:dyDescent="0.2">
      <c r="A276" s="153">
        <v>2023</v>
      </c>
      <c r="B276" s="153">
        <v>11</v>
      </c>
      <c r="C276" s="176"/>
      <c r="D276" s="173">
        <v>11.587737950445893</v>
      </c>
      <c r="E276" s="281">
        <f t="shared" si="29"/>
        <v>12.809151811537015</v>
      </c>
      <c r="F276" s="173"/>
      <c r="G276" s="173">
        <v>30.05</v>
      </c>
      <c r="H276" s="154">
        <v>136.95361055000001</v>
      </c>
      <c r="I276" s="190">
        <f t="shared" si="30"/>
        <v>136.95361055000001</v>
      </c>
      <c r="J276" s="190">
        <f t="shared" si="31"/>
        <v>54.39898502599479</v>
      </c>
      <c r="K276" s="246">
        <v>24646</v>
      </c>
      <c r="L276" s="248">
        <f t="shared" si="34"/>
        <v>24495</v>
      </c>
      <c r="M276" s="164">
        <v>13677.498799199999</v>
      </c>
      <c r="N276" s="190">
        <f t="shared" si="32"/>
        <v>13677.498799199999</v>
      </c>
      <c r="O276" s="264">
        <f t="shared" si="35"/>
        <v>529.75</v>
      </c>
      <c r="P276" s="264">
        <f t="shared" si="35"/>
        <v>1</v>
      </c>
      <c r="Q276" s="166">
        <v>4200</v>
      </c>
      <c r="R276" s="166">
        <v>1161</v>
      </c>
      <c r="S276" s="182">
        <f t="shared" si="33"/>
        <v>0</v>
      </c>
      <c r="T276" s="339">
        <v>0.397207381444934</v>
      </c>
    </row>
    <row r="277" spans="1:20" x14ac:dyDescent="0.2">
      <c r="A277" s="153">
        <v>2023</v>
      </c>
      <c r="B277" s="153">
        <v>12</v>
      </c>
      <c r="C277" s="176"/>
      <c r="D277" s="173">
        <v>11.587737950445893</v>
      </c>
      <c r="E277" s="281">
        <f t="shared" si="29"/>
        <v>12.809151811537015</v>
      </c>
      <c r="F277" s="173"/>
      <c r="G277" s="173">
        <v>30.67</v>
      </c>
      <c r="H277" s="154">
        <v>136.95361055000001</v>
      </c>
      <c r="I277" s="190">
        <f t="shared" si="30"/>
        <v>136.95361055000001</v>
      </c>
      <c r="J277" s="190">
        <f t="shared" si="31"/>
        <v>54.39898502599479</v>
      </c>
      <c r="K277" s="246">
        <v>24644</v>
      </c>
      <c r="L277" s="248">
        <f t="shared" si="34"/>
        <v>24494</v>
      </c>
      <c r="M277" s="164">
        <v>13677.498799199999</v>
      </c>
      <c r="N277" s="190">
        <f t="shared" si="32"/>
        <v>13677.498799199999</v>
      </c>
      <c r="O277" s="264">
        <f t="shared" si="35"/>
        <v>719</v>
      </c>
      <c r="P277" s="264">
        <f t="shared" si="35"/>
        <v>0</v>
      </c>
      <c r="Q277" s="166">
        <v>4200</v>
      </c>
      <c r="R277" s="166">
        <v>1161</v>
      </c>
      <c r="S277" s="182">
        <f t="shared" si="33"/>
        <v>0</v>
      </c>
      <c r="T277" s="339">
        <v>0.397207381444934</v>
      </c>
    </row>
    <row r="278" spans="1:20" x14ac:dyDescent="0.2">
      <c r="A278" s="153">
        <v>2024</v>
      </c>
      <c r="B278" s="153">
        <v>1</v>
      </c>
      <c r="C278" s="176"/>
      <c r="D278" s="173">
        <v>11.87743139920704</v>
      </c>
      <c r="E278" s="281">
        <f t="shared" si="29"/>
        <v>13.065334847767756</v>
      </c>
      <c r="F278" s="173"/>
      <c r="G278" s="173">
        <v>32.67</v>
      </c>
      <c r="H278" s="154">
        <v>137.09744203</v>
      </c>
      <c r="I278" s="190">
        <f t="shared" si="30"/>
        <v>137.09744203</v>
      </c>
      <c r="J278" s="190">
        <f t="shared" si="31"/>
        <v>54.435168447260175</v>
      </c>
      <c r="K278" s="246">
        <v>24642</v>
      </c>
      <c r="L278" s="248">
        <f t="shared" si="34"/>
        <v>24493</v>
      </c>
      <c r="M278" s="164">
        <v>14248.928282999999</v>
      </c>
      <c r="N278" s="190">
        <f t="shared" si="32"/>
        <v>14248.928282999999</v>
      </c>
      <c r="O278" s="264">
        <f t="shared" si="35"/>
        <v>903.25</v>
      </c>
      <c r="P278" s="264">
        <f t="shared" si="35"/>
        <v>0</v>
      </c>
      <c r="Q278" s="166">
        <v>4200</v>
      </c>
      <c r="R278" s="166">
        <v>1161</v>
      </c>
      <c r="S278" s="182">
        <f t="shared" si="33"/>
        <v>0</v>
      </c>
      <c r="T278" s="339">
        <v>0.39705458862863785</v>
      </c>
    </row>
    <row r="279" spans="1:20" x14ac:dyDescent="0.2">
      <c r="A279" s="153">
        <v>2024</v>
      </c>
      <c r="B279" s="153">
        <v>2</v>
      </c>
      <c r="C279" s="176"/>
      <c r="D279" s="173">
        <v>11.87743139920704</v>
      </c>
      <c r="E279" s="281">
        <f t="shared" si="29"/>
        <v>13.065334847767756</v>
      </c>
      <c r="F279" s="173"/>
      <c r="G279" s="173">
        <v>29.86</v>
      </c>
      <c r="H279" s="154">
        <v>137.09744203</v>
      </c>
      <c r="I279" s="190">
        <f t="shared" si="30"/>
        <v>137.09744203</v>
      </c>
      <c r="J279" s="190">
        <f t="shared" si="31"/>
        <v>54.435168447260175</v>
      </c>
      <c r="K279" s="246">
        <v>24640</v>
      </c>
      <c r="L279" s="248">
        <f t="shared" si="34"/>
        <v>24492</v>
      </c>
      <c r="M279" s="164">
        <v>14248.928282999999</v>
      </c>
      <c r="N279" s="190">
        <f t="shared" si="32"/>
        <v>14248.928282999999</v>
      </c>
      <c r="O279" s="264">
        <f t="shared" si="35"/>
        <v>652.25</v>
      </c>
      <c r="P279" s="264">
        <f t="shared" si="35"/>
        <v>0</v>
      </c>
      <c r="Q279" s="166">
        <v>4200</v>
      </c>
      <c r="R279" s="166">
        <v>1161</v>
      </c>
      <c r="S279" s="182">
        <f t="shared" si="33"/>
        <v>0</v>
      </c>
      <c r="T279" s="339">
        <v>0.39705458862863785</v>
      </c>
    </row>
    <row r="280" spans="1:20" x14ac:dyDescent="0.2">
      <c r="A280" s="153">
        <v>2024</v>
      </c>
      <c r="B280" s="153">
        <v>3</v>
      </c>
      <c r="C280" s="176"/>
      <c r="D280" s="173">
        <v>11.87743139920704</v>
      </c>
      <c r="E280" s="281">
        <f t="shared" si="29"/>
        <v>13.065334847767756</v>
      </c>
      <c r="F280" s="173"/>
      <c r="G280" s="173">
        <v>30.43</v>
      </c>
      <c r="H280" s="154">
        <v>137.09744203</v>
      </c>
      <c r="I280" s="190">
        <f t="shared" si="30"/>
        <v>137.09744203</v>
      </c>
      <c r="J280" s="190">
        <f t="shared" si="31"/>
        <v>54.435168447260175</v>
      </c>
      <c r="K280" s="246">
        <v>24638</v>
      </c>
      <c r="L280" s="248">
        <f t="shared" si="34"/>
        <v>24491</v>
      </c>
      <c r="M280" s="164">
        <v>14248.928282999999</v>
      </c>
      <c r="N280" s="190">
        <f t="shared" si="32"/>
        <v>14248.928282999999</v>
      </c>
      <c r="O280" s="264">
        <f t="shared" si="35"/>
        <v>489.25</v>
      </c>
      <c r="P280" s="264">
        <f t="shared" si="35"/>
        <v>0</v>
      </c>
      <c r="Q280" s="166">
        <v>4200</v>
      </c>
      <c r="R280" s="166">
        <v>1161</v>
      </c>
      <c r="S280" s="182">
        <f t="shared" si="33"/>
        <v>0</v>
      </c>
      <c r="T280" s="339">
        <v>0.39705458862863785</v>
      </c>
    </row>
    <row r="281" spans="1:20" x14ac:dyDescent="0.2">
      <c r="A281" s="153">
        <v>2024</v>
      </c>
      <c r="B281" s="153">
        <v>4</v>
      </c>
      <c r="C281" s="176"/>
      <c r="D281" s="173">
        <v>11.87743139920704</v>
      </c>
      <c r="E281" s="281">
        <f t="shared" si="29"/>
        <v>13.065334847767756</v>
      </c>
      <c r="F281" s="173"/>
      <c r="G281" s="173">
        <v>30.71</v>
      </c>
      <c r="H281" s="154">
        <v>137.09744203</v>
      </c>
      <c r="I281" s="190">
        <f t="shared" si="30"/>
        <v>137.09744203</v>
      </c>
      <c r="J281" s="190">
        <f t="shared" si="31"/>
        <v>54.419265902589082</v>
      </c>
      <c r="K281" s="246">
        <v>24636</v>
      </c>
      <c r="L281" s="248">
        <f t="shared" si="34"/>
        <v>24490</v>
      </c>
      <c r="M281" s="164">
        <v>14248.928282999999</v>
      </c>
      <c r="N281" s="190">
        <f t="shared" si="32"/>
        <v>14248.928282999999</v>
      </c>
      <c r="O281" s="264">
        <f t="shared" si="35"/>
        <v>184.25</v>
      </c>
      <c r="P281" s="264">
        <f t="shared" si="35"/>
        <v>27.25</v>
      </c>
      <c r="Q281" s="166">
        <v>4200</v>
      </c>
      <c r="R281" s="166">
        <v>1161</v>
      </c>
      <c r="S281" s="182">
        <f t="shared" si="33"/>
        <v>0</v>
      </c>
      <c r="T281" s="339">
        <v>0.39693859416196053</v>
      </c>
    </row>
    <row r="282" spans="1:20" x14ac:dyDescent="0.2">
      <c r="A282" s="153">
        <v>2024</v>
      </c>
      <c r="B282" s="153">
        <v>5</v>
      </c>
      <c r="C282" s="176"/>
      <c r="D282" s="173">
        <v>11.87743139920704</v>
      </c>
      <c r="E282" s="281">
        <f t="shared" si="29"/>
        <v>13.065334847767756</v>
      </c>
      <c r="F282" s="173"/>
      <c r="G282" s="173">
        <v>29.52</v>
      </c>
      <c r="H282" s="154">
        <v>137.09744203</v>
      </c>
      <c r="I282" s="190">
        <f t="shared" si="30"/>
        <v>137.09744203</v>
      </c>
      <c r="J282" s="190">
        <f t="shared" si="31"/>
        <v>54.419265902589082</v>
      </c>
      <c r="K282" s="246">
        <v>24634</v>
      </c>
      <c r="L282" s="248">
        <f t="shared" si="34"/>
        <v>24489</v>
      </c>
      <c r="M282" s="164">
        <v>14248.928282999999</v>
      </c>
      <c r="N282" s="190">
        <f t="shared" si="32"/>
        <v>14248.928282999999</v>
      </c>
      <c r="O282" s="264">
        <f t="shared" si="35"/>
        <v>70</v>
      </c>
      <c r="P282" s="264">
        <f t="shared" si="35"/>
        <v>138.5</v>
      </c>
      <c r="Q282" s="166">
        <v>4200</v>
      </c>
      <c r="R282" s="166">
        <v>1161</v>
      </c>
      <c r="S282" s="182">
        <f t="shared" si="33"/>
        <v>0</v>
      </c>
      <c r="T282" s="339">
        <v>0.39693859416196053</v>
      </c>
    </row>
    <row r="283" spans="1:20" x14ac:dyDescent="0.2">
      <c r="A283" s="153">
        <v>2024</v>
      </c>
      <c r="B283" s="153">
        <v>6</v>
      </c>
      <c r="C283" s="176"/>
      <c r="D283" s="173">
        <v>11.87743139920704</v>
      </c>
      <c r="E283" s="281">
        <f t="shared" si="29"/>
        <v>13.065334847767756</v>
      </c>
      <c r="F283" s="173"/>
      <c r="G283" s="173">
        <v>30.62</v>
      </c>
      <c r="H283" s="154">
        <v>137.09744203</v>
      </c>
      <c r="I283" s="190">
        <f t="shared" si="30"/>
        <v>137.09744203</v>
      </c>
      <c r="J283" s="190">
        <f t="shared" si="31"/>
        <v>54.419265902589082</v>
      </c>
      <c r="K283" s="246">
        <v>24632</v>
      </c>
      <c r="L283" s="248">
        <f t="shared" si="34"/>
        <v>24488</v>
      </c>
      <c r="M283" s="164">
        <v>14248.928282999999</v>
      </c>
      <c r="N283" s="190">
        <f t="shared" si="32"/>
        <v>14248.928282999999</v>
      </c>
      <c r="O283" s="264">
        <f t="shared" si="35"/>
        <v>1.25</v>
      </c>
      <c r="P283" s="264">
        <f t="shared" si="35"/>
        <v>239.5</v>
      </c>
      <c r="Q283" s="166">
        <v>4200</v>
      </c>
      <c r="R283" s="166">
        <v>1161</v>
      </c>
      <c r="S283" s="182">
        <f t="shared" si="33"/>
        <v>0</v>
      </c>
      <c r="T283" s="339">
        <v>0.39693859416196053</v>
      </c>
    </row>
    <row r="284" spans="1:20" x14ac:dyDescent="0.2">
      <c r="A284" s="153">
        <v>2024</v>
      </c>
      <c r="B284" s="153">
        <v>7</v>
      </c>
      <c r="C284" s="176"/>
      <c r="D284" s="173">
        <v>11.87743139920704</v>
      </c>
      <c r="E284" s="281">
        <f t="shared" si="29"/>
        <v>13.065334847767756</v>
      </c>
      <c r="F284" s="173"/>
      <c r="G284" s="173">
        <v>30.71</v>
      </c>
      <c r="H284" s="154">
        <v>137.09744203</v>
      </c>
      <c r="I284" s="190">
        <f t="shared" si="30"/>
        <v>137.09744203</v>
      </c>
      <c r="J284" s="190">
        <f t="shared" si="31"/>
        <v>54.401759540991371</v>
      </c>
      <c r="K284" s="246">
        <v>24630</v>
      </c>
      <c r="L284" s="248">
        <f t="shared" si="34"/>
        <v>24487</v>
      </c>
      <c r="M284" s="164">
        <v>14248.928282999999</v>
      </c>
      <c r="N284" s="190">
        <f t="shared" si="32"/>
        <v>14248.928282999999</v>
      </c>
      <c r="O284" s="264">
        <f t="shared" si="35"/>
        <v>0</v>
      </c>
      <c r="P284" s="264">
        <f t="shared" si="35"/>
        <v>391</v>
      </c>
      <c r="Q284" s="166">
        <v>4200</v>
      </c>
      <c r="R284" s="166">
        <v>1161</v>
      </c>
      <c r="S284" s="182">
        <f t="shared" si="33"/>
        <v>0</v>
      </c>
      <c r="T284" s="339">
        <v>0.39681090132292218</v>
      </c>
    </row>
    <row r="285" spans="1:20" x14ac:dyDescent="0.2">
      <c r="A285" s="153">
        <v>2024</v>
      </c>
      <c r="B285" s="153">
        <v>8</v>
      </c>
      <c r="C285" s="176"/>
      <c r="D285" s="173">
        <v>11.87743139920704</v>
      </c>
      <c r="E285" s="281">
        <f t="shared" si="29"/>
        <v>13.065334847767756</v>
      </c>
      <c r="F285" s="173"/>
      <c r="G285" s="173">
        <v>29.52</v>
      </c>
      <c r="H285" s="154">
        <v>137.09744203</v>
      </c>
      <c r="I285" s="190">
        <f t="shared" si="30"/>
        <v>137.09744203</v>
      </c>
      <c r="J285" s="190">
        <f t="shared" si="31"/>
        <v>54.401759540991371</v>
      </c>
      <c r="K285" s="246">
        <v>24628</v>
      </c>
      <c r="L285" s="248">
        <f t="shared" si="34"/>
        <v>24486</v>
      </c>
      <c r="M285" s="164">
        <v>14248.928282999999</v>
      </c>
      <c r="N285" s="190">
        <f t="shared" si="32"/>
        <v>14248.928282999999</v>
      </c>
      <c r="O285" s="264">
        <f t="shared" si="35"/>
        <v>0</v>
      </c>
      <c r="P285" s="264">
        <f t="shared" si="35"/>
        <v>292.5</v>
      </c>
      <c r="Q285" s="166">
        <v>4200</v>
      </c>
      <c r="R285" s="166">
        <v>1161</v>
      </c>
      <c r="S285" s="182">
        <f t="shared" si="33"/>
        <v>0</v>
      </c>
      <c r="T285" s="339">
        <v>0.39681090132292218</v>
      </c>
    </row>
    <row r="286" spans="1:20" x14ac:dyDescent="0.2">
      <c r="A286" s="153">
        <v>2024</v>
      </c>
      <c r="B286" s="153">
        <v>9</v>
      </c>
      <c r="C286" s="176"/>
      <c r="D286" s="173">
        <v>11.87743139920704</v>
      </c>
      <c r="E286" s="281">
        <f t="shared" si="29"/>
        <v>13.065334847767756</v>
      </c>
      <c r="F286" s="173"/>
      <c r="G286" s="173">
        <v>30.57</v>
      </c>
      <c r="H286" s="154">
        <v>137.09744203</v>
      </c>
      <c r="I286" s="190">
        <f t="shared" si="30"/>
        <v>137.09744203</v>
      </c>
      <c r="J286" s="190">
        <f t="shared" si="31"/>
        <v>54.401759540991371</v>
      </c>
      <c r="K286" s="246">
        <v>24626</v>
      </c>
      <c r="L286" s="248">
        <f t="shared" si="34"/>
        <v>24485</v>
      </c>
      <c r="M286" s="164">
        <v>14248.928282999999</v>
      </c>
      <c r="N286" s="190">
        <f t="shared" si="32"/>
        <v>14248.928282999999</v>
      </c>
      <c r="O286" s="264">
        <f t="shared" si="35"/>
        <v>43.5</v>
      </c>
      <c r="P286" s="264">
        <f t="shared" si="35"/>
        <v>138.5</v>
      </c>
      <c r="Q286" s="166">
        <v>4200</v>
      </c>
      <c r="R286" s="166">
        <v>1161</v>
      </c>
      <c r="S286" s="182">
        <f t="shared" si="33"/>
        <v>0</v>
      </c>
      <c r="T286" s="339">
        <v>0.39681090132292218</v>
      </c>
    </row>
    <row r="287" spans="1:20" x14ac:dyDescent="0.2">
      <c r="A287" s="153">
        <v>2024</v>
      </c>
      <c r="B287" s="153">
        <v>10</v>
      </c>
      <c r="C287" s="176"/>
      <c r="D287" s="173">
        <v>11.87743139920704</v>
      </c>
      <c r="E287" s="281">
        <f t="shared" si="29"/>
        <v>13.065334847767756</v>
      </c>
      <c r="F287" s="173"/>
      <c r="G287" s="173">
        <v>29.67</v>
      </c>
      <c r="H287" s="154">
        <v>137.09744203</v>
      </c>
      <c r="I287" s="190">
        <f t="shared" si="30"/>
        <v>137.09744203</v>
      </c>
      <c r="J287" s="190">
        <f t="shared" si="31"/>
        <v>54.383892356421512</v>
      </c>
      <c r="K287" s="246">
        <v>24624</v>
      </c>
      <c r="L287" s="248">
        <f t="shared" si="34"/>
        <v>24484</v>
      </c>
      <c r="M287" s="164">
        <v>14248.928282999999</v>
      </c>
      <c r="N287" s="190">
        <f t="shared" si="32"/>
        <v>14248.928282999999</v>
      </c>
      <c r="O287" s="264">
        <f t="shared" ref="O287:P302" si="36">O275</f>
        <v>259.5</v>
      </c>
      <c r="P287" s="264">
        <f t="shared" si="36"/>
        <v>8</v>
      </c>
      <c r="Q287" s="166">
        <v>4200</v>
      </c>
      <c r="R287" s="166">
        <v>1161</v>
      </c>
      <c r="S287" s="182">
        <f t="shared" si="33"/>
        <v>0</v>
      </c>
      <c r="T287" s="339">
        <v>0.39668057661149575</v>
      </c>
    </row>
    <row r="288" spans="1:20" x14ac:dyDescent="0.2">
      <c r="A288" s="153">
        <v>2024</v>
      </c>
      <c r="B288" s="153">
        <v>11</v>
      </c>
      <c r="C288" s="176"/>
      <c r="D288" s="173">
        <v>11.87743139920704</v>
      </c>
      <c r="E288" s="281">
        <f t="shared" si="29"/>
        <v>13.065334847767756</v>
      </c>
      <c r="F288" s="173"/>
      <c r="G288" s="173">
        <v>29.38</v>
      </c>
      <c r="H288" s="154">
        <v>137.09744203</v>
      </c>
      <c r="I288" s="190">
        <f t="shared" si="30"/>
        <v>137.09744203</v>
      </c>
      <c r="J288" s="190">
        <f t="shared" si="31"/>
        <v>54.383892356421512</v>
      </c>
      <c r="K288" s="246">
        <v>24622</v>
      </c>
      <c r="L288" s="248">
        <f t="shared" si="34"/>
        <v>24483</v>
      </c>
      <c r="M288" s="164">
        <v>14248.928282999999</v>
      </c>
      <c r="N288" s="190">
        <f t="shared" si="32"/>
        <v>14248.928282999999</v>
      </c>
      <c r="O288" s="264">
        <f t="shared" si="36"/>
        <v>529.75</v>
      </c>
      <c r="P288" s="264">
        <f t="shared" si="36"/>
        <v>1</v>
      </c>
      <c r="Q288" s="166">
        <v>4200</v>
      </c>
      <c r="R288" s="166">
        <v>1161</v>
      </c>
      <c r="S288" s="182">
        <f t="shared" si="33"/>
        <v>0</v>
      </c>
      <c r="T288" s="339">
        <v>0.39668057661149575</v>
      </c>
    </row>
    <row r="289" spans="1:20" x14ac:dyDescent="0.2">
      <c r="A289" s="153">
        <v>2024</v>
      </c>
      <c r="B289" s="153">
        <v>12</v>
      </c>
      <c r="C289" s="176"/>
      <c r="D289" s="173">
        <v>11.87743139920704</v>
      </c>
      <c r="E289" s="281">
        <f t="shared" si="29"/>
        <v>13.065334847767756</v>
      </c>
      <c r="F289" s="173"/>
      <c r="G289" s="173">
        <v>32.43</v>
      </c>
      <c r="H289" s="154">
        <v>137.09744203</v>
      </c>
      <c r="I289" s="190">
        <f t="shared" si="30"/>
        <v>137.09744203</v>
      </c>
      <c r="J289" s="190">
        <f t="shared" si="31"/>
        <v>54.383892356421512</v>
      </c>
      <c r="K289" s="246">
        <v>24620</v>
      </c>
      <c r="L289" s="248">
        <f t="shared" si="34"/>
        <v>24482</v>
      </c>
      <c r="M289" s="164">
        <v>14248.928282999999</v>
      </c>
      <c r="N289" s="190">
        <f t="shared" si="32"/>
        <v>14248.928282999999</v>
      </c>
      <c r="O289" s="264">
        <f t="shared" si="36"/>
        <v>719</v>
      </c>
      <c r="P289" s="264">
        <f t="shared" si="36"/>
        <v>0</v>
      </c>
      <c r="Q289" s="166">
        <v>4200</v>
      </c>
      <c r="R289" s="166">
        <v>1161</v>
      </c>
      <c r="S289" s="182">
        <f t="shared" si="33"/>
        <v>0</v>
      </c>
      <c r="T289" s="339">
        <v>0.39668057661149575</v>
      </c>
    </row>
    <row r="290" spans="1:20" x14ac:dyDescent="0.2">
      <c r="A290" s="153">
        <v>2025</v>
      </c>
      <c r="B290" s="153">
        <v>1</v>
      </c>
      <c r="C290" s="176"/>
      <c r="D290" s="173">
        <v>12.174367184187215</v>
      </c>
      <c r="E290" s="281">
        <f t="shared" si="29"/>
        <v>13.326641544723111</v>
      </c>
      <c r="F290" s="173"/>
      <c r="G290" s="173">
        <v>32.33</v>
      </c>
      <c r="H290" s="154">
        <v>137.24240601</v>
      </c>
      <c r="I290" s="190">
        <f t="shared" si="30"/>
        <v>137.24240601</v>
      </c>
      <c r="J290" s="190">
        <f t="shared" si="31"/>
        <v>54.459018846811361</v>
      </c>
      <c r="K290" s="246">
        <v>24618</v>
      </c>
      <c r="L290" s="248">
        <f t="shared" si="34"/>
        <v>24481</v>
      </c>
      <c r="M290" s="164">
        <v>14865.855373800001</v>
      </c>
      <c r="N290" s="190">
        <f t="shared" si="32"/>
        <v>14865.855373800001</v>
      </c>
      <c r="O290" s="264">
        <f t="shared" si="36"/>
        <v>903.25</v>
      </c>
      <c r="P290" s="264">
        <f t="shared" si="36"/>
        <v>0</v>
      </c>
      <c r="Q290" s="166">
        <v>4200</v>
      </c>
      <c r="R290" s="166">
        <v>1161</v>
      </c>
      <c r="S290" s="182">
        <f t="shared" si="33"/>
        <v>0</v>
      </c>
      <c r="T290" s="339">
        <v>0.39680897785224833</v>
      </c>
    </row>
    <row r="291" spans="1:20" x14ac:dyDescent="0.2">
      <c r="A291" s="153">
        <v>2025</v>
      </c>
      <c r="B291" s="153">
        <v>2</v>
      </c>
      <c r="C291" s="176"/>
      <c r="D291" s="173">
        <v>12.174367184187215</v>
      </c>
      <c r="E291" s="281">
        <f t="shared" si="29"/>
        <v>13.326641544723111</v>
      </c>
      <c r="F291" s="173"/>
      <c r="G291" s="173">
        <v>30.05</v>
      </c>
      <c r="H291" s="154">
        <v>137.24240601</v>
      </c>
      <c r="I291" s="190">
        <f t="shared" si="30"/>
        <v>137.24240601</v>
      </c>
      <c r="J291" s="190">
        <f t="shared" si="31"/>
        <v>54.459018846811361</v>
      </c>
      <c r="K291" s="246">
        <v>24616</v>
      </c>
      <c r="L291" s="248">
        <f t="shared" si="34"/>
        <v>24480</v>
      </c>
      <c r="M291" s="164">
        <v>14865.855373800001</v>
      </c>
      <c r="N291" s="190">
        <f t="shared" si="32"/>
        <v>14865.855373800001</v>
      </c>
      <c r="O291" s="264">
        <f t="shared" si="36"/>
        <v>652.25</v>
      </c>
      <c r="P291" s="264">
        <f t="shared" si="36"/>
        <v>0</v>
      </c>
      <c r="Q291" s="166">
        <v>4200</v>
      </c>
      <c r="R291" s="166">
        <v>1161</v>
      </c>
      <c r="S291" s="182">
        <f t="shared" si="33"/>
        <v>0</v>
      </c>
      <c r="T291" s="339">
        <v>0.39680897785224833</v>
      </c>
    </row>
    <row r="292" spans="1:20" x14ac:dyDescent="0.2">
      <c r="A292" s="153">
        <v>2025</v>
      </c>
      <c r="B292" s="153">
        <v>3</v>
      </c>
      <c r="C292" s="176"/>
      <c r="D292" s="173">
        <v>12.174367184187215</v>
      </c>
      <c r="E292" s="281">
        <f t="shared" si="29"/>
        <v>13.326641544723111</v>
      </c>
      <c r="F292" s="173"/>
      <c r="G292" s="173">
        <v>30.19</v>
      </c>
      <c r="H292" s="154">
        <v>137.24240601</v>
      </c>
      <c r="I292" s="190">
        <f t="shared" si="30"/>
        <v>137.24240601</v>
      </c>
      <c r="J292" s="190">
        <f t="shared" si="31"/>
        <v>54.459018846811361</v>
      </c>
      <c r="K292" s="246">
        <v>24614</v>
      </c>
      <c r="L292" s="248">
        <f t="shared" si="34"/>
        <v>24479</v>
      </c>
      <c r="M292" s="164">
        <v>14865.855373800001</v>
      </c>
      <c r="N292" s="190">
        <f t="shared" si="32"/>
        <v>14865.855373800001</v>
      </c>
      <c r="O292" s="264">
        <f t="shared" si="36"/>
        <v>489.25</v>
      </c>
      <c r="P292" s="264">
        <f t="shared" si="36"/>
        <v>0</v>
      </c>
      <c r="Q292" s="166">
        <v>4200</v>
      </c>
      <c r="R292" s="166">
        <v>1161</v>
      </c>
      <c r="S292" s="182">
        <f t="shared" si="33"/>
        <v>0</v>
      </c>
      <c r="T292" s="339">
        <v>0.39680897785224833</v>
      </c>
    </row>
    <row r="293" spans="1:20" x14ac:dyDescent="0.2">
      <c r="A293" s="153">
        <v>2025</v>
      </c>
      <c r="B293" s="153">
        <v>4</v>
      </c>
      <c r="C293" s="176"/>
      <c r="D293" s="173">
        <v>12.174367184187215</v>
      </c>
      <c r="E293" s="281">
        <f t="shared" si="29"/>
        <v>13.326641544723111</v>
      </c>
      <c r="F293" s="173"/>
      <c r="G293" s="173">
        <v>30</v>
      </c>
      <c r="H293" s="154">
        <v>137.24240601</v>
      </c>
      <c r="I293" s="190">
        <f t="shared" si="30"/>
        <v>137.24240601</v>
      </c>
      <c r="J293" s="190">
        <f t="shared" si="31"/>
        <v>54.478861451104613</v>
      </c>
      <c r="K293" s="246">
        <v>24612</v>
      </c>
      <c r="L293" s="248">
        <f t="shared" si="34"/>
        <v>24478</v>
      </c>
      <c r="M293" s="164">
        <v>14865.855373800001</v>
      </c>
      <c r="N293" s="190">
        <f t="shared" si="32"/>
        <v>14865.855373800001</v>
      </c>
      <c r="O293" s="264">
        <f t="shared" si="36"/>
        <v>184.25</v>
      </c>
      <c r="P293" s="264">
        <f t="shared" si="36"/>
        <v>27.25</v>
      </c>
      <c r="Q293" s="166">
        <v>4200</v>
      </c>
      <c r="R293" s="166">
        <v>1161</v>
      </c>
      <c r="S293" s="182">
        <f t="shared" si="33"/>
        <v>0</v>
      </c>
      <c r="T293" s="339">
        <v>0.39695355856071979</v>
      </c>
    </row>
    <row r="294" spans="1:20" x14ac:dyDescent="0.2">
      <c r="A294" s="153">
        <v>2025</v>
      </c>
      <c r="B294" s="153">
        <v>5</v>
      </c>
      <c r="C294" s="176"/>
      <c r="D294" s="173">
        <v>12.174367184187215</v>
      </c>
      <c r="E294" s="281">
        <f t="shared" si="29"/>
        <v>13.326641544723111</v>
      </c>
      <c r="F294" s="173"/>
      <c r="G294" s="173">
        <v>30.48</v>
      </c>
      <c r="H294" s="154">
        <v>137.24240601</v>
      </c>
      <c r="I294" s="190">
        <f t="shared" si="30"/>
        <v>137.24240601</v>
      </c>
      <c r="J294" s="190">
        <f t="shared" si="31"/>
        <v>54.478861451104613</v>
      </c>
      <c r="K294" s="246">
        <v>24610</v>
      </c>
      <c r="L294" s="248">
        <f t="shared" si="34"/>
        <v>24477</v>
      </c>
      <c r="M294" s="164">
        <v>14865.855373800001</v>
      </c>
      <c r="N294" s="190">
        <f t="shared" si="32"/>
        <v>14865.855373800001</v>
      </c>
      <c r="O294" s="264">
        <f t="shared" si="36"/>
        <v>70</v>
      </c>
      <c r="P294" s="264">
        <f t="shared" si="36"/>
        <v>138.5</v>
      </c>
      <c r="Q294" s="166">
        <v>4200</v>
      </c>
      <c r="R294" s="166">
        <v>1161</v>
      </c>
      <c r="S294" s="182">
        <f t="shared" si="33"/>
        <v>0</v>
      </c>
      <c r="T294" s="339">
        <v>0.39695355856071979</v>
      </c>
    </row>
    <row r="295" spans="1:20" x14ac:dyDescent="0.2">
      <c r="A295" s="153">
        <v>2025</v>
      </c>
      <c r="B295" s="153">
        <v>6</v>
      </c>
      <c r="C295" s="176"/>
      <c r="D295" s="173">
        <v>12.174367184187215</v>
      </c>
      <c r="E295" s="281">
        <f t="shared" si="29"/>
        <v>13.326641544723111</v>
      </c>
      <c r="F295" s="173"/>
      <c r="G295" s="173">
        <v>30.52</v>
      </c>
      <c r="H295" s="154">
        <v>137.24240601</v>
      </c>
      <c r="I295" s="190">
        <f t="shared" si="30"/>
        <v>137.24240601</v>
      </c>
      <c r="J295" s="190">
        <f t="shared" si="31"/>
        <v>54.478861451104613</v>
      </c>
      <c r="K295" s="246">
        <v>24608</v>
      </c>
      <c r="L295" s="248">
        <f t="shared" si="34"/>
        <v>24476</v>
      </c>
      <c r="M295" s="164">
        <v>14865.855373800001</v>
      </c>
      <c r="N295" s="190">
        <f t="shared" si="32"/>
        <v>14865.855373800001</v>
      </c>
      <c r="O295" s="264">
        <f t="shared" si="36"/>
        <v>1.25</v>
      </c>
      <c r="P295" s="264">
        <f t="shared" si="36"/>
        <v>239.5</v>
      </c>
      <c r="Q295" s="166">
        <v>4200</v>
      </c>
      <c r="R295" s="166">
        <v>1161</v>
      </c>
      <c r="S295" s="182">
        <f t="shared" si="33"/>
        <v>0</v>
      </c>
      <c r="T295" s="339">
        <v>0.39695355856071979</v>
      </c>
    </row>
    <row r="296" spans="1:20" x14ac:dyDescent="0.2">
      <c r="A296" s="153">
        <v>2025</v>
      </c>
      <c r="B296" s="153">
        <v>7</v>
      </c>
      <c r="C296" s="176"/>
      <c r="D296" s="173">
        <v>12.174367184187215</v>
      </c>
      <c r="E296" s="281">
        <f t="shared" si="29"/>
        <v>13.326641544723111</v>
      </c>
      <c r="F296" s="173"/>
      <c r="G296" s="173">
        <v>30.67</v>
      </c>
      <c r="H296" s="154">
        <v>137.24240601</v>
      </c>
      <c r="I296" s="190">
        <f t="shared" si="30"/>
        <v>137.24240601</v>
      </c>
      <c r="J296" s="190">
        <f t="shared" si="31"/>
        <v>54.49705938922186</v>
      </c>
      <c r="K296" s="246">
        <v>24606</v>
      </c>
      <c r="L296" s="248">
        <f t="shared" si="34"/>
        <v>24475</v>
      </c>
      <c r="M296" s="164">
        <v>14865.855373800001</v>
      </c>
      <c r="N296" s="190">
        <f t="shared" si="32"/>
        <v>14865.855373800001</v>
      </c>
      <c r="O296" s="264">
        <f t="shared" si="36"/>
        <v>0</v>
      </c>
      <c r="P296" s="264">
        <f t="shared" si="36"/>
        <v>391</v>
      </c>
      <c r="Q296" s="166">
        <v>4200</v>
      </c>
      <c r="R296" s="166">
        <v>1161</v>
      </c>
      <c r="S296" s="182">
        <f t="shared" si="33"/>
        <v>0</v>
      </c>
      <c r="T296" s="339">
        <v>0.39708615561032207</v>
      </c>
    </row>
    <row r="297" spans="1:20" x14ac:dyDescent="0.2">
      <c r="A297" s="153">
        <v>2025</v>
      </c>
      <c r="B297" s="153">
        <v>8</v>
      </c>
      <c r="C297" s="176"/>
      <c r="D297" s="173">
        <v>12.174367184187215</v>
      </c>
      <c r="E297" s="281">
        <f t="shared" si="29"/>
        <v>13.326641544723111</v>
      </c>
      <c r="F297" s="173"/>
      <c r="G297" s="173">
        <v>29.48</v>
      </c>
      <c r="H297" s="154">
        <v>137.24240601</v>
      </c>
      <c r="I297" s="190">
        <f t="shared" si="30"/>
        <v>137.24240601</v>
      </c>
      <c r="J297" s="190">
        <f t="shared" si="31"/>
        <v>54.49705938922186</v>
      </c>
      <c r="K297" s="246">
        <v>24604</v>
      </c>
      <c r="L297" s="248">
        <f t="shared" si="34"/>
        <v>24474</v>
      </c>
      <c r="M297" s="164">
        <v>14865.855373800001</v>
      </c>
      <c r="N297" s="190">
        <f t="shared" si="32"/>
        <v>14865.855373800001</v>
      </c>
      <c r="O297" s="264">
        <f t="shared" si="36"/>
        <v>0</v>
      </c>
      <c r="P297" s="264">
        <f t="shared" si="36"/>
        <v>292.5</v>
      </c>
      <c r="Q297" s="166">
        <v>4200</v>
      </c>
      <c r="R297" s="166">
        <v>1161</v>
      </c>
      <c r="S297" s="182">
        <f t="shared" si="33"/>
        <v>0</v>
      </c>
      <c r="T297" s="339">
        <v>0.39708615561032207</v>
      </c>
    </row>
    <row r="298" spans="1:20" x14ac:dyDescent="0.2">
      <c r="A298" s="153">
        <v>2025</v>
      </c>
      <c r="B298" s="153">
        <v>9</v>
      </c>
      <c r="C298" s="176"/>
      <c r="D298" s="173">
        <v>12.174367184187215</v>
      </c>
      <c r="E298" s="281">
        <f t="shared" si="29"/>
        <v>13.326641544723111</v>
      </c>
      <c r="F298" s="173"/>
      <c r="G298" s="173">
        <v>30.86</v>
      </c>
      <c r="H298" s="154">
        <v>137.24240601</v>
      </c>
      <c r="I298" s="190">
        <f t="shared" si="30"/>
        <v>137.24240601</v>
      </c>
      <c r="J298" s="190">
        <f t="shared" si="31"/>
        <v>54.49705938922186</v>
      </c>
      <c r="K298" s="246">
        <v>24602</v>
      </c>
      <c r="L298" s="248">
        <f t="shared" si="34"/>
        <v>24473</v>
      </c>
      <c r="M298" s="164">
        <v>14865.855373800001</v>
      </c>
      <c r="N298" s="190">
        <f t="shared" si="32"/>
        <v>14865.855373800001</v>
      </c>
      <c r="O298" s="264">
        <f t="shared" si="36"/>
        <v>43.5</v>
      </c>
      <c r="P298" s="264">
        <f t="shared" si="36"/>
        <v>138.5</v>
      </c>
      <c r="Q298" s="166">
        <v>4200</v>
      </c>
      <c r="R298" s="166">
        <v>1161</v>
      </c>
      <c r="S298" s="182">
        <f t="shared" si="33"/>
        <v>0</v>
      </c>
      <c r="T298" s="339">
        <v>0.39708615561032207</v>
      </c>
    </row>
    <row r="299" spans="1:20" x14ac:dyDescent="0.2">
      <c r="A299" s="153">
        <v>2025</v>
      </c>
      <c r="B299" s="153">
        <v>10</v>
      </c>
      <c r="C299" s="176"/>
      <c r="D299" s="173">
        <v>12.174367184187215</v>
      </c>
      <c r="E299" s="281">
        <f t="shared" si="29"/>
        <v>13.326641544723111</v>
      </c>
      <c r="F299" s="173"/>
      <c r="G299" s="173">
        <v>29.38</v>
      </c>
      <c r="H299" s="154">
        <v>137.24240601</v>
      </c>
      <c r="I299" s="190">
        <f t="shared" si="30"/>
        <v>137.24240601</v>
      </c>
      <c r="J299" s="190">
        <f t="shared" si="31"/>
        <v>54.516315637170393</v>
      </c>
      <c r="K299" s="246">
        <v>24600</v>
      </c>
      <c r="L299" s="248">
        <f t="shared" si="34"/>
        <v>24472</v>
      </c>
      <c r="M299" s="164">
        <v>14865.855373800001</v>
      </c>
      <c r="N299" s="190">
        <f t="shared" si="32"/>
        <v>14865.855373800001</v>
      </c>
      <c r="O299" s="264">
        <f t="shared" si="36"/>
        <v>259.5</v>
      </c>
      <c r="P299" s="264">
        <f t="shared" si="36"/>
        <v>8</v>
      </c>
      <c r="Q299" s="166">
        <v>4200</v>
      </c>
      <c r="R299" s="166">
        <v>1161</v>
      </c>
      <c r="S299" s="182">
        <f t="shared" si="33"/>
        <v>0</v>
      </c>
      <c r="T299" s="339">
        <v>0.39722646390502753</v>
      </c>
    </row>
    <row r="300" spans="1:20" x14ac:dyDescent="0.2">
      <c r="A300" s="153">
        <v>2025</v>
      </c>
      <c r="B300" s="153">
        <v>11</v>
      </c>
      <c r="C300" s="176"/>
      <c r="D300" s="173">
        <v>12.174367184187215</v>
      </c>
      <c r="E300" s="281">
        <f t="shared" si="29"/>
        <v>13.326641544723111</v>
      </c>
      <c r="F300" s="173"/>
      <c r="G300" s="173">
        <v>29.57</v>
      </c>
      <c r="H300" s="154">
        <v>137.24240601</v>
      </c>
      <c r="I300" s="190">
        <f t="shared" si="30"/>
        <v>137.24240601</v>
      </c>
      <c r="J300" s="190">
        <f t="shared" si="31"/>
        <v>54.516315637170393</v>
      </c>
      <c r="K300" s="246">
        <v>24598</v>
      </c>
      <c r="L300" s="248">
        <f t="shared" si="34"/>
        <v>24471</v>
      </c>
      <c r="M300" s="164">
        <v>14865.855373800001</v>
      </c>
      <c r="N300" s="190">
        <f t="shared" si="32"/>
        <v>14865.855373800001</v>
      </c>
      <c r="O300" s="264">
        <f t="shared" si="36"/>
        <v>529.75</v>
      </c>
      <c r="P300" s="264">
        <f t="shared" si="36"/>
        <v>1</v>
      </c>
      <c r="Q300" s="166">
        <v>4200</v>
      </c>
      <c r="R300" s="166">
        <v>1161</v>
      </c>
      <c r="S300" s="182">
        <f t="shared" si="33"/>
        <v>0</v>
      </c>
      <c r="T300" s="339">
        <v>0.39722646390502753</v>
      </c>
    </row>
    <row r="301" spans="1:20" x14ac:dyDescent="0.2">
      <c r="A301" s="153">
        <v>2025</v>
      </c>
      <c r="B301" s="153">
        <v>12</v>
      </c>
      <c r="C301" s="176"/>
      <c r="D301" s="173">
        <v>12.174367184187215</v>
      </c>
      <c r="E301" s="281">
        <f t="shared" si="29"/>
        <v>13.326641544723111</v>
      </c>
      <c r="F301" s="173"/>
      <c r="G301" s="173">
        <v>31.81</v>
      </c>
      <c r="H301" s="154">
        <v>137.24240601</v>
      </c>
      <c r="I301" s="190">
        <f t="shared" si="30"/>
        <v>137.24240601</v>
      </c>
      <c r="J301" s="190">
        <f t="shared" si="31"/>
        <v>54.516315637170393</v>
      </c>
      <c r="K301" s="246">
        <v>24596</v>
      </c>
      <c r="L301" s="248">
        <f t="shared" si="34"/>
        <v>24470</v>
      </c>
      <c r="M301" s="164">
        <v>14865.855373800001</v>
      </c>
      <c r="N301" s="190">
        <f t="shared" si="32"/>
        <v>14865.855373800001</v>
      </c>
      <c r="O301" s="264">
        <f t="shared" si="36"/>
        <v>719</v>
      </c>
      <c r="P301" s="264">
        <f t="shared" si="36"/>
        <v>0</v>
      </c>
      <c r="Q301" s="166">
        <v>4200</v>
      </c>
      <c r="R301" s="166">
        <v>1161</v>
      </c>
      <c r="S301" s="182">
        <f t="shared" si="33"/>
        <v>0</v>
      </c>
      <c r="T301" s="339">
        <v>0.39722646390502753</v>
      </c>
    </row>
    <row r="302" spans="1:20" x14ac:dyDescent="0.2">
      <c r="A302" s="153">
        <v>2026</v>
      </c>
      <c r="B302" s="153">
        <v>1</v>
      </c>
      <c r="D302" s="173">
        <v>12.478726363791894</v>
      </c>
      <c r="E302" s="281">
        <f t="shared" si="29"/>
        <v>13.593174375617574</v>
      </c>
      <c r="F302" s="173"/>
      <c r="G302" s="173">
        <v>32.380000000000003</v>
      </c>
      <c r="H302" s="154">
        <v>137.36643695999999</v>
      </c>
      <c r="I302" s="190">
        <f t="shared" si="30"/>
        <v>137.36643695999999</v>
      </c>
      <c r="J302" s="190">
        <f t="shared" si="31"/>
        <v>54.583447739513197</v>
      </c>
      <c r="K302" s="246">
        <v>24593</v>
      </c>
      <c r="L302" s="248">
        <f t="shared" si="34"/>
        <v>24469</v>
      </c>
      <c r="M302" s="164">
        <v>15481.4100086</v>
      </c>
      <c r="N302" s="190">
        <f t="shared" si="32"/>
        <v>15481.4100086</v>
      </c>
      <c r="O302" s="264">
        <f t="shared" si="36"/>
        <v>903.25</v>
      </c>
      <c r="P302" s="264">
        <f t="shared" si="36"/>
        <v>0</v>
      </c>
      <c r="Q302" s="166">
        <v>4200</v>
      </c>
      <c r="R302" s="166">
        <v>1161</v>
      </c>
      <c r="S302" s="182">
        <f t="shared" si="33"/>
        <v>0</v>
      </c>
      <c r="T302" s="339">
        <v>0.39735650823794361</v>
      </c>
    </row>
    <row r="303" spans="1:20" x14ac:dyDescent="0.2">
      <c r="A303" s="153">
        <v>2026</v>
      </c>
      <c r="B303" s="153">
        <v>2</v>
      </c>
      <c r="D303" s="173">
        <v>12.478726363791894</v>
      </c>
      <c r="E303" s="281">
        <f t="shared" si="29"/>
        <v>13.593174375617574</v>
      </c>
      <c r="F303" s="173"/>
      <c r="G303" s="173">
        <v>30.19</v>
      </c>
      <c r="H303" s="154">
        <v>137.36643695999999</v>
      </c>
      <c r="I303" s="190">
        <f t="shared" si="30"/>
        <v>137.36643695999999</v>
      </c>
      <c r="J303" s="190">
        <f t="shared" si="31"/>
        <v>54.583447739513197</v>
      </c>
      <c r="K303" s="246">
        <v>24590</v>
      </c>
      <c r="L303" s="248">
        <f t="shared" si="34"/>
        <v>24468</v>
      </c>
      <c r="M303" s="164">
        <v>15481.4100086</v>
      </c>
      <c r="N303" s="190">
        <f t="shared" si="32"/>
        <v>15481.4100086</v>
      </c>
      <c r="O303" s="264">
        <f t="shared" ref="O303:P318" si="37">O291</f>
        <v>652.25</v>
      </c>
      <c r="P303" s="264">
        <f t="shared" si="37"/>
        <v>0</v>
      </c>
      <c r="Q303" s="166">
        <v>4200</v>
      </c>
      <c r="R303" s="166">
        <v>1161</v>
      </c>
      <c r="S303" s="182">
        <f t="shared" si="33"/>
        <v>0</v>
      </c>
      <c r="T303" s="339">
        <v>0.39735650823794361</v>
      </c>
    </row>
    <row r="304" spans="1:20" x14ac:dyDescent="0.2">
      <c r="A304" s="153">
        <v>2026</v>
      </c>
      <c r="B304" s="153">
        <v>3</v>
      </c>
      <c r="D304" s="173">
        <v>12.478726363791894</v>
      </c>
      <c r="E304" s="281">
        <f t="shared" si="29"/>
        <v>13.593174375617574</v>
      </c>
      <c r="F304" s="173"/>
      <c r="G304" s="173">
        <v>30.05</v>
      </c>
      <c r="H304" s="154">
        <v>137.36643695999999</v>
      </c>
      <c r="I304" s="190">
        <f t="shared" si="30"/>
        <v>137.36643695999999</v>
      </c>
      <c r="J304" s="190">
        <f t="shared" si="31"/>
        <v>54.583447739513197</v>
      </c>
      <c r="K304" s="246">
        <v>24587</v>
      </c>
      <c r="L304" s="248">
        <f t="shared" si="34"/>
        <v>24467</v>
      </c>
      <c r="M304" s="164">
        <v>15481.4100086</v>
      </c>
      <c r="N304" s="190">
        <f t="shared" si="32"/>
        <v>15481.4100086</v>
      </c>
      <c r="O304" s="264">
        <f t="shared" si="37"/>
        <v>489.25</v>
      </c>
      <c r="P304" s="264">
        <f t="shared" si="37"/>
        <v>0</v>
      </c>
      <c r="Q304" s="166">
        <v>4200</v>
      </c>
      <c r="R304" s="166">
        <v>1161</v>
      </c>
      <c r="S304" s="182">
        <f t="shared" si="33"/>
        <v>0</v>
      </c>
      <c r="T304" s="339">
        <v>0.39735650823794361</v>
      </c>
    </row>
    <row r="305" spans="1:20" x14ac:dyDescent="0.2">
      <c r="A305" s="153">
        <v>2026</v>
      </c>
      <c r="B305" s="153">
        <v>4</v>
      </c>
      <c r="D305" s="173">
        <v>12.478726363791894</v>
      </c>
      <c r="E305" s="281">
        <f t="shared" si="29"/>
        <v>13.593174375617574</v>
      </c>
      <c r="F305" s="173"/>
      <c r="G305" s="173">
        <v>30.71</v>
      </c>
      <c r="H305" s="154">
        <v>137.36643695999999</v>
      </c>
      <c r="I305" s="190">
        <f t="shared" si="30"/>
        <v>137.36643695999999</v>
      </c>
      <c r="J305" s="190">
        <f t="shared" si="31"/>
        <v>54.603258894848793</v>
      </c>
      <c r="K305" s="246">
        <v>24584</v>
      </c>
      <c r="L305" s="248">
        <f t="shared" si="34"/>
        <v>24466</v>
      </c>
      <c r="M305" s="164">
        <v>15481.4100086</v>
      </c>
      <c r="N305" s="190">
        <f t="shared" si="32"/>
        <v>15481.4100086</v>
      </c>
      <c r="O305" s="264">
        <f t="shared" si="37"/>
        <v>184.25</v>
      </c>
      <c r="P305" s="264">
        <f t="shared" si="37"/>
        <v>27.25</v>
      </c>
      <c r="Q305" s="166">
        <v>4200</v>
      </c>
      <c r="R305" s="166">
        <v>1161</v>
      </c>
      <c r="S305" s="182">
        <f t="shared" si="33"/>
        <v>0</v>
      </c>
      <c r="T305" s="339">
        <v>0.39750072945947362</v>
      </c>
    </row>
    <row r="306" spans="1:20" x14ac:dyDescent="0.2">
      <c r="A306" s="153">
        <v>2026</v>
      </c>
      <c r="B306" s="153">
        <v>5</v>
      </c>
      <c r="D306" s="173">
        <v>12.478726363791894</v>
      </c>
      <c r="E306" s="281">
        <f t="shared" si="29"/>
        <v>13.593174375617574</v>
      </c>
      <c r="F306" s="173"/>
      <c r="G306" s="173">
        <v>29.9</v>
      </c>
      <c r="H306" s="154">
        <v>137.36643695999999</v>
      </c>
      <c r="I306" s="190">
        <f t="shared" si="30"/>
        <v>137.36643695999999</v>
      </c>
      <c r="J306" s="190">
        <f t="shared" si="31"/>
        <v>54.603258894848793</v>
      </c>
      <c r="K306" s="246">
        <v>24581</v>
      </c>
      <c r="L306" s="248">
        <f t="shared" si="34"/>
        <v>24465</v>
      </c>
      <c r="M306" s="164">
        <v>15481.4100086</v>
      </c>
      <c r="N306" s="190">
        <f t="shared" si="32"/>
        <v>15481.4100086</v>
      </c>
      <c r="O306" s="264">
        <f t="shared" si="37"/>
        <v>70</v>
      </c>
      <c r="P306" s="264">
        <f t="shared" si="37"/>
        <v>138.5</v>
      </c>
      <c r="Q306" s="166">
        <v>4200</v>
      </c>
      <c r="R306" s="166">
        <v>1161</v>
      </c>
      <c r="S306" s="182">
        <f t="shared" si="33"/>
        <v>0</v>
      </c>
      <c r="T306" s="339">
        <v>0.39750072945947362</v>
      </c>
    </row>
    <row r="307" spans="1:20" x14ac:dyDescent="0.2">
      <c r="A307" s="153">
        <v>2026</v>
      </c>
      <c r="B307" s="153">
        <v>6</v>
      </c>
      <c r="D307" s="173">
        <v>12.478726363791894</v>
      </c>
      <c r="E307" s="281">
        <f t="shared" si="29"/>
        <v>13.593174375617574</v>
      </c>
      <c r="F307" s="173"/>
      <c r="G307" s="173">
        <v>30.38</v>
      </c>
      <c r="H307" s="154">
        <v>137.36643695999999</v>
      </c>
      <c r="I307" s="190">
        <f t="shared" si="30"/>
        <v>137.36643695999999</v>
      </c>
      <c r="J307" s="190">
        <f t="shared" si="31"/>
        <v>54.603258894848793</v>
      </c>
      <c r="K307" s="246">
        <v>24578</v>
      </c>
      <c r="L307" s="248">
        <f t="shared" si="34"/>
        <v>24464</v>
      </c>
      <c r="M307" s="164">
        <v>15481.4100086</v>
      </c>
      <c r="N307" s="190">
        <f t="shared" si="32"/>
        <v>15481.4100086</v>
      </c>
      <c r="O307" s="264">
        <f t="shared" si="37"/>
        <v>1.25</v>
      </c>
      <c r="P307" s="264">
        <f t="shared" si="37"/>
        <v>239.5</v>
      </c>
      <c r="Q307" s="166">
        <v>4200</v>
      </c>
      <c r="R307" s="166">
        <v>1161</v>
      </c>
      <c r="S307" s="182">
        <f t="shared" si="33"/>
        <v>0</v>
      </c>
      <c r="T307" s="339">
        <v>0.39750072945947362</v>
      </c>
    </row>
    <row r="308" spans="1:20" x14ac:dyDescent="0.2">
      <c r="A308" s="153">
        <v>2026</v>
      </c>
      <c r="B308" s="153">
        <v>7</v>
      </c>
      <c r="D308" s="173">
        <v>12.478726363791894</v>
      </c>
      <c r="E308" s="281">
        <f t="shared" si="29"/>
        <v>13.593174375617574</v>
      </c>
      <c r="F308" s="173"/>
      <c r="G308" s="173">
        <v>30.71</v>
      </c>
      <c r="H308" s="154">
        <v>137.36643695999999</v>
      </c>
      <c r="I308" s="190">
        <f t="shared" si="30"/>
        <v>137.36643695999999</v>
      </c>
      <c r="J308" s="190">
        <f t="shared" si="31"/>
        <v>54.621514441070985</v>
      </c>
      <c r="K308" s="246">
        <v>24575</v>
      </c>
      <c r="L308" s="248">
        <f t="shared" si="34"/>
        <v>24463</v>
      </c>
      <c r="M308" s="164">
        <v>15481.4100086</v>
      </c>
      <c r="N308" s="190">
        <f t="shared" si="32"/>
        <v>15481.4100086</v>
      </c>
      <c r="O308" s="264">
        <f t="shared" si="37"/>
        <v>0</v>
      </c>
      <c r="P308" s="264">
        <f t="shared" si="37"/>
        <v>391</v>
      </c>
      <c r="Q308" s="166">
        <v>4200</v>
      </c>
      <c r="R308" s="166">
        <v>1161</v>
      </c>
      <c r="S308" s="182">
        <f t="shared" si="33"/>
        <v>0</v>
      </c>
      <c r="T308" s="339">
        <v>0.39763362615990638</v>
      </c>
    </row>
    <row r="309" spans="1:20" x14ac:dyDescent="0.2">
      <c r="A309" s="153">
        <v>2026</v>
      </c>
      <c r="B309" s="153">
        <v>8</v>
      </c>
      <c r="D309" s="173">
        <v>12.478726363791894</v>
      </c>
      <c r="E309" s="281">
        <f t="shared" si="29"/>
        <v>13.593174375617574</v>
      </c>
      <c r="F309" s="173"/>
      <c r="G309" s="173">
        <v>29.52</v>
      </c>
      <c r="H309" s="154">
        <v>137.36643695999999</v>
      </c>
      <c r="I309" s="190">
        <f t="shared" si="30"/>
        <v>137.36643695999999</v>
      </c>
      <c r="J309" s="190">
        <f t="shared" si="31"/>
        <v>54.621514441070985</v>
      </c>
      <c r="K309" s="246">
        <v>24572</v>
      </c>
      <c r="L309" s="248">
        <f t="shared" si="34"/>
        <v>24462</v>
      </c>
      <c r="M309" s="164">
        <v>15481.4100086</v>
      </c>
      <c r="N309" s="190">
        <f t="shared" si="32"/>
        <v>15481.4100086</v>
      </c>
      <c r="O309" s="264">
        <f t="shared" si="37"/>
        <v>0</v>
      </c>
      <c r="P309" s="264">
        <f t="shared" si="37"/>
        <v>292.5</v>
      </c>
      <c r="Q309" s="166">
        <v>4200</v>
      </c>
      <c r="R309" s="166">
        <v>1161</v>
      </c>
      <c r="S309" s="182">
        <f t="shared" si="33"/>
        <v>0</v>
      </c>
      <c r="T309" s="339">
        <v>0.39763362615990638</v>
      </c>
    </row>
    <row r="310" spans="1:20" x14ac:dyDescent="0.2">
      <c r="A310" s="153">
        <v>2026</v>
      </c>
      <c r="B310" s="153">
        <v>9</v>
      </c>
      <c r="D310" s="173">
        <v>12.478726363791894</v>
      </c>
      <c r="E310" s="281">
        <f t="shared" si="29"/>
        <v>13.593174375617574</v>
      </c>
      <c r="F310" s="173"/>
      <c r="G310" s="173">
        <v>30.48</v>
      </c>
      <c r="H310" s="154">
        <v>137.36643695999999</v>
      </c>
      <c r="I310" s="190">
        <f t="shared" si="30"/>
        <v>137.36643695999999</v>
      </c>
      <c r="J310" s="190">
        <f t="shared" si="31"/>
        <v>54.621514441070985</v>
      </c>
      <c r="K310" s="246">
        <v>24569</v>
      </c>
      <c r="L310" s="248">
        <f t="shared" si="34"/>
        <v>24461</v>
      </c>
      <c r="M310" s="164">
        <v>15481.4100086</v>
      </c>
      <c r="N310" s="190">
        <f t="shared" si="32"/>
        <v>15481.4100086</v>
      </c>
      <c r="O310" s="264">
        <f t="shared" si="37"/>
        <v>43.5</v>
      </c>
      <c r="P310" s="264">
        <f t="shared" si="37"/>
        <v>138.5</v>
      </c>
      <c r="Q310" s="166">
        <v>4200</v>
      </c>
      <c r="R310" s="166">
        <v>1161</v>
      </c>
      <c r="S310" s="182">
        <f t="shared" si="33"/>
        <v>0</v>
      </c>
      <c r="T310" s="339">
        <v>0.39763362615990638</v>
      </c>
    </row>
    <row r="311" spans="1:20" x14ac:dyDescent="0.2">
      <c r="A311" s="153">
        <v>2026</v>
      </c>
      <c r="B311" s="153">
        <v>10</v>
      </c>
      <c r="D311" s="173">
        <v>12.478726363791894</v>
      </c>
      <c r="E311" s="281">
        <f t="shared" si="29"/>
        <v>13.593174375617574</v>
      </c>
      <c r="F311" s="173"/>
      <c r="G311" s="173">
        <v>29.67</v>
      </c>
      <c r="H311" s="154">
        <v>137.36643695999999</v>
      </c>
      <c r="I311" s="190">
        <f t="shared" si="30"/>
        <v>137.36643695999999</v>
      </c>
      <c r="J311" s="190">
        <f t="shared" si="31"/>
        <v>54.640297837117522</v>
      </c>
      <c r="K311" s="246">
        <v>24566</v>
      </c>
      <c r="L311" s="248">
        <f t="shared" si="34"/>
        <v>24460</v>
      </c>
      <c r="M311" s="164">
        <v>15481.4100086</v>
      </c>
      <c r="N311" s="190">
        <f t="shared" si="32"/>
        <v>15481.4100086</v>
      </c>
      <c r="O311" s="264">
        <f t="shared" si="37"/>
        <v>259.5</v>
      </c>
      <c r="P311" s="264">
        <f t="shared" si="37"/>
        <v>8</v>
      </c>
      <c r="Q311" s="166">
        <v>4200</v>
      </c>
      <c r="R311" s="166">
        <v>1161</v>
      </c>
      <c r="S311" s="182">
        <f t="shared" si="33"/>
        <v>0</v>
      </c>
      <c r="T311" s="339">
        <v>0.39777036550076889</v>
      </c>
    </row>
    <row r="312" spans="1:20" x14ac:dyDescent="0.2">
      <c r="A312" s="153">
        <v>2026</v>
      </c>
      <c r="B312" s="153">
        <v>11</v>
      </c>
      <c r="D312" s="173">
        <v>12.478726363791894</v>
      </c>
      <c r="E312" s="281">
        <f t="shared" si="29"/>
        <v>13.593174375617574</v>
      </c>
      <c r="F312" s="173"/>
      <c r="G312" s="173">
        <v>29.76</v>
      </c>
      <c r="H312" s="154">
        <v>137.36643695999999</v>
      </c>
      <c r="I312" s="190">
        <f t="shared" si="30"/>
        <v>137.36643695999999</v>
      </c>
      <c r="J312" s="190">
        <f t="shared" si="31"/>
        <v>54.640297837117522</v>
      </c>
      <c r="K312" s="246">
        <v>24563</v>
      </c>
      <c r="L312" s="248">
        <f t="shared" si="34"/>
        <v>24459</v>
      </c>
      <c r="M312" s="164">
        <v>15481.4100086</v>
      </c>
      <c r="N312" s="190">
        <f t="shared" si="32"/>
        <v>15481.4100086</v>
      </c>
      <c r="O312" s="264">
        <f t="shared" si="37"/>
        <v>529.75</v>
      </c>
      <c r="P312" s="264">
        <f t="shared" si="37"/>
        <v>1</v>
      </c>
      <c r="Q312" s="166">
        <v>4200</v>
      </c>
      <c r="R312" s="166">
        <v>1161</v>
      </c>
      <c r="S312" s="182">
        <f t="shared" si="33"/>
        <v>0</v>
      </c>
      <c r="T312" s="339">
        <v>0.39777036550076889</v>
      </c>
    </row>
    <row r="313" spans="1:20" x14ac:dyDescent="0.2">
      <c r="A313" s="153">
        <v>2026</v>
      </c>
      <c r="B313" s="153">
        <v>12</v>
      </c>
      <c r="D313" s="173">
        <v>12.478726363791894</v>
      </c>
      <c r="E313" s="281">
        <f t="shared" si="29"/>
        <v>13.593174375617574</v>
      </c>
      <c r="F313" s="173"/>
      <c r="G313" s="173">
        <v>31.57</v>
      </c>
      <c r="H313" s="154">
        <v>137.36643695999999</v>
      </c>
      <c r="I313" s="190">
        <f t="shared" si="30"/>
        <v>137.36643695999999</v>
      </c>
      <c r="J313" s="190">
        <f t="shared" si="31"/>
        <v>54.640297837117522</v>
      </c>
      <c r="K313" s="246">
        <v>24560</v>
      </c>
      <c r="L313" s="248">
        <f t="shared" si="34"/>
        <v>24458</v>
      </c>
      <c r="M313" s="164">
        <v>15481.4100086</v>
      </c>
      <c r="N313" s="190">
        <f t="shared" si="32"/>
        <v>15481.4100086</v>
      </c>
      <c r="O313" s="264">
        <f t="shared" si="37"/>
        <v>719</v>
      </c>
      <c r="P313" s="264">
        <f t="shared" si="37"/>
        <v>0</v>
      </c>
      <c r="Q313" s="166">
        <v>4200</v>
      </c>
      <c r="R313" s="166">
        <v>1161</v>
      </c>
      <c r="S313" s="182">
        <f t="shared" si="33"/>
        <v>0</v>
      </c>
      <c r="T313" s="339">
        <v>0.39777036550076889</v>
      </c>
    </row>
    <row r="314" spans="1:20" x14ac:dyDescent="0.2">
      <c r="A314" s="153">
        <v>2027</v>
      </c>
      <c r="B314" s="153">
        <v>1</v>
      </c>
      <c r="D314" s="173">
        <v>12.790694522886692</v>
      </c>
      <c r="E314" s="281">
        <f t="shared" si="29"/>
        <v>13.865037863129926</v>
      </c>
      <c r="F314" s="173"/>
      <c r="G314" s="173">
        <v>32.520000000000003</v>
      </c>
      <c r="H314" s="154">
        <v>137.56695859000001</v>
      </c>
      <c r="I314" s="190">
        <f t="shared" si="30"/>
        <v>137.56695859000001</v>
      </c>
      <c r="J314" s="190">
        <f t="shared" si="31"/>
        <v>54.738176268558938</v>
      </c>
      <c r="K314" s="246">
        <v>24557</v>
      </c>
      <c r="L314" s="248">
        <f t="shared" si="34"/>
        <v>24457</v>
      </c>
      <c r="M314" s="164">
        <v>16114.499630799999</v>
      </c>
      <c r="N314" s="190">
        <f t="shared" si="32"/>
        <v>16114.499630799999</v>
      </c>
      <c r="O314" s="264">
        <f t="shared" si="37"/>
        <v>903.25</v>
      </c>
      <c r="P314" s="264">
        <f t="shared" si="37"/>
        <v>0</v>
      </c>
      <c r="Q314" s="166">
        <v>4200</v>
      </c>
      <c r="R314" s="166">
        <v>1161</v>
      </c>
      <c r="S314" s="182">
        <f t="shared" si="33"/>
        <v>0</v>
      </c>
      <c r="T314" s="339">
        <v>0.39790206041916487</v>
      </c>
    </row>
    <row r="315" spans="1:20" x14ac:dyDescent="0.2">
      <c r="A315" s="153">
        <v>2027</v>
      </c>
      <c r="B315" s="153">
        <v>2</v>
      </c>
      <c r="D315" s="173">
        <v>12.790694522886692</v>
      </c>
      <c r="E315" s="281">
        <f t="shared" si="29"/>
        <v>13.865037863129926</v>
      </c>
      <c r="F315" s="173"/>
      <c r="G315" s="173">
        <v>30.14</v>
      </c>
      <c r="H315" s="154">
        <v>137.56695859000001</v>
      </c>
      <c r="I315" s="190">
        <f t="shared" si="30"/>
        <v>137.56695859000001</v>
      </c>
      <c r="J315" s="190">
        <f t="shared" si="31"/>
        <v>54.738176268558938</v>
      </c>
      <c r="K315" s="246">
        <v>24554</v>
      </c>
      <c r="L315" s="248">
        <f t="shared" si="34"/>
        <v>24456</v>
      </c>
      <c r="M315" s="164">
        <v>16114.499630799999</v>
      </c>
      <c r="N315" s="190">
        <f t="shared" si="32"/>
        <v>16114.499630799999</v>
      </c>
      <c r="O315" s="264">
        <f t="shared" si="37"/>
        <v>652.25</v>
      </c>
      <c r="P315" s="264">
        <f t="shared" si="37"/>
        <v>0</v>
      </c>
      <c r="Q315" s="166">
        <v>4200</v>
      </c>
      <c r="R315" s="166">
        <v>1161</v>
      </c>
      <c r="S315" s="182">
        <f t="shared" si="33"/>
        <v>0</v>
      </c>
      <c r="T315" s="339">
        <v>0.39790206041916487</v>
      </c>
    </row>
    <row r="316" spans="1:20" x14ac:dyDescent="0.2">
      <c r="A316" s="153">
        <v>2027</v>
      </c>
      <c r="B316" s="153">
        <v>3</v>
      </c>
      <c r="D316" s="173">
        <v>12.790694522886692</v>
      </c>
      <c r="E316" s="281">
        <f t="shared" si="29"/>
        <v>13.865037863129926</v>
      </c>
      <c r="F316" s="173"/>
      <c r="G316" s="173">
        <v>30.33</v>
      </c>
      <c r="H316" s="154">
        <v>137.56695859000001</v>
      </c>
      <c r="I316" s="190">
        <f t="shared" si="30"/>
        <v>137.56695859000001</v>
      </c>
      <c r="J316" s="190">
        <f t="shared" si="31"/>
        <v>54.738176268558938</v>
      </c>
      <c r="K316" s="246">
        <v>24551</v>
      </c>
      <c r="L316" s="248">
        <f t="shared" si="34"/>
        <v>24455</v>
      </c>
      <c r="M316" s="164">
        <v>16114.499630799999</v>
      </c>
      <c r="N316" s="190">
        <f t="shared" si="32"/>
        <v>16114.499630799999</v>
      </c>
      <c r="O316" s="264">
        <f t="shared" si="37"/>
        <v>489.25</v>
      </c>
      <c r="P316" s="264">
        <f t="shared" si="37"/>
        <v>0</v>
      </c>
      <c r="Q316" s="166">
        <v>4200</v>
      </c>
      <c r="R316" s="166">
        <v>1161</v>
      </c>
      <c r="S316" s="182">
        <f t="shared" si="33"/>
        <v>0</v>
      </c>
      <c r="T316" s="339">
        <v>0.39790206041916487</v>
      </c>
    </row>
    <row r="317" spans="1:20" x14ac:dyDescent="0.2">
      <c r="A317" s="153">
        <v>2027</v>
      </c>
      <c r="B317" s="153">
        <v>4</v>
      </c>
      <c r="D317" s="173">
        <v>12.790694522886692</v>
      </c>
      <c r="E317" s="281">
        <f t="shared" si="29"/>
        <v>13.865037863129926</v>
      </c>
      <c r="F317" s="173"/>
      <c r="G317" s="173">
        <v>30.52</v>
      </c>
      <c r="H317" s="154">
        <v>137.56695859000001</v>
      </c>
      <c r="I317" s="190">
        <f t="shared" si="30"/>
        <v>137.56695859000001</v>
      </c>
      <c r="J317" s="190">
        <f t="shared" si="31"/>
        <v>54.758175010030314</v>
      </c>
      <c r="K317" s="246">
        <v>24548</v>
      </c>
      <c r="L317" s="248">
        <f t="shared" si="34"/>
        <v>24454</v>
      </c>
      <c r="M317" s="164">
        <v>16114.499630799999</v>
      </c>
      <c r="N317" s="190">
        <f t="shared" si="32"/>
        <v>16114.499630799999</v>
      </c>
      <c r="O317" s="264">
        <f t="shared" si="37"/>
        <v>184.25</v>
      </c>
      <c r="P317" s="264">
        <f t="shared" si="37"/>
        <v>27.25</v>
      </c>
      <c r="Q317" s="166">
        <v>4200</v>
      </c>
      <c r="R317" s="166">
        <v>1161</v>
      </c>
      <c r="S317" s="182">
        <f t="shared" si="33"/>
        <v>0</v>
      </c>
      <c r="T317" s="339">
        <v>0.39804743501838807</v>
      </c>
    </row>
    <row r="318" spans="1:20" x14ac:dyDescent="0.2">
      <c r="A318" s="153">
        <v>2027</v>
      </c>
      <c r="B318" s="153">
        <v>5</v>
      </c>
      <c r="D318" s="173">
        <v>12.790694522886692</v>
      </c>
      <c r="E318" s="281">
        <f t="shared" si="29"/>
        <v>13.865037863129926</v>
      </c>
      <c r="F318" s="173"/>
      <c r="G318" s="173">
        <v>29.48</v>
      </c>
      <c r="H318" s="154">
        <v>137.56695859000001</v>
      </c>
      <c r="I318" s="190">
        <f t="shared" si="30"/>
        <v>137.56695859000001</v>
      </c>
      <c r="J318" s="190">
        <f t="shared" si="31"/>
        <v>54.758175010030314</v>
      </c>
      <c r="K318" s="246">
        <v>24545</v>
      </c>
      <c r="L318" s="248">
        <f t="shared" si="34"/>
        <v>24453</v>
      </c>
      <c r="M318" s="164">
        <v>16114.499630799999</v>
      </c>
      <c r="N318" s="190">
        <f t="shared" si="32"/>
        <v>16114.499630799999</v>
      </c>
      <c r="O318" s="264">
        <f t="shared" si="37"/>
        <v>70</v>
      </c>
      <c r="P318" s="264">
        <f t="shared" si="37"/>
        <v>138.5</v>
      </c>
      <c r="Q318" s="166">
        <v>4200</v>
      </c>
      <c r="R318" s="166">
        <v>1161</v>
      </c>
      <c r="S318" s="182">
        <f t="shared" si="33"/>
        <v>0</v>
      </c>
      <c r="T318" s="339">
        <v>0.39804743501838807</v>
      </c>
    </row>
    <row r="319" spans="1:20" x14ac:dyDescent="0.2">
      <c r="A319" s="153">
        <v>2027</v>
      </c>
      <c r="B319" s="153">
        <v>6</v>
      </c>
      <c r="D319" s="173">
        <v>12.790694522886692</v>
      </c>
      <c r="E319" s="281">
        <f t="shared" si="29"/>
        <v>13.865037863129926</v>
      </c>
      <c r="F319" s="173"/>
      <c r="G319" s="173">
        <v>30.67</v>
      </c>
      <c r="H319" s="154">
        <v>137.56695859000001</v>
      </c>
      <c r="I319" s="190">
        <f t="shared" si="30"/>
        <v>137.56695859000001</v>
      </c>
      <c r="J319" s="190">
        <f t="shared" si="31"/>
        <v>54.758175010030314</v>
      </c>
      <c r="K319" s="246">
        <v>24542</v>
      </c>
      <c r="L319" s="248">
        <f t="shared" si="34"/>
        <v>24452</v>
      </c>
      <c r="M319" s="164">
        <v>16114.499630799999</v>
      </c>
      <c r="N319" s="190">
        <f t="shared" si="32"/>
        <v>16114.499630799999</v>
      </c>
      <c r="O319" s="264">
        <f t="shared" ref="O319:P334" si="38">O307</f>
        <v>1.25</v>
      </c>
      <c r="P319" s="264">
        <f t="shared" si="38"/>
        <v>239.5</v>
      </c>
      <c r="Q319" s="166">
        <v>4200</v>
      </c>
      <c r="R319" s="166">
        <v>1161</v>
      </c>
      <c r="S319" s="182">
        <f t="shared" si="33"/>
        <v>0</v>
      </c>
      <c r="T319" s="339">
        <v>0.39804743501838807</v>
      </c>
    </row>
    <row r="320" spans="1:20" x14ac:dyDescent="0.2">
      <c r="A320" s="153">
        <v>2027</v>
      </c>
      <c r="B320" s="153">
        <v>7</v>
      </c>
      <c r="D320" s="173">
        <v>12.790694522886692</v>
      </c>
      <c r="E320" s="281">
        <f t="shared" si="29"/>
        <v>13.865037863129926</v>
      </c>
      <c r="F320" s="173"/>
      <c r="G320" s="173">
        <v>30.71</v>
      </c>
      <c r="H320" s="154">
        <v>137.56695859000001</v>
      </c>
      <c r="I320" s="190">
        <f t="shared" si="30"/>
        <v>137.56695859000001</v>
      </c>
      <c r="J320" s="190">
        <f t="shared" si="31"/>
        <v>54.846267641951044</v>
      </c>
      <c r="K320" s="246">
        <v>24539</v>
      </c>
      <c r="L320" s="248">
        <f t="shared" si="34"/>
        <v>24451</v>
      </c>
      <c r="M320" s="164">
        <v>16114.499630799999</v>
      </c>
      <c r="N320" s="190">
        <f t="shared" si="32"/>
        <v>16114.499630799999</v>
      </c>
      <c r="O320" s="264">
        <f t="shared" si="38"/>
        <v>0</v>
      </c>
      <c r="P320" s="264">
        <f t="shared" si="38"/>
        <v>391</v>
      </c>
      <c r="Q320" s="166">
        <v>4200</v>
      </c>
      <c r="R320" s="166">
        <v>1161</v>
      </c>
      <c r="S320" s="182">
        <f t="shared" si="33"/>
        <v>0</v>
      </c>
      <c r="T320" s="339">
        <v>0.39868779686707356</v>
      </c>
    </row>
    <row r="321" spans="1:20" x14ac:dyDescent="0.2">
      <c r="A321" s="153">
        <v>2027</v>
      </c>
      <c r="B321" s="153">
        <v>8</v>
      </c>
      <c r="D321" s="173">
        <v>12.790694522886692</v>
      </c>
      <c r="E321" s="281">
        <f t="shared" si="29"/>
        <v>13.865037863129926</v>
      </c>
      <c r="F321" s="173"/>
      <c r="G321" s="173">
        <v>29.52</v>
      </c>
      <c r="H321" s="154">
        <v>137.56695859000001</v>
      </c>
      <c r="I321" s="190">
        <f t="shared" si="30"/>
        <v>137.56695859000001</v>
      </c>
      <c r="J321" s="190">
        <f t="shared" si="31"/>
        <v>54.846267641951044</v>
      </c>
      <c r="K321" s="246">
        <v>24536</v>
      </c>
      <c r="L321" s="248">
        <f t="shared" si="34"/>
        <v>24450</v>
      </c>
      <c r="M321" s="164">
        <v>16114.499630799999</v>
      </c>
      <c r="N321" s="190">
        <f t="shared" si="32"/>
        <v>16114.499630799999</v>
      </c>
      <c r="O321" s="264">
        <f t="shared" si="38"/>
        <v>0</v>
      </c>
      <c r="P321" s="264">
        <f t="shared" si="38"/>
        <v>292.5</v>
      </c>
      <c r="Q321" s="166">
        <v>4200</v>
      </c>
      <c r="R321" s="166">
        <v>1161</v>
      </c>
      <c r="S321" s="182">
        <f t="shared" si="33"/>
        <v>0</v>
      </c>
      <c r="T321" s="339">
        <v>0.39868779686707356</v>
      </c>
    </row>
    <row r="322" spans="1:20" x14ac:dyDescent="0.2">
      <c r="A322" s="153">
        <v>2027</v>
      </c>
      <c r="B322" s="153">
        <v>9</v>
      </c>
      <c r="D322" s="173">
        <v>12.790694522886692</v>
      </c>
      <c r="E322" s="281">
        <f t="shared" si="29"/>
        <v>13.865037863129926</v>
      </c>
      <c r="F322" s="173"/>
      <c r="G322" s="173">
        <v>30.52</v>
      </c>
      <c r="H322" s="154">
        <v>137.56695859000001</v>
      </c>
      <c r="I322" s="190">
        <f t="shared" si="30"/>
        <v>137.56695859000001</v>
      </c>
      <c r="J322" s="190">
        <f t="shared" si="31"/>
        <v>54.846267641951044</v>
      </c>
      <c r="K322" s="246">
        <v>24533</v>
      </c>
      <c r="L322" s="248">
        <f t="shared" si="34"/>
        <v>24449</v>
      </c>
      <c r="M322" s="164">
        <v>16114.499630799999</v>
      </c>
      <c r="N322" s="190">
        <f t="shared" si="32"/>
        <v>16114.499630799999</v>
      </c>
      <c r="O322" s="264">
        <f t="shared" si="38"/>
        <v>43.5</v>
      </c>
      <c r="P322" s="264">
        <f t="shared" si="38"/>
        <v>138.5</v>
      </c>
      <c r="Q322" s="166">
        <v>4200</v>
      </c>
      <c r="R322" s="166">
        <v>1161</v>
      </c>
      <c r="S322" s="182">
        <f t="shared" si="33"/>
        <v>0</v>
      </c>
      <c r="T322" s="339">
        <v>0.39868779686707356</v>
      </c>
    </row>
    <row r="323" spans="1:20" x14ac:dyDescent="0.2">
      <c r="A323" s="153">
        <v>2027</v>
      </c>
      <c r="B323" s="153">
        <v>10</v>
      </c>
      <c r="D323" s="173">
        <v>12.790694522886692</v>
      </c>
      <c r="E323" s="281">
        <f t="shared" ref="E323:E386" si="39">E311*(1+0.02)</f>
        <v>13.865037863129926</v>
      </c>
      <c r="F323" s="173"/>
      <c r="G323" s="173">
        <v>29.62</v>
      </c>
      <c r="H323" s="154">
        <v>137.56695859000001</v>
      </c>
      <c r="I323" s="190">
        <f t="shared" ref="I323:I386" si="40">H323</f>
        <v>137.56695859000001</v>
      </c>
      <c r="J323" s="190">
        <f t="shared" ref="J323:J386" si="41">H323*T323</f>
        <v>54.831304809608277</v>
      </c>
      <c r="K323" s="246">
        <v>24530</v>
      </c>
      <c r="L323" s="248">
        <f t="shared" si="34"/>
        <v>24448</v>
      </c>
      <c r="M323" s="164">
        <v>16114.499630799999</v>
      </c>
      <c r="N323" s="190">
        <f t="shared" ref="N323:N386" si="42">M323</f>
        <v>16114.499630799999</v>
      </c>
      <c r="O323" s="264">
        <f t="shared" si="38"/>
        <v>259.5</v>
      </c>
      <c r="P323" s="264">
        <f t="shared" si="38"/>
        <v>8</v>
      </c>
      <c r="Q323" s="166">
        <v>4200</v>
      </c>
      <c r="R323" s="166">
        <v>1161</v>
      </c>
      <c r="S323" s="182">
        <f t="shared" ref="S323:S386" si="43">C323/K323*1000</f>
        <v>0</v>
      </c>
      <c r="T323" s="339">
        <v>0.39857902923496097</v>
      </c>
    </row>
    <row r="324" spans="1:20" x14ac:dyDescent="0.2">
      <c r="A324" s="153">
        <v>2027</v>
      </c>
      <c r="B324" s="153">
        <v>11</v>
      </c>
      <c r="D324" s="173">
        <v>12.790694522886692</v>
      </c>
      <c r="E324" s="281">
        <f t="shared" si="39"/>
        <v>13.865037863129926</v>
      </c>
      <c r="F324" s="173"/>
      <c r="G324" s="173">
        <v>29.1</v>
      </c>
      <c r="H324" s="154">
        <v>137.56695859000001</v>
      </c>
      <c r="I324" s="190">
        <f t="shared" si="40"/>
        <v>137.56695859000001</v>
      </c>
      <c r="J324" s="190">
        <f t="shared" si="41"/>
        <v>54.831304809608277</v>
      </c>
      <c r="K324" s="246">
        <v>24527</v>
      </c>
      <c r="L324" s="248">
        <f t="shared" si="34"/>
        <v>24447</v>
      </c>
      <c r="M324" s="164">
        <v>16114.499630799999</v>
      </c>
      <c r="N324" s="190">
        <f t="shared" si="42"/>
        <v>16114.499630799999</v>
      </c>
      <c r="O324" s="264">
        <f t="shared" si="38"/>
        <v>529.75</v>
      </c>
      <c r="P324" s="264">
        <f t="shared" si="38"/>
        <v>1</v>
      </c>
      <c r="Q324" s="166">
        <v>4200</v>
      </c>
      <c r="R324" s="166">
        <v>1161</v>
      </c>
      <c r="S324" s="182">
        <f t="shared" si="43"/>
        <v>0</v>
      </c>
      <c r="T324" s="339">
        <v>0.39857902923496097</v>
      </c>
    </row>
    <row r="325" spans="1:20" x14ac:dyDescent="0.2">
      <c r="A325" s="153">
        <v>2027</v>
      </c>
      <c r="B325" s="153">
        <v>12</v>
      </c>
      <c r="D325" s="173">
        <v>12.790694522886692</v>
      </c>
      <c r="E325" s="281">
        <f t="shared" si="39"/>
        <v>13.865037863129926</v>
      </c>
      <c r="F325" s="173"/>
      <c r="G325" s="173">
        <v>31.67</v>
      </c>
      <c r="H325" s="154">
        <v>137.56695859000001</v>
      </c>
      <c r="I325" s="190">
        <f t="shared" si="40"/>
        <v>137.56695859000001</v>
      </c>
      <c r="J325" s="190">
        <f t="shared" si="41"/>
        <v>54.831304809608277</v>
      </c>
      <c r="K325" s="246">
        <v>24524</v>
      </c>
      <c r="L325" s="248">
        <f t="shared" si="34"/>
        <v>24446</v>
      </c>
      <c r="M325" s="164">
        <v>16114.499630799999</v>
      </c>
      <c r="N325" s="190">
        <f t="shared" si="42"/>
        <v>16114.499630799999</v>
      </c>
      <c r="O325" s="264">
        <f t="shared" si="38"/>
        <v>719</v>
      </c>
      <c r="P325" s="264">
        <f t="shared" si="38"/>
        <v>0</v>
      </c>
      <c r="Q325" s="166">
        <v>4200</v>
      </c>
      <c r="R325" s="166">
        <v>1161</v>
      </c>
      <c r="S325" s="182">
        <f t="shared" si="43"/>
        <v>0</v>
      </c>
      <c r="T325" s="339">
        <v>0.39857902923496097</v>
      </c>
    </row>
    <row r="326" spans="1:20" x14ac:dyDescent="0.2">
      <c r="A326" s="153">
        <v>2028</v>
      </c>
      <c r="B326" s="153">
        <v>1</v>
      </c>
      <c r="D326" s="173">
        <v>13.110461885958857</v>
      </c>
      <c r="E326" s="281">
        <f t="shared" si="39"/>
        <v>14.142338620392525</v>
      </c>
      <c r="F326" s="173"/>
      <c r="G326" s="173">
        <v>32.71</v>
      </c>
      <c r="H326" s="154">
        <v>137.83970545</v>
      </c>
      <c r="I326" s="190">
        <f t="shared" si="40"/>
        <v>137.83970545</v>
      </c>
      <c r="J326" s="190">
        <f t="shared" si="41"/>
        <v>54.926972042369108</v>
      </c>
      <c r="K326" s="246">
        <v>24521</v>
      </c>
      <c r="L326" s="248">
        <f t="shared" si="34"/>
        <v>24445</v>
      </c>
      <c r="M326" s="164">
        <v>16800.423866600002</v>
      </c>
      <c r="N326" s="190">
        <f t="shared" si="42"/>
        <v>16800.423866600002</v>
      </c>
      <c r="O326" s="264">
        <f t="shared" si="38"/>
        <v>903.25</v>
      </c>
      <c r="P326" s="264">
        <f t="shared" si="38"/>
        <v>0</v>
      </c>
      <c r="Q326" s="166">
        <v>4200</v>
      </c>
      <c r="R326" s="166">
        <v>1161</v>
      </c>
      <c r="S326" s="182">
        <f t="shared" si="43"/>
        <v>0</v>
      </c>
      <c r="T326" s="339">
        <v>0.39848439796828594</v>
      </c>
    </row>
    <row r="327" spans="1:20" x14ac:dyDescent="0.2">
      <c r="A327" s="153">
        <v>2028</v>
      </c>
      <c r="B327" s="153">
        <v>2</v>
      </c>
      <c r="D327" s="173">
        <v>13.110461885958857</v>
      </c>
      <c r="E327" s="281">
        <f t="shared" si="39"/>
        <v>14.142338620392525</v>
      </c>
      <c r="F327" s="173"/>
      <c r="G327" s="173">
        <v>29.81</v>
      </c>
      <c r="H327" s="154">
        <v>137.83970545</v>
      </c>
      <c r="I327" s="190">
        <f t="shared" si="40"/>
        <v>137.83970545</v>
      </c>
      <c r="J327" s="190">
        <f t="shared" si="41"/>
        <v>54.926972042369108</v>
      </c>
      <c r="K327" s="246">
        <v>24518</v>
      </c>
      <c r="L327" s="248">
        <f t="shared" si="34"/>
        <v>24444</v>
      </c>
      <c r="M327" s="164">
        <v>16800.423866600002</v>
      </c>
      <c r="N327" s="190">
        <f t="shared" si="42"/>
        <v>16800.423866600002</v>
      </c>
      <c r="O327" s="264">
        <f t="shared" si="38"/>
        <v>652.25</v>
      </c>
      <c r="P327" s="264">
        <f t="shared" si="38"/>
        <v>0</v>
      </c>
      <c r="Q327" s="166">
        <v>4200</v>
      </c>
      <c r="R327" s="166">
        <v>1161</v>
      </c>
      <c r="S327" s="182">
        <f t="shared" si="43"/>
        <v>0</v>
      </c>
      <c r="T327" s="339">
        <v>0.39848439796828594</v>
      </c>
    </row>
    <row r="328" spans="1:20" x14ac:dyDescent="0.2">
      <c r="A328" s="153">
        <v>2028</v>
      </c>
      <c r="B328" s="153">
        <v>3</v>
      </c>
      <c r="D328" s="173">
        <v>13.110461885958857</v>
      </c>
      <c r="E328" s="281">
        <f t="shared" si="39"/>
        <v>14.142338620392525</v>
      </c>
      <c r="F328" s="173"/>
      <c r="G328" s="173">
        <v>30.33</v>
      </c>
      <c r="H328" s="154">
        <v>137.83970545</v>
      </c>
      <c r="I328" s="190">
        <f t="shared" si="40"/>
        <v>137.83970545</v>
      </c>
      <c r="J328" s="190">
        <f t="shared" si="41"/>
        <v>54.926972042369108</v>
      </c>
      <c r="K328" s="246">
        <v>24515</v>
      </c>
      <c r="L328" s="248">
        <f t="shared" si="34"/>
        <v>24443</v>
      </c>
      <c r="M328" s="164">
        <v>16800.423866600002</v>
      </c>
      <c r="N328" s="190">
        <f t="shared" si="42"/>
        <v>16800.423866600002</v>
      </c>
      <c r="O328" s="264">
        <f t="shared" si="38"/>
        <v>489.25</v>
      </c>
      <c r="P328" s="264">
        <f t="shared" si="38"/>
        <v>0</v>
      </c>
      <c r="Q328" s="166">
        <v>4200</v>
      </c>
      <c r="R328" s="166">
        <v>1161</v>
      </c>
      <c r="S328" s="182">
        <f t="shared" si="43"/>
        <v>0</v>
      </c>
      <c r="T328" s="339">
        <v>0.39848439796828594</v>
      </c>
    </row>
    <row r="329" spans="1:20" x14ac:dyDescent="0.2">
      <c r="A329" s="153">
        <v>2028</v>
      </c>
      <c r="B329" s="153">
        <v>4</v>
      </c>
      <c r="D329" s="173">
        <v>13.110461885958857</v>
      </c>
      <c r="E329" s="281">
        <f t="shared" si="39"/>
        <v>14.142338620392525</v>
      </c>
      <c r="F329" s="173"/>
      <c r="G329" s="173">
        <v>30.19</v>
      </c>
      <c r="H329" s="154">
        <v>137.83970545</v>
      </c>
      <c r="I329" s="190">
        <f t="shared" si="40"/>
        <v>137.83970545</v>
      </c>
      <c r="J329" s="190">
        <f t="shared" si="41"/>
        <v>54.915219970141337</v>
      </c>
      <c r="K329" s="246">
        <v>24512</v>
      </c>
      <c r="L329" s="248">
        <f t="shared" si="34"/>
        <v>24442</v>
      </c>
      <c r="M329" s="164">
        <v>16800.423866600002</v>
      </c>
      <c r="N329" s="190">
        <f t="shared" si="42"/>
        <v>16800.423866600002</v>
      </c>
      <c r="O329" s="264">
        <f t="shared" si="38"/>
        <v>184.25</v>
      </c>
      <c r="P329" s="264">
        <f t="shared" si="38"/>
        <v>27.25</v>
      </c>
      <c r="Q329" s="166">
        <v>4200</v>
      </c>
      <c r="R329" s="166">
        <v>1161</v>
      </c>
      <c r="S329" s="182">
        <f t="shared" si="43"/>
        <v>0</v>
      </c>
      <c r="T329" s="339">
        <v>0.39839913899164053</v>
      </c>
    </row>
    <row r="330" spans="1:20" x14ac:dyDescent="0.2">
      <c r="A330" s="153">
        <v>2028</v>
      </c>
      <c r="B330" s="153">
        <v>5</v>
      </c>
      <c r="D330" s="173">
        <v>13.110461885958857</v>
      </c>
      <c r="E330" s="281">
        <f t="shared" si="39"/>
        <v>14.142338620392525</v>
      </c>
      <c r="F330" s="173"/>
      <c r="G330" s="173">
        <v>30.14</v>
      </c>
      <c r="H330" s="154">
        <v>137.83970545</v>
      </c>
      <c r="I330" s="190">
        <f t="shared" si="40"/>
        <v>137.83970545</v>
      </c>
      <c r="J330" s="190">
        <f t="shared" si="41"/>
        <v>54.915219970141337</v>
      </c>
      <c r="K330" s="246">
        <v>24509</v>
      </c>
      <c r="L330" s="248">
        <f t="shared" si="34"/>
        <v>24441</v>
      </c>
      <c r="M330" s="164">
        <v>16800.423866600002</v>
      </c>
      <c r="N330" s="190">
        <f t="shared" si="42"/>
        <v>16800.423866600002</v>
      </c>
      <c r="O330" s="264">
        <f t="shared" si="38"/>
        <v>70</v>
      </c>
      <c r="P330" s="264">
        <f t="shared" si="38"/>
        <v>138.5</v>
      </c>
      <c r="Q330" s="166">
        <v>4200</v>
      </c>
      <c r="R330" s="166">
        <v>1161</v>
      </c>
      <c r="S330" s="182">
        <f t="shared" si="43"/>
        <v>0</v>
      </c>
      <c r="T330" s="339">
        <v>0.39839913899164053</v>
      </c>
    </row>
    <row r="331" spans="1:20" x14ac:dyDescent="0.2">
      <c r="A331" s="153">
        <v>2028</v>
      </c>
      <c r="B331" s="153">
        <v>6</v>
      </c>
      <c r="D331" s="173">
        <v>13.110461885958857</v>
      </c>
      <c r="E331" s="281">
        <f t="shared" si="39"/>
        <v>14.142338620392525</v>
      </c>
      <c r="F331" s="173"/>
      <c r="G331" s="173">
        <v>30.67</v>
      </c>
      <c r="H331" s="154">
        <v>137.83970545</v>
      </c>
      <c r="I331" s="190">
        <f t="shared" si="40"/>
        <v>137.83970545</v>
      </c>
      <c r="J331" s="190">
        <f t="shared" si="41"/>
        <v>54.915219970141337</v>
      </c>
      <c r="K331" s="246">
        <v>24506</v>
      </c>
      <c r="L331" s="248">
        <f t="shared" ref="L331:L394" si="44">L330-1</f>
        <v>24440</v>
      </c>
      <c r="M331" s="164">
        <v>16800.423866600002</v>
      </c>
      <c r="N331" s="190">
        <f t="shared" si="42"/>
        <v>16800.423866600002</v>
      </c>
      <c r="O331" s="264">
        <f t="shared" si="38"/>
        <v>1.25</v>
      </c>
      <c r="P331" s="264">
        <f t="shared" si="38"/>
        <v>239.5</v>
      </c>
      <c r="Q331" s="166">
        <v>4200</v>
      </c>
      <c r="R331" s="166">
        <v>1161</v>
      </c>
      <c r="S331" s="182">
        <f t="shared" si="43"/>
        <v>0</v>
      </c>
      <c r="T331" s="339">
        <v>0.39839913899164053</v>
      </c>
    </row>
    <row r="332" spans="1:20" x14ac:dyDescent="0.2">
      <c r="A332" s="153">
        <v>2028</v>
      </c>
      <c r="B332" s="153">
        <v>7</v>
      </c>
      <c r="D332" s="173">
        <v>13.110461885958857</v>
      </c>
      <c r="E332" s="281">
        <f t="shared" si="39"/>
        <v>14.142338620392525</v>
      </c>
      <c r="F332" s="173"/>
      <c r="G332" s="173">
        <v>30.67</v>
      </c>
      <c r="H332" s="154">
        <v>137.83970545</v>
      </c>
      <c r="I332" s="190">
        <f t="shared" si="40"/>
        <v>137.83970545</v>
      </c>
      <c r="J332" s="190">
        <f t="shared" si="41"/>
        <v>54.900439903986928</v>
      </c>
      <c r="K332" s="246">
        <v>24503</v>
      </c>
      <c r="L332" s="248">
        <f t="shared" si="44"/>
        <v>24439</v>
      </c>
      <c r="M332" s="164">
        <v>16800.423866600002</v>
      </c>
      <c r="N332" s="190">
        <f t="shared" si="42"/>
        <v>16800.423866600002</v>
      </c>
      <c r="O332" s="264">
        <f t="shared" si="38"/>
        <v>0</v>
      </c>
      <c r="P332" s="264">
        <f t="shared" si="38"/>
        <v>391</v>
      </c>
      <c r="Q332" s="166">
        <v>4200</v>
      </c>
      <c r="R332" s="166">
        <v>1161</v>
      </c>
      <c r="S332" s="182">
        <f t="shared" si="43"/>
        <v>0</v>
      </c>
      <c r="T332" s="339">
        <v>0.39829191251356472</v>
      </c>
    </row>
    <row r="333" spans="1:20" x14ac:dyDescent="0.2">
      <c r="A333" s="153">
        <v>2028</v>
      </c>
      <c r="B333" s="153">
        <v>8</v>
      </c>
      <c r="D333" s="173">
        <v>13.110461885958857</v>
      </c>
      <c r="E333" s="281">
        <f t="shared" si="39"/>
        <v>14.142338620392525</v>
      </c>
      <c r="F333" s="173"/>
      <c r="G333" s="173">
        <v>29.57</v>
      </c>
      <c r="H333" s="154">
        <v>137.83970545</v>
      </c>
      <c r="I333" s="190">
        <f t="shared" si="40"/>
        <v>137.83970545</v>
      </c>
      <c r="J333" s="190">
        <f t="shared" si="41"/>
        <v>54.900439903986928</v>
      </c>
      <c r="K333" s="246">
        <v>24500</v>
      </c>
      <c r="L333" s="248">
        <f t="shared" si="44"/>
        <v>24438</v>
      </c>
      <c r="M333" s="164">
        <v>16800.423866600002</v>
      </c>
      <c r="N333" s="190">
        <f t="shared" si="42"/>
        <v>16800.423866600002</v>
      </c>
      <c r="O333" s="264">
        <f t="shared" si="38"/>
        <v>0</v>
      </c>
      <c r="P333" s="264">
        <f t="shared" si="38"/>
        <v>292.5</v>
      </c>
      <c r="Q333" s="166">
        <v>4200</v>
      </c>
      <c r="R333" s="166">
        <v>1161</v>
      </c>
      <c r="S333" s="182">
        <f t="shared" si="43"/>
        <v>0</v>
      </c>
      <c r="T333" s="339">
        <v>0.39829191251356472</v>
      </c>
    </row>
    <row r="334" spans="1:20" x14ac:dyDescent="0.2">
      <c r="A334" s="153">
        <v>2028</v>
      </c>
      <c r="B334" s="153">
        <v>9</v>
      </c>
      <c r="D334" s="173">
        <v>13.110461885958857</v>
      </c>
      <c r="E334" s="281">
        <f t="shared" si="39"/>
        <v>14.142338620392525</v>
      </c>
      <c r="F334" s="173"/>
      <c r="G334" s="173">
        <v>30.52</v>
      </c>
      <c r="H334" s="154">
        <v>137.83970545</v>
      </c>
      <c r="I334" s="190">
        <f t="shared" si="40"/>
        <v>137.83970545</v>
      </c>
      <c r="J334" s="190">
        <f t="shared" si="41"/>
        <v>54.900439903986928</v>
      </c>
      <c r="K334" s="246">
        <v>24497</v>
      </c>
      <c r="L334" s="248">
        <f t="shared" si="44"/>
        <v>24437</v>
      </c>
      <c r="M334" s="164">
        <v>16800.423866600002</v>
      </c>
      <c r="N334" s="190">
        <f t="shared" si="42"/>
        <v>16800.423866600002</v>
      </c>
      <c r="O334" s="264">
        <f t="shared" si="38"/>
        <v>43.5</v>
      </c>
      <c r="P334" s="264">
        <f t="shared" si="38"/>
        <v>138.5</v>
      </c>
      <c r="Q334" s="166">
        <v>4200</v>
      </c>
      <c r="R334" s="166">
        <v>1161</v>
      </c>
      <c r="S334" s="182">
        <f t="shared" si="43"/>
        <v>0</v>
      </c>
      <c r="T334" s="339">
        <v>0.39829191251356472</v>
      </c>
    </row>
    <row r="335" spans="1:20" x14ac:dyDescent="0.2">
      <c r="A335" s="153">
        <v>2028</v>
      </c>
      <c r="B335" s="153">
        <v>10</v>
      </c>
      <c r="D335" s="173">
        <v>13.110461885958857</v>
      </c>
      <c r="E335" s="281">
        <f t="shared" si="39"/>
        <v>14.142338620392525</v>
      </c>
      <c r="F335" s="173"/>
      <c r="G335" s="173">
        <v>29.62</v>
      </c>
      <c r="H335" s="154">
        <v>137.83970545</v>
      </c>
      <c r="I335" s="190">
        <f t="shared" si="40"/>
        <v>137.83970545</v>
      </c>
      <c r="J335" s="190">
        <f t="shared" si="41"/>
        <v>54.913832305069029</v>
      </c>
      <c r="K335" s="246">
        <v>24494</v>
      </c>
      <c r="L335" s="248">
        <f t="shared" si="44"/>
        <v>24436</v>
      </c>
      <c r="M335" s="164">
        <v>16800.423866600002</v>
      </c>
      <c r="N335" s="190">
        <f t="shared" si="42"/>
        <v>16800.423866600002</v>
      </c>
      <c r="O335" s="264">
        <f t="shared" ref="O335:P350" si="45">O323</f>
        <v>259.5</v>
      </c>
      <c r="P335" s="264">
        <f t="shared" si="45"/>
        <v>8</v>
      </c>
      <c r="Q335" s="166">
        <v>4200</v>
      </c>
      <c r="R335" s="166">
        <v>1161</v>
      </c>
      <c r="S335" s="182">
        <f t="shared" si="43"/>
        <v>0</v>
      </c>
      <c r="T335" s="339">
        <v>0.39838907175399096</v>
      </c>
    </row>
    <row r="336" spans="1:20" x14ac:dyDescent="0.2">
      <c r="A336" s="153">
        <v>2028</v>
      </c>
      <c r="B336" s="153">
        <v>11</v>
      </c>
      <c r="D336" s="173">
        <v>13.110461885958857</v>
      </c>
      <c r="E336" s="281">
        <f t="shared" si="39"/>
        <v>14.142338620392525</v>
      </c>
      <c r="F336" s="173"/>
      <c r="G336" s="173">
        <v>29.95</v>
      </c>
      <c r="H336" s="154">
        <v>137.83970545</v>
      </c>
      <c r="I336" s="190">
        <f t="shared" si="40"/>
        <v>137.83970545</v>
      </c>
      <c r="J336" s="190">
        <f t="shared" si="41"/>
        <v>54.913832305069029</v>
      </c>
      <c r="K336" s="246">
        <v>24491</v>
      </c>
      <c r="L336" s="248">
        <f t="shared" si="44"/>
        <v>24435</v>
      </c>
      <c r="M336" s="164">
        <v>16800.423866600002</v>
      </c>
      <c r="N336" s="190">
        <f t="shared" si="42"/>
        <v>16800.423866600002</v>
      </c>
      <c r="O336" s="264">
        <f t="shared" si="45"/>
        <v>529.75</v>
      </c>
      <c r="P336" s="264">
        <f t="shared" si="45"/>
        <v>1</v>
      </c>
      <c r="Q336" s="166">
        <v>4200</v>
      </c>
      <c r="R336" s="166">
        <v>1161</v>
      </c>
      <c r="S336" s="182">
        <f t="shared" si="43"/>
        <v>0</v>
      </c>
      <c r="T336" s="339">
        <v>0.39838907175399096</v>
      </c>
    </row>
    <row r="337" spans="1:20" x14ac:dyDescent="0.2">
      <c r="A337" s="153">
        <v>2028</v>
      </c>
      <c r="B337" s="153">
        <v>12</v>
      </c>
      <c r="D337" s="173">
        <v>13.110461885958857</v>
      </c>
      <c r="E337" s="281">
        <f t="shared" si="39"/>
        <v>14.142338620392525</v>
      </c>
      <c r="F337" s="173"/>
      <c r="G337" s="173">
        <v>31.24</v>
      </c>
      <c r="H337" s="154">
        <v>137.83970545</v>
      </c>
      <c r="I337" s="190">
        <f t="shared" si="40"/>
        <v>137.83970545</v>
      </c>
      <c r="J337" s="190">
        <f t="shared" si="41"/>
        <v>54.913832305069029</v>
      </c>
      <c r="K337" s="246">
        <v>24488</v>
      </c>
      <c r="L337" s="248">
        <f t="shared" si="44"/>
        <v>24434</v>
      </c>
      <c r="M337" s="164">
        <v>16800.423866600002</v>
      </c>
      <c r="N337" s="190">
        <f t="shared" si="42"/>
        <v>16800.423866600002</v>
      </c>
      <c r="O337" s="264">
        <f t="shared" si="45"/>
        <v>719</v>
      </c>
      <c r="P337" s="264">
        <f t="shared" si="45"/>
        <v>0</v>
      </c>
      <c r="Q337" s="166">
        <v>4200</v>
      </c>
      <c r="R337" s="166">
        <v>1161</v>
      </c>
      <c r="S337" s="182">
        <f t="shared" si="43"/>
        <v>0</v>
      </c>
      <c r="T337" s="339">
        <v>0.39838907175399096</v>
      </c>
    </row>
    <row r="338" spans="1:20" x14ac:dyDescent="0.2">
      <c r="A338" s="153">
        <v>2029</v>
      </c>
      <c r="B338" s="153">
        <v>1</v>
      </c>
      <c r="D338" s="173">
        <v>13.438223433107826</v>
      </c>
      <c r="E338" s="281">
        <f t="shared" si="39"/>
        <v>14.425185392800376</v>
      </c>
      <c r="F338" s="173"/>
      <c r="G338" s="173">
        <v>32.67</v>
      </c>
      <c r="H338" s="154">
        <v>138.06985766</v>
      </c>
      <c r="I338" s="190">
        <f t="shared" si="40"/>
        <v>138.06985766</v>
      </c>
      <c r="J338" s="190">
        <f t="shared" si="41"/>
        <v>55.018816277042809</v>
      </c>
      <c r="K338" s="246">
        <v>24485</v>
      </c>
      <c r="L338" s="248">
        <f t="shared" si="44"/>
        <v>24433</v>
      </c>
      <c r="M338" s="164">
        <v>17493.070144999998</v>
      </c>
      <c r="N338" s="190">
        <f t="shared" si="42"/>
        <v>17493.070144999998</v>
      </c>
      <c r="O338" s="264">
        <f t="shared" si="45"/>
        <v>903.25</v>
      </c>
      <c r="P338" s="264">
        <f t="shared" si="45"/>
        <v>0</v>
      </c>
      <c r="Q338" s="166">
        <v>4200</v>
      </c>
      <c r="R338" s="166">
        <v>1161</v>
      </c>
      <c r="S338" s="182">
        <f t="shared" si="43"/>
        <v>0</v>
      </c>
      <c r="T338" s="339">
        <v>0.39848535523609963</v>
      </c>
    </row>
    <row r="339" spans="1:20" x14ac:dyDescent="0.2">
      <c r="A339" s="153">
        <v>2029</v>
      </c>
      <c r="B339" s="153">
        <v>2</v>
      </c>
      <c r="D339" s="173">
        <v>13.438223433107826</v>
      </c>
      <c r="E339" s="281">
        <f t="shared" si="39"/>
        <v>14.425185392800376</v>
      </c>
      <c r="F339" s="173"/>
      <c r="G339" s="173">
        <v>29.86</v>
      </c>
      <c r="H339" s="154">
        <v>138.06985766</v>
      </c>
      <c r="I339" s="190">
        <f t="shared" si="40"/>
        <v>138.06985766</v>
      </c>
      <c r="J339" s="190">
        <f t="shared" si="41"/>
        <v>55.018816277042809</v>
      </c>
      <c r="K339" s="246">
        <v>24482</v>
      </c>
      <c r="L339" s="248">
        <f t="shared" si="44"/>
        <v>24432</v>
      </c>
      <c r="M339" s="164">
        <v>17493.070144999998</v>
      </c>
      <c r="N339" s="190">
        <f t="shared" si="42"/>
        <v>17493.070144999998</v>
      </c>
      <c r="O339" s="264">
        <f t="shared" si="45"/>
        <v>652.25</v>
      </c>
      <c r="P339" s="264">
        <f t="shared" si="45"/>
        <v>0</v>
      </c>
      <c r="Q339" s="166">
        <v>4200</v>
      </c>
      <c r="R339" s="166">
        <v>1161</v>
      </c>
      <c r="S339" s="182">
        <f t="shared" si="43"/>
        <v>0</v>
      </c>
      <c r="T339" s="339">
        <v>0.39848535523609963</v>
      </c>
    </row>
    <row r="340" spans="1:20" x14ac:dyDescent="0.2">
      <c r="A340" s="153">
        <v>2029</v>
      </c>
      <c r="B340" s="153">
        <v>3</v>
      </c>
      <c r="D340" s="173">
        <v>13.438223433107826</v>
      </c>
      <c r="E340" s="281">
        <f t="shared" si="39"/>
        <v>14.425185392800376</v>
      </c>
      <c r="F340" s="173"/>
      <c r="G340" s="173">
        <v>30.43</v>
      </c>
      <c r="H340" s="154">
        <v>138.06985766</v>
      </c>
      <c r="I340" s="190">
        <f t="shared" si="40"/>
        <v>138.06985766</v>
      </c>
      <c r="J340" s="190">
        <f t="shared" si="41"/>
        <v>55.018816277042809</v>
      </c>
      <c r="K340" s="246">
        <v>24479</v>
      </c>
      <c r="L340" s="248">
        <f t="shared" si="44"/>
        <v>24431</v>
      </c>
      <c r="M340" s="164">
        <v>17493.070144999998</v>
      </c>
      <c r="N340" s="190">
        <f t="shared" si="42"/>
        <v>17493.070144999998</v>
      </c>
      <c r="O340" s="264">
        <f t="shared" si="45"/>
        <v>489.25</v>
      </c>
      <c r="P340" s="264">
        <f t="shared" si="45"/>
        <v>0</v>
      </c>
      <c r="Q340" s="166">
        <v>4200</v>
      </c>
      <c r="R340" s="166">
        <v>1161</v>
      </c>
      <c r="S340" s="182">
        <f t="shared" si="43"/>
        <v>0</v>
      </c>
      <c r="T340" s="339">
        <v>0.39848535523609963</v>
      </c>
    </row>
    <row r="341" spans="1:20" x14ac:dyDescent="0.2">
      <c r="A341" s="153">
        <v>2029</v>
      </c>
      <c r="B341" s="153">
        <v>4</v>
      </c>
      <c r="D341" s="173">
        <v>13.438223433107826</v>
      </c>
      <c r="E341" s="281">
        <f t="shared" si="39"/>
        <v>14.425185392800376</v>
      </c>
      <c r="F341" s="173"/>
      <c r="G341" s="173">
        <v>30.71</v>
      </c>
      <c r="H341" s="154">
        <v>138.06985766</v>
      </c>
      <c r="I341" s="190">
        <f t="shared" si="40"/>
        <v>138.06985766</v>
      </c>
      <c r="J341" s="190">
        <f t="shared" si="41"/>
        <v>55.032353524281739</v>
      </c>
      <c r="K341" s="246">
        <v>24476</v>
      </c>
      <c r="L341" s="248">
        <f t="shared" si="44"/>
        <v>24430</v>
      </c>
      <c r="M341" s="164">
        <v>17493.070144999998</v>
      </c>
      <c r="N341" s="190">
        <f t="shared" si="42"/>
        <v>17493.070144999998</v>
      </c>
      <c r="O341" s="264">
        <f t="shared" si="45"/>
        <v>184.25</v>
      </c>
      <c r="P341" s="264">
        <f t="shared" si="45"/>
        <v>27.25</v>
      </c>
      <c r="Q341" s="166">
        <v>4200</v>
      </c>
      <c r="R341" s="166">
        <v>1161</v>
      </c>
      <c r="S341" s="182">
        <f t="shared" si="43"/>
        <v>0</v>
      </c>
      <c r="T341" s="339">
        <v>0.39858340159805261</v>
      </c>
    </row>
    <row r="342" spans="1:20" x14ac:dyDescent="0.2">
      <c r="A342" s="153">
        <v>2029</v>
      </c>
      <c r="B342" s="153">
        <v>5</v>
      </c>
      <c r="D342" s="173">
        <v>13.438223433107826</v>
      </c>
      <c r="E342" s="281">
        <f t="shared" si="39"/>
        <v>14.425185392800376</v>
      </c>
      <c r="F342" s="173"/>
      <c r="G342" s="173">
        <v>29.52</v>
      </c>
      <c r="H342" s="154">
        <v>138.06985766</v>
      </c>
      <c r="I342" s="190">
        <f t="shared" si="40"/>
        <v>138.06985766</v>
      </c>
      <c r="J342" s="190">
        <f t="shared" si="41"/>
        <v>55.032353524281739</v>
      </c>
      <c r="K342" s="246">
        <v>24473</v>
      </c>
      <c r="L342" s="248">
        <f t="shared" si="44"/>
        <v>24429</v>
      </c>
      <c r="M342" s="164">
        <v>17493.070144999998</v>
      </c>
      <c r="N342" s="190">
        <f t="shared" si="42"/>
        <v>17493.070144999998</v>
      </c>
      <c r="O342" s="264">
        <f t="shared" si="45"/>
        <v>70</v>
      </c>
      <c r="P342" s="264">
        <f t="shared" si="45"/>
        <v>138.5</v>
      </c>
      <c r="Q342" s="166">
        <v>4200</v>
      </c>
      <c r="R342" s="166">
        <v>1161</v>
      </c>
      <c r="S342" s="182">
        <f t="shared" si="43"/>
        <v>0</v>
      </c>
      <c r="T342" s="339">
        <v>0.39858340159805261</v>
      </c>
    </row>
    <row r="343" spans="1:20" x14ac:dyDescent="0.2">
      <c r="A343" s="153">
        <v>2029</v>
      </c>
      <c r="B343" s="153">
        <v>6</v>
      </c>
      <c r="D343" s="173">
        <v>13.438223433107826</v>
      </c>
      <c r="E343" s="281">
        <f t="shared" si="39"/>
        <v>14.425185392800376</v>
      </c>
      <c r="F343" s="173"/>
      <c r="G343" s="173">
        <v>30.62</v>
      </c>
      <c r="H343" s="154">
        <v>138.06985766</v>
      </c>
      <c r="I343" s="190">
        <f t="shared" si="40"/>
        <v>138.06985766</v>
      </c>
      <c r="J343" s="190">
        <f t="shared" si="41"/>
        <v>55.032353524281739</v>
      </c>
      <c r="K343" s="246">
        <v>24470</v>
      </c>
      <c r="L343" s="248">
        <f t="shared" si="44"/>
        <v>24428</v>
      </c>
      <c r="M343" s="164">
        <v>17493.070144999998</v>
      </c>
      <c r="N343" s="190">
        <f t="shared" si="42"/>
        <v>17493.070144999998</v>
      </c>
      <c r="O343" s="264">
        <f t="shared" si="45"/>
        <v>1.25</v>
      </c>
      <c r="P343" s="264">
        <f t="shared" si="45"/>
        <v>239.5</v>
      </c>
      <c r="Q343" s="166">
        <v>4200</v>
      </c>
      <c r="R343" s="166">
        <v>1161</v>
      </c>
      <c r="S343" s="182">
        <f t="shared" si="43"/>
        <v>0</v>
      </c>
      <c r="T343" s="339">
        <v>0.39858340159805261</v>
      </c>
    </row>
    <row r="344" spans="1:20" x14ac:dyDescent="0.2">
      <c r="A344" s="153">
        <v>2029</v>
      </c>
      <c r="B344" s="153">
        <v>7</v>
      </c>
      <c r="D344" s="173">
        <v>13.438223433107826</v>
      </c>
      <c r="E344" s="281">
        <f t="shared" si="39"/>
        <v>14.425185392800376</v>
      </c>
      <c r="F344" s="173"/>
      <c r="G344" s="173">
        <v>30.76</v>
      </c>
      <c r="H344" s="154">
        <v>138.06985766</v>
      </c>
      <c r="I344" s="190">
        <f t="shared" si="40"/>
        <v>138.06985766</v>
      </c>
      <c r="J344" s="190">
        <f t="shared" si="41"/>
        <v>55.045072408459021</v>
      </c>
      <c r="K344" s="246">
        <v>24467</v>
      </c>
      <c r="L344" s="248">
        <f t="shared" si="44"/>
        <v>24427</v>
      </c>
      <c r="M344" s="164">
        <v>17493.070144999998</v>
      </c>
      <c r="N344" s="190">
        <f t="shared" si="42"/>
        <v>17493.070144999998</v>
      </c>
      <c r="O344" s="264">
        <f t="shared" si="45"/>
        <v>0</v>
      </c>
      <c r="P344" s="264">
        <f t="shared" si="45"/>
        <v>391</v>
      </c>
      <c r="Q344" s="166">
        <v>4200</v>
      </c>
      <c r="R344" s="166">
        <v>1161</v>
      </c>
      <c r="S344" s="182">
        <f t="shared" si="43"/>
        <v>0</v>
      </c>
      <c r="T344" s="339">
        <v>0.39867552079331248</v>
      </c>
    </row>
    <row r="345" spans="1:20" x14ac:dyDescent="0.2">
      <c r="A345" s="153">
        <v>2029</v>
      </c>
      <c r="B345" s="153">
        <v>8</v>
      </c>
      <c r="D345" s="173">
        <v>13.438223433107826</v>
      </c>
      <c r="E345" s="281">
        <f t="shared" si="39"/>
        <v>14.425185392800376</v>
      </c>
      <c r="F345" s="173"/>
      <c r="G345" s="173">
        <v>29.48</v>
      </c>
      <c r="H345" s="154">
        <v>138.06985766</v>
      </c>
      <c r="I345" s="190">
        <f t="shared" si="40"/>
        <v>138.06985766</v>
      </c>
      <c r="J345" s="190">
        <f t="shared" si="41"/>
        <v>55.045072408459021</v>
      </c>
      <c r="K345" s="246">
        <v>24464</v>
      </c>
      <c r="L345" s="248">
        <f t="shared" si="44"/>
        <v>24426</v>
      </c>
      <c r="M345" s="164">
        <v>17493.070144999998</v>
      </c>
      <c r="N345" s="190">
        <f t="shared" si="42"/>
        <v>17493.070144999998</v>
      </c>
      <c r="O345" s="264">
        <f t="shared" si="45"/>
        <v>0</v>
      </c>
      <c r="P345" s="264">
        <f t="shared" si="45"/>
        <v>292.5</v>
      </c>
      <c r="Q345" s="166">
        <v>4200</v>
      </c>
      <c r="R345" s="166">
        <v>1161</v>
      </c>
      <c r="S345" s="182">
        <f t="shared" si="43"/>
        <v>0</v>
      </c>
      <c r="T345" s="339">
        <v>0.39867552079331248</v>
      </c>
    </row>
    <row r="346" spans="1:20" x14ac:dyDescent="0.2">
      <c r="A346" s="153">
        <v>2029</v>
      </c>
      <c r="B346" s="153">
        <v>9</v>
      </c>
      <c r="D346" s="173">
        <v>13.438223433107826</v>
      </c>
      <c r="E346" s="281">
        <f t="shared" si="39"/>
        <v>14.425185392800376</v>
      </c>
      <c r="F346" s="173"/>
      <c r="G346" s="173">
        <v>30.57</v>
      </c>
      <c r="H346" s="154">
        <v>138.06985766</v>
      </c>
      <c r="I346" s="190">
        <f t="shared" si="40"/>
        <v>138.06985766</v>
      </c>
      <c r="J346" s="190">
        <f t="shared" si="41"/>
        <v>55.045072408459021</v>
      </c>
      <c r="K346" s="246">
        <v>24461</v>
      </c>
      <c r="L346" s="248">
        <f t="shared" si="44"/>
        <v>24425</v>
      </c>
      <c r="M346" s="164">
        <v>17493.070144999998</v>
      </c>
      <c r="N346" s="190">
        <f t="shared" si="42"/>
        <v>17493.070144999998</v>
      </c>
      <c r="O346" s="264">
        <f t="shared" si="45"/>
        <v>43.5</v>
      </c>
      <c r="P346" s="264">
        <f t="shared" si="45"/>
        <v>138.5</v>
      </c>
      <c r="Q346" s="166">
        <v>4200</v>
      </c>
      <c r="R346" s="166">
        <v>1161</v>
      </c>
      <c r="S346" s="182">
        <f t="shared" si="43"/>
        <v>0</v>
      </c>
      <c r="T346" s="339">
        <v>0.39867552079331248</v>
      </c>
    </row>
    <row r="347" spans="1:20" x14ac:dyDescent="0.2">
      <c r="A347" s="153">
        <v>2029</v>
      </c>
      <c r="B347" s="153">
        <v>10</v>
      </c>
      <c r="D347" s="173">
        <v>13.438223433107826</v>
      </c>
      <c r="E347" s="281">
        <f t="shared" si="39"/>
        <v>14.425185392800376</v>
      </c>
      <c r="F347" s="173"/>
      <c r="G347" s="173">
        <v>29.67</v>
      </c>
      <c r="H347" s="154">
        <v>138.06985766</v>
      </c>
      <c r="I347" s="190">
        <f t="shared" si="40"/>
        <v>138.06985766</v>
      </c>
      <c r="J347" s="190">
        <f t="shared" si="41"/>
        <v>55.058459509184331</v>
      </c>
      <c r="K347" s="246">
        <v>24458</v>
      </c>
      <c r="L347" s="248">
        <f t="shared" si="44"/>
        <v>24424</v>
      </c>
      <c r="M347" s="164">
        <v>17493.070144999998</v>
      </c>
      <c r="N347" s="190">
        <f t="shared" si="42"/>
        <v>17493.070144999998</v>
      </c>
      <c r="O347" s="264">
        <f t="shared" si="45"/>
        <v>259.5</v>
      </c>
      <c r="P347" s="264">
        <f t="shared" si="45"/>
        <v>8</v>
      </c>
      <c r="Q347" s="166">
        <v>4200</v>
      </c>
      <c r="R347" s="166">
        <v>1161</v>
      </c>
      <c r="S347" s="182">
        <f t="shared" si="43"/>
        <v>0</v>
      </c>
      <c r="T347" s="339">
        <v>0.3987724796875432</v>
      </c>
    </row>
    <row r="348" spans="1:20" x14ac:dyDescent="0.2">
      <c r="A348" s="153">
        <v>2029</v>
      </c>
      <c r="B348" s="153">
        <v>11</v>
      </c>
      <c r="D348" s="173">
        <v>13.438223433107826</v>
      </c>
      <c r="E348" s="281">
        <f t="shared" si="39"/>
        <v>14.425185392800376</v>
      </c>
      <c r="F348" s="173"/>
      <c r="G348" s="173">
        <v>29.95</v>
      </c>
      <c r="H348" s="154">
        <v>138.06985766</v>
      </c>
      <c r="I348" s="190">
        <f t="shared" si="40"/>
        <v>138.06985766</v>
      </c>
      <c r="J348" s="190">
        <f t="shared" si="41"/>
        <v>55.058459509184331</v>
      </c>
      <c r="K348" s="246">
        <v>24455</v>
      </c>
      <c r="L348" s="248">
        <f t="shared" si="44"/>
        <v>24423</v>
      </c>
      <c r="M348" s="164">
        <v>17493.070144999998</v>
      </c>
      <c r="N348" s="190">
        <f t="shared" si="42"/>
        <v>17493.070144999998</v>
      </c>
      <c r="O348" s="264">
        <f t="shared" si="45"/>
        <v>529.75</v>
      </c>
      <c r="P348" s="264">
        <f t="shared" si="45"/>
        <v>1</v>
      </c>
      <c r="Q348" s="166">
        <v>4200</v>
      </c>
      <c r="R348" s="166">
        <v>1161</v>
      </c>
      <c r="S348" s="182">
        <f t="shared" si="43"/>
        <v>0</v>
      </c>
      <c r="T348" s="339">
        <v>0.3987724796875432</v>
      </c>
    </row>
    <row r="349" spans="1:20" x14ac:dyDescent="0.2">
      <c r="A349" s="153">
        <v>2029</v>
      </c>
      <c r="B349" s="153">
        <v>12</v>
      </c>
      <c r="D349" s="173">
        <v>13.438223433107826</v>
      </c>
      <c r="E349" s="281">
        <f t="shared" si="39"/>
        <v>14.425185392800376</v>
      </c>
      <c r="F349" s="173"/>
      <c r="G349" s="173">
        <v>31.1</v>
      </c>
      <c r="H349" s="154">
        <v>138.06985766</v>
      </c>
      <c r="I349" s="190">
        <f t="shared" si="40"/>
        <v>138.06985766</v>
      </c>
      <c r="J349" s="190">
        <f t="shared" si="41"/>
        <v>55.058459509184331</v>
      </c>
      <c r="K349" s="246">
        <v>24452</v>
      </c>
      <c r="L349" s="248">
        <f t="shared" si="44"/>
        <v>24422</v>
      </c>
      <c r="M349" s="164">
        <v>17493.070144999998</v>
      </c>
      <c r="N349" s="190">
        <f t="shared" si="42"/>
        <v>17493.070144999998</v>
      </c>
      <c r="O349" s="264">
        <f t="shared" si="45"/>
        <v>719</v>
      </c>
      <c r="P349" s="264">
        <f t="shared" si="45"/>
        <v>0</v>
      </c>
      <c r="Q349" s="166">
        <v>4200</v>
      </c>
      <c r="R349" s="166">
        <v>1161</v>
      </c>
      <c r="S349" s="182">
        <f t="shared" si="43"/>
        <v>0</v>
      </c>
      <c r="T349" s="339">
        <v>0.3987724796875432</v>
      </c>
    </row>
    <row r="350" spans="1:20" x14ac:dyDescent="0.2">
      <c r="A350" s="153">
        <v>2030</v>
      </c>
      <c r="B350" s="153">
        <v>1</v>
      </c>
      <c r="D350" s="173">
        <v>13.77417901893552</v>
      </c>
      <c r="E350" s="281">
        <f t="shared" si="39"/>
        <v>14.713689100656383</v>
      </c>
      <c r="F350" s="173"/>
      <c r="G350" s="173">
        <v>32.71</v>
      </c>
      <c r="H350" s="154">
        <v>138.31084708999998</v>
      </c>
      <c r="I350" s="190">
        <f t="shared" si="40"/>
        <v>138.31084708999998</v>
      </c>
      <c r="J350" s="190">
        <f t="shared" si="41"/>
        <v>55.16956846813266</v>
      </c>
      <c r="K350" s="246">
        <v>24449</v>
      </c>
      <c r="L350" s="248">
        <f t="shared" si="44"/>
        <v>24421</v>
      </c>
      <c r="M350" s="164">
        <v>18224.57157</v>
      </c>
      <c r="N350" s="190">
        <f t="shared" si="42"/>
        <v>18224.57157</v>
      </c>
      <c r="O350" s="264">
        <f t="shared" si="45"/>
        <v>903.25</v>
      </c>
      <c r="P350" s="264">
        <f t="shared" si="45"/>
        <v>0</v>
      </c>
      <c r="Q350" s="166">
        <v>4200</v>
      </c>
      <c r="R350" s="166">
        <v>1161</v>
      </c>
      <c r="S350" s="182">
        <f t="shared" si="43"/>
        <v>0</v>
      </c>
      <c r="T350" s="339">
        <v>0.39888099616824252</v>
      </c>
    </row>
    <row r="351" spans="1:20" x14ac:dyDescent="0.2">
      <c r="A351" s="153">
        <v>2030</v>
      </c>
      <c r="B351" s="153">
        <v>2</v>
      </c>
      <c r="D351" s="173">
        <v>13.77417901893552</v>
      </c>
      <c r="E351" s="281">
        <f t="shared" si="39"/>
        <v>14.713689100656383</v>
      </c>
      <c r="F351" s="173"/>
      <c r="G351" s="173">
        <v>29.9</v>
      </c>
      <c r="H351" s="154">
        <v>138.31084708999998</v>
      </c>
      <c r="I351" s="190">
        <f t="shared" si="40"/>
        <v>138.31084708999998</v>
      </c>
      <c r="J351" s="190">
        <f t="shared" si="41"/>
        <v>55.16956846813266</v>
      </c>
      <c r="K351" s="246">
        <v>24446</v>
      </c>
      <c r="L351" s="248">
        <f t="shared" si="44"/>
        <v>24420</v>
      </c>
      <c r="M351" s="164">
        <v>18224.57157</v>
      </c>
      <c r="N351" s="190">
        <f t="shared" si="42"/>
        <v>18224.57157</v>
      </c>
      <c r="O351" s="264">
        <f t="shared" ref="O351:P366" si="46">O339</f>
        <v>652.25</v>
      </c>
      <c r="P351" s="264">
        <f t="shared" si="46"/>
        <v>0</v>
      </c>
      <c r="Q351" s="166">
        <v>4200</v>
      </c>
      <c r="R351" s="166">
        <v>1161</v>
      </c>
      <c r="S351" s="182">
        <f t="shared" si="43"/>
        <v>0</v>
      </c>
      <c r="T351" s="339">
        <v>0.39888099616824252</v>
      </c>
    </row>
    <row r="352" spans="1:20" x14ac:dyDescent="0.2">
      <c r="A352" s="153">
        <v>2030</v>
      </c>
      <c r="B352" s="153">
        <v>3</v>
      </c>
      <c r="D352" s="173">
        <v>13.77417901893552</v>
      </c>
      <c r="E352" s="281">
        <f t="shared" si="39"/>
        <v>14.713689100656383</v>
      </c>
      <c r="F352" s="173"/>
      <c r="G352" s="173">
        <v>30.33</v>
      </c>
      <c r="H352" s="154">
        <v>138.31084708999998</v>
      </c>
      <c r="I352" s="190">
        <f t="shared" si="40"/>
        <v>138.31084708999998</v>
      </c>
      <c r="J352" s="190">
        <f t="shared" si="41"/>
        <v>55.16956846813266</v>
      </c>
      <c r="K352" s="246">
        <v>24443</v>
      </c>
      <c r="L352" s="248">
        <f t="shared" si="44"/>
        <v>24419</v>
      </c>
      <c r="M352" s="164">
        <v>18224.57157</v>
      </c>
      <c r="N352" s="190">
        <f t="shared" si="42"/>
        <v>18224.57157</v>
      </c>
      <c r="O352" s="264">
        <f t="shared" si="46"/>
        <v>489.25</v>
      </c>
      <c r="P352" s="264">
        <f t="shared" si="46"/>
        <v>0</v>
      </c>
      <c r="Q352" s="166">
        <v>4200</v>
      </c>
      <c r="R352" s="166">
        <v>1161</v>
      </c>
      <c r="S352" s="182">
        <f t="shared" si="43"/>
        <v>0</v>
      </c>
      <c r="T352" s="339">
        <v>0.39888099616824252</v>
      </c>
    </row>
    <row r="353" spans="1:20" x14ac:dyDescent="0.2">
      <c r="A353" s="153">
        <v>2030</v>
      </c>
      <c r="B353" s="153">
        <v>4</v>
      </c>
      <c r="D353" s="173">
        <v>13.77417901893552</v>
      </c>
      <c r="E353" s="281">
        <f t="shared" si="39"/>
        <v>14.713689100656383</v>
      </c>
      <c r="F353" s="173"/>
      <c r="G353" s="173">
        <v>29.95</v>
      </c>
      <c r="H353" s="154">
        <v>138.31084708999998</v>
      </c>
      <c r="I353" s="190">
        <f t="shared" si="40"/>
        <v>138.31084708999998</v>
      </c>
      <c r="J353" s="190">
        <f t="shared" si="41"/>
        <v>55.186642518658857</v>
      </c>
      <c r="K353" s="246">
        <v>24440</v>
      </c>
      <c r="L353" s="248">
        <f t="shared" si="44"/>
        <v>24418</v>
      </c>
      <c r="M353" s="164">
        <v>18224.57157</v>
      </c>
      <c r="N353" s="190">
        <f t="shared" si="42"/>
        <v>18224.57157</v>
      </c>
      <c r="O353" s="264">
        <f t="shared" si="46"/>
        <v>184.25</v>
      </c>
      <c r="P353" s="264">
        <f t="shared" si="46"/>
        <v>27.25</v>
      </c>
      <c r="Q353" s="166">
        <v>4200</v>
      </c>
      <c r="R353" s="166">
        <v>1161</v>
      </c>
      <c r="S353" s="182">
        <f t="shared" si="43"/>
        <v>0</v>
      </c>
      <c r="T353" s="339">
        <v>0.39900444310595873</v>
      </c>
    </row>
    <row r="354" spans="1:20" x14ac:dyDescent="0.2">
      <c r="A354" s="153">
        <v>2030</v>
      </c>
      <c r="B354" s="153">
        <v>5</v>
      </c>
      <c r="D354" s="173">
        <v>13.77417901893552</v>
      </c>
      <c r="E354" s="281">
        <f t="shared" si="39"/>
        <v>14.713689100656383</v>
      </c>
      <c r="F354" s="173"/>
      <c r="G354" s="173">
        <v>30.38</v>
      </c>
      <c r="H354" s="154">
        <v>138.31084708999998</v>
      </c>
      <c r="I354" s="190">
        <f t="shared" si="40"/>
        <v>138.31084708999998</v>
      </c>
      <c r="J354" s="190">
        <f t="shared" si="41"/>
        <v>55.186642518658857</v>
      </c>
      <c r="K354" s="246">
        <v>24437</v>
      </c>
      <c r="L354" s="248">
        <f t="shared" si="44"/>
        <v>24417</v>
      </c>
      <c r="M354" s="164">
        <v>18224.57157</v>
      </c>
      <c r="N354" s="190">
        <f t="shared" si="42"/>
        <v>18224.57157</v>
      </c>
      <c r="O354" s="264">
        <f t="shared" si="46"/>
        <v>70</v>
      </c>
      <c r="P354" s="264">
        <f t="shared" si="46"/>
        <v>138.5</v>
      </c>
      <c r="Q354" s="166">
        <v>4200</v>
      </c>
      <c r="R354" s="166">
        <v>1161</v>
      </c>
      <c r="S354" s="182">
        <f t="shared" si="43"/>
        <v>0</v>
      </c>
      <c r="T354" s="339">
        <v>0.39900444310595873</v>
      </c>
    </row>
    <row r="355" spans="1:20" x14ac:dyDescent="0.2">
      <c r="A355" s="153">
        <v>2030</v>
      </c>
      <c r="B355" s="153">
        <v>6</v>
      </c>
      <c r="D355" s="173">
        <v>13.77417901893552</v>
      </c>
      <c r="E355" s="281">
        <f t="shared" si="39"/>
        <v>14.713689100656383</v>
      </c>
      <c r="F355" s="173"/>
      <c r="G355" s="173">
        <v>30.67</v>
      </c>
      <c r="H355" s="154">
        <v>138.31084708999998</v>
      </c>
      <c r="I355" s="190">
        <f t="shared" si="40"/>
        <v>138.31084708999998</v>
      </c>
      <c r="J355" s="190">
        <f t="shared" si="41"/>
        <v>55.186642518658857</v>
      </c>
      <c r="K355" s="246">
        <v>24434</v>
      </c>
      <c r="L355" s="248">
        <f t="shared" si="44"/>
        <v>24416</v>
      </c>
      <c r="M355" s="164">
        <v>18224.57157</v>
      </c>
      <c r="N355" s="190">
        <f t="shared" si="42"/>
        <v>18224.57157</v>
      </c>
      <c r="O355" s="264">
        <f t="shared" si="46"/>
        <v>1.25</v>
      </c>
      <c r="P355" s="264">
        <f t="shared" si="46"/>
        <v>239.5</v>
      </c>
      <c r="Q355" s="166">
        <v>4200</v>
      </c>
      <c r="R355" s="166">
        <v>1161</v>
      </c>
      <c r="S355" s="182">
        <f t="shared" si="43"/>
        <v>0</v>
      </c>
      <c r="T355" s="339">
        <v>0.39900444310595873</v>
      </c>
    </row>
    <row r="356" spans="1:20" x14ac:dyDescent="0.2">
      <c r="A356" s="153">
        <v>2030</v>
      </c>
      <c r="B356" s="153">
        <v>7</v>
      </c>
      <c r="D356" s="173">
        <v>13.77417901893552</v>
      </c>
      <c r="E356" s="281">
        <f t="shared" si="39"/>
        <v>14.713689100656383</v>
      </c>
      <c r="F356" s="173"/>
      <c r="G356" s="173">
        <v>30.67</v>
      </c>
      <c r="H356" s="154">
        <v>138.31084708999998</v>
      </c>
      <c r="I356" s="190">
        <f t="shared" si="40"/>
        <v>138.31084708999998</v>
      </c>
      <c r="J356" s="190">
        <f t="shared" si="41"/>
        <v>55.20332618639673</v>
      </c>
      <c r="K356" s="246">
        <v>24431</v>
      </c>
      <c r="L356" s="248">
        <f t="shared" si="44"/>
        <v>24415</v>
      </c>
      <c r="M356" s="164">
        <v>18224.57157</v>
      </c>
      <c r="N356" s="190">
        <f t="shared" si="42"/>
        <v>18224.57157</v>
      </c>
      <c r="O356" s="264">
        <f t="shared" si="46"/>
        <v>0</v>
      </c>
      <c r="P356" s="264">
        <f t="shared" si="46"/>
        <v>391</v>
      </c>
      <c r="Q356" s="166">
        <v>4200</v>
      </c>
      <c r="R356" s="166">
        <v>1161</v>
      </c>
      <c r="S356" s="182">
        <f t="shared" si="43"/>
        <v>0</v>
      </c>
      <c r="T356" s="339">
        <v>0.39912506754062088</v>
      </c>
    </row>
    <row r="357" spans="1:20" x14ac:dyDescent="0.2">
      <c r="A357" s="153">
        <v>2030</v>
      </c>
      <c r="B357" s="153">
        <v>8</v>
      </c>
      <c r="D357" s="173">
        <v>13.77417901893552</v>
      </c>
      <c r="E357" s="281">
        <f t="shared" si="39"/>
        <v>14.713689100656383</v>
      </c>
      <c r="F357" s="173"/>
      <c r="G357" s="173">
        <v>29.48</v>
      </c>
      <c r="H357" s="154">
        <v>138.31084708999998</v>
      </c>
      <c r="I357" s="190">
        <f t="shared" si="40"/>
        <v>138.31084708999998</v>
      </c>
      <c r="J357" s="190">
        <f t="shared" si="41"/>
        <v>55.20332618639673</v>
      </c>
      <c r="K357" s="246">
        <v>24428</v>
      </c>
      <c r="L357" s="248">
        <f t="shared" si="44"/>
        <v>24414</v>
      </c>
      <c r="M357" s="164">
        <v>18224.57157</v>
      </c>
      <c r="N357" s="190">
        <f t="shared" si="42"/>
        <v>18224.57157</v>
      </c>
      <c r="O357" s="264">
        <f t="shared" si="46"/>
        <v>0</v>
      </c>
      <c r="P357" s="264">
        <f t="shared" si="46"/>
        <v>292.5</v>
      </c>
      <c r="Q357" s="166">
        <v>4200</v>
      </c>
      <c r="R357" s="166">
        <v>1161</v>
      </c>
      <c r="S357" s="182">
        <f t="shared" si="43"/>
        <v>0</v>
      </c>
      <c r="T357" s="339">
        <v>0.39912506754062088</v>
      </c>
    </row>
    <row r="358" spans="1:20" x14ac:dyDescent="0.2">
      <c r="A358" s="153">
        <v>2030</v>
      </c>
      <c r="B358" s="153">
        <v>9</v>
      </c>
      <c r="D358" s="173">
        <v>13.77417901893552</v>
      </c>
      <c r="E358" s="281">
        <f t="shared" si="39"/>
        <v>14.713689100656383</v>
      </c>
      <c r="F358" s="173"/>
      <c r="G358" s="173">
        <v>30.71</v>
      </c>
      <c r="H358" s="154">
        <v>138.31084708999998</v>
      </c>
      <c r="I358" s="190">
        <f t="shared" si="40"/>
        <v>138.31084708999998</v>
      </c>
      <c r="J358" s="190">
        <f t="shared" si="41"/>
        <v>55.20332618639673</v>
      </c>
      <c r="K358" s="246">
        <v>24425</v>
      </c>
      <c r="L358" s="248">
        <f t="shared" si="44"/>
        <v>24413</v>
      </c>
      <c r="M358" s="164">
        <v>18224.57157</v>
      </c>
      <c r="N358" s="190">
        <f t="shared" si="42"/>
        <v>18224.57157</v>
      </c>
      <c r="O358" s="264">
        <f t="shared" si="46"/>
        <v>43.5</v>
      </c>
      <c r="P358" s="264">
        <f t="shared" si="46"/>
        <v>138.5</v>
      </c>
      <c r="Q358" s="166">
        <v>4200</v>
      </c>
      <c r="R358" s="166">
        <v>1161</v>
      </c>
      <c r="S358" s="182">
        <f t="shared" si="43"/>
        <v>0</v>
      </c>
      <c r="T358" s="339">
        <v>0.39912506754062088</v>
      </c>
    </row>
    <row r="359" spans="1:20" x14ac:dyDescent="0.2">
      <c r="A359" s="153">
        <v>2030</v>
      </c>
      <c r="B359" s="153">
        <v>10</v>
      </c>
      <c r="D359" s="173">
        <v>13.77417901893552</v>
      </c>
      <c r="E359" s="281">
        <f t="shared" si="39"/>
        <v>14.713689100656383</v>
      </c>
      <c r="F359" s="173"/>
      <c r="G359" s="173">
        <v>29.52</v>
      </c>
      <c r="H359" s="154">
        <v>138.31084708999998</v>
      </c>
      <c r="I359" s="190">
        <f t="shared" si="40"/>
        <v>138.31084708999998</v>
      </c>
      <c r="J359" s="190">
        <f t="shared" si="41"/>
        <v>55.219310327328792</v>
      </c>
      <c r="K359" s="246">
        <v>24422</v>
      </c>
      <c r="L359" s="248">
        <f t="shared" si="44"/>
        <v>24412</v>
      </c>
      <c r="M359" s="164">
        <v>18224.57157</v>
      </c>
      <c r="N359" s="190">
        <f t="shared" si="42"/>
        <v>18224.57157</v>
      </c>
      <c r="O359" s="264">
        <f t="shared" si="46"/>
        <v>259.5</v>
      </c>
      <c r="P359" s="264">
        <f t="shared" si="46"/>
        <v>8</v>
      </c>
      <c r="Q359" s="166">
        <v>4200</v>
      </c>
      <c r="R359" s="166">
        <v>1161</v>
      </c>
      <c r="S359" s="182">
        <f t="shared" si="43"/>
        <v>0</v>
      </c>
      <c r="T359" s="339">
        <v>0.39924063433287443</v>
      </c>
    </row>
    <row r="360" spans="1:20" x14ac:dyDescent="0.2">
      <c r="A360" s="153">
        <v>2030</v>
      </c>
      <c r="B360" s="153">
        <v>11</v>
      </c>
      <c r="D360" s="173">
        <v>13.77417901893552</v>
      </c>
      <c r="E360" s="281">
        <f t="shared" si="39"/>
        <v>14.713689100656383</v>
      </c>
      <c r="F360" s="173"/>
      <c r="G360" s="173">
        <v>29.38</v>
      </c>
      <c r="H360" s="154">
        <v>138.31084708999998</v>
      </c>
      <c r="I360" s="190">
        <f t="shared" si="40"/>
        <v>138.31084708999998</v>
      </c>
      <c r="J360" s="190">
        <f t="shared" si="41"/>
        <v>55.219310327328792</v>
      </c>
      <c r="K360" s="246">
        <v>24419</v>
      </c>
      <c r="L360" s="248">
        <f t="shared" si="44"/>
        <v>24411</v>
      </c>
      <c r="M360" s="164">
        <v>18224.57157</v>
      </c>
      <c r="N360" s="190">
        <f t="shared" si="42"/>
        <v>18224.57157</v>
      </c>
      <c r="O360" s="264">
        <f t="shared" si="46"/>
        <v>529.75</v>
      </c>
      <c r="P360" s="264">
        <f t="shared" si="46"/>
        <v>1</v>
      </c>
      <c r="Q360" s="166">
        <v>4200</v>
      </c>
      <c r="R360" s="166">
        <v>1161</v>
      </c>
      <c r="S360" s="182">
        <f t="shared" si="43"/>
        <v>0</v>
      </c>
      <c r="T360" s="339">
        <v>0.39924063433287443</v>
      </c>
    </row>
    <row r="361" spans="1:20" x14ac:dyDescent="0.2">
      <c r="A361" s="153">
        <v>2030</v>
      </c>
      <c r="B361" s="153">
        <v>12</v>
      </c>
      <c r="D361" s="173">
        <v>13.77417901893552</v>
      </c>
      <c r="E361" s="281">
        <f t="shared" si="39"/>
        <v>14.713689100656383</v>
      </c>
      <c r="F361" s="173"/>
      <c r="G361" s="173">
        <v>32.049999999999997</v>
      </c>
      <c r="H361" s="154">
        <v>138.31084708999998</v>
      </c>
      <c r="I361" s="190">
        <f t="shared" si="40"/>
        <v>138.31084708999998</v>
      </c>
      <c r="J361" s="190">
        <f t="shared" si="41"/>
        <v>55.219310327328792</v>
      </c>
      <c r="K361" s="246">
        <v>24416</v>
      </c>
      <c r="L361" s="248">
        <f t="shared" si="44"/>
        <v>24410</v>
      </c>
      <c r="M361" s="164">
        <v>18224.57157</v>
      </c>
      <c r="N361" s="190">
        <f t="shared" si="42"/>
        <v>18224.57157</v>
      </c>
      <c r="O361" s="264">
        <f t="shared" si="46"/>
        <v>719</v>
      </c>
      <c r="P361" s="264">
        <f t="shared" si="46"/>
        <v>0</v>
      </c>
      <c r="Q361" s="166">
        <v>4200</v>
      </c>
      <c r="R361" s="166">
        <v>1161</v>
      </c>
      <c r="S361" s="182">
        <f t="shared" si="43"/>
        <v>0</v>
      </c>
      <c r="T361" s="339">
        <v>0.39924063433287443</v>
      </c>
    </row>
    <row r="362" spans="1:20" x14ac:dyDescent="0.2">
      <c r="A362" s="153">
        <v>2031</v>
      </c>
      <c r="B362" s="153">
        <v>1</v>
      </c>
      <c r="D362" s="173">
        <v>14.118533494408908</v>
      </c>
      <c r="E362" s="281">
        <f t="shared" si="39"/>
        <v>15.007962882669512</v>
      </c>
      <c r="F362" s="173"/>
      <c r="G362" s="173">
        <v>32.33</v>
      </c>
      <c r="H362" s="154">
        <v>138.52437333</v>
      </c>
      <c r="I362" s="190">
        <f t="shared" si="40"/>
        <v>138.52437333</v>
      </c>
      <c r="J362" s="190">
        <f t="shared" si="41"/>
        <v>55.319681793916921</v>
      </c>
      <c r="K362" s="246">
        <v>24413</v>
      </c>
      <c r="L362" s="248">
        <f t="shared" si="44"/>
        <v>24409</v>
      </c>
      <c r="M362" s="164">
        <v>18965.416546</v>
      </c>
      <c r="N362" s="190">
        <f t="shared" si="42"/>
        <v>18965.416546</v>
      </c>
      <c r="O362" s="264">
        <f t="shared" si="46"/>
        <v>903.25</v>
      </c>
      <c r="P362" s="264">
        <f t="shared" si="46"/>
        <v>0</v>
      </c>
      <c r="Q362" s="166">
        <v>4200</v>
      </c>
      <c r="R362" s="166">
        <v>1161</v>
      </c>
      <c r="S362" s="182">
        <f t="shared" si="43"/>
        <v>0</v>
      </c>
      <c r="T362" s="339">
        <v>0.3993498072872092</v>
      </c>
    </row>
    <row r="363" spans="1:20" x14ac:dyDescent="0.2">
      <c r="A363" s="153">
        <v>2031</v>
      </c>
      <c r="B363" s="153">
        <v>2</v>
      </c>
      <c r="D363" s="173">
        <v>14.118533494408908</v>
      </c>
      <c r="E363" s="281">
        <f t="shared" si="39"/>
        <v>15.007962882669512</v>
      </c>
      <c r="F363" s="173"/>
      <c r="G363" s="173">
        <v>30.05</v>
      </c>
      <c r="H363" s="154">
        <v>138.52437333</v>
      </c>
      <c r="I363" s="190">
        <f t="shared" si="40"/>
        <v>138.52437333</v>
      </c>
      <c r="J363" s="190">
        <f t="shared" si="41"/>
        <v>55.319681793916921</v>
      </c>
      <c r="K363" s="246">
        <v>24410</v>
      </c>
      <c r="L363" s="248">
        <f t="shared" si="44"/>
        <v>24408</v>
      </c>
      <c r="M363" s="164">
        <v>18965.416546</v>
      </c>
      <c r="N363" s="190">
        <f t="shared" si="42"/>
        <v>18965.416546</v>
      </c>
      <c r="O363" s="264">
        <f t="shared" si="46"/>
        <v>652.25</v>
      </c>
      <c r="P363" s="264">
        <f t="shared" si="46"/>
        <v>0</v>
      </c>
      <c r="Q363" s="166">
        <v>4200</v>
      </c>
      <c r="R363" s="166">
        <v>1161</v>
      </c>
      <c r="S363" s="182">
        <f t="shared" si="43"/>
        <v>0</v>
      </c>
      <c r="T363" s="339">
        <v>0.3993498072872092</v>
      </c>
    </row>
    <row r="364" spans="1:20" x14ac:dyDescent="0.2">
      <c r="A364" s="153">
        <v>2031</v>
      </c>
      <c r="B364" s="153">
        <v>3</v>
      </c>
      <c r="D364" s="173">
        <v>14.118533494408908</v>
      </c>
      <c r="E364" s="281">
        <f t="shared" si="39"/>
        <v>15.007962882669512</v>
      </c>
      <c r="F364" s="173"/>
      <c r="G364" s="173">
        <v>30.19</v>
      </c>
      <c r="H364" s="154">
        <v>138.52437333</v>
      </c>
      <c r="I364" s="190">
        <f t="shared" si="40"/>
        <v>138.52437333</v>
      </c>
      <c r="J364" s="190">
        <f t="shared" si="41"/>
        <v>55.319681793916921</v>
      </c>
      <c r="K364" s="246">
        <v>24407</v>
      </c>
      <c r="L364" s="248">
        <f t="shared" si="44"/>
        <v>24407</v>
      </c>
      <c r="M364" s="164">
        <v>18965.416546</v>
      </c>
      <c r="N364" s="190">
        <f t="shared" si="42"/>
        <v>18965.416546</v>
      </c>
      <c r="O364" s="264">
        <f t="shared" si="46"/>
        <v>489.25</v>
      </c>
      <c r="P364" s="264">
        <f t="shared" si="46"/>
        <v>0</v>
      </c>
      <c r="Q364" s="166">
        <v>4200</v>
      </c>
      <c r="R364" s="166">
        <v>1161</v>
      </c>
      <c r="S364" s="182">
        <f t="shared" si="43"/>
        <v>0</v>
      </c>
      <c r="T364" s="339">
        <v>0.3993498072872092</v>
      </c>
    </row>
    <row r="365" spans="1:20" x14ac:dyDescent="0.2">
      <c r="A365" s="153">
        <v>2031</v>
      </c>
      <c r="B365" s="153">
        <v>4</v>
      </c>
      <c r="D365" s="173">
        <v>14.118533494408908</v>
      </c>
      <c r="E365" s="281">
        <f t="shared" si="39"/>
        <v>15.007962882669512</v>
      </c>
      <c r="F365" s="173"/>
      <c r="G365" s="173">
        <v>30.33</v>
      </c>
      <c r="H365" s="154">
        <v>138.52437333</v>
      </c>
      <c r="I365" s="190">
        <f t="shared" si="40"/>
        <v>138.52437333</v>
      </c>
      <c r="J365" s="190">
        <f t="shared" si="41"/>
        <v>55.334705201336135</v>
      </c>
      <c r="K365" s="246">
        <v>24404</v>
      </c>
      <c r="L365" s="248">
        <f t="shared" si="44"/>
        <v>24406</v>
      </c>
      <c r="M365" s="164">
        <v>18965.416546</v>
      </c>
      <c r="N365" s="190">
        <f t="shared" si="42"/>
        <v>18965.416546</v>
      </c>
      <c r="O365" s="264">
        <f t="shared" si="46"/>
        <v>184.25</v>
      </c>
      <c r="P365" s="264">
        <f t="shared" si="46"/>
        <v>27.25</v>
      </c>
      <c r="Q365" s="166">
        <v>4200</v>
      </c>
      <c r="R365" s="166">
        <v>1161</v>
      </c>
      <c r="S365" s="182">
        <f t="shared" si="43"/>
        <v>0</v>
      </c>
      <c r="T365" s="339">
        <v>0.39945826045727639</v>
      </c>
    </row>
    <row r="366" spans="1:20" x14ac:dyDescent="0.2">
      <c r="A366" s="153">
        <v>2031</v>
      </c>
      <c r="B366" s="153">
        <v>5</v>
      </c>
      <c r="D366" s="173">
        <v>14.118533494408908</v>
      </c>
      <c r="E366" s="281">
        <f t="shared" si="39"/>
        <v>15.007962882669512</v>
      </c>
      <c r="F366" s="173"/>
      <c r="G366" s="173">
        <v>30.14</v>
      </c>
      <c r="H366" s="154">
        <v>138.52437333</v>
      </c>
      <c r="I366" s="190">
        <f t="shared" si="40"/>
        <v>138.52437333</v>
      </c>
      <c r="J366" s="190">
        <f t="shared" si="41"/>
        <v>55.334705201336135</v>
      </c>
      <c r="K366" s="246">
        <v>24401</v>
      </c>
      <c r="L366" s="248">
        <f t="shared" si="44"/>
        <v>24405</v>
      </c>
      <c r="M366" s="164">
        <v>18965.416546</v>
      </c>
      <c r="N366" s="190">
        <f t="shared" si="42"/>
        <v>18965.416546</v>
      </c>
      <c r="O366" s="264">
        <f t="shared" si="46"/>
        <v>70</v>
      </c>
      <c r="P366" s="264">
        <f t="shared" si="46"/>
        <v>138.5</v>
      </c>
      <c r="Q366" s="166">
        <v>4200</v>
      </c>
      <c r="R366" s="166">
        <v>1161</v>
      </c>
      <c r="S366" s="182">
        <f t="shared" si="43"/>
        <v>0</v>
      </c>
      <c r="T366" s="339">
        <v>0.39945826045727639</v>
      </c>
    </row>
    <row r="367" spans="1:20" x14ac:dyDescent="0.2">
      <c r="A367" s="153">
        <v>2031</v>
      </c>
      <c r="B367" s="153">
        <v>6</v>
      </c>
      <c r="D367" s="173">
        <v>14.118533494408908</v>
      </c>
      <c r="E367" s="281">
        <f t="shared" si="39"/>
        <v>15.007962882669512</v>
      </c>
      <c r="F367" s="173"/>
      <c r="G367" s="173">
        <v>30.52</v>
      </c>
      <c r="H367" s="154">
        <v>138.52437333</v>
      </c>
      <c r="I367" s="190">
        <f t="shared" si="40"/>
        <v>138.52437333</v>
      </c>
      <c r="J367" s="190">
        <f t="shared" si="41"/>
        <v>55.334705201336135</v>
      </c>
      <c r="K367" s="246">
        <v>24398</v>
      </c>
      <c r="L367" s="248">
        <f t="shared" si="44"/>
        <v>24404</v>
      </c>
      <c r="M367" s="164">
        <v>18965.416546</v>
      </c>
      <c r="N367" s="190">
        <f t="shared" si="42"/>
        <v>18965.416546</v>
      </c>
      <c r="O367" s="264">
        <f t="shared" ref="O367:P382" si="47">O355</f>
        <v>1.25</v>
      </c>
      <c r="P367" s="264">
        <f t="shared" si="47"/>
        <v>239.5</v>
      </c>
      <c r="Q367" s="166">
        <v>4200</v>
      </c>
      <c r="R367" s="166">
        <v>1161</v>
      </c>
      <c r="S367" s="182">
        <f t="shared" si="43"/>
        <v>0</v>
      </c>
      <c r="T367" s="339">
        <v>0.39945826045727639</v>
      </c>
    </row>
    <row r="368" spans="1:20" x14ac:dyDescent="0.2">
      <c r="A368" s="153">
        <v>2031</v>
      </c>
      <c r="B368" s="153">
        <v>7</v>
      </c>
      <c r="D368" s="173">
        <v>14.118533494408908</v>
      </c>
      <c r="E368" s="281">
        <f t="shared" si="39"/>
        <v>15.007962882669512</v>
      </c>
      <c r="F368" s="173"/>
      <c r="G368" s="173">
        <v>30.67</v>
      </c>
      <c r="H368" s="154">
        <v>138.52437333</v>
      </c>
      <c r="I368" s="190">
        <f t="shared" si="40"/>
        <v>138.52437333</v>
      </c>
      <c r="J368" s="190">
        <f t="shared" si="41"/>
        <v>55.349275385173193</v>
      </c>
      <c r="K368" s="246">
        <v>24395</v>
      </c>
      <c r="L368" s="248">
        <f t="shared" si="44"/>
        <v>24403</v>
      </c>
      <c r="M368" s="164">
        <v>18965.416546</v>
      </c>
      <c r="N368" s="190">
        <f t="shared" si="42"/>
        <v>18965.416546</v>
      </c>
      <c r="O368" s="264">
        <f t="shared" si="47"/>
        <v>0</v>
      </c>
      <c r="P368" s="264">
        <f t="shared" si="47"/>
        <v>391</v>
      </c>
      <c r="Q368" s="166">
        <v>4200</v>
      </c>
      <c r="R368" s="166">
        <v>1161</v>
      </c>
      <c r="S368" s="182">
        <f t="shared" si="43"/>
        <v>0</v>
      </c>
      <c r="T368" s="339">
        <v>0.39956344183068243</v>
      </c>
    </row>
    <row r="369" spans="1:20" x14ac:dyDescent="0.2">
      <c r="A369" s="153">
        <v>2031</v>
      </c>
      <c r="B369" s="153">
        <v>8</v>
      </c>
      <c r="D369" s="173">
        <v>14.118533494408908</v>
      </c>
      <c r="E369" s="281">
        <f t="shared" si="39"/>
        <v>15.007962882669512</v>
      </c>
      <c r="F369" s="173"/>
      <c r="G369" s="173">
        <v>29.48</v>
      </c>
      <c r="H369" s="154">
        <v>138.52437333</v>
      </c>
      <c r="I369" s="190">
        <f t="shared" si="40"/>
        <v>138.52437333</v>
      </c>
      <c r="J369" s="190">
        <f t="shared" si="41"/>
        <v>55.349275385173193</v>
      </c>
      <c r="K369" s="246">
        <v>24392</v>
      </c>
      <c r="L369" s="248">
        <f t="shared" si="44"/>
        <v>24402</v>
      </c>
      <c r="M369" s="164">
        <v>18965.416546</v>
      </c>
      <c r="N369" s="190">
        <f t="shared" si="42"/>
        <v>18965.416546</v>
      </c>
      <c r="O369" s="264">
        <f t="shared" si="47"/>
        <v>0</v>
      </c>
      <c r="P369" s="264">
        <f t="shared" si="47"/>
        <v>292.5</v>
      </c>
      <c r="Q369" s="166">
        <v>4200</v>
      </c>
      <c r="R369" s="166">
        <v>1161</v>
      </c>
      <c r="S369" s="182">
        <f t="shared" si="43"/>
        <v>0</v>
      </c>
      <c r="T369" s="339">
        <v>0.39956344183068243</v>
      </c>
    </row>
    <row r="370" spans="1:20" x14ac:dyDescent="0.2">
      <c r="A370" s="153">
        <v>2031</v>
      </c>
      <c r="B370" s="153">
        <v>9</v>
      </c>
      <c r="D370" s="173">
        <v>14.118533494408908</v>
      </c>
      <c r="E370" s="281">
        <f t="shared" si="39"/>
        <v>15.007962882669512</v>
      </c>
      <c r="F370" s="173"/>
      <c r="G370" s="173">
        <v>30.86</v>
      </c>
      <c r="H370" s="154">
        <v>138.52437333</v>
      </c>
      <c r="I370" s="190">
        <f t="shared" si="40"/>
        <v>138.52437333</v>
      </c>
      <c r="J370" s="190">
        <f t="shared" si="41"/>
        <v>55.349275385173193</v>
      </c>
      <c r="K370" s="246">
        <v>24389</v>
      </c>
      <c r="L370" s="248">
        <f t="shared" si="44"/>
        <v>24401</v>
      </c>
      <c r="M370" s="164">
        <v>18965.416546</v>
      </c>
      <c r="N370" s="190">
        <f t="shared" si="42"/>
        <v>18965.416546</v>
      </c>
      <c r="O370" s="264">
        <f t="shared" si="47"/>
        <v>43.5</v>
      </c>
      <c r="P370" s="264">
        <f t="shared" si="47"/>
        <v>138.5</v>
      </c>
      <c r="Q370" s="166">
        <v>4200</v>
      </c>
      <c r="R370" s="166">
        <v>1161</v>
      </c>
      <c r="S370" s="182">
        <f t="shared" si="43"/>
        <v>0</v>
      </c>
      <c r="T370" s="339">
        <v>0.39956344183068243</v>
      </c>
    </row>
    <row r="371" spans="1:20" x14ac:dyDescent="0.2">
      <c r="A371" s="153">
        <v>2031</v>
      </c>
      <c r="B371" s="153">
        <v>10</v>
      </c>
      <c r="D371" s="173">
        <v>14.118533494408908</v>
      </c>
      <c r="E371" s="281">
        <f t="shared" si="39"/>
        <v>15.007962882669512</v>
      </c>
      <c r="F371" s="173"/>
      <c r="G371" s="173">
        <v>29.38</v>
      </c>
      <c r="H371" s="154">
        <v>138.52437333</v>
      </c>
      <c r="I371" s="190">
        <f t="shared" si="40"/>
        <v>138.52437333</v>
      </c>
      <c r="J371" s="190">
        <f t="shared" si="41"/>
        <v>55.364295457438786</v>
      </c>
      <c r="K371" s="246">
        <v>24386</v>
      </c>
      <c r="L371" s="248">
        <f t="shared" si="44"/>
        <v>24400</v>
      </c>
      <c r="M371" s="164">
        <v>18965.416546</v>
      </c>
      <c r="N371" s="190">
        <f t="shared" si="42"/>
        <v>18965.416546</v>
      </c>
      <c r="O371" s="264">
        <f t="shared" si="47"/>
        <v>259.5</v>
      </c>
      <c r="P371" s="264">
        <f t="shared" si="47"/>
        <v>8</v>
      </c>
      <c r="Q371" s="166">
        <v>4200</v>
      </c>
      <c r="R371" s="166">
        <v>1161</v>
      </c>
      <c r="S371" s="182">
        <f t="shared" si="43"/>
        <v>0</v>
      </c>
      <c r="T371" s="339">
        <v>0.39967187092445505</v>
      </c>
    </row>
    <row r="372" spans="1:20" x14ac:dyDescent="0.2">
      <c r="A372" s="153">
        <v>2031</v>
      </c>
      <c r="B372" s="153">
        <v>11</v>
      </c>
      <c r="D372" s="173">
        <v>14.118533494408908</v>
      </c>
      <c r="E372" s="281">
        <f t="shared" si="39"/>
        <v>15.007962882669512</v>
      </c>
      <c r="F372" s="173"/>
      <c r="G372" s="173">
        <v>29.57</v>
      </c>
      <c r="H372" s="154">
        <v>138.52437333</v>
      </c>
      <c r="I372" s="190">
        <f t="shared" si="40"/>
        <v>138.52437333</v>
      </c>
      <c r="J372" s="190">
        <f t="shared" si="41"/>
        <v>55.364295457438786</v>
      </c>
      <c r="K372" s="246">
        <v>24383</v>
      </c>
      <c r="L372" s="248">
        <f t="shared" si="44"/>
        <v>24399</v>
      </c>
      <c r="M372" s="164">
        <v>18965.416546</v>
      </c>
      <c r="N372" s="190">
        <f t="shared" si="42"/>
        <v>18965.416546</v>
      </c>
      <c r="O372" s="264">
        <f t="shared" si="47"/>
        <v>529.75</v>
      </c>
      <c r="P372" s="264">
        <f t="shared" si="47"/>
        <v>1</v>
      </c>
      <c r="Q372" s="166">
        <v>4200</v>
      </c>
      <c r="R372" s="166">
        <v>1161</v>
      </c>
      <c r="S372" s="182">
        <f t="shared" si="43"/>
        <v>0</v>
      </c>
      <c r="T372" s="339">
        <v>0.39967187092445505</v>
      </c>
    </row>
    <row r="373" spans="1:20" x14ac:dyDescent="0.2">
      <c r="A373" s="153">
        <v>2031</v>
      </c>
      <c r="B373" s="153">
        <v>12</v>
      </c>
      <c r="D373" s="173">
        <v>14.118533494408908</v>
      </c>
      <c r="E373" s="281">
        <f t="shared" si="39"/>
        <v>15.007962882669512</v>
      </c>
      <c r="F373" s="173"/>
      <c r="G373" s="173">
        <v>31.81</v>
      </c>
      <c r="H373" s="154">
        <v>138.52437333</v>
      </c>
      <c r="I373" s="190">
        <f t="shared" si="40"/>
        <v>138.52437333</v>
      </c>
      <c r="J373" s="190">
        <f t="shared" si="41"/>
        <v>55.364295457438786</v>
      </c>
      <c r="K373" s="246">
        <v>24380</v>
      </c>
      <c r="L373" s="248">
        <f t="shared" si="44"/>
        <v>24398</v>
      </c>
      <c r="M373" s="164">
        <v>18965.416546</v>
      </c>
      <c r="N373" s="190">
        <f t="shared" si="42"/>
        <v>18965.416546</v>
      </c>
      <c r="O373" s="264">
        <f t="shared" si="47"/>
        <v>719</v>
      </c>
      <c r="P373" s="264">
        <f t="shared" si="47"/>
        <v>0</v>
      </c>
      <c r="Q373" s="166">
        <v>4200</v>
      </c>
      <c r="R373" s="166">
        <v>1161</v>
      </c>
      <c r="S373" s="182">
        <f t="shared" si="43"/>
        <v>0</v>
      </c>
      <c r="T373" s="339">
        <v>0.39967187092445505</v>
      </c>
    </row>
    <row r="374" spans="1:20" x14ac:dyDescent="0.2">
      <c r="A374" s="153">
        <v>2032</v>
      </c>
      <c r="B374" s="153">
        <v>1</v>
      </c>
      <c r="D374" s="173">
        <v>14.471496831769128</v>
      </c>
      <c r="E374" s="281">
        <f t="shared" si="39"/>
        <v>15.308122140322903</v>
      </c>
      <c r="F374" s="173"/>
      <c r="G374" s="173">
        <v>32.380000000000003</v>
      </c>
      <c r="H374" s="154">
        <v>138.70386191</v>
      </c>
      <c r="I374" s="190">
        <f t="shared" si="40"/>
        <v>138.70386191</v>
      </c>
      <c r="J374" s="190">
        <f t="shared" si="41"/>
        <v>55.450862655425766</v>
      </c>
      <c r="K374" s="246">
        <v>24377</v>
      </c>
      <c r="L374" s="248">
        <f t="shared" si="44"/>
        <v>24397</v>
      </c>
      <c r="M374" s="164">
        <v>19721.552056</v>
      </c>
      <c r="N374" s="190">
        <f t="shared" si="42"/>
        <v>19721.552056</v>
      </c>
      <c r="O374" s="264">
        <f t="shared" si="47"/>
        <v>903.25</v>
      </c>
      <c r="P374" s="264">
        <f t="shared" si="47"/>
        <v>0</v>
      </c>
      <c r="Q374" s="166">
        <v>4200</v>
      </c>
      <c r="R374" s="166">
        <v>1161</v>
      </c>
      <c r="S374" s="182">
        <f t="shared" si="43"/>
        <v>0</v>
      </c>
      <c r="T374" s="339">
        <v>0.39977879412907663</v>
      </c>
    </row>
    <row r="375" spans="1:20" x14ac:dyDescent="0.2">
      <c r="A375" s="153">
        <v>2032</v>
      </c>
      <c r="B375" s="153">
        <v>2</v>
      </c>
      <c r="D375" s="173">
        <v>14.471496831769128</v>
      </c>
      <c r="E375" s="281">
        <f t="shared" si="39"/>
        <v>15.308122140322903</v>
      </c>
      <c r="F375" s="173"/>
      <c r="G375" s="173">
        <v>30.19</v>
      </c>
      <c r="H375" s="154">
        <v>138.70386191</v>
      </c>
      <c r="I375" s="190">
        <f t="shared" si="40"/>
        <v>138.70386191</v>
      </c>
      <c r="J375" s="190">
        <f t="shared" si="41"/>
        <v>55.450862655425766</v>
      </c>
      <c r="K375" s="246">
        <v>24374</v>
      </c>
      <c r="L375" s="248">
        <f t="shared" si="44"/>
        <v>24396</v>
      </c>
      <c r="M375" s="164">
        <v>19721.552056</v>
      </c>
      <c r="N375" s="190">
        <f t="shared" si="42"/>
        <v>19721.552056</v>
      </c>
      <c r="O375" s="264">
        <f t="shared" si="47"/>
        <v>652.25</v>
      </c>
      <c r="P375" s="264">
        <f t="shared" si="47"/>
        <v>0</v>
      </c>
      <c r="Q375" s="166">
        <v>4200</v>
      </c>
      <c r="R375" s="166">
        <v>1161</v>
      </c>
      <c r="S375" s="182">
        <f t="shared" si="43"/>
        <v>0</v>
      </c>
      <c r="T375" s="339">
        <v>0.39977879412907663</v>
      </c>
    </row>
    <row r="376" spans="1:20" x14ac:dyDescent="0.2">
      <c r="A376" s="153">
        <v>2032</v>
      </c>
      <c r="B376" s="153">
        <v>3</v>
      </c>
      <c r="D376" s="173">
        <v>14.471496831769128</v>
      </c>
      <c r="E376" s="281">
        <f t="shared" si="39"/>
        <v>15.308122140322903</v>
      </c>
      <c r="F376" s="173"/>
      <c r="G376" s="173">
        <v>30.33</v>
      </c>
      <c r="H376" s="154">
        <v>138.70386191</v>
      </c>
      <c r="I376" s="190">
        <f t="shared" si="40"/>
        <v>138.70386191</v>
      </c>
      <c r="J376" s="190">
        <f t="shared" si="41"/>
        <v>55.450862655425766</v>
      </c>
      <c r="K376" s="246">
        <v>24371</v>
      </c>
      <c r="L376" s="248">
        <f t="shared" si="44"/>
        <v>24395</v>
      </c>
      <c r="M376" s="164">
        <v>19721.552056</v>
      </c>
      <c r="N376" s="190">
        <f t="shared" si="42"/>
        <v>19721.552056</v>
      </c>
      <c r="O376" s="264">
        <f t="shared" si="47"/>
        <v>489.25</v>
      </c>
      <c r="P376" s="264">
        <f t="shared" si="47"/>
        <v>0</v>
      </c>
      <c r="Q376" s="166">
        <v>4200</v>
      </c>
      <c r="R376" s="166">
        <v>1161</v>
      </c>
      <c r="S376" s="182">
        <f t="shared" si="43"/>
        <v>0</v>
      </c>
      <c r="T376" s="339">
        <v>0.39977879412907663</v>
      </c>
    </row>
    <row r="377" spans="1:20" x14ac:dyDescent="0.2">
      <c r="A377" s="153">
        <v>2032</v>
      </c>
      <c r="B377" s="153">
        <v>4</v>
      </c>
      <c r="D377" s="173">
        <v>14.471496831769128</v>
      </c>
      <c r="E377" s="281">
        <f t="shared" si="39"/>
        <v>15.308122140322903</v>
      </c>
      <c r="F377" s="173"/>
      <c r="G377" s="173">
        <v>30.48</v>
      </c>
      <c r="H377" s="154">
        <v>138.70386191</v>
      </c>
      <c r="I377" s="190">
        <f t="shared" si="40"/>
        <v>138.70386191</v>
      </c>
      <c r="J377" s="190">
        <f t="shared" si="41"/>
        <v>55.467252160841653</v>
      </c>
      <c r="K377" s="246">
        <v>24368</v>
      </c>
      <c r="L377" s="248">
        <f t="shared" si="44"/>
        <v>24394</v>
      </c>
      <c r="M377" s="164">
        <v>19721.552056</v>
      </c>
      <c r="N377" s="190">
        <f t="shared" si="42"/>
        <v>19721.552056</v>
      </c>
      <c r="O377" s="264">
        <f t="shared" si="47"/>
        <v>184.25</v>
      </c>
      <c r="P377" s="264">
        <f t="shared" si="47"/>
        <v>27.25</v>
      </c>
      <c r="Q377" s="166">
        <v>4200</v>
      </c>
      <c r="R377" s="166">
        <v>1161</v>
      </c>
      <c r="S377" s="182">
        <f t="shared" si="43"/>
        <v>0</v>
      </c>
      <c r="T377" s="339">
        <v>0.39989695598261266</v>
      </c>
    </row>
    <row r="378" spans="1:20" x14ac:dyDescent="0.2">
      <c r="A378" s="153">
        <v>2032</v>
      </c>
      <c r="B378" s="153">
        <v>5</v>
      </c>
      <c r="D378" s="173">
        <v>14.471496831769128</v>
      </c>
      <c r="E378" s="281">
        <f t="shared" si="39"/>
        <v>15.308122140322903</v>
      </c>
      <c r="F378" s="173"/>
      <c r="G378" s="173">
        <v>29.52</v>
      </c>
      <c r="H378" s="154">
        <v>138.70386191</v>
      </c>
      <c r="I378" s="190">
        <f t="shared" si="40"/>
        <v>138.70386191</v>
      </c>
      <c r="J378" s="190">
        <f t="shared" si="41"/>
        <v>55.467252160841653</v>
      </c>
      <c r="K378" s="246">
        <v>24365</v>
      </c>
      <c r="L378" s="248">
        <f t="shared" si="44"/>
        <v>24393</v>
      </c>
      <c r="M378" s="164">
        <v>19721.552056</v>
      </c>
      <c r="N378" s="190">
        <f t="shared" si="42"/>
        <v>19721.552056</v>
      </c>
      <c r="O378" s="264">
        <f t="shared" si="47"/>
        <v>70</v>
      </c>
      <c r="P378" s="264">
        <f t="shared" si="47"/>
        <v>138.5</v>
      </c>
      <c r="Q378" s="166">
        <v>4200</v>
      </c>
      <c r="R378" s="166">
        <v>1161</v>
      </c>
      <c r="S378" s="182">
        <f t="shared" si="43"/>
        <v>0</v>
      </c>
      <c r="T378" s="339">
        <v>0.39989695598261266</v>
      </c>
    </row>
    <row r="379" spans="1:20" x14ac:dyDescent="0.2">
      <c r="A379" s="153">
        <v>2032</v>
      </c>
      <c r="B379" s="153">
        <v>6</v>
      </c>
      <c r="D379" s="173">
        <v>14.471496831769128</v>
      </c>
      <c r="E379" s="281">
        <f t="shared" si="39"/>
        <v>15.308122140322903</v>
      </c>
      <c r="F379" s="173"/>
      <c r="G379" s="173">
        <v>30.71</v>
      </c>
      <c r="H379" s="154">
        <v>138.70386191</v>
      </c>
      <c r="I379" s="190">
        <f t="shared" si="40"/>
        <v>138.70386191</v>
      </c>
      <c r="J379" s="190">
        <f t="shared" si="41"/>
        <v>55.467252160841653</v>
      </c>
      <c r="K379" s="246">
        <v>24362</v>
      </c>
      <c r="L379" s="248">
        <f t="shared" si="44"/>
        <v>24392</v>
      </c>
      <c r="M379" s="164">
        <v>19721.552056</v>
      </c>
      <c r="N379" s="190">
        <f t="shared" si="42"/>
        <v>19721.552056</v>
      </c>
      <c r="O379" s="264">
        <f t="shared" si="47"/>
        <v>1.25</v>
      </c>
      <c r="P379" s="264">
        <f t="shared" si="47"/>
        <v>239.5</v>
      </c>
      <c r="Q379" s="166">
        <v>4200</v>
      </c>
      <c r="R379" s="166">
        <v>1161</v>
      </c>
      <c r="S379" s="182">
        <f t="shared" si="43"/>
        <v>0</v>
      </c>
      <c r="T379" s="339">
        <v>0.39989695598261266</v>
      </c>
    </row>
    <row r="380" spans="1:20" x14ac:dyDescent="0.2">
      <c r="A380" s="153">
        <v>2032</v>
      </c>
      <c r="B380" s="153">
        <v>7</v>
      </c>
      <c r="D380" s="173">
        <v>14.471496831769128</v>
      </c>
      <c r="E380" s="281">
        <f t="shared" si="39"/>
        <v>15.308122140322903</v>
      </c>
      <c r="F380" s="173"/>
      <c r="G380" s="173">
        <v>30.57</v>
      </c>
      <c r="H380" s="154">
        <v>138.70386191</v>
      </c>
      <c r="I380" s="190">
        <f t="shared" si="40"/>
        <v>138.70386191</v>
      </c>
      <c r="J380" s="190">
        <f t="shared" si="41"/>
        <v>55.534263354084345</v>
      </c>
      <c r="K380" s="246">
        <v>24359</v>
      </c>
      <c r="L380" s="248">
        <f t="shared" si="44"/>
        <v>24391</v>
      </c>
      <c r="M380" s="164">
        <v>19721.552056</v>
      </c>
      <c r="N380" s="190">
        <f t="shared" si="42"/>
        <v>19721.552056</v>
      </c>
      <c r="O380" s="264">
        <f t="shared" si="47"/>
        <v>0</v>
      </c>
      <c r="P380" s="264">
        <f t="shared" si="47"/>
        <v>391</v>
      </c>
      <c r="Q380" s="166">
        <v>4200</v>
      </c>
      <c r="R380" s="166">
        <v>1161</v>
      </c>
      <c r="S380" s="182">
        <f t="shared" si="43"/>
        <v>0</v>
      </c>
      <c r="T380" s="339">
        <v>0.4003800801892492</v>
      </c>
    </row>
    <row r="381" spans="1:20" x14ac:dyDescent="0.2">
      <c r="A381" s="153">
        <v>2032</v>
      </c>
      <c r="B381" s="153">
        <v>8</v>
      </c>
      <c r="D381" s="173">
        <v>14.471496831769128</v>
      </c>
      <c r="E381" s="281">
        <f t="shared" si="39"/>
        <v>15.308122140322903</v>
      </c>
      <c r="F381" s="173"/>
      <c r="G381" s="173">
        <v>29.67</v>
      </c>
      <c r="H381" s="154">
        <v>138.70386191</v>
      </c>
      <c r="I381" s="190">
        <f t="shared" si="40"/>
        <v>138.70386191</v>
      </c>
      <c r="J381" s="190">
        <f t="shared" si="41"/>
        <v>55.534263354084345</v>
      </c>
      <c r="K381" s="246">
        <v>24356</v>
      </c>
      <c r="L381" s="248">
        <f t="shared" si="44"/>
        <v>24390</v>
      </c>
      <c r="M381" s="164">
        <v>19721.552056</v>
      </c>
      <c r="N381" s="190">
        <f t="shared" si="42"/>
        <v>19721.552056</v>
      </c>
      <c r="O381" s="264">
        <f t="shared" si="47"/>
        <v>0</v>
      </c>
      <c r="P381" s="264">
        <f t="shared" si="47"/>
        <v>292.5</v>
      </c>
      <c r="Q381" s="166">
        <v>4200</v>
      </c>
      <c r="R381" s="166">
        <v>1161</v>
      </c>
      <c r="S381" s="182">
        <f t="shared" si="43"/>
        <v>0</v>
      </c>
      <c r="T381" s="339">
        <v>0.4003800801892492</v>
      </c>
    </row>
    <row r="382" spans="1:20" x14ac:dyDescent="0.2">
      <c r="A382" s="153">
        <v>2032</v>
      </c>
      <c r="B382" s="153">
        <v>9</v>
      </c>
      <c r="D382" s="173">
        <v>14.471496831769128</v>
      </c>
      <c r="E382" s="281">
        <f t="shared" si="39"/>
        <v>15.308122140322903</v>
      </c>
      <c r="F382" s="173"/>
      <c r="G382" s="173">
        <v>30.48</v>
      </c>
      <c r="H382" s="154">
        <v>138.70386191</v>
      </c>
      <c r="I382" s="190">
        <f t="shared" si="40"/>
        <v>138.70386191</v>
      </c>
      <c r="J382" s="190">
        <f t="shared" si="41"/>
        <v>55.534263354084345</v>
      </c>
      <c r="K382" s="246">
        <v>24353</v>
      </c>
      <c r="L382" s="248">
        <f t="shared" si="44"/>
        <v>24389</v>
      </c>
      <c r="M382" s="164">
        <v>19721.552056</v>
      </c>
      <c r="N382" s="190">
        <f t="shared" si="42"/>
        <v>19721.552056</v>
      </c>
      <c r="O382" s="264">
        <f t="shared" si="47"/>
        <v>43.5</v>
      </c>
      <c r="P382" s="264">
        <f t="shared" si="47"/>
        <v>138.5</v>
      </c>
      <c r="Q382" s="166">
        <v>4200</v>
      </c>
      <c r="R382" s="166">
        <v>1161</v>
      </c>
      <c r="S382" s="182">
        <f t="shared" si="43"/>
        <v>0</v>
      </c>
      <c r="T382" s="339">
        <v>0.4003800801892492</v>
      </c>
    </row>
    <row r="383" spans="1:20" x14ac:dyDescent="0.2">
      <c r="A383" s="153">
        <v>2032</v>
      </c>
      <c r="B383" s="153">
        <v>10</v>
      </c>
      <c r="D383" s="173">
        <v>14.471496831769128</v>
      </c>
      <c r="E383" s="281">
        <f t="shared" si="39"/>
        <v>15.308122140322903</v>
      </c>
      <c r="F383" s="173"/>
      <c r="G383" s="173">
        <v>29.67</v>
      </c>
      <c r="H383" s="154">
        <v>138.70386191</v>
      </c>
      <c r="I383" s="190">
        <f t="shared" si="40"/>
        <v>138.70386191</v>
      </c>
      <c r="J383" s="190">
        <f t="shared" si="41"/>
        <v>55.525056998178378</v>
      </c>
      <c r="K383" s="246">
        <v>24350</v>
      </c>
      <c r="L383" s="248">
        <f t="shared" si="44"/>
        <v>24388</v>
      </c>
      <c r="M383" s="164">
        <v>19721.552056</v>
      </c>
      <c r="N383" s="190">
        <f t="shared" si="42"/>
        <v>19721.552056</v>
      </c>
      <c r="O383" s="264">
        <f t="shared" ref="O383:P398" si="48">O371</f>
        <v>259.5</v>
      </c>
      <c r="P383" s="264">
        <f t="shared" si="48"/>
        <v>8</v>
      </c>
      <c r="Q383" s="166">
        <v>4200</v>
      </c>
      <c r="R383" s="166">
        <v>1161</v>
      </c>
      <c r="S383" s="182">
        <f t="shared" si="43"/>
        <v>0</v>
      </c>
      <c r="T383" s="339">
        <v>0.40031370600341765</v>
      </c>
    </row>
    <row r="384" spans="1:20" x14ac:dyDescent="0.2">
      <c r="A384" s="153">
        <v>2032</v>
      </c>
      <c r="B384" s="153">
        <v>11</v>
      </c>
      <c r="D384" s="173">
        <v>14.471496831769128</v>
      </c>
      <c r="E384" s="281">
        <f t="shared" si="39"/>
        <v>15.308122140322903</v>
      </c>
      <c r="F384" s="173"/>
      <c r="G384" s="173">
        <v>29.76</v>
      </c>
      <c r="H384" s="154">
        <v>138.70386191</v>
      </c>
      <c r="I384" s="190">
        <f t="shared" si="40"/>
        <v>138.70386191</v>
      </c>
      <c r="J384" s="190">
        <f t="shared" si="41"/>
        <v>55.525056998178378</v>
      </c>
      <c r="K384" s="246">
        <v>24347</v>
      </c>
      <c r="L384" s="248">
        <f t="shared" si="44"/>
        <v>24387</v>
      </c>
      <c r="M384" s="164">
        <v>19721.552056</v>
      </c>
      <c r="N384" s="190">
        <f t="shared" si="42"/>
        <v>19721.552056</v>
      </c>
      <c r="O384" s="264">
        <f t="shared" si="48"/>
        <v>529.75</v>
      </c>
      <c r="P384" s="264">
        <f t="shared" si="48"/>
        <v>1</v>
      </c>
      <c r="Q384" s="166">
        <v>4200</v>
      </c>
      <c r="R384" s="166">
        <v>1161</v>
      </c>
      <c r="S384" s="182">
        <f t="shared" si="43"/>
        <v>0</v>
      </c>
      <c r="T384" s="339">
        <v>0.40031370600341765</v>
      </c>
    </row>
    <row r="385" spans="1:20" x14ac:dyDescent="0.2">
      <c r="A385" s="153">
        <v>2032</v>
      </c>
      <c r="B385" s="153">
        <v>12</v>
      </c>
      <c r="D385" s="173">
        <v>14.471496831769128</v>
      </c>
      <c r="E385" s="281">
        <f t="shared" si="39"/>
        <v>15.308122140322903</v>
      </c>
      <c r="F385" s="173"/>
      <c r="G385" s="173">
        <v>31.38</v>
      </c>
      <c r="H385" s="154">
        <v>138.70386191</v>
      </c>
      <c r="I385" s="190">
        <f t="shared" si="40"/>
        <v>138.70386191</v>
      </c>
      <c r="J385" s="190">
        <f t="shared" si="41"/>
        <v>55.525056998178378</v>
      </c>
      <c r="K385" s="246">
        <v>24344</v>
      </c>
      <c r="L385" s="248">
        <f t="shared" si="44"/>
        <v>24386</v>
      </c>
      <c r="M385" s="164">
        <v>19721.552056</v>
      </c>
      <c r="N385" s="190">
        <f t="shared" si="42"/>
        <v>19721.552056</v>
      </c>
      <c r="O385" s="264">
        <f t="shared" si="48"/>
        <v>719</v>
      </c>
      <c r="P385" s="264">
        <f t="shared" si="48"/>
        <v>0</v>
      </c>
      <c r="Q385" s="166">
        <v>4200</v>
      </c>
      <c r="R385" s="166">
        <v>1161</v>
      </c>
      <c r="S385" s="182">
        <f t="shared" si="43"/>
        <v>0</v>
      </c>
      <c r="T385" s="339">
        <v>0.40031370600341765</v>
      </c>
    </row>
    <row r="386" spans="1:20" x14ac:dyDescent="0.2">
      <c r="A386" s="153">
        <v>2033</v>
      </c>
      <c r="B386" s="153">
        <v>1</v>
      </c>
      <c r="D386" s="173">
        <v>14.833284252563356</v>
      </c>
      <c r="E386" s="281">
        <f t="shared" si="39"/>
        <v>15.614284583129361</v>
      </c>
      <c r="F386" s="173"/>
      <c r="G386" s="173">
        <v>32.71</v>
      </c>
      <c r="H386" s="154">
        <v>138.88708321999999</v>
      </c>
      <c r="I386" s="190">
        <f t="shared" si="40"/>
        <v>138.88708321999999</v>
      </c>
      <c r="J386" s="190">
        <f t="shared" si="41"/>
        <v>55.617196333930664</v>
      </c>
      <c r="K386" s="246">
        <v>24341</v>
      </c>
      <c r="L386" s="248">
        <f t="shared" si="44"/>
        <v>24385</v>
      </c>
      <c r="M386" s="164">
        <v>20503.533918000001</v>
      </c>
      <c r="N386" s="190">
        <f t="shared" si="42"/>
        <v>20503.533918000001</v>
      </c>
      <c r="O386" s="264">
        <f t="shared" si="48"/>
        <v>903.25</v>
      </c>
      <c r="P386" s="264">
        <f t="shared" si="48"/>
        <v>0</v>
      </c>
      <c r="Q386" s="166">
        <v>4200</v>
      </c>
      <c r="R386" s="166">
        <v>1161</v>
      </c>
      <c r="S386" s="182">
        <f t="shared" si="43"/>
        <v>0</v>
      </c>
      <c r="T386" s="339">
        <v>0.4004490197683242</v>
      </c>
    </row>
    <row r="387" spans="1:20" x14ac:dyDescent="0.2">
      <c r="A387" s="153">
        <v>2033</v>
      </c>
      <c r="B387" s="153">
        <v>2</v>
      </c>
      <c r="D387" s="173">
        <v>14.833284252563356</v>
      </c>
      <c r="E387" s="281">
        <f t="shared" ref="E387:E450" si="49">E375*(1+0.02)</f>
        <v>15.614284583129361</v>
      </c>
      <c r="F387" s="173"/>
      <c r="G387" s="173">
        <v>29.81</v>
      </c>
      <c r="H387" s="154">
        <v>138.88708321999999</v>
      </c>
      <c r="I387" s="190">
        <f t="shared" ref="I387:I450" si="50">H387</f>
        <v>138.88708321999999</v>
      </c>
      <c r="J387" s="190">
        <f t="shared" ref="J387:J450" si="51">H387*T387</f>
        <v>55.617196333930664</v>
      </c>
      <c r="K387" s="246">
        <v>24338</v>
      </c>
      <c r="L387" s="248">
        <f t="shared" si="44"/>
        <v>24384</v>
      </c>
      <c r="M387" s="164">
        <v>20503.533918000001</v>
      </c>
      <c r="N387" s="190">
        <f t="shared" ref="N387:N450" si="52">M387</f>
        <v>20503.533918000001</v>
      </c>
      <c r="O387" s="264">
        <f t="shared" si="48"/>
        <v>652.25</v>
      </c>
      <c r="P387" s="264">
        <f t="shared" si="48"/>
        <v>0</v>
      </c>
      <c r="Q387" s="166">
        <v>4200</v>
      </c>
      <c r="R387" s="166">
        <v>1161</v>
      </c>
      <c r="S387" s="182">
        <f t="shared" ref="S387:S450" si="53">C387/K387*1000</f>
        <v>0</v>
      </c>
      <c r="T387" s="339">
        <v>0.4004490197683242</v>
      </c>
    </row>
    <row r="388" spans="1:20" x14ac:dyDescent="0.2">
      <c r="A388" s="153">
        <v>2033</v>
      </c>
      <c r="B388" s="153">
        <v>3</v>
      </c>
      <c r="D388" s="173">
        <v>14.833284252563356</v>
      </c>
      <c r="E388" s="281">
        <f t="shared" si="49"/>
        <v>15.614284583129361</v>
      </c>
      <c r="F388" s="173"/>
      <c r="G388" s="173">
        <v>30.33</v>
      </c>
      <c r="H388" s="154">
        <v>138.88708321999999</v>
      </c>
      <c r="I388" s="190">
        <f t="shared" si="50"/>
        <v>138.88708321999999</v>
      </c>
      <c r="J388" s="190">
        <f t="shared" si="51"/>
        <v>55.617196333930664</v>
      </c>
      <c r="K388" s="246">
        <v>24335</v>
      </c>
      <c r="L388" s="248">
        <f t="shared" si="44"/>
        <v>24383</v>
      </c>
      <c r="M388" s="164">
        <v>20503.533918000001</v>
      </c>
      <c r="N388" s="190">
        <f t="shared" si="52"/>
        <v>20503.533918000001</v>
      </c>
      <c r="O388" s="264">
        <f t="shared" si="48"/>
        <v>489.25</v>
      </c>
      <c r="P388" s="264">
        <f t="shared" si="48"/>
        <v>0</v>
      </c>
      <c r="Q388" s="166">
        <v>4200</v>
      </c>
      <c r="R388" s="166">
        <v>1161</v>
      </c>
      <c r="S388" s="182">
        <f t="shared" si="53"/>
        <v>0</v>
      </c>
      <c r="T388" s="339">
        <v>0.4004490197683242</v>
      </c>
    </row>
    <row r="389" spans="1:20" x14ac:dyDescent="0.2">
      <c r="A389" s="153">
        <v>2033</v>
      </c>
      <c r="B389" s="153">
        <v>4</v>
      </c>
      <c r="D389" s="173">
        <v>14.833284252563356</v>
      </c>
      <c r="E389" s="281">
        <f t="shared" si="49"/>
        <v>15.614284583129361</v>
      </c>
      <c r="F389" s="173"/>
      <c r="G389" s="173">
        <v>30.19</v>
      </c>
      <c r="H389" s="154">
        <v>138.88708321999999</v>
      </c>
      <c r="I389" s="190">
        <f t="shared" si="50"/>
        <v>138.88708321999999</v>
      </c>
      <c r="J389" s="190">
        <f t="shared" si="51"/>
        <v>55.636026077689401</v>
      </c>
      <c r="K389" s="246">
        <v>24332</v>
      </c>
      <c r="L389" s="248">
        <f t="shared" si="44"/>
        <v>24382</v>
      </c>
      <c r="M389" s="164">
        <v>20503.533918000001</v>
      </c>
      <c r="N389" s="190">
        <f t="shared" si="52"/>
        <v>20503.533918000001</v>
      </c>
      <c r="O389" s="264">
        <f t="shared" si="48"/>
        <v>184.25</v>
      </c>
      <c r="P389" s="264">
        <f t="shared" si="48"/>
        <v>27.25</v>
      </c>
      <c r="Q389" s="166">
        <v>4200</v>
      </c>
      <c r="R389" s="166">
        <v>1161</v>
      </c>
      <c r="S389" s="182">
        <f t="shared" si="53"/>
        <v>0</v>
      </c>
      <c r="T389" s="339">
        <v>0.40058459568598465</v>
      </c>
    </row>
    <row r="390" spans="1:20" x14ac:dyDescent="0.2">
      <c r="A390" s="153">
        <v>2033</v>
      </c>
      <c r="B390" s="153">
        <v>5</v>
      </c>
      <c r="D390" s="173">
        <v>14.833284252563356</v>
      </c>
      <c r="E390" s="281">
        <f t="shared" si="49"/>
        <v>15.614284583129361</v>
      </c>
      <c r="F390" s="173"/>
      <c r="G390" s="173">
        <v>30.14</v>
      </c>
      <c r="H390" s="154">
        <v>138.88708321999999</v>
      </c>
      <c r="I390" s="190">
        <f t="shared" si="50"/>
        <v>138.88708321999999</v>
      </c>
      <c r="J390" s="190">
        <f t="shared" si="51"/>
        <v>55.636026077689401</v>
      </c>
      <c r="K390" s="246">
        <v>24329</v>
      </c>
      <c r="L390" s="248">
        <f t="shared" si="44"/>
        <v>24381</v>
      </c>
      <c r="M390" s="164">
        <v>20503.533918000001</v>
      </c>
      <c r="N390" s="190">
        <f t="shared" si="52"/>
        <v>20503.533918000001</v>
      </c>
      <c r="O390" s="264">
        <f t="shared" si="48"/>
        <v>70</v>
      </c>
      <c r="P390" s="264">
        <f t="shared" si="48"/>
        <v>138.5</v>
      </c>
      <c r="Q390" s="166">
        <v>4200</v>
      </c>
      <c r="R390" s="166">
        <v>1161</v>
      </c>
      <c r="S390" s="182">
        <f t="shared" si="53"/>
        <v>0</v>
      </c>
      <c r="T390" s="339">
        <v>0.40058459568598465</v>
      </c>
    </row>
    <row r="391" spans="1:20" x14ac:dyDescent="0.2">
      <c r="A391" s="153">
        <v>2033</v>
      </c>
      <c r="B391" s="153">
        <v>6</v>
      </c>
      <c r="D391" s="173">
        <v>14.833284252563356</v>
      </c>
      <c r="E391" s="281">
        <f t="shared" si="49"/>
        <v>15.614284583129361</v>
      </c>
      <c r="F391" s="173"/>
      <c r="G391" s="173">
        <v>30.67</v>
      </c>
      <c r="H391" s="154">
        <v>138.88708321999999</v>
      </c>
      <c r="I391" s="190">
        <f t="shared" si="50"/>
        <v>138.88708321999999</v>
      </c>
      <c r="J391" s="190">
        <f t="shared" si="51"/>
        <v>55.636026077689401</v>
      </c>
      <c r="K391" s="246">
        <v>24326</v>
      </c>
      <c r="L391" s="248">
        <f t="shared" si="44"/>
        <v>24380</v>
      </c>
      <c r="M391" s="164">
        <v>20503.533918000001</v>
      </c>
      <c r="N391" s="190">
        <f t="shared" si="52"/>
        <v>20503.533918000001</v>
      </c>
      <c r="O391" s="264">
        <f t="shared" si="48"/>
        <v>1.25</v>
      </c>
      <c r="P391" s="264">
        <f t="shared" si="48"/>
        <v>239.5</v>
      </c>
      <c r="Q391" s="166">
        <v>4200</v>
      </c>
      <c r="R391" s="166">
        <v>1161</v>
      </c>
      <c r="S391" s="182">
        <f t="shared" si="53"/>
        <v>0</v>
      </c>
      <c r="T391" s="339">
        <v>0.40058459568598465</v>
      </c>
    </row>
    <row r="392" spans="1:20" x14ac:dyDescent="0.2">
      <c r="A392" s="153">
        <v>2033</v>
      </c>
      <c r="B392" s="153">
        <v>7</v>
      </c>
      <c r="D392" s="173">
        <v>14.833284252563356</v>
      </c>
      <c r="E392" s="281">
        <f t="shared" si="49"/>
        <v>15.614284583129361</v>
      </c>
      <c r="F392" s="173"/>
      <c r="G392" s="173">
        <v>30.71</v>
      </c>
      <c r="H392" s="154">
        <v>138.88708321999999</v>
      </c>
      <c r="I392" s="190">
        <f t="shared" si="50"/>
        <v>138.88708321999999</v>
      </c>
      <c r="J392" s="190">
        <f t="shared" si="51"/>
        <v>55.654359881627613</v>
      </c>
      <c r="K392" s="246">
        <v>24323</v>
      </c>
      <c r="L392" s="248">
        <f t="shared" si="44"/>
        <v>24379</v>
      </c>
      <c r="M392" s="164">
        <v>20503.533918000001</v>
      </c>
      <c r="N392" s="190">
        <f t="shared" si="52"/>
        <v>20503.533918000001</v>
      </c>
      <c r="O392" s="264">
        <f t="shared" si="48"/>
        <v>0</v>
      </c>
      <c r="P392" s="264">
        <f t="shared" si="48"/>
        <v>391</v>
      </c>
      <c r="Q392" s="166">
        <v>4200</v>
      </c>
      <c r="R392" s="166">
        <v>1161</v>
      </c>
      <c r="S392" s="182">
        <f t="shared" si="53"/>
        <v>0</v>
      </c>
      <c r="T392" s="339">
        <v>0.40071660079051385</v>
      </c>
    </row>
    <row r="393" spans="1:20" x14ac:dyDescent="0.2">
      <c r="A393" s="153">
        <v>2033</v>
      </c>
      <c r="B393" s="153">
        <v>8</v>
      </c>
      <c r="D393" s="173">
        <v>14.833284252563356</v>
      </c>
      <c r="E393" s="281">
        <f t="shared" si="49"/>
        <v>15.614284583129361</v>
      </c>
      <c r="F393" s="173"/>
      <c r="G393" s="173">
        <v>29.52</v>
      </c>
      <c r="H393" s="154">
        <v>138.88708321999999</v>
      </c>
      <c r="I393" s="190">
        <f t="shared" si="50"/>
        <v>138.88708321999999</v>
      </c>
      <c r="J393" s="190">
        <f t="shared" si="51"/>
        <v>55.654359881627613</v>
      </c>
      <c r="K393" s="246">
        <v>24320</v>
      </c>
      <c r="L393" s="248">
        <f t="shared" si="44"/>
        <v>24378</v>
      </c>
      <c r="M393" s="164">
        <v>20503.533918000001</v>
      </c>
      <c r="N393" s="190">
        <f t="shared" si="52"/>
        <v>20503.533918000001</v>
      </c>
      <c r="O393" s="264">
        <f t="shared" si="48"/>
        <v>0</v>
      </c>
      <c r="P393" s="264">
        <f t="shared" si="48"/>
        <v>292.5</v>
      </c>
      <c r="Q393" s="166">
        <v>4200</v>
      </c>
      <c r="R393" s="166">
        <v>1161</v>
      </c>
      <c r="S393" s="182">
        <f t="shared" si="53"/>
        <v>0</v>
      </c>
      <c r="T393" s="339">
        <v>0.40071660079051385</v>
      </c>
    </row>
    <row r="394" spans="1:20" x14ac:dyDescent="0.2">
      <c r="A394" s="153">
        <v>2033</v>
      </c>
      <c r="B394" s="153">
        <v>9</v>
      </c>
      <c r="D394" s="173">
        <v>14.833284252563356</v>
      </c>
      <c r="E394" s="281">
        <f t="shared" si="49"/>
        <v>15.614284583129361</v>
      </c>
      <c r="F394" s="173"/>
      <c r="G394" s="173">
        <v>30.52</v>
      </c>
      <c r="H394" s="154">
        <v>138.88708321999999</v>
      </c>
      <c r="I394" s="190">
        <f t="shared" si="50"/>
        <v>138.88708321999999</v>
      </c>
      <c r="J394" s="190">
        <f t="shared" si="51"/>
        <v>55.654359881627613</v>
      </c>
      <c r="K394" s="246">
        <v>24317</v>
      </c>
      <c r="L394" s="248">
        <f t="shared" si="44"/>
        <v>24377</v>
      </c>
      <c r="M394" s="164">
        <v>20503.533918000001</v>
      </c>
      <c r="N394" s="190">
        <f t="shared" si="52"/>
        <v>20503.533918000001</v>
      </c>
      <c r="O394" s="264">
        <f t="shared" si="48"/>
        <v>43.5</v>
      </c>
      <c r="P394" s="264">
        <f t="shared" si="48"/>
        <v>138.5</v>
      </c>
      <c r="Q394" s="166">
        <v>4200</v>
      </c>
      <c r="R394" s="166">
        <v>1161</v>
      </c>
      <c r="S394" s="182">
        <f t="shared" si="53"/>
        <v>0</v>
      </c>
      <c r="T394" s="339">
        <v>0.40071660079051385</v>
      </c>
    </row>
    <row r="395" spans="1:20" x14ac:dyDescent="0.2">
      <c r="A395" s="153">
        <v>2033</v>
      </c>
      <c r="B395" s="153">
        <v>10</v>
      </c>
      <c r="D395" s="173">
        <v>14.833284252563356</v>
      </c>
      <c r="E395" s="281">
        <f t="shared" si="49"/>
        <v>15.614284583129361</v>
      </c>
      <c r="F395" s="173"/>
      <c r="G395" s="173">
        <v>29.62</v>
      </c>
      <c r="H395" s="154">
        <v>138.88708321999999</v>
      </c>
      <c r="I395" s="190">
        <f t="shared" si="50"/>
        <v>138.88708321999999</v>
      </c>
      <c r="J395" s="190">
        <f t="shared" si="51"/>
        <v>55.674332904334314</v>
      </c>
      <c r="K395" s="246">
        <v>24314</v>
      </c>
      <c r="L395" s="248">
        <f t="shared" ref="L395:L458" si="54">L394-1</f>
        <v>24376</v>
      </c>
      <c r="M395" s="164">
        <v>20503.533918000001</v>
      </c>
      <c r="N395" s="190">
        <f t="shared" si="52"/>
        <v>20503.533918000001</v>
      </c>
      <c r="O395" s="264">
        <f t="shared" si="48"/>
        <v>259.5</v>
      </c>
      <c r="P395" s="264">
        <f t="shared" si="48"/>
        <v>8</v>
      </c>
      <c r="Q395" s="166">
        <v>4200</v>
      </c>
      <c r="R395" s="166">
        <v>1161</v>
      </c>
      <c r="S395" s="182">
        <f t="shared" si="53"/>
        <v>0</v>
      </c>
      <c r="T395" s="339">
        <v>0.4008604084236187</v>
      </c>
    </row>
    <row r="396" spans="1:20" x14ac:dyDescent="0.2">
      <c r="A396" s="153">
        <v>2033</v>
      </c>
      <c r="B396" s="153">
        <v>11</v>
      </c>
      <c r="D396" s="173">
        <v>14.833284252563356</v>
      </c>
      <c r="E396" s="281">
        <f t="shared" si="49"/>
        <v>15.614284583129361</v>
      </c>
      <c r="F396" s="173"/>
      <c r="G396" s="173">
        <v>29.95</v>
      </c>
      <c r="H396" s="154">
        <v>138.88708321999999</v>
      </c>
      <c r="I396" s="190">
        <f t="shared" si="50"/>
        <v>138.88708321999999</v>
      </c>
      <c r="J396" s="190">
        <f t="shared" si="51"/>
        <v>55.674332904334314</v>
      </c>
      <c r="K396" s="246">
        <v>24311</v>
      </c>
      <c r="L396" s="248">
        <f t="shared" si="54"/>
        <v>24375</v>
      </c>
      <c r="M396" s="164">
        <v>20503.533918000001</v>
      </c>
      <c r="N396" s="190">
        <f t="shared" si="52"/>
        <v>20503.533918000001</v>
      </c>
      <c r="O396" s="264">
        <f t="shared" si="48"/>
        <v>529.75</v>
      </c>
      <c r="P396" s="264">
        <f t="shared" si="48"/>
        <v>1</v>
      </c>
      <c r="Q396" s="166">
        <v>4200</v>
      </c>
      <c r="R396" s="166">
        <v>1161</v>
      </c>
      <c r="S396" s="182">
        <f t="shared" si="53"/>
        <v>0</v>
      </c>
      <c r="T396" s="339">
        <v>0.4008604084236187</v>
      </c>
    </row>
    <row r="397" spans="1:20" x14ac:dyDescent="0.2">
      <c r="A397" s="153">
        <v>2033</v>
      </c>
      <c r="B397" s="153">
        <v>12</v>
      </c>
      <c r="D397" s="173">
        <v>14.833284252563356</v>
      </c>
      <c r="E397" s="281">
        <f t="shared" si="49"/>
        <v>15.614284583129361</v>
      </c>
      <c r="F397" s="173"/>
      <c r="G397" s="173">
        <v>32</v>
      </c>
      <c r="H397" s="154">
        <v>138.88708321999999</v>
      </c>
      <c r="I397" s="190">
        <f t="shared" si="50"/>
        <v>138.88708321999999</v>
      </c>
      <c r="J397" s="190">
        <f t="shared" si="51"/>
        <v>55.674332904334314</v>
      </c>
      <c r="K397" s="246">
        <v>24308</v>
      </c>
      <c r="L397" s="248">
        <f t="shared" si="54"/>
        <v>24374</v>
      </c>
      <c r="M397" s="164">
        <v>20503.533918000001</v>
      </c>
      <c r="N397" s="190">
        <f t="shared" si="52"/>
        <v>20503.533918000001</v>
      </c>
      <c r="O397" s="264">
        <f t="shared" si="48"/>
        <v>719</v>
      </c>
      <c r="P397" s="264">
        <f t="shared" si="48"/>
        <v>0</v>
      </c>
      <c r="Q397" s="166">
        <v>4200</v>
      </c>
      <c r="R397" s="166">
        <v>1161</v>
      </c>
      <c r="S397" s="182">
        <f t="shared" si="53"/>
        <v>0</v>
      </c>
      <c r="T397" s="339">
        <v>0.4008604084236187</v>
      </c>
    </row>
    <row r="398" spans="1:20" x14ac:dyDescent="0.2">
      <c r="A398" s="153">
        <v>2034</v>
      </c>
      <c r="B398" s="153">
        <v>1</v>
      </c>
      <c r="D398" s="173">
        <v>15.204116358877437</v>
      </c>
      <c r="E398" s="281">
        <f t="shared" si="49"/>
        <v>15.926570274791949</v>
      </c>
      <c r="F398" s="173"/>
      <c r="G398" s="173">
        <v>31.9</v>
      </c>
      <c r="H398" s="154">
        <v>139.05809106999999</v>
      </c>
      <c r="I398" s="190">
        <f t="shared" si="50"/>
        <v>139.05809106999999</v>
      </c>
      <c r="J398" s="190">
        <f t="shared" si="51"/>
        <v>55.76183503604372</v>
      </c>
      <c r="K398" s="246">
        <v>24305</v>
      </c>
      <c r="L398" s="248">
        <f t="shared" si="54"/>
        <v>24373</v>
      </c>
      <c r="M398" s="164">
        <v>21351.38031</v>
      </c>
      <c r="N398" s="190">
        <f t="shared" si="52"/>
        <v>21351.38031</v>
      </c>
      <c r="O398" s="264">
        <f t="shared" si="48"/>
        <v>903.25</v>
      </c>
      <c r="P398" s="264">
        <f t="shared" si="48"/>
        <v>0</v>
      </c>
      <c r="Q398" s="166">
        <v>4200</v>
      </c>
      <c r="R398" s="166">
        <v>1161</v>
      </c>
      <c r="S398" s="182">
        <f t="shared" si="53"/>
        <v>0</v>
      </c>
      <c r="T398" s="339">
        <v>0.40099669574763513</v>
      </c>
    </row>
    <row r="399" spans="1:20" x14ac:dyDescent="0.2">
      <c r="A399" s="153">
        <v>2034</v>
      </c>
      <c r="B399" s="153">
        <v>2</v>
      </c>
      <c r="D399" s="173">
        <v>15.204116358877437</v>
      </c>
      <c r="E399" s="281">
        <f t="shared" si="49"/>
        <v>15.926570274791949</v>
      </c>
      <c r="F399" s="173"/>
      <c r="G399" s="173">
        <v>31.29</v>
      </c>
      <c r="H399" s="154">
        <v>139.05809106999999</v>
      </c>
      <c r="I399" s="190">
        <f t="shared" si="50"/>
        <v>139.05809106999999</v>
      </c>
      <c r="J399" s="190">
        <f t="shared" si="51"/>
        <v>55.76183503604372</v>
      </c>
      <c r="K399" s="246">
        <v>24302</v>
      </c>
      <c r="L399" s="248">
        <f t="shared" si="54"/>
        <v>24372</v>
      </c>
      <c r="M399" s="164">
        <v>21351.38031</v>
      </c>
      <c r="N399" s="190">
        <f t="shared" si="52"/>
        <v>21351.38031</v>
      </c>
      <c r="O399" s="264">
        <f t="shared" ref="O399:P414" si="55">O387</f>
        <v>652.25</v>
      </c>
      <c r="P399" s="264">
        <f t="shared" si="55"/>
        <v>0</v>
      </c>
      <c r="Q399" s="166">
        <v>4200</v>
      </c>
      <c r="R399" s="166">
        <v>1161</v>
      </c>
      <c r="S399" s="182">
        <f t="shared" si="53"/>
        <v>0</v>
      </c>
      <c r="T399" s="339">
        <v>0.40099669574763513</v>
      </c>
    </row>
    <row r="400" spans="1:20" x14ac:dyDescent="0.2">
      <c r="A400" s="153">
        <v>2034</v>
      </c>
      <c r="B400" s="153">
        <v>3</v>
      </c>
      <c r="D400" s="173">
        <v>15.204116358877437</v>
      </c>
      <c r="E400" s="281">
        <f t="shared" si="49"/>
        <v>15.926570274791949</v>
      </c>
      <c r="F400" s="173"/>
      <c r="G400" s="173">
        <v>30.33</v>
      </c>
      <c r="H400" s="154">
        <v>139.05809106999999</v>
      </c>
      <c r="I400" s="190">
        <f t="shared" si="50"/>
        <v>139.05809106999999</v>
      </c>
      <c r="J400" s="190">
        <f t="shared" si="51"/>
        <v>55.76183503604372</v>
      </c>
      <c r="K400" s="246">
        <v>24299</v>
      </c>
      <c r="L400" s="248">
        <f t="shared" si="54"/>
        <v>24371</v>
      </c>
      <c r="M400" s="164">
        <v>21351.38031</v>
      </c>
      <c r="N400" s="190">
        <f t="shared" si="52"/>
        <v>21351.38031</v>
      </c>
      <c r="O400" s="264">
        <f t="shared" si="55"/>
        <v>489.25</v>
      </c>
      <c r="P400" s="264">
        <f t="shared" si="55"/>
        <v>0</v>
      </c>
      <c r="Q400" s="166">
        <v>4200</v>
      </c>
      <c r="R400" s="166">
        <v>1161</v>
      </c>
      <c r="S400" s="182">
        <f t="shared" si="53"/>
        <v>0</v>
      </c>
      <c r="T400" s="339">
        <v>0.40099669574763513</v>
      </c>
    </row>
    <row r="401" spans="1:20" x14ac:dyDescent="0.2">
      <c r="A401" s="153">
        <v>2034</v>
      </c>
      <c r="B401" s="153">
        <v>4</v>
      </c>
      <c r="D401" s="173">
        <v>15.204116358877437</v>
      </c>
      <c r="E401" s="281">
        <f t="shared" si="49"/>
        <v>15.926570274791949</v>
      </c>
      <c r="F401" s="173"/>
      <c r="G401" s="173">
        <v>30.65</v>
      </c>
      <c r="H401" s="154">
        <v>139.05809106999999</v>
      </c>
      <c r="I401" s="190">
        <f t="shared" si="50"/>
        <v>139.05809106999999</v>
      </c>
      <c r="J401" s="190">
        <f t="shared" si="51"/>
        <v>55.781694383028743</v>
      </c>
      <c r="K401" s="246">
        <v>24296</v>
      </c>
      <c r="L401" s="248">
        <f t="shared" si="54"/>
        <v>24370</v>
      </c>
      <c r="M401" s="164">
        <v>21351.38031</v>
      </c>
      <c r="N401" s="190">
        <f t="shared" si="52"/>
        <v>21351.38031</v>
      </c>
      <c r="O401" s="264">
        <f t="shared" si="55"/>
        <v>184.25</v>
      </c>
      <c r="P401" s="264">
        <f t="shared" si="55"/>
        <v>27.25</v>
      </c>
      <c r="Q401" s="166">
        <v>4200</v>
      </c>
      <c r="R401" s="166">
        <v>1161</v>
      </c>
      <c r="S401" s="182">
        <f t="shared" si="53"/>
        <v>0</v>
      </c>
      <c r="T401" s="339">
        <v>0.4011395090627915</v>
      </c>
    </row>
    <row r="402" spans="1:20" x14ac:dyDescent="0.2">
      <c r="A402" s="153">
        <v>2034</v>
      </c>
      <c r="B402" s="153">
        <v>5</v>
      </c>
      <c r="D402" s="173">
        <v>15.204116358877437</v>
      </c>
      <c r="E402" s="281">
        <f t="shared" si="49"/>
        <v>15.926570274791949</v>
      </c>
      <c r="F402" s="173"/>
      <c r="G402" s="173">
        <v>29.71</v>
      </c>
      <c r="H402" s="154">
        <v>139.05809106999999</v>
      </c>
      <c r="I402" s="190">
        <f t="shared" si="50"/>
        <v>139.05809106999999</v>
      </c>
      <c r="J402" s="190">
        <f t="shared" si="51"/>
        <v>55.781694383028743</v>
      </c>
      <c r="K402" s="246">
        <v>24293</v>
      </c>
      <c r="L402" s="248">
        <f t="shared" si="54"/>
        <v>24369</v>
      </c>
      <c r="M402" s="164">
        <v>21351.38031</v>
      </c>
      <c r="N402" s="190">
        <f t="shared" si="52"/>
        <v>21351.38031</v>
      </c>
      <c r="O402" s="264">
        <f t="shared" si="55"/>
        <v>70</v>
      </c>
      <c r="P402" s="264">
        <f t="shared" si="55"/>
        <v>138.5</v>
      </c>
      <c r="Q402" s="166">
        <v>4200</v>
      </c>
      <c r="R402" s="166">
        <v>1161</v>
      </c>
      <c r="S402" s="182">
        <f t="shared" si="53"/>
        <v>0</v>
      </c>
      <c r="T402" s="339">
        <v>0.4011395090627915</v>
      </c>
    </row>
    <row r="403" spans="1:20" x14ac:dyDescent="0.2">
      <c r="A403" s="153">
        <v>2034</v>
      </c>
      <c r="B403" s="153">
        <v>6</v>
      </c>
      <c r="D403" s="173">
        <v>15.204116358877437</v>
      </c>
      <c r="E403" s="281">
        <f t="shared" si="49"/>
        <v>15.926570274791949</v>
      </c>
      <c r="F403" s="173"/>
      <c r="G403" s="173">
        <v>30.62</v>
      </c>
      <c r="H403" s="154">
        <v>139.05809106999999</v>
      </c>
      <c r="I403" s="190">
        <f t="shared" si="50"/>
        <v>139.05809106999999</v>
      </c>
      <c r="J403" s="190">
        <f t="shared" si="51"/>
        <v>55.781694383028743</v>
      </c>
      <c r="K403" s="246">
        <v>24290</v>
      </c>
      <c r="L403" s="248">
        <f t="shared" si="54"/>
        <v>24368</v>
      </c>
      <c r="M403" s="164">
        <v>21351.38031</v>
      </c>
      <c r="N403" s="190">
        <f t="shared" si="52"/>
        <v>21351.38031</v>
      </c>
      <c r="O403" s="264">
        <f t="shared" si="55"/>
        <v>1.25</v>
      </c>
      <c r="P403" s="264">
        <f t="shared" si="55"/>
        <v>239.5</v>
      </c>
      <c r="Q403" s="166">
        <v>4200</v>
      </c>
      <c r="R403" s="166">
        <v>1161</v>
      </c>
      <c r="S403" s="182">
        <f t="shared" si="53"/>
        <v>0</v>
      </c>
      <c r="T403" s="339">
        <v>0.4011395090627915</v>
      </c>
    </row>
    <row r="404" spans="1:20" x14ac:dyDescent="0.2">
      <c r="A404" s="153">
        <v>2034</v>
      </c>
      <c r="B404" s="153">
        <v>7</v>
      </c>
      <c r="D404" s="173">
        <v>15.204116358877437</v>
      </c>
      <c r="E404" s="281">
        <f t="shared" si="49"/>
        <v>15.926570274791949</v>
      </c>
      <c r="F404" s="173"/>
      <c r="G404" s="173">
        <v>30.81</v>
      </c>
      <c r="H404" s="154">
        <v>139.05809106999999</v>
      </c>
      <c r="I404" s="190">
        <f t="shared" si="50"/>
        <v>139.05809106999999</v>
      </c>
      <c r="J404" s="190">
        <f t="shared" si="51"/>
        <v>55.852308418814481</v>
      </c>
      <c r="K404" s="246">
        <v>24287</v>
      </c>
      <c r="L404" s="248">
        <f t="shared" si="54"/>
        <v>24367</v>
      </c>
      <c r="M404" s="164">
        <v>21351.38031</v>
      </c>
      <c r="N404" s="190">
        <f t="shared" si="52"/>
        <v>21351.38031</v>
      </c>
      <c r="O404" s="264">
        <f t="shared" si="55"/>
        <v>0</v>
      </c>
      <c r="P404" s="264">
        <f t="shared" si="55"/>
        <v>391</v>
      </c>
      <c r="Q404" s="166">
        <v>4200</v>
      </c>
      <c r="R404" s="166">
        <v>1161</v>
      </c>
      <c r="S404" s="182">
        <f t="shared" si="53"/>
        <v>0</v>
      </c>
      <c r="T404" s="339">
        <v>0.40164731148724869</v>
      </c>
    </row>
    <row r="405" spans="1:20" x14ac:dyDescent="0.2">
      <c r="A405" s="153">
        <v>2034</v>
      </c>
      <c r="B405" s="153">
        <v>8</v>
      </c>
      <c r="D405" s="173">
        <v>15.204116358877437</v>
      </c>
      <c r="E405" s="281">
        <f t="shared" si="49"/>
        <v>15.926570274791949</v>
      </c>
      <c r="F405" s="173"/>
      <c r="G405" s="173">
        <v>29.43</v>
      </c>
      <c r="H405" s="154">
        <v>139.05809106999999</v>
      </c>
      <c r="I405" s="190">
        <f t="shared" si="50"/>
        <v>139.05809106999999</v>
      </c>
      <c r="J405" s="190">
        <f t="shared" si="51"/>
        <v>55.852308418814481</v>
      </c>
      <c r="K405" s="246">
        <v>24284</v>
      </c>
      <c r="L405" s="248">
        <f t="shared" si="54"/>
        <v>24366</v>
      </c>
      <c r="M405" s="164">
        <v>21351.38031</v>
      </c>
      <c r="N405" s="190">
        <f t="shared" si="52"/>
        <v>21351.38031</v>
      </c>
      <c r="O405" s="264">
        <f t="shared" si="55"/>
        <v>0</v>
      </c>
      <c r="P405" s="264">
        <f t="shared" si="55"/>
        <v>292.5</v>
      </c>
      <c r="Q405" s="166">
        <v>4200</v>
      </c>
      <c r="R405" s="166">
        <v>1161</v>
      </c>
      <c r="S405" s="182">
        <f t="shared" si="53"/>
        <v>0</v>
      </c>
      <c r="T405" s="339">
        <v>0.40164731148724869</v>
      </c>
    </row>
    <row r="406" spans="1:20" x14ac:dyDescent="0.2">
      <c r="A406" s="153">
        <v>2034</v>
      </c>
      <c r="B406" s="153">
        <v>9</v>
      </c>
      <c r="D406" s="173">
        <v>15.204116358877437</v>
      </c>
      <c r="E406" s="281">
        <f t="shared" si="49"/>
        <v>15.926570274791949</v>
      </c>
      <c r="F406" s="173"/>
      <c r="G406" s="173">
        <v>30.57</v>
      </c>
      <c r="H406" s="154">
        <v>139.05809106999999</v>
      </c>
      <c r="I406" s="190">
        <f t="shared" si="50"/>
        <v>139.05809106999999</v>
      </c>
      <c r="J406" s="190">
        <f t="shared" si="51"/>
        <v>55.852308418814481</v>
      </c>
      <c r="K406" s="246">
        <v>24281</v>
      </c>
      <c r="L406" s="248">
        <f t="shared" si="54"/>
        <v>24365</v>
      </c>
      <c r="M406" s="164">
        <v>21351.38031</v>
      </c>
      <c r="N406" s="190">
        <f t="shared" si="52"/>
        <v>21351.38031</v>
      </c>
      <c r="O406" s="264">
        <f t="shared" si="55"/>
        <v>43.5</v>
      </c>
      <c r="P406" s="264">
        <f t="shared" si="55"/>
        <v>138.5</v>
      </c>
      <c r="Q406" s="166">
        <v>4200</v>
      </c>
      <c r="R406" s="166">
        <v>1161</v>
      </c>
      <c r="S406" s="182">
        <f t="shared" si="53"/>
        <v>0</v>
      </c>
      <c r="T406" s="339">
        <v>0.40164731148724869</v>
      </c>
    </row>
    <row r="407" spans="1:20" x14ac:dyDescent="0.2">
      <c r="A407" s="153">
        <v>2034</v>
      </c>
      <c r="B407" s="153">
        <v>10</v>
      </c>
      <c r="D407" s="173">
        <v>15.204116358877437</v>
      </c>
      <c r="E407" s="281">
        <f t="shared" si="49"/>
        <v>15.926570274791949</v>
      </c>
      <c r="F407" s="173"/>
      <c r="G407" s="173">
        <v>29.67</v>
      </c>
      <c r="H407" s="154">
        <v>139.05809106999999</v>
      </c>
      <c r="I407" s="190">
        <f t="shared" si="50"/>
        <v>139.05809106999999</v>
      </c>
      <c r="J407" s="190">
        <f t="shared" si="51"/>
        <v>55.84427777713428</v>
      </c>
      <c r="K407" s="246">
        <v>24278</v>
      </c>
      <c r="L407" s="248">
        <f t="shared" si="54"/>
        <v>24364</v>
      </c>
      <c r="M407" s="164">
        <v>21351.38031</v>
      </c>
      <c r="N407" s="190">
        <f t="shared" si="52"/>
        <v>21351.38031</v>
      </c>
      <c r="O407" s="264">
        <f t="shared" si="55"/>
        <v>259.5</v>
      </c>
      <c r="P407" s="264">
        <f t="shared" si="55"/>
        <v>8</v>
      </c>
      <c r="Q407" s="166">
        <v>4200</v>
      </c>
      <c r="R407" s="166">
        <v>1161</v>
      </c>
      <c r="S407" s="182">
        <f t="shared" si="53"/>
        <v>0</v>
      </c>
      <c r="T407" s="339">
        <v>0.40158956122174161</v>
      </c>
    </row>
    <row r="408" spans="1:20" x14ac:dyDescent="0.2">
      <c r="A408" s="153">
        <v>2034</v>
      </c>
      <c r="B408" s="153">
        <v>11</v>
      </c>
      <c r="D408" s="173">
        <v>15.204116358877437</v>
      </c>
      <c r="E408" s="281">
        <f t="shared" si="49"/>
        <v>15.926570274791949</v>
      </c>
      <c r="F408" s="173"/>
      <c r="G408" s="173">
        <v>29.05</v>
      </c>
      <c r="H408" s="154">
        <v>139.05809106999999</v>
      </c>
      <c r="I408" s="190">
        <f t="shared" si="50"/>
        <v>139.05809106999999</v>
      </c>
      <c r="J408" s="190">
        <f t="shared" si="51"/>
        <v>55.84427777713428</v>
      </c>
      <c r="K408" s="246">
        <v>24275</v>
      </c>
      <c r="L408" s="248">
        <f t="shared" si="54"/>
        <v>24363</v>
      </c>
      <c r="M408" s="164">
        <v>21351.38031</v>
      </c>
      <c r="N408" s="190">
        <f t="shared" si="52"/>
        <v>21351.38031</v>
      </c>
      <c r="O408" s="264">
        <f t="shared" si="55"/>
        <v>529.75</v>
      </c>
      <c r="P408" s="264">
        <f t="shared" si="55"/>
        <v>1</v>
      </c>
      <c r="Q408" s="166">
        <v>4200</v>
      </c>
      <c r="R408" s="166">
        <v>1161</v>
      </c>
      <c r="S408" s="182">
        <f t="shared" si="53"/>
        <v>0</v>
      </c>
      <c r="T408" s="339">
        <v>0.40158956122174161</v>
      </c>
    </row>
    <row r="409" spans="1:20" x14ac:dyDescent="0.2">
      <c r="A409" s="153">
        <v>2034</v>
      </c>
      <c r="B409" s="153">
        <v>12</v>
      </c>
      <c r="D409" s="173">
        <v>15.204116358877437</v>
      </c>
      <c r="E409" s="281">
        <f t="shared" si="49"/>
        <v>15.926570274791949</v>
      </c>
      <c r="F409" s="173"/>
      <c r="G409" s="173">
        <v>31</v>
      </c>
      <c r="H409" s="154">
        <v>139.05809106999999</v>
      </c>
      <c r="I409" s="190">
        <f t="shared" si="50"/>
        <v>139.05809106999999</v>
      </c>
      <c r="J409" s="190">
        <f t="shared" si="51"/>
        <v>55.84427777713428</v>
      </c>
      <c r="K409" s="246">
        <v>24272</v>
      </c>
      <c r="L409" s="248">
        <f t="shared" si="54"/>
        <v>24362</v>
      </c>
      <c r="M409" s="164">
        <v>21351.38031</v>
      </c>
      <c r="N409" s="190">
        <f t="shared" si="52"/>
        <v>21351.38031</v>
      </c>
      <c r="O409" s="264">
        <f t="shared" si="55"/>
        <v>719</v>
      </c>
      <c r="P409" s="264">
        <f t="shared" si="55"/>
        <v>0</v>
      </c>
      <c r="Q409" s="166">
        <v>4200</v>
      </c>
      <c r="R409" s="166">
        <v>1161</v>
      </c>
      <c r="S409" s="182">
        <f t="shared" si="53"/>
        <v>0</v>
      </c>
      <c r="T409" s="339">
        <v>0.40158956122174161</v>
      </c>
    </row>
    <row r="410" spans="1:20" x14ac:dyDescent="0.2">
      <c r="A410" s="153">
        <v>2035</v>
      </c>
      <c r="B410" s="153">
        <v>1</v>
      </c>
      <c r="D410" s="173">
        <v>15.584219267849372</v>
      </c>
      <c r="E410" s="281">
        <f t="shared" si="49"/>
        <v>16.245101680287789</v>
      </c>
      <c r="F410" s="173"/>
      <c r="G410" s="173">
        <v>32.33</v>
      </c>
      <c r="H410" s="154">
        <v>139.23675015999999</v>
      </c>
      <c r="I410" s="190">
        <f t="shared" si="50"/>
        <v>139.23675015999999</v>
      </c>
      <c r="J410" s="190">
        <f t="shared" si="51"/>
        <v>55.931836266288336</v>
      </c>
      <c r="K410" s="246">
        <v>24269</v>
      </c>
      <c r="L410" s="248">
        <f t="shared" si="54"/>
        <v>24361</v>
      </c>
      <c r="M410" s="164">
        <v>22201.104655999996</v>
      </c>
      <c r="N410" s="190">
        <f t="shared" si="52"/>
        <v>22201.104655999996</v>
      </c>
      <c r="O410" s="264">
        <f t="shared" si="55"/>
        <v>903.25</v>
      </c>
      <c r="P410" s="264">
        <f t="shared" si="55"/>
        <v>0</v>
      </c>
      <c r="Q410" s="166">
        <v>4200</v>
      </c>
      <c r="R410" s="166">
        <v>1161</v>
      </c>
      <c r="S410" s="182">
        <f t="shared" si="53"/>
        <v>0</v>
      </c>
      <c r="T410" s="339">
        <v>0.40170311503260342</v>
      </c>
    </row>
    <row r="411" spans="1:20" x14ac:dyDescent="0.2">
      <c r="A411" s="153">
        <v>2035</v>
      </c>
      <c r="B411" s="153">
        <v>2</v>
      </c>
      <c r="D411" s="173">
        <v>15.584219267849372</v>
      </c>
      <c r="E411" s="281">
        <f t="shared" si="49"/>
        <v>16.245101680287789</v>
      </c>
      <c r="F411" s="173"/>
      <c r="G411" s="173">
        <v>29.86</v>
      </c>
      <c r="H411" s="154">
        <v>139.23675015999999</v>
      </c>
      <c r="I411" s="190">
        <f t="shared" si="50"/>
        <v>139.23675015999999</v>
      </c>
      <c r="J411" s="190">
        <f t="shared" si="51"/>
        <v>55.931836266288336</v>
      </c>
      <c r="K411" s="246">
        <v>24266</v>
      </c>
      <c r="L411" s="248">
        <f t="shared" si="54"/>
        <v>24360</v>
      </c>
      <c r="M411" s="164">
        <v>22201.104655999996</v>
      </c>
      <c r="N411" s="190">
        <f t="shared" si="52"/>
        <v>22201.104655999996</v>
      </c>
      <c r="O411" s="264">
        <f t="shared" si="55"/>
        <v>652.25</v>
      </c>
      <c r="P411" s="264">
        <f t="shared" si="55"/>
        <v>0</v>
      </c>
      <c r="Q411" s="166">
        <v>4200</v>
      </c>
      <c r="R411" s="166">
        <v>1161</v>
      </c>
      <c r="S411" s="182">
        <f t="shared" si="53"/>
        <v>0</v>
      </c>
      <c r="T411" s="339">
        <v>0.40170311503260342</v>
      </c>
    </row>
    <row r="412" spans="1:20" x14ac:dyDescent="0.2">
      <c r="A412" s="153">
        <v>2035</v>
      </c>
      <c r="B412" s="153">
        <v>3</v>
      </c>
      <c r="D412" s="173">
        <v>15.584219267849372</v>
      </c>
      <c r="E412" s="281">
        <f t="shared" si="49"/>
        <v>16.245101680287789</v>
      </c>
      <c r="F412" s="173"/>
      <c r="G412" s="173">
        <v>30.76</v>
      </c>
      <c r="H412" s="154">
        <v>139.23675015999999</v>
      </c>
      <c r="I412" s="190">
        <f t="shared" si="50"/>
        <v>139.23675015999999</v>
      </c>
      <c r="J412" s="190">
        <f t="shared" si="51"/>
        <v>55.931836266288336</v>
      </c>
      <c r="K412" s="246">
        <v>24263</v>
      </c>
      <c r="L412" s="248">
        <f t="shared" si="54"/>
        <v>24359</v>
      </c>
      <c r="M412" s="164">
        <v>22201.104655999996</v>
      </c>
      <c r="N412" s="190">
        <f t="shared" si="52"/>
        <v>22201.104655999996</v>
      </c>
      <c r="O412" s="264">
        <f t="shared" si="55"/>
        <v>489.25</v>
      </c>
      <c r="P412" s="264">
        <f t="shared" si="55"/>
        <v>0</v>
      </c>
      <c r="Q412" s="166">
        <v>4200</v>
      </c>
      <c r="R412" s="166">
        <v>1161</v>
      </c>
      <c r="S412" s="182">
        <f t="shared" si="53"/>
        <v>0</v>
      </c>
      <c r="T412" s="339">
        <v>0.40170311503260342</v>
      </c>
    </row>
    <row r="413" spans="1:20" x14ac:dyDescent="0.2">
      <c r="A413" s="153">
        <v>2035</v>
      </c>
      <c r="B413" s="153">
        <v>4</v>
      </c>
      <c r="D413" s="173">
        <v>15.584219267849372</v>
      </c>
      <c r="E413" s="281">
        <f t="shared" si="49"/>
        <v>16.245101680287789</v>
      </c>
      <c r="F413" s="173"/>
      <c r="G413" s="173">
        <v>30.38</v>
      </c>
      <c r="H413" s="154">
        <v>139.23675015999999</v>
      </c>
      <c r="I413" s="190">
        <f t="shared" si="50"/>
        <v>139.23675015999999</v>
      </c>
      <c r="J413" s="190">
        <f t="shared" si="51"/>
        <v>55.947715494917645</v>
      </c>
      <c r="K413" s="246">
        <v>24260</v>
      </c>
      <c r="L413" s="248">
        <f t="shared" si="54"/>
        <v>24358</v>
      </c>
      <c r="M413" s="164">
        <v>22201.104655999996</v>
      </c>
      <c r="N413" s="190">
        <f t="shared" si="52"/>
        <v>22201.104655999996</v>
      </c>
      <c r="O413" s="264">
        <f t="shared" si="55"/>
        <v>184.25</v>
      </c>
      <c r="P413" s="264">
        <f t="shared" si="55"/>
        <v>27.25</v>
      </c>
      <c r="Q413" s="166">
        <v>4200</v>
      </c>
      <c r="R413" s="166">
        <v>1161</v>
      </c>
      <c r="S413" s="182">
        <f t="shared" si="53"/>
        <v>0</v>
      </c>
      <c r="T413" s="339">
        <v>0.40181715984197353</v>
      </c>
    </row>
    <row r="414" spans="1:20" x14ac:dyDescent="0.2">
      <c r="A414" s="153">
        <v>2035</v>
      </c>
      <c r="B414" s="153">
        <v>5</v>
      </c>
      <c r="D414" s="173">
        <v>15.584219267849372</v>
      </c>
      <c r="E414" s="281">
        <f t="shared" si="49"/>
        <v>16.245101680287789</v>
      </c>
      <c r="F414" s="173"/>
      <c r="G414" s="173">
        <v>29.52</v>
      </c>
      <c r="H414" s="154">
        <v>139.23675015999999</v>
      </c>
      <c r="I414" s="190">
        <f t="shared" si="50"/>
        <v>139.23675015999999</v>
      </c>
      <c r="J414" s="190">
        <f t="shared" si="51"/>
        <v>55.947715494917645</v>
      </c>
      <c r="K414" s="246">
        <v>24257</v>
      </c>
      <c r="L414" s="248">
        <f t="shared" si="54"/>
        <v>24357</v>
      </c>
      <c r="M414" s="164">
        <v>22201.104655999996</v>
      </c>
      <c r="N414" s="190">
        <f t="shared" si="52"/>
        <v>22201.104655999996</v>
      </c>
      <c r="O414" s="264">
        <f t="shared" si="55"/>
        <v>70</v>
      </c>
      <c r="P414" s="264">
        <f t="shared" si="55"/>
        <v>138.5</v>
      </c>
      <c r="Q414" s="166">
        <v>4200</v>
      </c>
      <c r="R414" s="166">
        <v>1161</v>
      </c>
      <c r="S414" s="182">
        <f t="shared" si="53"/>
        <v>0</v>
      </c>
      <c r="T414" s="339">
        <v>0.40181715984197353</v>
      </c>
    </row>
    <row r="415" spans="1:20" x14ac:dyDescent="0.2">
      <c r="A415" s="153">
        <v>2035</v>
      </c>
      <c r="B415" s="153">
        <v>6</v>
      </c>
      <c r="D415" s="173">
        <v>15.584219267849372</v>
      </c>
      <c r="E415" s="281">
        <f t="shared" si="49"/>
        <v>16.245101680287789</v>
      </c>
      <c r="F415" s="173"/>
      <c r="G415" s="173">
        <v>30.62</v>
      </c>
      <c r="H415" s="154">
        <v>139.23675015999999</v>
      </c>
      <c r="I415" s="190">
        <f t="shared" si="50"/>
        <v>139.23675015999999</v>
      </c>
      <c r="J415" s="190">
        <f t="shared" si="51"/>
        <v>55.947715494917645</v>
      </c>
      <c r="K415" s="246">
        <v>24254</v>
      </c>
      <c r="L415" s="248">
        <f t="shared" si="54"/>
        <v>24356</v>
      </c>
      <c r="M415" s="164">
        <v>22201.104655999996</v>
      </c>
      <c r="N415" s="190">
        <f t="shared" si="52"/>
        <v>22201.104655999996</v>
      </c>
      <c r="O415" s="264">
        <f t="shared" ref="O415:P430" si="56">O403</f>
        <v>1.25</v>
      </c>
      <c r="P415" s="264">
        <f t="shared" si="56"/>
        <v>239.5</v>
      </c>
      <c r="Q415" s="166">
        <v>4200</v>
      </c>
      <c r="R415" s="166">
        <v>1161</v>
      </c>
      <c r="S415" s="182">
        <f t="shared" si="53"/>
        <v>0</v>
      </c>
      <c r="T415" s="339">
        <v>0.40181715984197353</v>
      </c>
    </row>
    <row r="416" spans="1:20" x14ac:dyDescent="0.2">
      <c r="A416" s="153">
        <v>2035</v>
      </c>
      <c r="B416" s="153">
        <v>7</v>
      </c>
      <c r="D416" s="173">
        <v>15.584219267849372</v>
      </c>
      <c r="E416" s="281">
        <f t="shared" si="49"/>
        <v>16.245101680287789</v>
      </c>
      <c r="F416" s="173"/>
      <c r="G416" s="173">
        <v>30.76</v>
      </c>
      <c r="H416" s="154">
        <v>139.23675015999999</v>
      </c>
      <c r="I416" s="190">
        <f t="shared" si="50"/>
        <v>139.23675015999999</v>
      </c>
      <c r="J416" s="190">
        <f t="shared" si="51"/>
        <v>55.963488764315429</v>
      </c>
      <c r="K416" s="246">
        <v>24251</v>
      </c>
      <c r="L416" s="248">
        <f t="shared" si="54"/>
        <v>24355</v>
      </c>
      <c r="M416" s="164">
        <v>22201.104655999996</v>
      </c>
      <c r="N416" s="190">
        <f t="shared" si="52"/>
        <v>22201.104655999996</v>
      </c>
      <c r="O416" s="264">
        <f t="shared" si="56"/>
        <v>0</v>
      </c>
      <c r="P416" s="264">
        <f t="shared" si="56"/>
        <v>391</v>
      </c>
      <c r="Q416" s="166">
        <v>4200</v>
      </c>
      <c r="R416" s="166">
        <v>1161</v>
      </c>
      <c r="S416" s="182">
        <f t="shared" si="53"/>
        <v>0</v>
      </c>
      <c r="T416" s="339">
        <v>0.40193044365087927</v>
      </c>
    </row>
    <row r="417" spans="1:20" x14ac:dyDescent="0.2">
      <c r="A417" s="153">
        <v>2035</v>
      </c>
      <c r="B417" s="153">
        <v>8</v>
      </c>
      <c r="D417" s="173">
        <v>15.584219267849372</v>
      </c>
      <c r="E417" s="281">
        <f t="shared" si="49"/>
        <v>16.245101680287789</v>
      </c>
      <c r="F417" s="173"/>
      <c r="G417" s="173">
        <v>29.48</v>
      </c>
      <c r="H417" s="154">
        <v>139.23675015999999</v>
      </c>
      <c r="I417" s="190">
        <f t="shared" si="50"/>
        <v>139.23675015999999</v>
      </c>
      <c r="J417" s="190">
        <f t="shared" si="51"/>
        <v>55.963488764315429</v>
      </c>
      <c r="K417" s="246">
        <v>24248</v>
      </c>
      <c r="L417" s="248">
        <f t="shared" si="54"/>
        <v>24354</v>
      </c>
      <c r="M417" s="164">
        <v>22201.104655999996</v>
      </c>
      <c r="N417" s="190">
        <f t="shared" si="52"/>
        <v>22201.104655999996</v>
      </c>
      <c r="O417" s="264">
        <f t="shared" si="56"/>
        <v>0</v>
      </c>
      <c r="P417" s="264">
        <f t="shared" si="56"/>
        <v>292.5</v>
      </c>
      <c r="Q417" s="166">
        <v>4200</v>
      </c>
      <c r="R417" s="166">
        <v>1161</v>
      </c>
      <c r="S417" s="182">
        <f t="shared" si="53"/>
        <v>0</v>
      </c>
      <c r="T417" s="339">
        <v>0.40193044365087927</v>
      </c>
    </row>
    <row r="418" spans="1:20" x14ac:dyDescent="0.2">
      <c r="A418" s="153">
        <v>2035</v>
      </c>
      <c r="B418" s="153">
        <v>9</v>
      </c>
      <c r="D418" s="173">
        <v>15.584219267849372</v>
      </c>
      <c r="E418" s="281">
        <f t="shared" si="49"/>
        <v>16.245101680287789</v>
      </c>
      <c r="F418" s="173"/>
      <c r="G418" s="173">
        <v>30.57</v>
      </c>
      <c r="H418" s="154">
        <v>139.23675015999999</v>
      </c>
      <c r="I418" s="190">
        <f t="shared" si="50"/>
        <v>139.23675015999999</v>
      </c>
      <c r="J418" s="190">
        <f t="shared" si="51"/>
        <v>55.963488764315429</v>
      </c>
      <c r="K418" s="246">
        <v>24245</v>
      </c>
      <c r="L418" s="248">
        <f t="shared" si="54"/>
        <v>24353</v>
      </c>
      <c r="M418" s="164">
        <v>22201.104655999996</v>
      </c>
      <c r="N418" s="190">
        <f t="shared" si="52"/>
        <v>22201.104655999996</v>
      </c>
      <c r="O418" s="264">
        <f t="shared" si="56"/>
        <v>43.5</v>
      </c>
      <c r="P418" s="264">
        <f t="shared" si="56"/>
        <v>138.5</v>
      </c>
      <c r="Q418" s="166">
        <v>4200</v>
      </c>
      <c r="R418" s="166">
        <v>1161</v>
      </c>
      <c r="S418" s="182">
        <f t="shared" si="53"/>
        <v>0</v>
      </c>
      <c r="T418" s="339">
        <v>0.40193044365087927</v>
      </c>
    </row>
    <row r="419" spans="1:20" x14ac:dyDescent="0.2">
      <c r="A419" s="153">
        <v>2035</v>
      </c>
      <c r="B419" s="153">
        <v>10</v>
      </c>
      <c r="D419" s="173">
        <v>15.584219267849372</v>
      </c>
      <c r="E419" s="281">
        <f t="shared" si="49"/>
        <v>16.245101680287789</v>
      </c>
      <c r="F419" s="173"/>
      <c r="G419" s="173">
        <v>29.67</v>
      </c>
      <c r="H419" s="154">
        <v>139.23675015999999</v>
      </c>
      <c r="I419" s="190">
        <f t="shared" si="50"/>
        <v>139.23675015999999</v>
      </c>
      <c r="J419" s="190">
        <f t="shared" si="51"/>
        <v>55.979858844140516</v>
      </c>
      <c r="K419" s="246">
        <v>24242</v>
      </c>
      <c r="L419" s="248">
        <f t="shared" si="54"/>
        <v>24352</v>
      </c>
      <c r="M419" s="164">
        <v>22201.104655999996</v>
      </c>
      <c r="N419" s="190">
        <f t="shared" si="52"/>
        <v>22201.104655999996</v>
      </c>
      <c r="O419" s="264">
        <f t="shared" si="56"/>
        <v>259.5</v>
      </c>
      <c r="P419" s="264">
        <f t="shared" si="56"/>
        <v>8</v>
      </c>
      <c r="Q419" s="166">
        <v>4200</v>
      </c>
      <c r="R419" s="166">
        <v>1161</v>
      </c>
      <c r="S419" s="182">
        <f t="shared" si="53"/>
        <v>0</v>
      </c>
      <c r="T419" s="339">
        <v>0.4020480137593907</v>
      </c>
    </row>
    <row r="420" spans="1:20" x14ac:dyDescent="0.2">
      <c r="A420" s="153">
        <v>2035</v>
      </c>
      <c r="B420" s="153">
        <v>11</v>
      </c>
      <c r="D420" s="173">
        <v>15.584219267849372</v>
      </c>
      <c r="E420" s="281">
        <f t="shared" si="49"/>
        <v>16.245101680287789</v>
      </c>
      <c r="F420" s="173"/>
      <c r="G420" s="173">
        <v>29.95</v>
      </c>
      <c r="H420" s="154">
        <v>139.23675015999999</v>
      </c>
      <c r="I420" s="190">
        <f t="shared" si="50"/>
        <v>139.23675015999999</v>
      </c>
      <c r="J420" s="190">
        <f t="shared" si="51"/>
        <v>55.979858844140516</v>
      </c>
      <c r="K420" s="246">
        <v>24239</v>
      </c>
      <c r="L420" s="248">
        <f t="shared" si="54"/>
        <v>24351</v>
      </c>
      <c r="M420" s="164">
        <v>22201.104655999996</v>
      </c>
      <c r="N420" s="190">
        <f t="shared" si="52"/>
        <v>22201.104655999996</v>
      </c>
      <c r="O420" s="264">
        <f t="shared" si="56"/>
        <v>529.75</v>
      </c>
      <c r="P420" s="264">
        <f t="shared" si="56"/>
        <v>1</v>
      </c>
      <c r="Q420" s="166">
        <v>4200</v>
      </c>
      <c r="R420" s="166">
        <v>1161</v>
      </c>
      <c r="S420" s="182">
        <f t="shared" si="53"/>
        <v>0</v>
      </c>
      <c r="T420" s="339">
        <v>0.4020480137593907</v>
      </c>
    </row>
    <row r="421" spans="1:20" x14ac:dyDescent="0.2">
      <c r="A421" s="153">
        <v>2035</v>
      </c>
      <c r="B421" s="153">
        <v>12</v>
      </c>
      <c r="D421" s="173">
        <v>15.584219267849372</v>
      </c>
      <c r="E421" s="281">
        <f t="shared" si="49"/>
        <v>16.245101680287789</v>
      </c>
      <c r="F421" s="173"/>
      <c r="G421" s="173">
        <v>31.38</v>
      </c>
      <c r="H421" s="160">
        <v>139.23675015999999</v>
      </c>
      <c r="I421" s="190">
        <f t="shared" si="50"/>
        <v>139.23675015999999</v>
      </c>
      <c r="J421" s="190">
        <f t="shared" si="51"/>
        <v>55.979858844140516</v>
      </c>
      <c r="K421" s="246">
        <v>24236</v>
      </c>
      <c r="L421" s="248">
        <f t="shared" si="54"/>
        <v>24350</v>
      </c>
      <c r="M421" s="164">
        <v>22201.104655999996</v>
      </c>
      <c r="N421" s="190">
        <f t="shared" si="52"/>
        <v>22201.104655999996</v>
      </c>
      <c r="O421" s="264">
        <f t="shared" si="56"/>
        <v>719</v>
      </c>
      <c r="P421" s="264">
        <f t="shared" si="56"/>
        <v>0</v>
      </c>
      <c r="Q421" s="166">
        <v>4200</v>
      </c>
      <c r="R421" s="166">
        <v>1161</v>
      </c>
      <c r="S421" s="182">
        <f t="shared" si="53"/>
        <v>0</v>
      </c>
      <c r="T421" s="339">
        <v>0.4020480137593907</v>
      </c>
    </row>
    <row r="422" spans="1:20" x14ac:dyDescent="0.2">
      <c r="A422" s="153">
        <v>2036</v>
      </c>
      <c r="B422" s="153">
        <v>1</v>
      </c>
      <c r="D422" s="173">
        <v>15.973824749545606</v>
      </c>
      <c r="E422" s="281">
        <f t="shared" si="49"/>
        <v>16.570003713893545</v>
      </c>
      <c r="F422" s="173"/>
      <c r="G422" s="173">
        <v>32.43</v>
      </c>
      <c r="H422" s="154">
        <v>139.40802972</v>
      </c>
      <c r="I422" s="190">
        <f t="shared" si="50"/>
        <v>139.40802972</v>
      </c>
      <c r="J422" s="190">
        <f t="shared" si="51"/>
        <v>56.066162303005989</v>
      </c>
      <c r="K422" s="246">
        <v>24233</v>
      </c>
      <c r="L422" s="248">
        <f t="shared" si="54"/>
        <v>24349</v>
      </c>
      <c r="M422" s="164">
        <v>23110.083704000001</v>
      </c>
      <c r="N422" s="190">
        <f t="shared" si="52"/>
        <v>23110.083704000001</v>
      </c>
      <c r="O422" s="264">
        <f t="shared" si="56"/>
        <v>903.25</v>
      </c>
      <c r="P422" s="264">
        <f t="shared" si="56"/>
        <v>0</v>
      </c>
      <c r="Q422" s="166">
        <v>4200</v>
      </c>
      <c r="R422" s="166">
        <v>1161</v>
      </c>
      <c r="S422" s="182">
        <f t="shared" si="53"/>
        <v>0</v>
      </c>
      <c r="T422" s="339">
        <v>0.40217312026871382</v>
      </c>
    </row>
    <row r="423" spans="1:20" x14ac:dyDescent="0.2">
      <c r="A423" s="153">
        <v>2036</v>
      </c>
      <c r="B423" s="153">
        <v>2</v>
      </c>
      <c r="D423" s="173">
        <v>15.973824749545606</v>
      </c>
      <c r="E423" s="281">
        <f t="shared" si="49"/>
        <v>16.570003713893545</v>
      </c>
      <c r="F423" s="173"/>
      <c r="G423" s="173">
        <v>29.9</v>
      </c>
      <c r="H423" s="154">
        <v>139.40802972</v>
      </c>
      <c r="I423" s="190">
        <f t="shared" si="50"/>
        <v>139.40802972</v>
      </c>
      <c r="J423" s="190">
        <f t="shared" si="51"/>
        <v>56.066162303005989</v>
      </c>
      <c r="K423" s="246">
        <v>24230</v>
      </c>
      <c r="L423" s="248">
        <f t="shared" si="54"/>
        <v>24348</v>
      </c>
      <c r="M423" s="164">
        <v>23110.083704000001</v>
      </c>
      <c r="N423" s="190">
        <f t="shared" si="52"/>
        <v>23110.083704000001</v>
      </c>
      <c r="O423" s="264">
        <f t="shared" si="56"/>
        <v>652.25</v>
      </c>
      <c r="P423" s="264">
        <f t="shared" si="56"/>
        <v>0</v>
      </c>
      <c r="Q423" s="166">
        <v>4200</v>
      </c>
      <c r="R423" s="166">
        <v>1161</v>
      </c>
      <c r="S423" s="182">
        <f t="shared" si="53"/>
        <v>0</v>
      </c>
      <c r="T423" s="339">
        <v>0.40217312026871382</v>
      </c>
    </row>
    <row r="424" spans="1:20" x14ac:dyDescent="0.2">
      <c r="A424" s="153">
        <v>2036</v>
      </c>
      <c r="B424" s="153">
        <v>3</v>
      </c>
      <c r="D424" s="173">
        <v>15.973824749545606</v>
      </c>
      <c r="E424" s="281">
        <f t="shared" si="49"/>
        <v>16.570003713893545</v>
      </c>
      <c r="F424" s="173"/>
      <c r="G424" s="173">
        <v>30.33</v>
      </c>
      <c r="H424" s="154">
        <v>139.40802972</v>
      </c>
      <c r="I424" s="190">
        <f t="shared" si="50"/>
        <v>139.40802972</v>
      </c>
      <c r="J424" s="190">
        <f t="shared" si="51"/>
        <v>56.066162303005989</v>
      </c>
      <c r="K424" s="246">
        <v>24227</v>
      </c>
      <c r="L424" s="248">
        <f t="shared" si="54"/>
        <v>24347</v>
      </c>
      <c r="M424" s="164">
        <v>23110.083704000001</v>
      </c>
      <c r="N424" s="190">
        <f t="shared" si="52"/>
        <v>23110.083704000001</v>
      </c>
      <c r="O424" s="264">
        <f t="shared" si="56"/>
        <v>489.25</v>
      </c>
      <c r="P424" s="264">
        <f t="shared" si="56"/>
        <v>0</v>
      </c>
      <c r="Q424" s="166">
        <v>4200</v>
      </c>
      <c r="R424" s="166">
        <v>1161</v>
      </c>
      <c r="S424" s="182">
        <f t="shared" si="53"/>
        <v>0</v>
      </c>
      <c r="T424" s="339">
        <v>0.40217312026871382</v>
      </c>
    </row>
    <row r="425" spans="1:20" x14ac:dyDescent="0.2">
      <c r="A425" s="153">
        <v>2036</v>
      </c>
      <c r="B425" s="153">
        <v>4</v>
      </c>
      <c r="D425" s="173">
        <v>15.973824749545606</v>
      </c>
      <c r="E425" s="281">
        <f t="shared" si="49"/>
        <v>16.570003713893545</v>
      </c>
      <c r="F425" s="173"/>
      <c r="G425" s="173">
        <v>30.29</v>
      </c>
      <c r="H425" s="154">
        <v>139.40802972</v>
      </c>
      <c r="I425" s="190">
        <f t="shared" si="50"/>
        <v>139.40802972</v>
      </c>
      <c r="J425" s="190">
        <f t="shared" si="51"/>
        <v>56.082281378105314</v>
      </c>
      <c r="K425" s="246">
        <v>24224</v>
      </c>
      <c r="L425" s="248">
        <f t="shared" si="54"/>
        <v>24346</v>
      </c>
      <c r="M425" s="164">
        <v>23110.083704000001</v>
      </c>
      <c r="N425" s="190">
        <f t="shared" si="52"/>
        <v>23110.083704000001</v>
      </c>
      <c r="O425" s="264">
        <f t="shared" si="56"/>
        <v>184.25</v>
      </c>
      <c r="P425" s="264">
        <f t="shared" si="56"/>
        <v>27.25</v>
      </c>
      <c r="Q425" s="166">
        <v>4200</v>
      </c>
      <c r="R425" s="166">
        <v>1161</v>
      </c>
      <c r="S425" s="182">
        <f t="shared" si="53"/>
        <v>0</v>
      </c>
      <c r="T425" s="339">
        <v>0.4022887454241062</v>
      </c>
    </row>
    <row r="426" spans="1:20" x14ac:dyDescent="0.2">
      <c r="A426" s="153">
        <v>2036</v>
      </c>
      <c r="B426" s="153">
        <v>5</v>
      </c>
      <c r="D426" s="173">
        <v>15.973824749545606</v>
      </c>
      <c r="E426" s="281">
        <f t="shared" si="49"/>
        <v>16.570003713893545</v>
      </c>
      <c r="F426" s="173"/>
      <c r="G426" s="173">
        <v>30.05</v>
      </c>
      <c r="H426" s="154">
        <v>139.40802972</v>
      </c>
      <c r="I426" s="190">
        <f t="shared" si="50"/>
        <v>139.40802972</v>
      </c>
      <c r="J426" s="190">
        <f t="shared" si="51"/>
        <v>56.082281378105314</v>
      </c>
      <c r="K426" s="246">
        <v>24221</v>
      </c>
      <c r="L426" s="248">
        <f t="shared" si="54"/>
        <v>24345</v>
      </c>
      <c r="M426" s="164">
        <v>23110.083704000001</v>
      </c>
      <c r="N426" s="190">
        <f t="shared" si="52"/>
        <v>23110.083704000001</v>
      </c>
      <c r="O426" s="264">
        <f t="shared" si="56"/>
        <v>70</v>
      </c>
      <c r="P426" s="264">
        <f t="shared" si="56"/>
        <v>138.5</v>
      </c>
      <c r="Q426" s="166">
        <v>4200</v>
      </c>
      <c r="R426" s="166">
        <v>1161</v>
      </c>
      <c r="S426" s="182">
        <f t="shared" si="53"/>
        <v>0</v>
      </c>
      <c r="T426" s="339">
        <v>0.4022887454241062</v>
      </c>
    </row>
    <row r="427" spans="1:20" x14ac:dyDescent="0.2">
      <c r="A427" s="153">
        <v>2036</v>
      </c>
      <c r="B427" s="153">
        <v>6</v>
      </c>
      <c r="D427" s="173">
        <v>15.973824749545606</v>
      </c>
      <c r="E427" s="281">
        <f t="shared" si="49"/>
        <v>16.570003713893545</v>
      </c>
      <c r="F427" s="173"/>
      <c r="G427" s="173">
        <v>30.67</v>
      </c>
      <c r="H427" s="154">
        <v>139.40802972</v>
      </c>
      <c r="I427" s="190">
        <f t="shared" si="50"/>
        <v>139.40802972</v>
      </c>
      <c r="J427" s="190">
        <f t="shared" si="51"/>
        <v>56.082281378105314</v>
      </c>
      <c r="K427" s="246">
        <v>24218</v>
      </c>
      <c r="L427" s="248">
        <f t="shared" si="54"/>
        <v>24344</v>
      </c>
      <c r="M427" s="164">
        <v>23110.083704000001</v>
      </c>
      <c r="N427" s="190">
        <f t="shared" si="52"/>
        <v>23110.083704000001</v>
      </c>
      <c r="O427" s="264">
        <f t="shared" si="56"/>
        <v>1.25</v>
      </c>
      <c r="P427" s="264">
        <f t="shared" si="56"/>
        <v>239.5</v>
      </c>
      <c r="Q427" s="166">
        <v>4200</v>
      </c>
      <c r="R427" s="166">
        <v>1161</v>
      </c>
      <c r="S427" s="182">
        <f t="shared" si="53"/>
        <v>0</v>
      </c>
      <c r="T427" s="339">
        <v>0.4022887454241062</v>
      </c>
    </row>
    <row r="428" spans="1:20" x14ac:dyDescent="0.2">
      <c r="A428" s="153">
        <v>2036</v>
      </c>
      <c r="B428" s="153">
        <v>7</v>
      </c>
      <c r="D428" s="173">
        <v>15.973824749545606</v>
      </c>
      <c r="E428" s="281">
        <f t="shared" si="49"/>
        <v>16.570003713893545</v>
      </c>
      <c r="F428" s="173"/>
      <c r="G428" s="173">
        <v>30.62</v>
      </c>
      <c r="H428" s="154">
        <v>139.40802972</v>
      </c>
      <c r="I428" s="190">
        <f t="shared" si="50"/>
        <v>139.40802972</v>
      </c>
      <c r="J428" s="190">
        <f t="shared" si="51"/>
        <v>56.098223299861921</v>
      </c>
      <c r="K428" s="246">
        <v>24215</v>
      </c>
      <c r="L428" s="248">
        <f t="shared" si="54"/>
        <v>24343</v>
      </c>
      <c r="M428" s="164">
        <v>23110.083704000001</v>
      </c>
      <c r="N428" s="190">
        <f t="shared" si="52"/>
        <v>23110.083704000001</v>
      </c>
      <c r="O428" s="264">
        <f t="shared" si="56"/>
        <v>0</v>
      </c>
      <c r="P428" s="264">
        <f t="shared" si="56"/>
        <v>391</v>
      </c>
      <c r="Q428" s="166">
        <v>4200</v>
      </c>
      <c r="R428" s="166">
        <v>1161</v>
      </c>
      <c r="S428" s="182">
        <f t="shared" si="53"/>
        <v>0</v>
      </c>
      <c r="T428" s="339">
        <v>0.40240309982527395</v>
      </c>
    </row>
    <row r="429" spans="1:20" x14ac:dyDescent="0.2">
      <c r="A429" s="153">
        <v>2036</v>
      </c>
      <c r="B429" s="153">
        <v>8</v>
      </c>
      <c r="D429" s="173">
        <v>15.973824749545606</v>
      </c>
      <c r="E429" s="281">
        <f t="shared" si="49"/>
        <v>16.570003713893545</v>
      </c>
      <c r="F429" s="173"/>
      <c r="G429" s="173">
        <v>29.52</v>
      </c>
      <c r="H429" s="154">
        <v>139.40802972</v>
      </c>
      <c r="I429" s="190">
        <f t="shared" si="50"/>
        <v>139.40802972</v>
      </c>
      <c r="J429" s="190">
        <f t="shared" si="51"/>
        <v>56.098223299861921</v>
      </c>
      <c r="K429" s="246">
        <v>24212</v>
      </c>
      <c r="L429" s="248">
        <f t="shared" si="54"/>
        <v>24342</v>
      </c>
      <c r="M429" s="164">
        <v>23110.083704000001</v>
      </c>
      <c r="N429" s="190">
        <f t="shared" si="52"/>
        <v>23110.083704000001</v>
      </c>
      <c r="O429" s="264">
        <f t="shared" si="56"/>
        <v>0</v>
      </c>
      <c r="P429" s="264">
        <f t="shared" si="56"/>
        <v>292.5</v>
      </c>
      <c r="Q429" s="166">
        <v>4200</v>
      </c>
      <c r="R429" s="166">
        <v>1161</v>
      </c>
      <c r="S429" s="182">
        <f t="shared" si="53"/>
        <v>0</v>
      </c>
      <c r="T429" s="339">
        <v>0.40240309982527395</v>
      </c>
    </row>
    <row r="430" spans="1:20" x14ac:dyDescent="0.2">
      <c r="A430" s="153">
        <v>2036</v>
      </c>
      <c r="B430" s="153">
        <v>9</v>
      </c>
      <c r="D430" s="173">
        <v>15.973824749545606</v>
      </c>
      <c r="E430" s="281">
        <f t="shared" si="49"/>
        <v>16.570003713893545</v>
      </c>
      <c r="F430" s="173"/>
      <c r="G430" s="173">
        <v>30.71</v>
      </c>
      <c r="H430" s="154">
        <v>139.40802972</v>
      </c>
      <c r="I430" s="190">
        <f t="shared" si="50"/>
        <v>139.40802972</v>
      </c>
      <c r="J430" s="190">
        <f t="shared" si="51"/>
        <v>56.098223299861921</v>
      </c>
      <c r="K430" s="246">
        <v>24209</v>
      </c>
      <c r="L430" s="248">
        <f t="shared" si="54"/>
        <v>24341</v>
      </c>
      <c r="M430" s="164">
        <v>23110.083704000001</v>
      </c>
      <c r="N430" s="190">
        <f t="shared" si="52"/>
        <v>23110.083704000001</v>
      </c>
      <c r="O430" s="264">
        <f t="shared" si="56"/>
        <v>43.5</v>
      </c>
      <c r="P430" s="264">
        <f t="shared" si="56"/>
        <v>138.5</v>
      </c>
      <c r="Q430" s="166">
        <v>4200</v>
      </c>
      <c r="R430" s="166">
        <v>1161</v>
      </c>
      <c r="S430" s="182">
        <f t="shared" si="53"/>
        <v>0</v>
      </c>
      <c r="T430" s="339">
        <v>0.40240309982527395</v>
      </c>
    </row>
    <row r="431" spans="1:20" x14ac:dyDescent="0.2">
      <c r="A431" s="153">
        <v>2036</v>
      </c>
      <c r="B431" s="153">
        <v>10</v>
      </c>
      <c r="D431" s="173">
        <v>15.973824749545606</v>
      </c>
      <c r="E431" s="281">
        <f t="shared" si="49"/>
        <v>16.570003713893545</v>
      </c>
      <c r="F431" s="173"/>
      <c r="G431" s="173">
        <v>29.52</v>
      </c>
      <c r="H431" s="154">
        <v>139.40802972</v>
      </c>
      <c r="I431" s="190">
        <f t="shared" si="50"/>
        <v>139.40802972</v>
      </c>
      <c r="J431" s="190">
        <f t="shared" si="51"/>
        <v>56.113735198306337</v>
      </c>
      <c r="K431" s="246">
        <v>24206</v>
      </c>
      <c r="L431" s="248">
        <f t="shared" si="54"/>
        <v>24340</v>
      </c>
      <c r="M431" s="164">
        <v>23110.083704000001</v>
      </c>
      <c r="N431" s="190">
        <f t="shared" si="52"/>
        <v>23110.083704000001</v>
      </c>
      <c r="O431" s="264">
        <f t="shared" ref="O431:P446" si="57">O419</f>
        <v>259.5</v>
      </c>
      <c r="P431" s="264">
        <f t="shared" si="57"/>
        <v>8</v>
      </c>
      <c r="Q431" s="166">
        <v>4200</v>
      </c>
      <c r="R431" s="166">
        <v>1161</v>
      </c>
      <c r="S431" s="182">
        <f t="shared" si="53"/>
        <v>0</v>
      </c>
      <c r="T431" s="339">
        <v>0.40251436958839715</v>
      </c>
    </row>
    <row r="432" spans="1:20" x14ac:dyDescent="0.2">
      <c r="A432" s="153">
        <v>2036</v>
      </c>
      <c r="B432" s="153">
        <v>11</v>
      </c>
      <c r="D432" s="173">
        <v>15.973824749545606</v>
      </c>
      <c r="E432" s="281">
        <f t="shared" si="49"/>
        <v>16.570003713893545</v>
      </c>
      <c r="F432" s="173"/>
      <c r="G432" s="173">
        <v>29.38</v>
      </c>
      <c r="H432" s="154">
        <v>139.40802972</v>
      </c>
      <c r="I432" s="190">
        <f t="shared" si="50"/>
        <v>139.40802972</v>
      </c>
      <c r="J432" s="190">
        <f t="shared" si="51"/>
        <v>56.113735198306337</v>
      </c>
      <c r="K432" s="246">
        <v>24203</v>
      </c>
      <c r="L432" s="248">
        <f t="shared" si="54"/>
        <v>24339</v>
      </c>
      <c r="M432" s="164">
        <v>23110.083704000001</v>
      </c>
      <c r="N432" s="190">
        <f t="shared" si="52"/>
        <v>23110.083704000001</v>
      </c>
      <c r="O432" s="264">
        <f t="shared" si="57"/>
        <v>529.75</v>
      </c>
      <c r="P432" s="264">
        <f t="shared" si="57"/>
        <v>1</v>
      </c>
      <c r="Q432" s="166">
        <v>4200</v>
      </c>
      <c r="R432" s="166">
        <v>1161</v>
      </c>
      <c r="S432" s="182">
        <f t="shared" si="53"/>
        <v>0</v>
      </c>
      <c r="T432" s="339">
        <v>0.40251436958839715</v>
      </c>
    </row>
    <row r="433" spans="1:20" x14ac:dyDescent="0.2">
      <c r="A433" s="153">
        <v>2036</v>
      </c>
      <c r="B433" s="153">
        <v>12</v>
      </c>
      <c r="D433" s="173">
        <v>15.973824749545606</v>
      </c>
      <c r="E433" s="281">
        <f t="shared" si="49"/>
        <v>16.570003713893545</v>
      </c>
      <c r="F433" s="173"/>
      <c r="G433" s="173">
        <v>32.81</v>
      </c>
      <c r="H433" s="154">
        <v>139.40802972</v>
      </c>
      <c r="I433" s="190">
        <f t="shared" si="50"/>
        <v>139.40802972</v>
      </c>
      <c r="J433" s="190">
        <f t="shared" si="51"/>
        <v>56.113735198306337</v>
      </c>
      <c r="K433" s="246">
        <v>24200</v>
      </c>
      <c r="L433" s="248">
        <f t="shared" si="54"/>
        <v>24338</v>
      </c>
      <c r="M433" s="164">
        <v>23110.083704000001</v>
      </c>
      <c r="N433" s="190">
        <f t="shared" si="52"/>
        <v>23110.083704000001</v>
      </c>
      <c r="O433" s="264">
        <f t="shared" si="57"/>
        <v>719</v>
      </c>
      <c r="P433" s="264">
        <f t="shared" si="57"/>
        <v>0</v>
      </c>
      <c r="Q433" s="166">
        <v>4200</v>
      </c>
      <c r="R433" s="166">
        <v>1161</v>
      </c>
      <c r="S433" s="182">
        <f t="shared" si="53"/>
        <v>0</v>
      </c>
      <c r="T433" s="339">
        <v>0.40251436958839715</v>
      </c>
    </row>
    <row r="434" spans="1:20" x14ac:dyDescent="0.2">
      <c r="A434" s="153">
        <v>2037</v>
      </c>
      <c r="B434" s="153">
        <v>1</v>
      </c>
      <c r="D434" s="173">
        <v>16.373170368284246</v>
      </c>
      <c r="E434" s="281">
        <f t="shared" si="49"/>
        <v>16.901403788171415</v>
      </c>
      <c r="F434" s="173"/>
      <c r="G434" s="173">
        <v>32.43</v>
      </c>
      <c r="H434" s="154">
        <v>139.55054196999998</v>
      </c>
      <c r="I434" s="190">
        <f t="shared" si="50"/>
        <v>139.55054196999998</v>
      </c>
      <c r="J434" s="190">
        <f t="shared" si="51"/>
        <v>56.231485221243297</v>
      </c>
      <c r="K434" s="246">
        <v>24197</v>
      </c>
      <c r="L434" s="248">
        <f t="shared" si="54"/>
        <v>24337</v>
      </c>
      <c r="M434" s="164">
        <v>24037.998131999997</v>
      </c>
      <c r="N434" s="190">
        <f t="shared" si="52"/>
        <v>24037.998131999997</v>
      </c>
      <c r="O434" s="264">
        <f t="shared" si="57"/>
        <v>903.25</v>
      </c>
      <c r="P434" s="264">
        <f t="shared" si="57"/>
        <v>0</v>
      </c>
      <c r="Q434" s="166">
        <v>4200</v>
      </c>
      <c r="R434" s="166">
        <v>1161</v>
      </c>
      <c r="S434" s="182">
        <f t="shared" si="53"/>
        <v>0</v>
      </c>
      <c r="T434" s="339">
        <v>0.40294709305630438</v>
      </c>
    </row>
    <row r="435" spans="1:20" x14ac:dyDescent="0.2">
      <c r="A435" s="153">
        <v>2037</v>
      </c>
      <c r="B435" s="153">
        <v>2</v>
      </c>
      <c r="D435" s="173">
        <v>16.373170368284246</v>
      </c>
      <c r="E435" s="281">
        <f t="shared" si="49"/>
        <v>16.901403788171415</v>
      </c>
      <c r="F435" s="173"/>
      <c r="G435" s="173">
        <v>29.9</v>
      </c>
      <c r="H435" s="154">
        <v>139.55054196999998</v>
      </c>
      <c r="I435" s="190">
        <f t="shared" si="50"/>
        <v>139.55054196999998</v>
      </c>
      <c r="J435" s="190">
        <f t="shared" si="51"/>
        <v>56.231485221243297</v>
      </c>
      <c r="K435" s="246">
        <v>24194</v>
      </c>
      <c r="L435" s="248">
        <f t="shared" si="54"/>
        <v>24336</v>
      </c>
      <c r="M435" s="164">
        <v>24037.998131999997</v>
      </c>
      <c r="N435" s="190">
        <f t="shared" si="52"/>
        <v>24037.998131999997</v>
      </c>
      <c r="O435" s="264">
        <f t="shared" si="57"/>
        <v>652.25</v>
      </c>
      <c r="P435" s="264">
        <f t="shared" si="57"/>
        <v>0</v>
      </c>
      <c r="Q435" s="166">
        <v>4200</v>
      </c>
      <c r="R435" s="166">
        <v>1161</v>
      </c>
      <c r="S435" s="182">
        <f t="shared" si="53"/>
        <v>0</v>
      </c>
      <c r="T435" s="339">
        <v>0.40294709305630438</v>
      </c>
    </row>
    <row r="436" spans="1:20" x14ac:dyDescent="0.2">
      <c r="A436" s="153">
        <v>2037</v>
      </c>
      <c r="B436" s="153">
        <v>3</v>
      </c>
      <c r="D436" s="173">
        <v>16.373170368284246</v>
      </c>
      <c r="E436" s="281">
        <f t="shared" si="49"/>
        <v>16.901403788171415</v>
      </c>
      <c r="F436" s="173"/>
      <c r="G436" s="173">
        <v>30.33</v>
      </c>
      <c r="H436" s="154">
        <v>139.55054196999998</v>
      </c>
      <c r="I436" s="190">
        <f t="shared" si="50"/>
        <v>139.55054196999998</v>
      </c>
      <c r="J436" s="190">
        <f t="shared" si="51"/>
        <v>56.231485221243297</v>
      </c>
      <c r="K436" s="246">
        <v>24191</v>
      </c>
      <c r="L436" s="248">
        <f t="shared" si="54"/>
        <v>24335</v>
      </c>
      <c r="M436" s="164">
        <v>24037.998131999997</v>
      </c>
      <c r="N436" s="190">
        <f t="shared" si="52"/>
        <v>24037.998131999997</v>
      </c>
      <c r="O436" s="264">
        <f t="shared" si="57"/>
        <v>489.25</v>
      </c>
      <c r="P436" s="264">
        <f t="shared" si="57"/>
        <v>0</v>
      </c>
      <c r="Q436" s="166">
        <v>4200</v>
      </c>
      <c r="R436" s="166">
        <v>1161</v>
      </c>
      <c r="S436" s="182">
        <f t="shared" si="53"/>
        <v>0</v>
      </c>
      <c r="T436" s="339">
        <v>0.40294709305630438</v>
      </c>
    </row>
    <row r="437" spans="1:20" x14ac:dyDescent="0.2">
      <c r="A437" s="153">
        <v>2037</v>
      </c>
      <c r="B437" s="153">
        <v>4</v>
      </c>
      <c r="D437" s="173">
        <v>16.373170368284246</v>
      </c>
      <c r="E437" s="281">
        <f t="shared" si="49"/>
        <v>16.901403788171415</v>
      </c>
      <c r="F437" s="173"/>
      <c r="G437" s="173">
        <v>30.29</v>
      </c>
      <c r="H437" s="154">
        <v>139.55054196999998</v>
      </c>
      <c r="I437" s="190">
        <f t="shared" si="50"/>
        <v>139.55054196999998</v>
      </c>
      <c r="J437" s="190">
        <f t="shared" si="51"/>
        <v>56.225288093662172</v>
      </c>
      <c r="K437" s="246">
        <v>24188</v>
      </c>
      <c r="L437" s="248">
        <f t="shared" si="54"/>
        <v>24334</v>
      </c>
      <c r="M437" s="164">
        <v>24037.998131999997</v>
      </c>
      <c r="N437" s="190">
        <f t="shared" si="52"/>
        <v>24037.998131999997</v>
      </c>
      <c r="O437" s="264">
        <f t="shared" si="57"/>
        <v>184.25</v>
      </c>
      <c r="P437" s="264">
        <f t="shared" si="57"/>
        <v>27.25</v>
      </c>
      <c r="Q437" s="166">
        <v>4200</v>
      </c>
      <c r="R437" s="166">
        <v>1161</v>
      </c>
      <c r="S437" s="182">
        <f t="shared" si="53"/>
        <v>0</v>
      </c>
      <c r="T437" s="339">
        <v>0.40290268529196582</v>
      </c>
    </row>
    <row r="438" spans="1:20" x14ac:dyDescent="0.2">
      <c r="A438" s="153">
        <v>2037</v>
      </c>
      <c r="B438" s="153">
        <v>5</v>
      </c>
      <c r="D438" s="173">
        <v>16.373170368284246</v>
      </c>
      <c r="E438" s="281">
        <f t="shared" si="49"/>
        <v>16.901403788171415</v>
      </c>
      <c r="F438" s="173"/>
      <c r="G438" s="173">
        <v>30.05</v>
      </c>
      <c r="H438" s="154">
        <v>139.55054196999998</v>
      </c>
      <c r="I438" s="190">
        <f t="shared" si="50"/>
        <v>139.55054196999998</v>
      </c>
      <c r="J438" s="190">
        <f t="shared" si="51"/>
        <v>56.225288093662172</v>
      </c>
      <c r="K438" s="246">
        <v>24185</v>
      </c>
      <c r="L438" s="248">
        <f t="shared" si="54"/>
        <v>24333</v>
      </c>
      <c r="M438" s="164">
        <v>24037.998131999997</v>
      </c>
      <c r="N438" s="190">
        <f t="shared" si="52"/>
        <v>24037.998131999997</v>
      </c>
      <c r="O438" s="264">
        <f t="shared" si="57"/>
        <v>70</v>
      </c>
      <c r="P438" s="264">
        <f t="shared" si="57"/>
        <v>138.5</v>
      </c>
      <c r="Q438" s="166">
        <v>4200</v>
      </c>
      <c r="R438" s="166">
        <v>1161</v>
      </c>
      <c r="S438" s="182">
        <f t="shared" si="53"/>
        <v>0</v>
      </c>
      <c r="T438" s="339">
        <v>0.40290268529196582</v>
      </c>
    </row>
    <row r="439" spans="1:20" x14ac:dyDescent="0.2">
      <c r="A439" s="153">
        <v>2037</v>
      </c>
      <c r="B439" s="153">
        <v>6</v>
      </c>
      <c r="D439" s="173">
        <v>16.373170368284246</v>
      </c>
      <c r="E439" s="281">
        <f t="shared" si="49"/>
        <v>16.901403788171415</v>
      </c>
      <c r="F439" s="173"/>
      <c r="G439" s="173">
        <v>30.67</v>
      </c>
      <c r="H439" s="154">
        <v>139.55054196999998</v>
      </c>
      <c r="I439" s="190">
        <f t="shared" si="50"/>
        <v>139.55054196999998</v>
      </c>
      <c r="J439" s="190">
        <f t="shared" si="51"/>
        <v>56.225288093662172</v>
      </c>
      <c r="K439" s="246">
        <v>24182</v>
      </c>
      <c r="L439" s="248">
        <f t="shared" si="54"/>
        <v>24332</v>
      </c>
      <c r="M439" s="164">
        <v>24037.998131999997</v>
      </c>
      <c r="N439" s="190">
        <f t="shared" si="52"/>
        <v>24037.998131999997</v>
      </c>
      <c r="O439" s="264">
        <f t="shared" si="57"/>
        <v>1.25</v>
      </c>
      <c r="P439" s="264">
        <f t="shared" si="57"/>
        <v>239.5</v>
      </c>
      <c r="Q439" s="166">
        <v>4200</v>
      </c>
      <c r="R439" s="166">
        <v>1161</v>
      </c>
      <c r="S439" s="182">
        <f t="shared" si="53"/>
        <v>0</v>
      </c>
      <c r="T439" s="339">
        <v>0.40290268529196582</v>
      </c>
    </row>
    <row r="440" spans="1:20" x14ac:dyDescent="0.2">
      <c r="A440" s="153">
        <v>2037</v>
      </c>
      <c r="B440" s="153">
        <v>7</v>
      </c>
      <c r="D440" s="173">
        <v>16.373170368284246</v>
      </c>
      <c r="E440" s="281">
        <f t="shared" si="49"/>
        <v>16.901403788171415</v>
      </c>
      <c r="F440" s="173"/>
      <c r="G440" s="173">
        <v>30.62</v>
      </c>
      <c r="H440" s="154">
        <v>139.55054196999998</v>
      </c>
      <c r="I440" s="190">
        <f t="shared" si="50"/>
        <v>139.55054196999998</v>
      </c>
      <c r="J440" s="190">
        <f t="shared" si="51"/>
        <v>56.233148117645847</v>
      </c>
      <c r="K440" s="246">
        <v>24179</v>
      </c>
      <c r="L440" s="248">
        <f t="shared" si="54"/>
        <v>24331</v>
      </c>
      <c r="M440" s="164">
        <v>24037.998131999997</v>
      </c>
      <c r="N440" s="190">
        <f t="shared" si="52"/>
        <v>24037.998131999997</v>
      </c>
      <c r="O440" s="264">
        <f t="shared" si="57"/>
        <v>0</v>
      </c>
      <c r="P440" s="264">
        <f t="shared" si="57"/>
        <v>391</v>
      </c>
      <c r="Q440" s="166">
        <v>4200</v>
      </c>
      <c r="R440" s="166">
        <v>1161</v>
      </c>
      <c r="S440" s="182">
        <f t="shared" si="53"/>
        <v>0</v>
      </c>
      <c r="T440" s="339">
        <v>0.40295900914332977</v>
      </c>
    </row>
    <row r="441" spans="1:20" x14ac:dyDescent="0.2">
      <c r="A441" s="153">
        <v>2037</v>
      </c>
      <c r="B441" s="153">
        <v>8</v>
      </c>
      <c r="D441" s="173">
        <v>16.373170368284246</v>
      </c>
      <c r="E441" s="281">
        <f t="shared" si="49"/>
        <v>16.901403788171415</v>
      </c>
      <c r="F441" s="173"/>
      <c r="G441" s="173">
        <v>29.52</v>
      </c>
      <c r="H441" s="154">
        <v>139.55054196999998</v>
      </c>
      <c r="I441" s="190">
        <f t="shared" si="50"/>
        <v>139.55054196999998</v>
      </c>
      <c r="J441" s="190">
        <f t="shared" si="51"/>
        <v>56.233148117645847</v>
      </c>
      <c r="K441" s="246">
        <v>24176</v>
      </c>
      <c r="L441" s="248">
        <f t="shared" si="54"/>
        <v>24330</v>
      </c>
      <c r="M441" s="164">
        <v>24037.998131999997</v>
      </c>
      <c r="N441" s="190">
        <f t="shared" si="52"/>
        <v>24037.998131999997</v>
      </c>
      <c r="O441" s="264">
        <f t="shared" si="57"/>
        <v>0</v>
      </c>
      <c r="P441" s="264">
        <f t="shared" si="57"/>
        <v>292.5</v>
      </c>
      <c r="Q441" s="166">
        <v>4200</v>
      </c>
      <c r="R441" s="166">
        <v>1161</v>
      </c>
      <c r="S441" s="182">
        <f t="shared" si="53"/>
        <v>0</v>
      </c>
      <c r="T441" s="339">
        <v>0.40295900914332977</v>
      </c>
    </row>
    <row r="442" spans="1:20" x14ac:dyDescent="0.2">
      <c r="A442" s="153">
        <v>2037</v>
      </c>
      <c r="B442" s="153">
        <v>9</v>
      </c>
      <c r="D442" s="173">
        <v>16.373170368284246</v>
      </c>
      <c r="E442" s="281">
        <f t="shared" si="49"/>
        <v>16.901403788171415</v>
      </c>
      <c r="F442" s="173"/>
      <c r="G442" s="173">
        <v>30.71</v>
      </c>
      <c r="H442" s="154">
        <v>139.55054196999998</v>
      </c>
      <c r="I442" s="190">
        <f t="shared" si="50"/>
        <v>139.55054196999998</v>
      </c>
      <c r="J442" s="190">
        <f t="shared" si="51"/>
        <v>56.233148117645847</v>
      </c>
      <c r="K442" s="246">
        <v>24173</v>
      </c>
      <c r="L442" s="248">
        <f t="shared" si="54"/>
        <v>24329</v>
      </c>
      <c r="M442" s="164">
        <v>24037.998131999997</v>
      </c>
      <c r="N442" s="190">
        <f t="shared" si="52"/>
        <v>24037.998131999997</v>
      </c>
      <c r="O442" s="264">
        <f t="shared" si="57"/>
        <v>43.5</v>
      </c>
      <c r="P442" s="264">
        <f t="shared" si="57"/>
        <v>138.5</v>
      </c>
      <c r="Q442" s="166">
        <v>4200</v>
      </c>
      <c r="R442" s="166">
        <v>1161</v>
      </c>
      <c r="S442" s="182">
        <f t="shared" si="53"/>
        <v>0</v>
      </c>
      <c r="T442" s="339">
        <v>0.40295900914332977</v>
      </c>
    </row>
    <row r="443" spans="1:20" x14ac:dyDescent="0.2">
      <c r="A443" s="153">
        <v>2037</v>
      </c>
      <c r="B443" s="153">
        <v>10</v>
      </c>
      <c r="D443" s="173">
        <v>16.373170368284246</v>
      </c>
      <c r="E443" s="281">
        <f t="shared" si="49"/>
        <v>16.901403788171415</v>
      </c>
      <c r="F443" s="173"/>
      <c r="G443" s="173">
        <v>29.52</v>
      </c>
      <c r="H443" s="154">
        <v>139.55054196999998</v>
      </c>
      <c r="I443" s="190">
        <f t="shared" si="50"/>
        <v>139.55054196999998</v>
      </c>
      <c r="J443" s="190">
        <f t="shared" si="51"/>
        <v>56.24040667936039</v>
      </c>
      <c r="K443" s="246">
        <v>24170</v>
      </c>
      <c r="L443" s="248">
        <f t="shared" si="54"/>
        <v>24328</v>
      </c>
      <c r="M443" s="164">
        <v>24037.998131999997</v>
      </c>
      <c r="N443" s="190">
        <f t="shared" si="52"/>
        <v>24037.998131999997</v>
      </c>
      <c r="O443" s="264">
        <f t="shared" si="57"/>
        <v>259.5</v>
      </c>
      <c r="P443" s="264">
        <f t="shared" si="57"/>
        <v>8</v>
      </c>
      <c r="Q443" s="166">
        <v>4200</v>
      </c>
      <c r="R443" s="166">
        <v>1161</v>
      </c>
      <c r="S443" s="182">
        <f t="shared" si="53"/>
        <v>0</v>
      </c>
      <c r="T443" s="339">
        <v>0.40301102299875502</v>
      </c>
    </row>
    <row r="444" spans="1:20" x14ac:dyDescent="0.2">
      <c r="A444" s="153">
        <v>2037</v>
      </c>
      <c r="B444" s="153">
        <v>11</v>
      </c>
      <c r="D444" s="173">
        <v>16.373170368284246</v>
      </c>
      <c r="E444" s="281">
        <f t="shared" si="49"/>
        <v>16.901403788171415</v>
      </c>
      <c r="F444" s="173"/>
      <c r="G444" s="173">
        <v>29.38</v>
      </c>
      <c r="H444" s="154">
        <v>139.55054196999998</v>
      </c>
      <c r="I444" s="190">
        <f t="shared" si="50"/>
        <v>139.55054196999998</v>
      </c>
      <c r="J444" s="190">
        <f t="shared" si="51"/>
        <v>56.24040667936039</v>
      </c>
      <c r="K444" s="246">
        <v>24167</v>
      </c>
      <c r="L444" s="248">
        <f t="shared" si="54"/>
        <v>24327</v>
      </c>
      <c r="M444" s="164">
        <v>24037.998131999997</v>
      </c>
      <c r="N444" s="190">
        <f t="shared" si="52"/>
        <v>24037.998131999997</v>
      </c>
      <c r="O444" s="264">
        <f t="shared" si="57"/>
        <v>529.75</v>
      </c>
      <c r="P444" s="264">
        <f t="shared" si="57"/>
        <v>1</v>
      </c>
      <c r="Q444" s="166">
        <v>4200</v>
      </c>
      <c r="R444" s="166">
        <v>1161</v>
      </c>
      <c r="S444" s="182">
        <f t="shared" si="53"/>
        <v>0</v>
      </c>
      <c r="T444" s="339">
        <v>0.40301102299875502</v>
      </c>
    </row>
    <row r="445" spans="1:20" x14ac:dyDescent="0.2">
      <c r="A445" s="153">
        <v>2037</v>
      </c>
      <c r="B445" s="153">
        <v>12</v>
      </c>
      <c r="D445" s="173">
        <v>16.373170368284246</v>
      </c>
      <c r="E445" s="281">
        <f t="shared" si="49"/>
        <v>16.901403788171415</v>
      </c>
      <c r="F445" s="173"/>
      <c r="G445" s="173">
        <v>32.81</v>
      </c>
      <c r="H445" s="154">
        <v>139.55054196999998</v>
      </c>
      <c r="I445" s="190">
        <f t="shared" si="50"/>
        <v>139.55054196999998</v>
      </c>
      <c r="J445" s="190">
        <f t="shared" si="51"/>
        <v>56.24040667936039</v>
      </c>
      <c r="K445" s="246">
        <v>24164</v>
      </c>
      <c r="L445" s="248">
        <f t="shared" si="54"/>
        <v>24326</v>
      </c>
      <c r="M445" s="164">
        <v>24037.998131999997</v>
      </c>
      <c r="N445" s="190">
        <f t="shared" si="52"/>
        <v>24037.998131999997</v>
      </c>
      <c r="O445" s="264">
        <f t="shared" si="57"/>
        <v>719</v>
      </c>
      <c r="P445" s="264">
        <f t="shared" si="57"/>
        <v>0</v>
      </c>
      <c r="Q445" s="166">
        <v>4200</v>
      </c>
      <c r="R445" s="166">
        <v>1161</v>
      </c>
      <c r="S445" s="182">
        <f t="shared" si="53"/>
        <v>0</v>
      </c>
      <c r="T445" s="339">
        <v>0.40301102299875502</v>
      </c>
    </row>
    <row r="446" spans="1:20" x14ac:dyDescent="0.2">
      <c r="A446" s="153">
        <v>2038</v>
      </c>
      <c r="B446" s="153">
        <v>1</v>
      </c>
      <c r="D446" s="173">
        <v>16.782499627491351</v>
      </c>
      <c r="E446" s="281">
        <f t="shared" si="49"/>
        <v>17.239431863934843</v>
      </c>
      <c r="F446" s="173"/>
      <c r="G446" s="173">
        <v>32.43</v>
      </c>
      <c r="H446" s="154">
        <v>139.64615723</v>
      </c>
      <c r="I446" s="190">
        <f t="shared" si="50"/>
        <v>139.64615723</v>
      </c>
      <c r="J446" s="190">
        <f t="shared" si="51"/>
        <v>56.28712330862696</v>
      </c>
      <c r="K446" s="246">
        <v>24161</v>
      </c>
      <c r="L446" s="248">
        <f t="shared" si="54"/>
        <v>24325</v>
      </c>
      <c r="M446" s="164">
        <v>25003.170113746608</v>
      </c>
      <c r="N446" s="190">
        <f t="shared" si="52"/>
        <v>25003.170113746608</v>
      </c>
      <c r="O446" s="264">
        <f t="shared" si="57"/>
        <v>903.25</v>
      </c>
      <c r="P446" s="264">
        <f t="shared" si="57"/>
        <v>0</v>
      </c>
      <c r="Q446" s="166">
        <v>4200</v>
      </c>
      <c r="R446" s="166">
        <v>1161</v>
      </c>
      <c r="S446" s="182">
        <f t="shared" si="53"/>
        <v>0</v>
      </c>
      <c r="T446" s="339">
        <v>0.40306961842079869</v>
      </c>
    </row>
    <row r="447" spans="1:20" x14ac:dyDescent="0.2">
      <c r="A447" s="153">
        <v>2038</v>
      </c>
      <c r="B447" s="153">
        <v>2</v>
      </c>
      <c r="D447" s="173">
        <v>16.782499627491351</v>
      </c>
      <c r="E447" s="281">
        <f t="shared" si="49"/>
        <v>17.239431863934843</v>
      </c>
      <c r="F447" s="173"/>
      <c r="G447" s="173">
        <v>29.9</v>
      </c>
      <c r="H447" s="154">
        <v>139.64615723</v>
      </c>
      <c r="I447" s="190">
        <f t="shared" si="50"/>
        <v>139.64615723</v>
      </c>
      <c r="J447" s="190">
        <f t="shared" si="51"/>
        <v>56.28712330862696</v>
      </c>
      <c r="K447" s="246">
        <v>24158</v>
      </c>
      <c r="L447" s="248">
        <f t="shared" si="54"/>
        <v>24324</v>
      </c>
      <c r="M447" s="164">
        <v>25003.170113746608</v>
      </c>
      <c r="N447" s="190">
        <f t="shared" si="52"/>
        <v>25003.170113746608</v>
      </c>
      <c r="O447" s="264">
        <f t="shared" ref="O447:P462" si="58">O435</f>
        <v>652.25</v>
      </c>
      <c r="P447" s="264">
        <f t="shared" si="58"/>
        <v>0</v>
      </c>
      <c r="Q447" s="166">
        <v>4200</v>
      </c>
      <c r="R447" s="166">
        <v>1161</v>
      </c>
      <c r="S447" s="182">
        <f t="shared" si="53"/>
        <v>0</v>
      </c>
      <c r="T447" s="339">
        <v>0.40306961842079869</v>
      </c>
    </row>
    <row r="448" spans="1:20" x14ac:dyDescent="0.2">
      <c r="A448" s="153">
        <v>2038</v>
      </c>
      <c r="B448" s="153">
        <v>3</v>
      </c>
      <c r="D448" s="173">
        <v>16.782499627491351</v>
      </c>
      <c r="E448" s="281">
        <f t="shared" si="49"/>
        <v>17.239431863934843</v>
      </c>
      <c r="F448" s="173"/>
      <c r="G448" s="173">
        <v>30.33</v>
      </c>
      <c r="H448" s="154">
        <v>139.64615723</v>
      </c>
      <c r="I448" s="190">
        <f t="shared" si="50"/>
        <v>139.64615723</v>
      </c>
      <c r="J448" s="190">
        <f t="shared" si="51"/>
        <v>56.28712330862696</v>
      </c>
      <c r="K448" s="246">
        <v>24155</v>
      </c>
      <c r="L448" s="248">
        <f t="shared" si="54"/>
        <v>24323</v>
      </c>
      <c r="M448" s="164">
        <v>25003.170113746608</v>
      </c>
      <c r="N448" s="190">
        <f t="shared" si="52"/>
        <v>25003.170113746608</v>
      </c>
      <c r="O448" s="264">
        <f t="shared" si="58"/>
        <v>489.25</v>
      </c>
      <c r="P448" s="264">
        <f t="shared" si="58"/>
        <v>0</v>
      </c>
      <c r="Q448" s="166">
        <v>4200</v>
      </c>
      <c r="R448" s="166">
        <v>1161</v>
      </c>
      <c r="S448" s="182">
        <f t="shared" si="53"/>
        <v>0</v>
      </c>
      <c r="T448" s="339">
        <v>0.40306961842079869</v>
      </c>
    </row>
    <row r="449" spans="1:20" x14ac:dyDescent="0.2">
      <c r="A449" s="153">
        <v>2038</v>
      </c>
      <c r="B449" s="153">
        <v>4</v>
      </c>
      <c r="D449" s="173">
        <v>16.782499627491351</v>
      </c>
      <c r="E449" s="281">
        <f t="shared" si="49"/>
        <v>17.239431863934843</v>
      </c>
      <c r="F449" s="173"/>
      <c r="G449" s="173">
        <v>30.29</v>
      </c>
      <c r="H449" s="154">
        <v>139.64615723</v>
      </c>
      <c r="I449" s="190">
        <f t="shared" si="50"/>
        <v>139.64615723</v>
      </c>
      <c r="J449" s="190">
        <f t="shared" si="51"/>
        <v>56.29657141794857</v>
      </c>
      <c r="K449" s="246">
        <v>24152</v>
      </c>
      <c r="L449" s="248">
        <f t="shared" si="54"/>
        <v>24322</v>
      </c>
      <c r="M449" s="164">
        <v>25003.170113746608</v>
      </c>
      <c r="N449" s="190">
        <f t="shared" si="52"/>
        <v>25003.170113746608</v>
      </c>
      <c r="O449" s="264">
        <f t="shared" si="58"/>
        <v>184.25</v>
      </c>
      <c r="P449" s="264">
        <f t="shared" si="58"/>
        <v>27.25</v>
      </c>
      <c r="Q449" s="166">
        <v>4200</v>
      </c>
      <c r="R449" s="166">
        <v>1161</v>
      </c>
      <c r="S449" s="182">
        <f t="shared" si="53"/>
        <v>0</v>
      </c>
      <c r="T449" s="339">
        <v>0.40313727591678011</v>
      </c>
    </row>
    <row r="450" spans="1:20" x14ac:dyDescent="0.2">
      <c r="A450" s="153">
        <v>2038</v>
      </c>
      <c r="B450" s="153">
        <v>5</v>
      </c>
      <c r="D450" s="173">
        <v>16.782499627491351</v>
      </c>
      <c r="E450" s="281">
        <f t="shared" si="49"/>
        <v>17.239431863934843</v>
      </c>
      <c r="F450" s="173"/>
      <c r="G450" s="173">
        <v>30.05</v>
      </c>
      <c r="H450" s="154">
        <v>139.64615723</v>
      </c>
      <c r="I450" s="190">
        <f t="shared" si="50"/>
        <v>139.64615723</v>
      </c>
      <c r="J450" s="190">
        <f t="shared" si="51"/>
        <v>56.29657141794857</v>
      </c>
      <c r="K450" s="246">
        <v>24149</v>
      </c>
      <c r="L450" s="248">
        <f t="shared" si="54"/>
        <v>24321</v>
      </c>
      <c r="M450" s="164">
        <v>25003.170113746608</v>
      </c>
      <c r="N450" s="190">
        <f t="shared" si="52"/>
        <v>25003.170113746608</v>
      </c>
      <c r="O450" s="264">
        <f t="shared" si="58"/>
        <v>70</v>
      </c>
      <c r="P450" s="264">
        <f t="shared" si="58"/>
        <v>138.5</v>
      </c>
      <c r="Q450" s="166">
        <v>4200</v>
      </c>
      <c r="R450" s="166">
        <v>1161</v>
      </c>
      <c r="S450" s="182">
        <f t="shared" si="53"/>
        <v>0</v>
      </c>
      <c r="T450" s="339">
        <v>0.40313727591678011</v>
      </c>
    </row>
    <row r="451" spans="1:20" x14ac:dyDescent="0.2">
      <c r="A451" s="153">
        <v>2038</v>
      </c>
      <c r="B451" s="153">
        <v>6</v>
      </c>
      <c r="D451" s="173">
        <v>16.782499627491351</v>
      </c>
      <c r="E451" s="281">
        <f t="shared" ref="E451:E481" si="59">E439*(1+0.02)</f>
        <v>17.239431863934843</v>
      </c>
      <c r="F451" s="173"/>
      <c r="G451" s="173">
        <v>30.67</v>
      </c>
      <c r="H451" s="154">
        <v>139.64615723</v>
      </c>
      <c r="I451" s="190">
        <f t="shared" ref="I451:I505" si="60">H451</f>
        <v>139.64615723</v>
      </c>
      <c r="J451" s="190">
        <f t="shared" ref="J451:J505" si="61">H451*T451</f>
        <v>56.29657141794857</v>
      </c>
      <c r="K451" s="246">
        <v>24146</v>
      </c>
      <c r="L451" s="248">
        <f t="shared" si="54"/>
        <v>24320</v>
      </c>
      <c r="M451" s="164">
        <v>25003.170113746608</v>
      </c>
      <c r="N451" s="190">
        <f t="shared" ref="N451:N505" si="62">M451</f>
        <v>25003.170113746608</v>
      </c>
      <c r="O451" s="264">
        <f t="shared" si="58"/>
        <v>1.25</v>
      </c>
      <c r="P451" s="264">
        <f t="shared" si="58"/>
        <v>239.5</v>
      </c>
      <c r="Q451" s="166">
        <v>4200</v>
      </c>
      <c r="R451" s="166">
        <v>1161</v>
      </c>
      <c r="S451" s="182">
        <f t="shared" ref="S451:S505" si="63">C451/K451*1000</f>
        <v>0</v>
      </c>
      <c r="T451" s="339">
        <v>0.40313727591678011</v>
      </c>
    </row>
    <row r="452" spans="1:20" x14ac:dyDescent="0.2">
      <c r="A452" s="153">
        <v>2038</v>
      </c>
      <c r="B452" s="153">
        <v>7</v>
      </c>
      <c r="D452" s="173">
        <v>16.782499627491351</v>
      </c>
      <c r="E452" s="281">
        <f t="shared" si="59"/>
        <v>17.239431863934843</v>
      </c>
      <c r="F452" s="173"/>
      <c r="G452" s="173">
        <v>30.62</v>
      </c>
      <c r="H452" s="154">
        <v>139.64615723</v>
      </c>
      <c r="I452" s="190">
        <f t="shared" si="60"/>
        <v>139.64615723</v>
      </c>
      <c r="J452" s="190">
        <f t="shared" si="61"/>
        <v>56.305279881211469</v>
      </c>
      <c r="K452" s="246">
        <v>24143</v>
      </c>
      <c r="L452" s="248">
        <f t="shared" si="54"/>
        <v>24319</v>
      </c>
      <c r="M452" s="164">
        <v>25003.170113746608</v>
      </c>
      <c r="N452" s="190">
        <f t="shared" si="62"/>
        <v>25003.170113746608</v>
      </c>
      <c r="O452" s="264">
        <f t="shared" si="58"/>
        <v>0</v>
      </c>
      <c r="P452" s="264">
        <f t="shared" si="58"/>
        <v>391</v>
      </c>
      <c r="Q452" s="166">
        <v>4200</v>
      </c>
      <c r="R452" s="166">
        <v>1161</v>
      </c>
      <c r="S452" s="182">
        <f t="shared" si="63"/>
        <v>0</v>
      </c>
      <c r="T452" s="339">
        <v>0.4031996368398133</v>
      </c>
    </row>
    <row r="453" spans="1:20" x14ac:dyDescent="0.2">
      <c r="A453" s="153">
        <v>2038</v>
      </c>
      <c r="B453" s="153">
        <v>8</v>
      </c>
      <c r="D453" s="173">
        <v>16.782499627491351</v>
      </c>
      <c r="E453" s="281">
        <f t="shared" si="59"/>
        <v>17.239431863934843</v>
      </c>
      <c r="F453" s="173"/>
      <c r="G453" s="173">
        <v>29.52</v>
      </c>
      <c r="H453" s="154">
        <v>139.64615723</v>
      </c>
      <c r="I453" s="190">
        <f t="shared" si="60"/>
        <v>139.64615723</v>
      </c>
      <c r="J453" s="190">
        <f t="shared" si="61"/>
        <v>56.305279881211469</v>
      </c>
      <c r="K453" s="246">
        <v>24140</v>
      </c>
      <c r="L453" s="248">
        <f t="shared" si="54"/>
        <v>24318</v>
      </c>
      <c r="M453" s="164">
        <v>25003.170113746608</v>
      </c>
      <c r="N453" s="190">
        <f t="shared" si="62"/>
        <v>25003.170113746608</v>
      </c>
      <c r="O453" s="264">
        <f t="shared" si="58"/>
        <v>0</v>
      </c>
      <c r="P453" s="264">
        <f t="shared" si="58"/>
        <v>292.5</v>
      </c>
      <c r="Q453" s="166">
        <v>4200</v>
      </c>
      <c r="R453" s="166">
        <v>1161</v>
      </c>
      <c r="S453" s="182">
        <f t="shared" si="63"/>
        <v>0</v>
      </c>
      <c r="T453" s="339">
        <v>0.4031996368398133</v>
      </c>
    </row>
    <row r="454" spans="1:20" x14ac:dyDescent="0.2">
      <c r="A454" s="153">
        <v>2038</v>
      </c>
      <c r="B454" s="153">
        <v>9</v>
      </c>
      <c r="D454" s="173">
        <v>16.782499627491351</v>
      </c>
      <c r="E454" s="281">
        <f t="shared" si="59"/>
        <v>17.239431863934843</v>
      </c>
      <c r="F454" s="173"/>
      <c r="G454" s="173">
        <v>30.71</v>
      </c>
      <c r="H454" s="154">
        <v>139.64615723</v>
      </c>
      <c r="I454" s="190">
        <f t="shared" si="60"/>
        <v>139.64615723</v>
      </c>
      <c r="J454" s="190">
        <f t="shared" si="61"/>
        <v>56.305279881211469</v>
      </c>
      <c r="K454" s="246">
        <v>24137</v>
      </c>
      <c r="L454" s="248">
        <f t="shared" si="54"/>
        <v>24317</v>
      </c>
      <c r="M454" s="164">
        <v>25003.170113746608</v>
      </c>
      <c r="N454" s="190">
        <f t="shared" si="62"/>
        <v>25003.170113746608</v>
      </c>
      <c r="O454" s="264">
        <f t="shared" si="58"/>
        <v>43.5</v>
      </c>
      <c r="P454" s="264">
        <f t="shared" si="58"/>
        <v>138.5</v>
      </c>
      <c r="Q454" s="166">
        <v>4200</v>
      </c>
      <c r="R454" s="166">
        <v>1161</v>
      </c>
      <c r="S454" s="182">
        <f t="shared" si="63"/>
        <v>0</v>
      </c>
      <c r="T454" s="339">
        <v>0.4031996368398133</v>
      </c>
    </row>
    <row r="455" spans="1:20" x14ac:dyDescent="0.2">
      <c r="A455" s="153">
        <v>2038</v>
      </c>
      <c r="B455" s="153">
        <v>10</v>
      </c>
      <c r="D455" s="173">
        <v>16.782499627491351</v>
      </c>
      <c r="E455" s="281">
        <f t="shared" si="59"/>
        <v>17.239431863934843</v>
      </c>
      <c r="F455" s="173"/>
      <c r="G455" s="173">
        <v>29.52</v>
      </c>
      <c r="H455" s="154">
        <v>139.64615723</v>
      </c>
      <c r="I455" s="190">
        <f t="shared" si="60"/>
        <v>139.64615723</v>
      </c>
      <c r="J455" s="190">
        <f t="shared" si="61"/>
        <v>56.313952610674917</v>
      </c>
      <c r="K455" s="246">
        <v>24134</v>
      </c>
      <c r="L455" s="248">
        <f t="shared" si="54"/>
        <v>24316</v>
      </c>
      <c r="M455" s="164">
        <v>25003.170113746608</v>
      </c>
      <c r="N455" s="190">
        <f t="shared" si="62"/>
        <v>25003.170113746608</v>
      </c>
      <c r="O455" s="264">
        <f t="shared" si="58"/>
        <v>259.5</v>
      </c>
      <c r="P455" s="264">
        <f t="shared" si="58"/>
        <v>8</v>
      </c>
      <c r="Q455" s="166">
        <v>4200</v>
      </c>
      <c r="R455" s="166">
        <v>1161</v>
      </c>
      <c r="S455" s="182">
        <f t="shared" si="63"/>
        <v>0</v>
      </c>
      <c r="T455" s="339">
        <v>0.40326174187467773</v>
      </c>
    </row>
    <row r="456" spans="1:20" x14ac:dyDescent="0.2">
      <c r="A456" s="153">
        <v>2038</v>
      </c>
      <c r="B456" s="153">
        <v>11</v>
      </c>
      <c r="D456" s="173">
        <v>16.782499627491351</v>
      </c>
      <c r="E456" s="281">
        <f t="shared" si="59"/>
        <v>17.239431863934843</v>
      </c>
      <c r="F456" s="173"/>
      <c r="G456" s="173">
        <v>29.38</v>
      </c>
      <c r="H456" s="154">
        <v>139.64615723</v>
      </c>
      <c r="I456" s="190">
        <f t="shared" si="60"/>
        <v>139.64615723</v>
      </c>
      <c r="J456" s="190">
        <f t="shared" si="61"/>
        <v>56.313952610674917</v>
      </c>
      <c r="K456" s="246">
        <v>24131</v>
      </c>
      <c r="L456" s="248">
        <f t="shared" si="54"/>
        <v>24315</v>
      </c>
      <c r="M456" s="164">
        <v>25003.170113746608</v>
      </c>
      <c r="N456" s="190">
        <f t="shared" si="62"/>
        <v>25003.170113746608</v>
      </c>
      <c r="O456" s="264">
        <f t="shared" si="58"/>
        <v>529.75</v>
      </c>
      <c r="P456" s="264">
        <f t="shared" si="58"/>
        <v>1</v>
      </c>
      <c r="Q456" s="166">
        <v>4200</v>
      </c>
      <c r="R456" s="166">
        <v>1161</v>
      </c>
      <c r="S456" s="182">
        <f t="shared" si="63"/>
        <v>0</v>
      </c>
      <c r="T456" s="339">
        <v>0.40326174187467773</v>
      </c>
    </row>
    <row r="457" spans="1:20" x14ac:dyDescent="0.2">
      <c r="A457" s="153">
        <v>2038</v>
      </c>
      <c r="B457" s="153">
        <v>12</v>
      </c>
      <c r="D457" s="173">
        <v>16.782499627491351</v>
      </c>
      <c r="E457" s="281">
        <f t="shared" si="59"/>
        <v>17.239431863934843</v>
      </c>
      <c r="F457" s="173"/>
      <c r="G457" s="173">
        <v>32.81</v>
      </c>
      <c r="H457" s="154">
        <v>139.64615723</v>
      </c>
      <c r="I457" s="190">
        <f t="shared" si="60"/>
        <v>139.64615723</v>
      </c>
      <c r="J457" s="190">
        <f t="shared" si="61"/>
        <v>56.313952610674917</v>
      </c>
      <c r="K457" s="246">
        <v>24128</v>
      </c>
      <c r="L457" s="248">
        <f t="shared" si="54"/>
        <v>24314</v>
      </c>
      <c r="M457" s="164">
        <v>25003.170113746608</v>
      </c>
      <c r="N457" s="190">
        <f t="shared" si="62"/>
        <v>25003.170113746608</v>
      </c>
      <c r="O457" s="264">
        <f t="shared" si="58"/>
        <v>719</v>
      </c>
      <c r="P457" s="264">
        <f t="shared" si="58"/>
        <v>0</v>
      </c>
      <c r="Q457" s="166">
        <v>4200</v>
      </c>
      <c r="R457" s="166">
        <v>1161</v>
      </c>
      <c r="S457" s="182">
        <f t="shared" si="63"/>
        <v>0</v>
      </c>
      <c r="T457" s="339">
        <v>0.40326174187467773</v>
      </c>
    </row>
    <row r="458" spans="1:20" x14ac:dyDescent="0.2">
      <c r="A458" s="153">
        <v>2039</v>
      </c>
      <c r="B458" s="153">
        <v>1</v>
      </c>
      <c r="D458" s="173">
        <v>17.202062118178635</v>
      </c>
      <c r="E458" s="281">
        <f t="shared" si="59"/>
        <v>17.58422050121354</v>
      </c>
      <c r="F458" s="173"/>
      <c r="G458" s="174">
        <v>32.43</v>
      </c>
      <c r="H458" s="154">
        <v>139.74177249000002</v>
      </c>
      <c r="I458" s="190">
        <f t="shared" si="60"/>
        <v>139.74177249000002</v>
      </c>
      <c r="J458" s="190">
        <f t="shared" si="61"/>
        <v>56.360341222940619</v>
      </c>
      <c r="K458" s="246">
        <v>24125</v>
      </c>
      <c r="L458" s="248">
        <f t="shared" si="54"/>
        <v>24313</v>
      </c>
      <c r="M458" s="167">
        <v>26007.095611873126</v>
      </c>
      <c r="N458" s="190">
        <f t="shared" si="62"/>
        <v>26007.095611873126</v>
      </c>
      <c r="O458" s="264">
        <f t="shared" si="58"/>
        <v>903.25</v>
      </c>
      <c r="P458" s="264">
        <f t="shared" si="58"/>
        <v>0</v>
      </c>
      <c r="Q458" s="166">
        <v>4200</v>
      </c>
      <c r="R458" s="166">
        <v>1161</v>
      </c>
      <c r="S458" s="182">
        <f t="shared" si="63"/>
        <v>0</v>
      </c>
      <c r="T458" s="339">
        <v>0.40331777834701354</v>
      </c>
    </row>
    <row r="459" spans="1:20" x14ac:dyDescent="0.2">
      <c r="A459" s="153">
        <v>2039</v>
      </c>
      <c r="B459" s="153">
        <v>2</v>
      </c>
      <c r="D459" s="173">
        <v>17.202062118178635</v>
      </c>
      <c r="E459" s="281">
        <f t="shared" si="59"/>
        <v>17.58422050121354</v>
      </c>
      <c r="F459" s="173"/>
      <c r="G459" s="174">
        <v>29.9</v>
      </c>
      <c r="H459" s="154">
        <v>139.74177249000002</v>
      </c>
      <c r="I459" s="190">
        <f t="shared" si="60"/>
        <v>139.74177249000002</v>
      </c>
      <c r="J459" s="190">
        <f t="shared" si="61"/>
        <v>56.360341222940619</v>
      </c>
      <c r="K459" s="246">
        <v>24122</v>
      </c>
      <c r="L459" s="248">
        <f t="shared" ref="L459:L505" si="64">L458-1</f>
        <v>24312</v>
      </c>
      <c r="M459" s="167">
        <v>26007.095611873126</v>
      </c>
      <c r="N459" s="190">
        <f t="shared" si="62"/>
        <v>26007.095611873126</v>
      </c>
      <c r="O459" s="264">
        <f t="shared" si="58"/>
        <v>652.25</v>
      </c>
      <c r="P459" s="264">
        <f t="shared" si="58"/>
        <v>0</v>
      </c>
      <c r="Q459" s="166">
        <v>4200</v>
      </c>
      <c r="R459" s="166">
        <v>1161</v>
      </c>
      <c r="S459" s="182">
        <f t="shared" si="63"/>
        <v>0</v>
      </c>
      <c r="T459" s="339">
        <v>0.40331777834701354</v>
      </c>
    </row>
    <row r="460" spans="1:20" x14ac:dyDescent="0.2">
      <c r="A460" s="153">
        <v>2039</v>
      </c>
      <c r="B460" s="153">
        <v>3</v>
      </c>
      <c r="D460" s="173">
        <v>17.202062118178635</v>
      </c>
      <c r="E460" s="281">
        <f t="shared" si="59"/>
        <v>17.58422050121354</v>
      </c>
      <c r="F460" s="173"/>
      <c r="G460" s="174">
        <v>30.33</v>
      </c>
      <c r="H460" s="154">
        <v>139.74177249000002</v>
      </c>
      <c r="I460" s="190">
        <f t="shared" si="60"/>
        <v>139.74177249000002</v>
      </c>
      <c r="J460" s="190">
        <f t="shared" si="61"/>
        <v>56.360341222940619</v>
      </c>
      <c r="K460" s="246">
        <v>24119</v>
      </c>
      <c r="L460" s="248">
        <f t="shared" si="64"/>
        <v>24311</v>
      </c>
      <c r="M460" s="167">
        <v>26007.095611873126</v>
      </c>
      <c r="N460" s="190">
        <f t="shared" si="62"/>
        <v>26007.095611873126</v>
      </c>
      <c r="O460" s="264">
        <f t="shared" si="58"/>
        <v>489.25</v>
      </c>
      <c r="P460" s="264">
        <f t="shared" si="58"/>
        <v>0</v>
      </c>
      <c r="Q460" s="166">
        <v>4200</v>
      </c>
      <c r="R460" s="166">
        <v>1161</v>
      </c>
      <c r="S460" s="182">
        <f t="shared" si="63"/>
        <v>0</v>
      </c>
      <c r="T460" s="339">
        <v>0.40331777834701354</v>
      </c>
    </row>
    <row r="461" spans="1:20" x14ac:dyDescent="0.2">
      <c r="A461" s="153">
        <v>2039</v>
      </c>
      <c r="B461" s="153">
        <v>4</v>
      </c>
      <c r="D461" s="173">
        <v>17.202062118178635</v>
      </c>
      <c r="E461" s="281">
        <f t="shared" si="59"/>
        <v>17.58422050121354</v>
      </c>
      <c r="F461" s="173"/>
      <c r="G461" s="174">
        <v>30.29</v>
      </c>
      <c r="H461" s="154">
        <v>139.74177249000002</v>
      </c>
      <c r="I461" s="190">
        <f t="shared" si="60"/>
        <v>139.74177249000002</v>
      </c>
      <c r="J461" s="190">
        <f t="shared" si="61"/>
        <v>56.371727342339497</v>
      </c>
      <c r="K461" s="246">
        <v>24116</v>
      </c>
      <c r="L461" s="248">
        <f t="shared" si="64"/>
        <v>24310</v>
      </c>
      <c r="M461" s="167">
        <v>26007.095611873126</v>
      </c>
      <c r="N461" s="190">
        <f t="shared" si="62"/>
        <v>26007.095611873126</v>
      </c>
      <c r="O461" s="264">
        <f t="shared" si="58"/>
        <v>184.25</v>
      </c>
      <c r="P461" s="264">
        <f t="shared" si="58"/>
        <v>27.25</v>
      </c>
      <c r="Q461" s="166">
        <v>4200</v>
      </c>
      <c r="R461" s="166">
        <v>1161</v>
      </c>
      <c r="S461" s="182">
        <f t="shared" si="63"/>
        <v>0</v>
      </c>
      <c r="T461" s="339">
        <v>0.40339925805917115</v>
      </c>
    </row>
    <row r="462" spans="1:20" x14ac:dyDescent="0.2">
      <c r="A462" s="153">
        <v>2039</v>
      </c>
      <c r="B462" s="153">
        <v>5</v>
      </c>
      <c r="D462" s="173">
        <v>17.202062118178635</v>
      </c>
      <c r="E462" s="281">
        <f t="shared" si="59"/>
        <v>17.58422050121354</v>
      </c>
      <c r="F462" s="173"/>
      <c r="G462" s="174">
        <v>30.05</v>
      </c>
      <c r="H462" s="154">
        <v>139.74177249000002</v>
      </c>
      <c r="I462" s="190">
        <f t="shared" si="60"/>
        <v>139.74177249000002</v>
      </c>
      <c r="J462" s="190">
        <f t="shared" si="61"/>
        <v>56.371727342339497</v>
      </c>
      <c r="K462" s="246">
        <v>24113</v>
      </c>
      <c r="L462" s="248">
        <f t="shared" si="64"/>
        <v>24309</v>
      </c>
      <c r="M462" s="167">
        <v>26007.095611873126</v>
      </c>
      <c r="N462" s="190">
        <f t="shared" si="62"/>
        <v>26007.095611873126</v>
      </c>
      <c r="O462" s="264">
        <f t="shared" si="58"/>
        <v>70</v>
      </c>
      <c r="P462" s="264">
        <f t="shared" si="58"/>
        <v>138.5</v>
      </c>
      <c r="Q462" s="166">
        <v>4200</v>
      </c>
      <c r="R462" s="166">
        <v>1161</v>
      </c>
      <c r="S462" s="182">
        <f t="shared" si="63"/>
        <v>0</v>
      </c>
      <c r="T462" s="339">
        <v>0.40339925805917115</v>
      </c>
    </row>
    <row r="463" spans="1:20" x14ac:dyDescent="0.2">
      <c r="A463" s="153">
        <v>2039</v>
      </c>
      <c r="B463" s="153">
        <v>6</v>
      </c>
      <c r="D463" s="173">
        <v>17.202062118178635</v>
      </c>
      <c r="E463" s="281">
        <f t="shared" si="59"/>
        <v>17.58422050121354</v>
      </c>
      <c r="F463" s="173"/>
      <c r="G463" s="174">
        <v>30.67</v>
      </c>
      <c r="H463" s="154">
        <v>139.74177249000002</v>
      </c>
      <c r="I463" s="190">
        <f t="shared" si="60"/>
        <v>139.74177249000002</v>
      </c>
      <c r="J463" s="190">
        <f t="shared" si="61"/>
        <v>56.371727342339497</v>
      </c>
      <c r="K463" s="246">
        <v>24110</v>
      </c>
      <c r="L463" s="248">
        <f t="shared" si="64"/>
        <v>24308</v>
      </c>
      <c r="M463" s="167">
        <v>26007.095611873126</v>
      </c>
      <c r="N463" s="190">
        <f t="shared" si="62"/>
        <v>26007.095611873126</v>
      </c>
      <c r="O463" s="264">
        <f t="shared" ref="O463:P478" si="65">O451</f>
        <v>1.25</v>
      </c>
      <c r="P463" s="264">
        <f t="shared" si="65"/>
        <v>239.5</v>
      </c>
      <c r="Q463" s="166">
        <v>4200</v>
      </c>
      <c r="R463" s="166">
        <v>1161</v>
      </c>
      <c r="S463" s="182">
        <f t="shared" si="63"/>
        <v>0</v>
      </c>
      <c r="T463" s="339">
        <v>0.40339925805917115</v>
      </c>
    </row>
    <row r="464" spans="1:20" x14ac:dyDescent="0.2">
      <c r="A464" s="153">
        <v>2039</v>
      </c>
      <c r="B464" s="153">
        <v>7</v>
      </c>
      <c r="D464" s="173">
        <v>17.202062118178635</v>
      </c>
      <c r="E464" s="281">
        <f t="shared" si="59"/>
        <v>17.58422050121354</v>
      </c>
      <c r="F464" s="173"/>
      <c r="G464" s="174">
        <v>30.62</v>
      </c>
      <c r="H464" s="154">
        <v>139.74177249000002</v>
      </c>
      <c r="I464" s="190">
        <f t="shared" si="60"/>
        <v>139.74177249000002</v>
      </c>
      <c r="J464" s="190">
        <f t="shared" si="61"/>
        <v>56.382442479883373</v>
      </c>
      <c r="K464" s="246">
        <v>24107</v>
      </c>
      <c r="L464" s="248">
        <f t="shared" si="64"/>
        <v>24307</v>
      </c>
      <c r="M464" s="167">
        <v>26007.095611873126</v>
      </c>
      <c r="N464" s="190">
        <f t="shared" si="62"/>
        <v>26007.095611873126</v>
      </c>
      <c r="O464" s="264">
        <f t="shared" si="65"/>
        <v>0</v>
      </c>
      <c r="P464" s="264">
        <f t="shared" si="65"/>
        <v>391</v>
      </c>
      <c r="Q464" s="166">
        <v>4200</v>
      </c>
      <c r="R464" s="166">
        <v>1161</v>
      </c>
      <c r="S464" s="182">
        <f t="shared" si="63"/>
        <v>0</v>
      </c>
      <c r="T464" s="339">
        <v>0.40347593618735678</v>
      </c>
    </row>
    <row r="465" spans="1:20" x14ac:dyDescent="0.2">
      <c r="A465" s="153">
        <v>2039</v>
      </c>
      <c r="B465" s="153">
        <v>8</v>
      </c>
      <c r="D465" s="173">
        <v>17.202062118178635</v>
      </c>
      <c r="E465" s="281">
        <f t="shared" si="59"/>
        <v>17.58422050121354</v>
      </c>
      <c r="F465" s="173"/>
      <c r="G465" s="174">
        <v>29.52</v>
      </c>
      <c r="H465" s="154">
        <v>139.74177249000002</v>
      </c>
      <c r="I465" s="190">
        <f t="shared" si="60"/>
        <v>139.74177249000002</v>
      </c>
      <c r="J465" s="190">
        <f t="shared" si="61"/>
        <v>56.382442479883373</v>
      </c>
      <c r="K465" s="246">
        <v>24104</v>
      </c>
      <c r="L465" s="248">
        <f t="shared" si="64"/>
        <v>24306</v>
      </c>
      <c r="M465" s="167">
        <v>26007.095611873126</v>
      </c>
      <c r="N465" s="190">
        <f t="shared" si="62"/>
        <v>26007.095611873126</v>
      </c>
      <c r="O465" s="264">
        <f t="shared" si="65"/>
        <v>0</v>
      </c>
      <c r="P465" s="264">
        <f t="shared" si="65"/>
        <v>292.5</v>
      </c>
      <c r="Q465" s="166">
        <v>4200</v>
      </c>
      <c r="R465" s="166">
        <v>1161</v>
      </c>
      <c r="S465" s="182">
        <f t="shared" si="63"/>
        <v>0</v>
      </c>
      <c r="T465" s="339">
        <v>0.40347593618735678</v>
      </c>
    </row>
    <row r="466" spans="1:20" x14ac:dyDescent="0.2">
      <c r="A466" s="153">
        <v>2039</v>
      </c>
      <c r="B466" s="153">
        <v>9</v>
      </c>
      <c r="D466" s="173">
        <v>17.202062118178635</v>
      </c>
      <c r="E466" s="281">
        <f t="shared" si="59"/>
        <v>17.58422050121354</v>
      </c>
      <c r="F466" s="173"/>
      <c r="G466" s="174">
        <v>30.71</v>
      </c>
      <c r="H466" s="154">
        <v>139.74177249000002</v>
      </c>
      <c r="I466" s="190">
        <f t="shared" si="60"/>
        <v>139.74177249000002</v>
      </c>
      <c r="J466" s="190">
        <f t="shared" si="61"/>
        <v>56.382442479883373</v>
      </c>
      <c r="K466" s="246">
        <v>24101</v>
      </c>
      <c r="L466" s="248">
        <f t="shared" si="64"/>
        <v>24305</v>
      </c>
      <c r="M466" s="167">
        <v>26007.095611873126</v>
      </c>
      <c r="N466" s="190">
        <f t="shared" si="62"/>
        <v>26007.095611873126</v>
      </c>
      <c r="O466" s="264">
        <f t="shared" si="65"/>
        <v>43.5</v>
      </c>
      <c r="P466" s="264">
        <f t="shared" si="65"/>
        <v>138.5</v>
      </c>
      <c r="Q466" s="166">
        <v>4200</v>
      </c>
      <c r="R466" s="166">
        <v>1161</v>
      </c>
      <c r="S466" s="182">
        <f t="shared" si="63"/>
        <v>0</v>
      </c>
      <c r="T466" s="339">
        <v>0.40347593618735678</v>
      </c>
    </row>
    <row r="467" spans="1:20" x14ac:dyDescent="0.2">
      <c r="A467" s="153">
        <v>2039</v>
      </c>
      <c r="B467" s="153">
        <v>10</v>
      </c>
      <c r="D467" s="173">
        <v>17.202062118178635</v>
      </c>
      <c r="E467" s="281">
        <f t="shared" si="59"/>
        <v>17.58422050121354</v>
      </c>
      <c r="F467" s="173"/>
      <c r="G467" s="174">
        <v>29.52</v>
      </c>
      <c r="H467" s="154">
        <v>139.74177249000002</v>
      </c>
      <c r="I467" s="190">
        <f t="shared" si="60"/>
        <v>139.74177249000002</v>
      </c>
      <c r="J467" s="190">
        <f t="shared" si="61"/>
        <v>56.392767327176983</v>
      </c>
      <c r="K467" s="246">
        <v>24098</v>
      </c>
      <c r="L467" s="248">
        <f t="shared" si="64"/>
        <v>24304</v>
      </c>
      <c r="M467" s="167">
        <v>26007.095611873126</v>
      </c>
      <c r="N467" s="190">
        <f t="shared" si="62"/>
        <v>26007.095611873126</v>
      </c>
      <c r="O467" s="264">
        <f t="shared" si="65"/>
        <v>259.5</v>
      </c>
      <c r="P467" s="264">
        <f t="shared" si="65"/>
        <v>8</v>
      </c>
      <c r="Q467" s="166">
        <v>4200</v>
      </c>
      <c r="R467" s="166">
        <v>1161</v>
      </c>
      <c r="S467" s="182">
        <f t="shared" si="63"/>
        <v>0</v>
      </c>
      <c r="T467" s="339">
        <v>0.40354982137651413</v>
      </c>
    </row>
    <row r="468" spans="1:20" x14ac:dyDescent="0.2">
      <c r="A468" s="153">
        <v>2039</v>
      </c>
      <c r="B468" s="153">
        <v>11</v>
      </c>
      <c r="D468" s="173">
        <v>17.202062118178635</v>
      </c>
      <c r="E468" s="281">
        <f t="shared" si="59"/>
        <v>17.58422050121354</v>
      </c>
      <c r="F468" s="173"/>
      <c r="G468" s="174">
        <v>29.38</v>
      </c>
      <c r="H468" s="154">
        <v>139.74177249000002</v>
      </c>
      <c r="I468" s="190">
        <f t="shared" si="60"/>
        <v>139.74177249000002</v>
      </c>
      <c r="J468" s="190">
        <f t="shared" si="61"/>
        <v>56.392767327176983</v>
      </c>
      <c r="K468" s="246">
        <v>24095</v>
      </c>
      <c r="L468" s="248">
        <f t="shared" si="64"/>
        <v>24303</v>
      </c>
      <c r="M468" s="167">
        <v>26007.095611873126</v>
      </c>
      <c r="N468" s="190">
        <f t="shared" si="62"/>
        <v>26007.095611873126</v>
      </c>
      <c r="O468" s="264">
        <f t="shared" si="65"/>
        <v>529.75</v>
      </c>
      <c r="P468" s="264">
        <f t="shared" si="65"/>
        <v>1</v>
      </c>
      <c r="Q468" s="166">
        <v>4200</v>
      </c>
      <c r="R468" s="166">
        <v>1161</v>
      </c>
      <c r="S468" s="182">
        <f t="shared" si="63"/>
        <v>0</v>
      </c>
      <c r="T468" s="339">
        <v>0.40354982137651413</v>
      </c>
    </row>
    <row r="469" spans="1:20" x14ac:dyDescent="0.2">
      <c r="A469" s="153">
        <v>2039</v>
      </c>
      <c r="B469" s="153">
        <v>12</v>
      </c>
      <c r="D469" s="173">
        <v>17.202062118178635</v>
      </c>
      <c r="E469" s="281">
        <f t="shared" si="59"/>
        <v>17.58422050121354</v>
      </c>
      <c r="F469" s="173"/>
      <c r="G469" s="174">
        <v>32.81</v>
      </c>
      <c r="H469" s="154">
        <v>139.74177249000002</v>
      </c>
      <c r="I469" s="190">
        <f t="shared" si="60"/>
        <v>139.74177249000002</v>
      </c>
      <c r="J469" s="190">
        <f t="shared" si="61"/>
        <v>56.392767327176983</v>
      </c>
      <c r="K469" s="246">
        <v>24092</v>
      </c>
      <c r="L469" s="248">
        <f t="shared" si="64"/>
        <v>24302</v>
      </c>
      <c r="M469" s="167">
        <v>26007.095611873126</v>
      </c>
      <c r="N469" s="190">
        <f t="shared" si="62"/>
        <v>26007.095611873126</v>
      </c>
      <c r="O469" s="264">
        <f t="shared" si="65"/>
        <v>719</v>
      </c>
      <c r="P469" s="264">
        <f t="shared" si="65"/>
        <v>0</v>
      </c>
      <c r="Q469" s="166">
        <v>4200</v>
      </c>
      <c r="R469" s="166">
        <v>1161</v>
      </c>
      <c r="S469" s="182">
        <f t="shared" si="63"/>
        <v>0</v>
      </c>
      <c r="T469" s="339">
        <v>0.40354982137651413</v>
      </c>
    </row>
    <row r="470" spans="1:20" x14ac:dyDescent="0.2">
      <c r="A470" s="153">
        <v>2040</v>
      </c>
      <c r="B470" s="153">
        <v>1</v>
      </c>
      <c r="D470" s="173">
        <v>17.632113671133098</v>
      </c>
      <c r="E470" s="281">
        <f t="shared" si="59"/>
        <v>17.935904911237813</v>
      </c>
      <c r="F470" s="173"/>
      <c r="G470" s="173">
        <v>32.43</v>
      </c>
      <c r="H470" s="156">
        <v>139.84</v>
      </c>
      <c r="I470" s="190">
        <f t="shared" si="60"/>
        <v>139.84</v>
      </c>
      <c r="J470" s="190">
        <f t="shared" si="61"/>
        <v>56.440495933639134</v>
      </c>
      <c r="K470" s="246">
        <v>24089</v>
      </c>
      <c r="L470" s="248">
        <f t="shared" si="64"/>
        <v>24301</v>
      </c>
      <c r="M470" s="164">
        <v>26010.095611873101</v>
      </c>
      <c r="N470" s="190">
        <f t="shared" si="62"/>
        <v>26010.095611873101</v>
      </c>
      <c r="O470" s="264">
        <f t="shared" si="65"/>
        <v>903.25</v>
      </c>
      <c r="P470" s="264">
        <f t="shared" si="65"/>
        <v>0</v>
      </c>
      <c r="Q470" s="166">
        <v>4200</v>
      </c>
      <c r="R470" s="166">
        <v>1161</v>
      </c>
      <c r="S470" s="182">
        <f t="shared" si="63"/>
        <v>0</v>
      </c>
      <c r="T470" s="339">
        <v>0.40360766542934162</v>
      </c>
    </row>
    <row r="471" spans="1:20" x14ac:dyDescent="0.2">
      <c r="A471" s="153">
        <v>2040</v>
      </c>
      <c r="B471" s="153">
        <v>2</v>
      </c>
      <c r="D471" s="173">
        <v>17.632113671133098</v>
      </c>
      <c r="E471" s="281">
        <f t="shared" si="59"/>
        <v>17.935904911237813</v>
      </c>
      <c r="F471" s="173"/>
      <c r="G471" s="173">
        <v>29.9</v>
      </c>
      <c r="H471" s="156">
        <v>139.84</v>
      </c>
      <c r="I471" s="190">
        <f t="shared" si="60"/>
        <v>139.84</v>
      </c>
      <c r="J471" s="190">
        <f t="shared" si="61"/>
        <v>56.440495933639134</v>
      </c>
      <c r="K471" s="246">
        <v>24086</v>
      </c>
      <c r="L471" s="248">
        <f t="shared" si="64"/>
        <v>24300</v>
      </c>
      <c r="M471" s="164">
        <v>26010.095611873101</v>
      </c>
      <c r="N471" s="190">
        <f t="shared" si="62"/>
        <v>26010.095611873101</v>
      </c>
      <c r="O471" s="264">
        <f t="shared" si="65"/>
        <v>652.25</v>
      </c>
      <c r="P471" s="264">
        <f t="shared" si="65"/>
        <v>0</v>
      </c>
      <c r="Q471" s="166">
        <v>4200</v>
      </c>
      <c r="R471" s="166">
        <v>1161</v>
      </c>
      <c r="S471" s="182">
        <f t="shared" si="63"/>
        <v>0</v>
      </c>
      <c r="T471" s="339">
        <v>0.40360766542934162</v>
      </c>
    </row>
    <row r="472" spans="1:20" x14ac:dyDescent="0.2">
      <c r="A472" s="153">
        <v>2040</v>
      </c>
      <c r="B472" s="153">
        <v>3</v>
      </c>
      <c r="D472" s="173">
        <v>17.632113671133098</v>
      </c>
      <c r="E472" s="281">
        <f t="shared" si="59"/>
        <v>17.935904911237813</v>
      </c>
      <c r="F472" s="173"/>
      <c r="G472" s="173">
        <v>30.33</v>
      </c>
      <c r="H472" s="156">
        <v>139.84</v>
      </c>
      <c r="I472" s="190">
        <f t="shared" si="60"/>
        <v>139.84</v>
      </c>
      <c r="J472" s="190">
        <f t="shared" si="61"/>
        <v>56.440495933639134</v>
      </c>
      <c r="K472" s="246">
        <v>24083</v>
      </c>
      <c r="L472" s="248">
        <f t="shared" si="64"/>
        <v>24299</v>
      </c>
      <c r="M472" s="164">
        <v>26010.095611873101</v>
      </c>
      <c r="N472" s="190">
        <f t="shared" si="62"/>
        <v>26010.095611873101</v>
      </c>
      <c r="O472" s="264">
        <f t="shared" si="65"/>
        <v>489.25</v>
      </c>
      <c r="P472" s="264">
        <f t="shared" si="65"/>
        <v>0</v>
      </c>
      <c r="Q472" s="166">
        <v>4200</v>
      </c>
      <c r="R472" s="166">
        <v>1161</v>
      </c>
      <c r="S472" s="182">
        <f t="shared" si="63"/>
        <v>0</v>
      </c>
      <c r="T472" s="339">
        <v>0.40360766542934162</v>
      </c>
    </row>
    <row r="473" spans="1:20" x14ac:dyDescent="0.2">
      <c r="A473" s="153">
        <v>2040</v>
      </c>
      <c r="B473" s="153">
        <v>4</v>
      </c>
      <c r="D473" s="173">
        <v>17.632113671133098</v>
      </c>
      <c r="E473" s="281">
        <f t="shared" si="59"/>
        <v>17.935904911237813</v>
      </c>
      <c r="F473" s="173"/>
      <c r="G473" s="173">
        <v>30.29</v>
      </c>
      <c r="H473" s="156">
        <v>139.84</v>
      </c>
      <c r="I473" s="190">
        <f t="shared" si="60"/>
        <v>139.84</v>
      </c>
      <c r="J473" s="190">
        <f t="shared" si="61"/>
        <v>56.450384286693101</v>
      </c>
      <c r="K473" s="246">
        <v>24080</v>
      </c>
      <c r="L473" s="248">
        <f t="shared" si="64"/>
        <v>24298</v>
      </c>
      <c r="M473" s="164">
        <v>26010.095611873101</v>
      </c>
      <c r="N473" s="190">
        <f t="shared" si="62"/>
        <v>26010.095611873101</v>
      </c>
      <c r="O473" s="264">
        <f t="shared" si="65"/>
        <v>184.25</v>
      </c>
      <c r="P473" s="264">
        <f t="shared" si="65"/>
        <v>27.25</v>
      </c>
      <c r="Q473" s="166">
        <v>4200</v>
      </c>
      <c r="R473" s="166">
        <v>1161</v>
      </c>
      <c r="S473" s="182">
        <f t="shared" si="63"/>
        <v>0</v>
      </c>
      <c r="T473" s="339">
        <v>0.40367837733619205</v>
      </c>
    </row>
    <row r="474" spans="1:20" x14ac:dyDescent="0.2">
      <c r="A474" s="153">
        <v>2040</v>
      </c>
      <c r="B474" s="153">
        <v>5</v>
      </c>
      <c r="D474" s="173">
        <v>17.632113671133098</v>
      </c>
      <c r="E474" s="281">
        <f t="shared" si="59"/>
        <v>17.935904911237813</v>
      </c>
      <c r="F474" s="173"/>
      <c r="G474" s="173">
        <v>30.05</v>
      </c>
      <c r="H474" s="156">
        <v>139.84</v>
      </c>
      <c r="I474" s="190">
        <f t="shared" si="60"/>
        <v>139.84</v>
      </c>
      <c r="J474" s="190">
        <f t="shared" si="61"/>
        <v>56.450384286693101</v>
      </c>
      <c r="K474" s="246">
        <v>24077</v>
      </c>
      <c r="L474" s="248">
        <f t="shared" si="64"/>
        <v>24297</v>
      </c>
      <c r="M474" s="164">
        <v>26010.095611873101</v>
      </c>
      <c r="N474" s="190">
        <f t="shared" si="62"/>
        <v>26010.095611873101</v>
      </c>
      <c r="O474" s="264">
        <f t="shared" si="65"/>
        <v>70</v>
      </c>
      <c r="P474" s="264">
        <f t="shared" si="65"/>
        <v>138.5</v>
      </c>
      <c r="Q474" s="166">
        <v>4200</v>
      </c>
      <c r="R474" s="166">
        <v>1161</v>
      </c>
      <c r="S474" s="182">
        <f t="shared" si="63"/>
        <v>0</v>
      </c>
      <c r="T474" s="339">
        <v>0.40367837733619205</v>
      </c>
    </row>
    <row r="475" spans="1:20" x14ac:dyDescent="0.2">
      <c r="A475" s="153">
        <v>2040</v>
      </c>
      <c r="B475" s="153">
        <v>6</v>
      </c>
      <c r="D475" s="173">
        <v>17.632113671133098</v>
      </c>
      <c r="E475" s="281">
        <f t="shared" si="59"/>
        <v>17.935904911237813</v>
      </c>
      <c r="F475" s="173"/>
      <c r="G475" s="173">
        <v>30.67</v>
      </c>
      <c r="H475" s="156">
        <v>139.84</v>
      </c>
      <c r="I475" s="190">
        <f t="shared" si="60"/>
        <v>139.84</v>
      </c>
      <c r="J475" s="190">
        <f t="shared" si="61"/>
        <v>56.450384286693101</v>
      </c>
      <c r="K475" s="246">
        <v>24074</v>
      </c>
      <c r="L475" s="248">
        <f t="shared" si="64"/>
        <v>24296</v>
      </c>
      <c r="M475" s="164">
        <v>26010.095611873101</v>
      </c>
      <c r="N475" s="190">
        <f t="shared" si="62"/>
        <v>26010.095611873101</v>
      </c>
      <c r="O475" s="264">
        <f t="shared" si="65"/>
        <v>1.25</v>
      </c>
      <c r="P475" s="264">
        <f t="shared" si="65"/>
        <v>239.5</v>
      </c>
      <c r="Q475" s="166">
        <v>4200</v>
      </c>
      <c r="R475" s="166">
        <v>1161</v>
      </c>
      <c r="S475" s="182">
        <f t="shared" si="63"/>
        <v>0</v>
      </c>
      <c r="T475" s="339">
        <v>0.40367837733619205</v>
      </c>
    </row>
    <row r="476" spans="1:20" x14ac:dyDescent="0.2">
      <c r="A476" s="153">
        <v>2040</v>
      </c>
      <c r="B476" s="153">
        <v>7</v>
      </c>
      <c r="D476" s="173">
        <v>17.632113671133098</v>
      </c>
      <c r="E476" s="281">
        <f t="shared" si="59"/>
        <v>17.935904911237813</v>
      </c>
      <c r="F476" s="173"/>
      <c r="G476" s="173">
        <v>30.62</v>
      </c>
      <c r="H476" s="156">
        <v>139.84</v>
      </c>
      <c r="I476" s="190">
        <f t="shared" si="60"/>
        <v>139.84</v>
      </c>
      <c r="J476" s="190">
        <f t="shared" si="61"/>
        <v>56.459906782178663</v>
      </c>
      <c r="K476" s="246">
        <v>24071</v>
      </c>
      <c r="L476" s="248">
        <f t="shared" si="64"/>
        <v>24295</v>
      </c>
      <c r="M476" s="164">
        <v>26010.095611873101</v>
      </c>
      <c r="N476" s="190">
        <f t="shared" si="62"/>
        <v>26010.095611873101</v>
      </c>
      <c r="O476" s="264">
        <f t="shared" si="65"/>
        <v>0</v>
      </c>
      <c r="P476" s="264">
        <f t="shared" si="65"/>
        <v>391</v>
      </c>
      <c r="Q476" s="166">
        <v>4200</v>
      </c>
      <c r="R476" s="166">
        <v>1161</v>
      </c>
      <c r="S476" s="182">
        <f t="shared" si="63"/>
        <v>0</v>
      </c>
      <c r="T476" s="339">
        <v>0.40374647298468724</v>
      </c>
    </row>
    <row r="477" spans="1:20" x14ac:dyDescent="0.2">
      <c r="A477" s="153">
        <v>2040</v>
      </c>
      <c r="B477" s="153">
        <v>8</v>
      </c>
      <c r="D477" s="173">
        <v>17.632113671133098</v>
      </c>
      <c r="E477" s="281">
        <f t="shared" si="59"/>
        <v>17.935904911237813</v>
      </c>
      <c r="F477" s="173"/>
      <c r="G477" s="173">
        <v>29.52</v>
      </c>
      <c r="H477" s="156">
        <v>139.84</v>
      </c>
      <c r="I477" s="190">
        <f t="shared" si="60"/>
        <v>139.84</v>
      </c>
      <c r="J477" s="190">
        <f t="shared" si="61"/>
        <v>56.459906782178663</v>
      </c>
      <c r="K477" s="246">
        <v>24068</v>
      </c>
      <c r="L477" s="248">
        <f t="shared" si="64"/>
        <v>24294</v>
      </c>
      <c r="M477" s="164">
        <v>26010.095611873101</v>
      </c>
      <c r="N477" s="190">
        <f t="shared" si="62"/>
        <v>26010.095611873101</v>
      </c>
      <c r="O477" s="264">
        <f t="shared" si="65"/>
        <v>0</v>
      </c>
      <c r="P477" s="264">
        <f t="shared" si="65"/>
        <v>292.5</v>
      </c>
      <c r="Q477" s="166">
        <v>4200</v>
      </c>
      <c r="R477" s="166">
        <v>1161</v>
      </c>
      <c r="S477" s="182">
        <f t="shared" si="63"/>
        <v>0</v>
      </c>
      <c r="T477" s="339">
        <v>0.40374647298468724</v>
      </c>
    </row>
    <row r="478" spans="1:20" x14ac:dyDescent="0.2">
      <c r="A478" s="153">
        <v>2040</v>
      </c>
      <c r="B478" s="153">
        <v>9</v>
      </c>
      <c r="D478" s="173">
        <v>17.632113671133098</v>
      </c>
      <c r="E478" s="281">
        <f t="shared" si="59"/>
        <v>17.935904911237813</v>
      </c>
      <c r="F478" s="173"/>
      <c r="G478" s="173">
        <v>30.71</v>
      </c>
      <c r="H478" s="156">
        <v>139.84</v>
      </c>
      <c r="I478" s="190">
        <f t="shared" si="60"/>
        <v>139.84</v>
      </c>
      <c r="J478" s="190">
        <f t="shared" si="61"/>
        <v>56.459906782178663</v>
      </c>
      <c r="K478" s="246">
        <v>24065</v>
      </c>
      <c r="L478" s="248">
        <f t="shared" si="64"/>
        <v>24293</v>
      </c>
      <c r="M478" s="164">
        <v>26010.095611873101</v>
      </c>
      <c r="N478" s="190">
        <f t="shared" si="62"/>
        <v>26010.095611873101</v>
      </c>
      <c r="O478" s="264">
        <f t="shared" si="65"/>
        <v>43.5</v>
      </c>
      <c r="P478" s="264">
        <f t="shared" si="65"/>
        <v>138.5</v>
      </c>
      <c r="Q478" s="166">
        <v>4200</v>
      </c>
      <c r="R478" s="166">
        <v>1161</v>
      </c>
      <c r="S478" s="182">
        <f t="shared" si="63"/>
        <v>0</v>
      </c>
      <c r="T478" s="339">
        <v>0.40374647298468724</v>
      </c>
    </row>
    <row r="479" spans="1:20" x14ac:dyDescent="0.2">
      <c r="A479" s="153">
        <v>2040</v>
      </c>
      <c r="B479" s="153">
        <v>10</v>
      </c>
      <c r="D479" s="173">
        <v>17.632113671133098</v>
      </c>
      <c r="E479" s="281">
        <f t="shared" si="59"/>
        <v>17.935904911237813</v>
      </c>
      <c r="F479" s="173"/>
      <c r="G479" s="173">
        <v>29.52</v>
      </c>
      <c r="H479" s="156">
        <v>139.84</v>
      </c>
      <c r="I479" s="190">
        <f t="shared" si="60"/>
        <v>139.84</v>
      </c>
      <c r="J479" s="190">
        <f t="shared" si="61"/>
        <v>56.470342302783557</v>
      </c>
      <c r="K479" s="246">
        <v>24062</v>
      </c>
      <c r="L479" s="248">
        <f t="shared" si="64"/>
        <v>24292</v>
      </c>
      <c r="M479" s="164">
        <v>26010.095611873101</v>
      </c>
      <c r="N479" s="190">
        <f t="shared" si="62"/>
        <v>26010.095611873101</v>
      </c>
      <c r="O479" s="264">
        <f t="shared" ref="O479:P494" si="66">O467</f>
        <v>259.5</v>
      </c>
      <c r="P479" s="264">
        <f t="shared" si="66"/>
        <v>8</v>
      </c>
      <c r="Q479" s="166">
        <v>4200</v>
      </c>
      <c r="R479" s="166">
        <v>1161</v>
      </c>
      <c r="S479" s="182">
        <f t="shared" si="63"/>
        <v>0</v>
      </c>
      <c r="T479" s="339">
        <v>0.40382109770297164</v>
      </c>
    </row>
    <row r="480" spans="1:20" x14ac:dyDescent="0.2">
      <c r="A480" s="153">
        <v>2040</v>
      </c>
      <c r="B480" s="153">
        <v>11</v>
      </c>
      <c r="D480" s="173">
        <v>17.632113671133098</v>
      </c>
      <c r="E480" s="281">
        <f t="shared" si="59"/>
        <v>17.935904911237813</v>
      </c>
      <c r="F480" s="173"/>
      <c r="G480" s="173">
        <v>29.38</v>
      </c>
      <c r="H480" s="156">
        <v>139.84</v>
      </c>
      <c r="I480" s="190">
        <f t="shared" si="60"/>
        <v>139.84</v>
      </c>
      <c r="J480" s="190">
        <f t="shared" si="61"/>
        <v>56.470342302783557</v>
      </c>
      <c r="K480" s="246">
        <v>24059</v>
      </c>
      <c r="L480" s="248">
        <f t="shared" si="64"/>
        <v>24291</v>
      </c>
      <c r="M480" s="164">
        <v>26010.095611873101</v>
      </c>
      <c r="N480" s="190">
        <f t="shared" si="62"/>
        <v>26010.095611873101</v>
      </c>
      <c r="O480" s="264">
        <f t="shared" si="66"/>
        <v>529.75</v>
      </c>
      <c r="P480" s="264">
        <f t="shared" si="66"/>
        <v>1</v>
      </c>
      <c r="Q480" s="166">
        <v>4200</v>
      </c>
      <c r="R480" s="166">
        <v>1161</v>
      </c>
      <c r="S480" s="182">
        <f t="shared" si="63"/>
        <v>0</v>
      </c>
      <c r="T480" s="339">
        <v>0.40382109770297164</v>
      </c>
    </row>
    <row r="481" spans="1:20" x14ac:dyDescent="0.2">
      <c r="A481" s="153">
        <v>2040</v>
      </c>
      <c r="B481" s="153">
        <v>12</v>
      </c>
      <c r="D481" s="173">
        <v>17.632113671133098</v>
      </c>
      <c r="E481" s="281">
        <f t="shared" si="59"/>
        <v>17.935904911237813</v>
      </c>
      <c r="F481" s="173"/>
      <c r="G481" s="173">
        <v>32.81</v>
      </c>
      <c r="H481" s="156">
        <v>139.84</v>
      </c>
      <c r="I481" s="190">
        <f t="shared" si="60"/>
        <v>139.84</v>
      </c>
      <c r="J481" s="190">
        <f t="shared" si="61"/>
        <v>56.470342302783557</v>
      </c>
      <c r="K481" s="246">
        <v>24056</v>
      </c>
      <c r="L481" s="248">
        <f t="shared" si="64"/>
        <v>24290</v>
      </c>
      <c r="M481" s="164">
        <v>26010.095611873101</v>
      </c>
      <c r="N481" s="190">
        <f t="shared" si="62"/>
        <v>26010.095611873101</v>
      </c>
      <c r="O481" s="264">
        <f t="shared" si="66"/>
        <v>719</v>
      </c>
      <c r="P481" s="264">
        <f t="shared" si="66"/>
        <v>0</v>
      </c>
      <c r="Q481" s="166">
        <v>4200</v>
      </c>
      <c r="R481" s="166">
        <v>1161</v>
      </c>
      <c r="S481" s="182">
        <f t="shared" si="63"/>
        <v>0</v>
      </c>
      <c r="T481" s="339">
        <v>0.40382109770297164</v>
      </c>
    </row>
    <row r="482" spans="1:20" x14ac:dyDescent="0.2">
      <c r="A482" s="153">
        <v>2041</v>
      </c>
      <c r="B482" s="153">
        <v>1</v>
      </c>
      <c r="D482" s="173">
        <v>18.072916512911423</v>
      </c>
      <c r="E482" s="281">
        <f>E470*(1+0.02)</f>
        <v>18.294623009462569</v>
      </c>
      <c r="F482" s="173"/>
      <c r="G482" s="173">
        <f t="shared" ref="G482:G505" si="67">G470</f>
        <v>32.43</v>
      </c>
      <c r="H482" s="156">
        <v>140.54</v>
      </c>
      <c r="I482" s="190">
        <f t="shared" si="60"/>
        <v>140.54</v>
      </c>
      <c r="J482" s="190">
        <f t="shared" si="61"/>
        <v>56.774206394221629</v>
      </c>
      <c r="K482" s="246">
        <v>24053</v>
      </c>
      <c r="L482" s="248">
        <f t="shared" si="64"/>
        <v>24289</v>
      </c>
      <c r="M482" s="164">
        <v>26010.095611873101</v>
      </c>
      <c r="N482" s="190">
        <f t="shared" si="62"/>
        <v>26010.095611873101</v>
      </c>
      <c r="O482" s="264">
        <f t="shared" si="66"/>
        <v>903.25</v>
      </c>
      <c r="P482" s="264">
        <f t="shared" si="66"/>
        <v>0</v>
      </c>
      <c r="Q482" s="166">
        <v>4200</v>
      </c>
      <c r="R482" s="166">
        <v>1161</v>
      </c>
      <c r="S482" s="182">
        <f t="shared" si="63"/>
        <v>0</v>
      </c>
      <c r="T482" s="339">
        <v>0.40397186846607108</v>
      </c>
    </row>
    <row r="483" spans="1:20" x14ac:dyDescent="0.2">
      <c r="A483" s="153">
        <v>2041</v>
      </c>
      <c r="B483" s="153">
        <v>2</v>
      </c>
      <c r="D483" s="173">
        <v>18.072916512911423</v>
      </c>
      <c r="E483" s="281">
        <f t="shared" ref="E483:E505" si="68">E471*(1+0.02)</f>
        <v>18.294623009462569</v>
      </c>
      <c r="F483" s="173"/>
      <c r="G483" s="173">
        <f t="shared" si="67"/>
        <v>29.9</v>
      </c>
      <c r="H483" s="156">
        <v>140.54</v>
      </c>
      <c r="I483" s="190">
        <f t="shared" si="60"/>
        <v>140.54</v>
      </c>
      <c r="J483" s="190">
        <f t="shared" si="61"/>
        <v>56.774206394221629</v>
      </c>
      <c r="K483" s="246">
        <v>24050</v>
      </c>
      <c r="L483" s="248">
        <f t="shared" si="64"/>
        <v>24288</v>
      </c>
      <c r="M483" s="164">
        <v>26010.095611873101</v>
      </c>
      <c r="N483" s="190">
        <f t="shared" si="62"/>
        <v>26010.095611873101</v>
      </c>
      <c r="O483" s="264">
        <f t="shared" si="66"/>
        <v>652.25</v>
      </c>
      <c r="P483" s="264">
        <f t="shared" si="66"/>
        <v>0</v>
      </c>
      <c r="Q483" s="166">
        <v>4200</v>
      </c>
      <c r="R483" s="166">
        <v>1161</v>
      </c>
      <c r="S483" s="182">
        <f t="shared" si="63"/>
        <v>0</v>
      </c>
      <c r="T483" s="339">
        <v>0.40397186846607108</v>
      </c>
    </row>
    <row r="484" spans="1:20" x14ac:dyDescent="0.2">
      <c r="A484" s="153">
        <v>2041</v>
      </c>
      <c r="B484" s="153">
        <v>3</v>
      </c>
      <c r="D484" s="173">
        <v>18.072916512911423</v>
      </c>
      <c r="E484" s="281">
        <f t="shared" si="68"/>
        <v>18.294623009462569</v>
      </c>
      <c r="F484" s="173"/>
      <c r="G484" s="173">
        <f t="shared" si="67"/>
        <v>30.33</v>
      </c>
      <c r="H484" s="156">
        <v>140.54</v>
      </c>
      <c r="I484" s="190">
        <f t="shared" si="60"/>
        <v>140.54</v>
      </c>
      <c r="J484" s="190">
        <f t="shared" si="61"/>
        <v>56.774206394221629</v>
      </c>
      <c r="K484" s="246">
        <v>24047</v>
      </c>
      <c r="L484" s="248">
        <f t="shared" si="64"/>
        <v>24287</v>
      </c>
      <c r="M484" s="164">
        <v>26010.095611873101</v>
      </c>
      <c r="N484" s="190">
        <f t="shared" si="62"/>
        <v>26010.095611873101</v>
      </c>
      <c r="O484" s="264">
        <f t="shared" si="66"/>
        <v>489.25</v>
      </c>
      <c r="P484" s="264">
        <f t="shared" si="66"/>
        <v>0</v>
      </c>
      <c r="Q484" s="166">
        <v>4200</v>
      </c>
      <c r="R484" s="166">
        <v>1161</v>
      </c>
      <c r="S484" s="182">
        <f t="shared" si="63"/>
        <v>0</v>
      </c>
      <c r="T484" s="339">
        <v>0.40397186846607108</v>
      </c>
    </row>
    <row r="485" spans="1:20" x14ac:dyDescent="0.2">
      <c r="A485" s="153">
        <v>2041</v>
      </c>
      <c r="B485" s="153">
        <v>4</v>
      </c>
      <c r="D485" s="173">
        <v>18.072916512911423</v>
      </c>
      <c r="E485" s="281">
        <f t="shared" si="68"/>
        <v>18.294623009462569</v>
      </c>
      <c r="F485" s="173"/>
      <c r="G485" s="173">
        <f t="shared" si="67"/>
        <v>30.29</v>
      </c>
      <c r="H485" s="156">
        <v>140.54</v>
      </c>
      <c r="I485" s="190">
        <f t="shared" si="60"/>
        <v>140.54</v>
      </c>
      <c r="J485" s="190">
        <f t="shared" si="61"/>
        <v>56.789365963468306</v>
      </c>
      <c r="K485" s="246">
        <v>24044</v>
      </c>
      <c r="L485" s="248">
        <f t="shared" si="64"/>
        <v>24286</v>
      </c>
      <c r="M485" s="164">
        <v>26010.095611873101</v>
      </c>
      <c r="N485" s="190">
        <f t="shared" si="62"/>
        <v>26010.095611873101</v>
      </c>
      <c r="O485" s="264">
        <f t="shared" si="66"/>
        <v>184.25</v>
      </c>
      <c r="P485" s="264">
        <f t="shared" si="66"/>
        <v>27.25</v>
      </c>
      <c r="Q485" s="166">
        <v>4200</v>
      </c>
      <c r="R485" s="166">
        <v>1161</v>
      </c>
      <c r="S485" s="182">
        <f t="shared" si="63"/>
        <v>0</v>
      </c>
      <c r="T485" s="339">
        <v>0.40407973504673622</v>
      </c>
    </row>
    <row r="486" spans="1:20" x14ac:dyDescent="0.2">
      <c r="A486" s="153">
        <v>2041</v>
      </c>
      <c r="B486" s="153">
        <v>5</v>
      </c>
      <c r="D486" s="173">
        <v>18.072916512911423</v>
      </c>
      <c r="E486" s="281">
        <f t="shared" si="68"/>
        <v>18.294623009462569</v>
      </c>
      <c r="F486" s="173"/>
      <c r="G486" s="173">
        <f t="shared" si="67"/>
        <v>30.05</v>
      </c>
      <c r="H486" s="156">
        <v>140.54</v>
      </c>
      <c r="I486" s="190">
        <f t="shared" si="60"/>
        <v>140.54</v>
      </c>
      <c r="J486" s="190">
        <f t="shared" si="61"/>
        <v>56.789365963468306</v>
      </c>
      <c r="K486" s="246">
        <v>24041</v>
      </c>
      <c r="L486" s="248">
        <f t="shared" si="64"/>
        <v>24285</v>
      </c>
      <c r="M486" s="164">
        <v>26010.095611873101</v>
      </c>
      <c r="N486" s="190">
        <f t="shared" si="62"/>
        <v>26010.095611873101</v>
      </c>
      <c r="O486" s="264">
        <f t="shared" si="66"/>
        <v>70</v>
      </c>
      <c r="P486" s="264">
        <f t="shared" si="66"/>
        <v>138.5</v>
      </c>
      <c r="Q486" s="166">
        <v>4200</v>
      </c>
      <c r="R486" s="166">
        <v>1161</v>
      </c>
      <c r="S486" s="182">
        <f t="shared" si="63"/>
        <v>0</v>
      </c>
      <c r="T486" s="339">
        <v>0.40407973504673622</v>
      </c>
    </row>
    <row r="487" spans="1:20" x14ac:dyDescent="0.2">
      <c r="A487" s="153">
        <v>2041</v>
      </c>
      <c r="B487" s="153">
        <v>6</v>
      </c>
      <c r="D487" s="173">
        <v>18.072916512911423</v>
      </c>
      <c r="E487" s="281">
        <f t="shared" si="68"/>
        <v>18.294623009462569</v>
      </c>
      <c r="F487" s="173"/>
      <c r="G487" s="173">
        <f t="shared" si="67"/>
        <v>30.67</v>
      </c>
      <c r="H487" s="156">
        <v>140.54</v>
      </c>
      <c r="I487" s="190">
        <f t="shared" si="60"/>
        <v>140.54</v>
      </c>
      <c r="J487" s="190">
        <f t="shared" si="61"/>
        <v>56.789365963468306</v>
      </c>
      <c r="K487" s="246">
        <v>24038</v>
      </c>
      <c r="L487" s="248">
        <f t="shared" si="64"/>
        <v>24284</v>
      </c>
      <c r="M487" s="164">
        <v>26010.095611873101</v>
      </c>
      <c r="N487" s="190">
        <f t="shared" si="62"/>
        <v>26010.095611873101</v>
      </c>
      <c r="O487" s="264">
        <f t="shared" si="66"/>
        <v>1.25</v>
      </c>
      <c r="P487" s="264">
        <f t="shared" si="66"/>
        <v>239.5</v>
      </c>
      <c r="Q487" s="166">
        <v>4200</v>
      </c>
      <c r="R487" s="166">
        <v>1161</v>
      </c>
      <c r="S487" s="182">
        <f t="shared" si="63"/>
        <v>0</v>
      </c>
      <c r="T487" s="339">
        <v>0.40407973504673622</v>
      </c>
    </row>
    <row r="488" spans="1:20" x14ac:dyDescent="0.2">
      <c r="A488" s="153">
        <v>2041</v>
      </c>
      <c r="B488" s="153">
        <v>7</v>
      </c>
      <c r="D488" s="173">
        <v>18.072916512911423</v>
      </c>
      <c r="E488" s="281">
        <f t="shared" si="68"/>
        <v>18.294623009462569</v>
      </c>
      <c r="F488" s="173"/>
      <c r="G488" s="173">
        <f t="shared" si="67"/>
        <v>30.62</v>
      </c>
      <c r="H488" s="156">
        <v>140.54</v>
      </c>
      <c r="I488" s="190">
        <f t="shared" si="60"/>
        <v>140.54</v>
      </c>
      <c r="J488" s="190">
        <f t="shared" si="61"/>
        <v>56.804508310589377</v>
      </c>
      <c r="K488" s="246">
        <v>24035</v>
      </c>
      <c r="L488" s="248">
        <f t="shared" si="64"/>
        <v>24283</v>
      </c>
      <c r="M488" s="164">
        <v>26010.095611873101</v>
      </c>
      <c r="N488" s="190">
        <f t="shared" si="62"/>
        <v>26010.095611873101</v>
      </c>
      <c r="O488" s="264">
        <f t="shared" si="66"/>
        <v>0</v>
      </c>
      <c r="P488" s="264">
        <f t="shared" si="66"/>
        <v>391</v>
      </c>
      <c r="Q488" s="166">
        <v>4200</v>
      </c>
      <c r="R488" s="166">
        <v>1161</v>
      </c>
      <c r="S488" s="182">
        <f t="shared" si="63"/>
        <v>0</v>
      </c>
      <c r="T488" s="339">
        <v>0.40418747908488245</v>
      </c>
    </row>
    <row r="489" spans="1:20" x14ac:dyDescent="0.2">
      <c r="A489" s="153">
        <v>2041</v>
      </c>
      <c r="B489" s="153">
        <v>8</v>
      </c>
      <c r="D489" s="173">
        <v>18.072916512911423</v>
      </c>
      <c r="E489" s="281">
        <f t="shared" si="68"/>
        <v>18.294623009462569</v>
      </c>
      <c r="F489" s="173"/>
      <c r="G489" s="173">
        <f t="shared" si="67"/>
        <v>29.52</v>
      </c>
      <c r="H489" s="156">
        <v>140.54</v>
      </c>
      <c r="I489" s="190">
        <f t="shared" si="60"/>
        <v>140.54</v>
      </c>
      <c r="J489" s="190">
        <f t="shared" si="61"/>
        <v>56.804508310589377</v>
      </c>
      <c r="K489" s="246">
        <v>24032</v>
      </c>
      <c r="L489" s="248">
        <f t="shared" si="64"/>
        <v>24282</v>
      </c>
      <c r="M489" s="164">
        <v>26010.095611873101</v>
      </c>
      <c r="N489" s="190">
        <f t="shared" si="62"/>
        <v>26010.095611873101</v>
      </c>
      <c r="O489" s="264">
        <f t="shared" si="66"/>
        <v>0</v>
      </c>
      <c r="P489" s="264">
        <f t="shared" si="66"/>
        <v>292.5</v>
      </c>
      <c r="Q489" s="166">
        <v>4200</v>
      </c>
      <c r="R489" s="166">
        <v>1161</v>
      </c>
      <c r="S489" s="182">
        <f t="shared" si="63"/>
        <v>0</v>
      </c>
      <c r="T489" s="339">
        <v>0.40418747908488245</v>
      </c>
    </row>
    <row r="490" spans="1:20" x14ac:dyDescent="0.2">
      <c r="A490" s="153">
        <v>2041</v>
      </c>
      <c r="B490" s="153">
        <v>9</v>
      </c>
      <c r="D490" s="173">
        <v>18.072916512911423</v>
      </c>
      <c r="E490" s="281">
        <f t="shared" si="68"/>
        <v>18.294623009462569</v>
      </c>
      <c r="F490" s="173"/>
      <c r="G490" s="173">
        <f t="shared" si="67"/>
        <v>30.71</v>
      </c>
      <c r="H490" s="156">
        <v>140.54</v>
      </c>
      <c r="I490" s="190">
        <f t="shared" si="60"/>
        <v>140.54</v>
      </c>
      <c r="J490" s="190">
        <f t="shared" si="61"/>
        <v>56.804508310589377</v>
      </c>
      <c r="K490" s="246">
        <v>24029</v>
      </c>
      <c r="L490" s="248">
        <f t="shared" si="64"/>
        <v>24281</v>
      </c>
      <c r="M490" s="164">
        <v>26010.095611873101</v>
      </c>
      <c r="N490" s="190">
        <f t="shared" si="62"/>
        <v>26010.095611873101</v>
      </c>
      <c r="O490" s="264">
        <f t="shared" si="66"/>
        <v>43.5</v>
      </c>
      <c r="P490" s="264">
        <f t="shared" si="66"/>
        <v>138.5</v>
      </c>
      <c r="Q490" s="166">
        <v>4200</v>
      </c>
      <c r="R490" s="166">
        <v>1161</v>
      </c>
      <c r="S490" s="182">
        <f t="shared" si="63"/>
        <v>0</v>
      </c>
      <c r="T490" s="339">
        <v>0.40418747908488245</v>
      </c>
    </row>
    <row r="491" spans="1:20" x14ac:dyDescent="0.2">
      <c r="A491" s="153">
        <v>2041</v>
      </c>
      <c r="B491" s="153">
        <v>10</v>
      </c>
      <c r="D491" s="173">
        <v>18.072916512911423</v>
      </c>
      <c r="E491" s="281">
        <f t="shared" si="68"/>
        <v>18.294623009462569</v>
      </c>
      <c r="F491" s="173"/>
      <c r="G491" s="173">
        <f t="shared" si="67"/>
        <v>29.52</v>
      </c>
      <c r="H491" s="156">
        <v>140.54</v>
      </c>
      <c r="I491" s="190">
        <f t="shared" si="60"/>
        <v>140.54</v>
      </c>
      <c r="J491" s="190">
        <f t="shared" si="61"/>
        <v>56.820479986063098</v>
      </c>
      <c r="K491" s="246">
        <v>24026</v>
      </c>
      <c r="L491" s="248">
        <f t="shared" si="64"/>
        <v>24280</v>
      </c>
      <c r="M491" s="164">
        <v>26010.095611873101</v>
      </c>
      <c r="N491" s="190">
        <f t="shared" si="62"/>
        <v>26010.095611873101</v>
      </c>
      <c r="O491" s="264">
        <f t="shared" si="66"/>
        <v>259.5</v>
      </c>
      <c r="P491" s="264">
        <f t="shared" si="66"/>
        <v>8</v>
      </c>
      <c r="Q491" s="166">
        <v>4200</v>
      </c>
      <c r="R491" s="166">
        <v>1161</v>
      </c>
      <c r="S491" s="182">
        <f t="shared" si="63"/>
        <v>0</v>
      </c>
      <c r="T491" s="339">
        <v>0.40430112413592645</v>
      </c>
    </row>
    <row r="492" spans="1:20" x14ac:dyDescent="0.2">
      <c r="A492" s="153">
        <v>2041</v>
      </c>
      <c r="B492" s="153">
        <v>11</v>
      </c>
      <c r="D492" s="173">
        <v>18.072916512911423</v>
      </c>
      <c r="E492" s="281">
        <f t="shared" si="68"/>
        <v>18.294623009462569</v>
      </c>
      <c r="F492" s="173"/>
      <c r="G492" s="173">
        <f t="shared" si="67"/>
        <v>29.38</v>
      </c>
      <c r="H492" s="156">
        <v>140.54</v>
      </c>
      <c r="I492" s="190">
        <f t="shared" si="60"/>
        <v>140.54</v>
      </c>
      <c r="J492" s="190">
        <f t="shared" si="61"/>
        <v>56.820479986063098</v>
      </c>
      <c r="K492" s="246">
        <v>24023</v>
      </c>
      <c r="L492" s="248">
        <f t="shared" si="64"/>
        <v>24279</v>
      </c>
      <c r="M492" s="164">
        <v>26010.095611873101</v>
      </c>
      <c r="N492" s="190">
        <f t="shared" si="62"/>
        <v>26010.095611873101</v>
      </c>
      <c r="O492" s="264">
        <f t="shared" si="66"/>
        <v>529.75</v>
      </c>
      <c r="P492" s="264">
        <f t="shared" si="66"/>
        <v>1</v>
      </c>
      <c r="Q492" s="166">
        <v>4200</v>
      </c>
      <c r="R492" s="166">
        <v>1161</v>
      </c>
      <c r="S492" s="182">
        <f t="shared" si="63"/>
        <v>0</v>
      </c>
      <c r="T492" s="339">
        <v>0.40430112413592645</v>
      </c>
    </row>
    <row r="493" spans="1:20" x14ac:dyDescent="0.2">
      <c r="A493" s="153">
        <v>2041</v>
      </c>
      <c r="B493" s="153">
        <v>12</v>
      </c>
      <c r="D493" s="173">
        <v>18.072916512911423</v>
      </c>
      <c r="E493" s="281">
        <f t="shared" si="68"/>
        <v>18.294623009462569</v>
      </c>
      <c r="F493" s="173"/>
      <c r="G493" s="173">
        <f t="shared" si="67"/>
        <v>32.81</v>
      </c>
      <c r="H493" s="156">
        <v>140.54</v>
      </c>
      <c r="I493" s="190">
        <f t="shared" si="60"/>
        <v>140.54</v>
      </c>
      <c r="J493" s="190">
        <f t="shared" si="61"/>
        <v>56.820479986063098</v>
      </c>
      <c r="K493" s="246">
        <v>24020</v>
      </c>
      <c r="L493" s="248">
        <f t="shared" si="64"/>
        <v>24278</v>
      </c>
      <c r="M493" s="164">
        <v>26010.095611873101</v>
      </c>
      <c r="N493" s="190">
        <f t="shared" si="62"/>
        <v>26010.095611873101</v>
      </c>
      <c r="O493" s="264">
        <f t="shared" si="66"/>
        <v>719</v>
      </c>
      <c r="P493" s="264">
        <f t="shared" si="66"/>
        <v>0</v>
      </c>
      <c r="Q493" s="166">
        <v>4200</v>
      </c>
      <c r="R493" s="166">
        <v>1161</v>
      </c>
      <c r="S493" s="182">
        <f t="shared" si="63"/>
        <v>0</v>
      </c>
      <c r="T493" s="339">
        <v>0.40430112413592645</v>
      </c>
    </row>
    <row r="494" spans="1:20" x14ac:dyDescent="0.2">
      <c r="A494" s="153">
        <f>A482+1</f>
        <v>2042</v>
      </c>
      <c r="B494" s="153">
        <v>1</v>
      </c>
      <c r="D494" s="302">
        <f>D482*(1+D482/D470-1)</f>
        <v>18.524739425734207</v>
      </c>
      <c r="E494" s="281">
        <f t="shared" si="68"/>
        <v>18.66051546965182</v>
      </c>
      <c r="G494" s="173">
        <f t="shared" si="67"/>
        <v>32.43</v>
      </c>
      <c r="H494" s="302">
        <f>H482*(1+H482/H470-1)</f>
        <v>141.24350400457664</v>
      </c>
      <c r="I494" s="190">
        <f t="shared" si="60"/>
        <v>141.24350400457664</v>
      </c>
      <c r="J494" s="190">
        <f t="shared" si="61"/>
        <v>56.047160312110741</v>
      </c>
      <c r="K494" s="302">
        <f>K482*(1+K482/K470-1)</f>
        <v>24017.053800489852</v>
      </c>
      <c r="L494" s="248">
        <f t="shared" si="64"/>
        <v>24277</v>
      </c>
      <c r="M494" s="183">
        <f t="shared" ref="M494:M505" si="69">M482*1.024</f>
        <v>26634.337906558056</v>
      </c>
      <c r="N494" s="190">
        <f t="shared" si="62"/>
        <v>26634.337906558056</v>
      </c>
      <c r="O494" s="264">
        <f t="shared" si="66"/>
        <v>903.25</v>
      </c>
      <c r="P494" s="264">
        <f t="shared" si="66"/>
        <v>0</v>
      </c>
      <c r="Q494" s="166">
        <v>4200</v>
      </c>
      <c r="R494" s="166">
        <v>1161</v>
      </c>
      <c r="S494" s="182">
        <f t="shared" si="63"/>
        <v>0</v>
      </c>
      <c r="T494" s="339">
        <v>0.39681230444619014</v>
      </c>
    </row>
    <row r="495" spans="1:20" x14ac:dyDescent="0.2">
      <c r="A495" s="153">
        <f t="shared" ref="A495:A505" si="70">A483+1</f>
        <v>2042</v>
      </c>
      <c r="B495" s="153">
        <v>2</v>
      </c>
      <c r="D495" s="302">
        <f t="shared" ref="D495:D505" si="71">D483*(1+D483/D471-1)</f>
        <v>18.524739425734207</v>
      </c>
      <c r="E495" s="281">
        <f t="shared" si="68"/>
        <v>18.66051546965182</v>
      </c>
      <c r="G495" s="173">
        <f t="shared" si="67"/>
        <v>29.9</v>
      </c>
      <c r="H495" s="302">
        <f t="shared" ref="H495:H505" si="72">H483*(1+H483/H471-1)</f>
        <v>141.24350400457664</v>
      </c>
      <c r="I495" s="190">
        <f t="shared" si="60"/>
        <v>141.24350400457664</v>
      </c>
      <c r="J495" s="190">
        <f t="shared" si="61"/>
        <v>56.047160312110741</v>
      </c>
      <c r="K495" s="302">
        <f t="shared" ref="K495:K505" si="73">K483*(1+K483/K471-1)</f>
        <v>24014.0538071909</v>
      </c>
      <c r="L495" s="248">
        <f t="shared" si="64"/>
        <v>24276</v>
      </c>
      <c r="M495" s="183">
        <f t="shared" si="69"/>
        <v>26634.337906558056</v>
      </c>
      <c r="N495" s="190">
        <f t="shared" si="62"/>
        <v>26634.337906558056</v>
      </c>
      <c r="O495" s="264">
        <f t="shared" ref="O495:P505" si="74">O483</f>
        <v>652.25</v>
      </c>
      <c r="P495" s="264">
        <f t="shared" si="74"/>
        <v>0</v>
      </c>
      <c r="Q495" s="166">
        <v>4200</v>
      </c>
      <c r="R495" s="166">
        <v>1161</v>
      </c>
      <c r="S495" s="182">
        <f t="shared" si="63"/>
        <v>0</v>
      </c>
      <c r="T495" s="339">
        <v>0.39681230444619014</v>
      </c>
    </row>
    <row r="496" spans="1:20" x14ac:dyDescent="0.2">
      <c r="A496" s="153">
        <f t="shared" si="70"/>
        <v>2042</v>
      </c>
      <c r="B496" s="153">
        <v>3</v>
      </c>
      <c r="D496" s="302">
        <f t="shared" si="71"/>
        <v>18.524739425734207</v>
      </c>
      <c r="E496" s="281">
        <f t="shared" si="68"/>
        <v>18.66051546965182</v>
      </c>
      <c r="G496" s="173">
        <f t="shared" si="67"/>
        <v>30.33</v>
      </c>
      <c r="H496" s="302">
        <f t="shared" si="72"/>
        <v>141.24350400457664</v>
      </c>
      <c r="I496" s="190">
        <f t="shared" si="60"/>
        <v>141.24350400457664</v>
      </c>
      <c r="J496" s="190">
        <f t="shared" si="61"/>
        <v>56.047160312110741</v>
      </c>
      <c r="K496" s="302">
        <f t="shared" si="73"/>
        <v>24011.053813893617</v>
      </c>
      <c r="L496" s="248">
        <f t="shared" si="64"/>
        <v>24275</v>
      </c>
      <c r="M496" s="183">
        <f t="shared" si="69"/>
        <v>26634.337906558056</v>
      </c>
      <c r="N496" s="190">
        <f t="shared" si="62"/>
        <v>26634.337906558056</v>
      </c>
      <c r="O496" s="264">
        <f t="shared" si="74"/>
        <v>489.25</v>
      </c>
      <c r="P496" s="264">
        <f t="shared" si="74"/>
        <v>0</v>
      </c>
      <c r="Q496" s="166">
        <v>4200</v>
      </c>
      <c r="R496" s="166">
        <v>1161</v>
      </c>
      <c r="S496" s="182">
        <f t="shared" si="63"/>
        <v>0</v>
      </c>
      <c r="T496" s="339">
        <v>0.39681230444619014</v>
      </c>
    </row>
    <row r="497" spans="1:20" x14ac:dyDescent="0.2">
      <c r="A497" s="153">
        <f t="shared" si="70"/>
        <v>2042</v>
      </c>
      <c r="B497" s="153">
        <v>4</v>
      </c>
      <c r="D497" s="302">
        <f t="shared" si="71"/>
        <v>18.524739425734207</v>
      </c>
      <c r="E497" s="281">
        <f t="shared" si="68"/>
        <v>18.66051546965182</v>
      </c>
      <c r="G497" s="173">
        <f t="shared" si="67"/>
        <v>30.29</v>
      </c>
      <c r="H497" s="302">
        <f t="shared" si="72"/>
        <v>141.24350400457664</v>
      </c>
      <c r="I497" s="190">
        <f t="shared" si="60"/>
        <v>141.24350400457664</v>
      </c>
      <c r="J497" s="190">
        <f t="shared" si="61"/>
        <v>56.068175571021079</v>
      </c>
      <c r="K497" s="302">
        <f t="shared" si="73"/>
        <v>24008.053820598005</v>
      </c>
      <c r="L497" s="248">
        <f t="shared" si="64"/>
        <v>24274</v>
      </c>
      <c r="M497" s="183">
        <f t="shared" si="69"/>
        <v>26634.337906558056</v>
      </c>
      <c r="N497" s="190">
        <f t="shared" si="62"/>
        <v>26634.337906558056</v>
      </c>
      <c r="O497" s="264">
        <f t="shared" si="74"/>
        <v>184.25</v>
      </c>
      <c r="P497" s="264">
        <f t="shared" si="74"/>
        <v>27.25</v>
      </c>
      <c r="Q497" s="166">
        <v>4200</v>
      </c>
      <c r="R497" s="166">
        <v>1161</v>
      </c>
      <c r="S497" s="182">
        <f t="shared" si="63"/>
        <v>0</v>
      </c>
      <c r="T497" s="339">
        <v>0.39696109188288287</v>
      </c>
    </row>
    <row r="498" spans="1:20" x14ac:dyDescent="0.2">
      <c r="A498" s="153">
        <f t="shared" si="70"/>
        <v>2042</v>
      </c>
      <c r="B498" s="153">
        <v>5</v>
      </c>
      <c r="D498" s="302">
        <f t="shared" si="71"/>
        <v>18.524739425734207</v>
      </c>
      <c r="E498" s="281">
        <f t="shared" si="68"/>
        <v>18.66051546965182</v>
      </c>
      <c r="G498" s="173">
        <f t="shared" si="67"/>
        <v>30.05</v>
      </c>
      <c r="H498" s="302">
        <f t="shared" si="72"/>
        <v>141.24350400457664</v>
      </c>
      <c r="I498" s="190">
        <f t="shared" si="60"/>
        <v>141.24350400457664</v>
      </c>
      <c r="J498" s="190">
        <f t="shared" si="61"/>
        <v>56.068175571021079</v>
      </c>
      <c r="K498" s="302">
        <f t="shared" si="73"/>
        <v>24005.053827304066</v>
      </c>
      <c r="L498" s="248">
        <f t="shared" si="64"/>
        <v>24273</v>
      </c>
      <c r="M498" s="183">
        <f t="shared" si="69"/>
        <v>26634.337906558056</v>
      </c>
      <c r="N498" s="190">
        <f t="shared" si="62"/>
        <v>26634.337906558056</v>
      </c>
      <c r="O498" s="264">
        <f t="shared" si="74"/>
        <v>70</v>
      </c>
      <c r="P498" s="264">
        <f t="shared" si="74"/>
        <v>138.5</v>
      </c>
      <c r="Q498" s="166">
        <v>4200</v>
      </c>
      <c r="R498" s="166">
        <v>1161</v>
      </c>
      <c r="S498" s="182">
        <f t="shared" si="63"/>
        <v>0</v>
      </c>
      <c r="T498" s="339">
        <v>0.39696109188288287</v>
      </c>
    </row>
    <row r="499" spans="1:20" x14ac:dyDescent="0.2">
      <c r="A499" s="153">
        <f t="shared" si="70"/>
        <v>2042</v>
      </c>
      <c r="B499" s="153">
        <v>6</v>
      </c>
      <c r="D499" s="302">
        <f t="shared" si="71"/>
        <v>18.524739425734207</v>
      </c>
      <c r="E499" s="281">
        <f t="shared" si="68"/>
        <v>18.66051546965182</v>
      </c>
      <c r="G499" s="173">
        <f t="shared" si="67"/>
        <v>30.67</v>
      </c>
      <c r="H499" s="302">
        <f t="shared" si="72"/>
        <v>141.24350400457664</v>
      </c>
      <c r="I499" s="190">
        <f t="shared" si="60"/>
        <v>141.24350400457664</v>
      </c>
      <c r="J499" s="190">
        <f t="shared" si="61"/>
        <v>56.068175571021079</v>
      </c>
      <c r="K499" s="302">
        <f t="shared" si="73"/>
        <v>24002.053834011793</v>
      </c>
      <c r="L499" s="248">
        <f t="shared" si="64"/>
        <v>24272</v>
      </c>
      <c r="M499" s="183">
        <f t="shared" si="69"/>
        <v>26634.337906558056</v>
      </c>
      <c r="N499" s="190">
        <f t="shared" si="62"/>
        <v>26634.337906558056</v>
      </c>
      <c r="O499" s="264">
        <f t="shared" si="74"/>
        <v>1.25</v>
      </c>
      <c r="P499" s="264">
        <f t="shared" si="74"/>
        <v>239.5</v>
      </c>
      <c r="Q499" s="166">
        <v>4200</v>
      </c>
      <c r="R499" s="166">
        <v>1161</v>
      </c>
      <c r="S499" s="182">
        <f t="shared" si="63"/>
        <v>0</v>
      </c>
      <c r="T499" s="339">
        <v>0.39696109188288287</v>
      </c>
    </row>
    <row r="500" spans="1:20" x14ac:dyDescent="0.2">
      <c r="A500" s="153">
        <f t="shared" si="70"/>
        <v>2042</v>
      </c>
      <c r="B500" s="153">
        <v>7</v>
      </c>
      <c r="D500" s="302">
        <f t="shared" si="71"/>
        <v>18.524739425734207</v>
      </c>
      <c r="E500" s="281">
        <f t="shared" si="68"/>
        <v>18.66051546965182</v>
      </c>
      <c r="G500" s="173">
        <f t="shared" si="67"/>
        <v>30.62</v>
      </c>
      <c r="H500" s="302">
        <f t="shared" si="72"/>
        <v>141.24350400457664</v>
      </c>
      <c r="I500" s="190">
        <f t="shared" si="60"/>
        <v>141.24350400457664</v>
      </c>
      <c r="J500" s="190">
        <f t="shared" si="61"/>
        <v>56.08320399254012</v>
      </c>
      <c r="K500" s="302">
        <f t="shared" si="73"/>
        <v>23999.053840721197</v>
      </c>
      <c r="L500" s="248">
        <f t="shared" si="64"/>
        <v>24271</v>
      </c>
      <c r="M500" s="183">
        <f t="shared" si="69"/>
        <v>26634.337906558056</v>
      </c>
      <c r="N500" s="190">
        <f t="shared" si="62"/>
        <v>26634.337906558056</v>
      </c>
      <c r="O500" s="264">
        <f t="shared" si="74"/>
        <v>0</v>
      </c>
      <c r="P500" s="264">
        <f t="shared" si="74"/>
        <v>391</v>
      </c>
      <c r="Q500" s="166">
        <v>4200</v>
      </c>
      <c r="R500" s="166">
        <v>1161</v>
      </c>
      <c r="S500" s="182">
        <f t="shared" si="63"/>
        <v>0</v>
      </c>
      <c r="T500" s="339">
        <v>0.39706749268074576</v>
      </c>
    </row>
    <row r="501" spans="1:20" x14ac:dyDescent="0.2">
      <c r="A501" s="153">
        <f t="shared" si="70"/>
        <v>2042</v>
      </c>
      <c r="B501" s="153">
        <v>8</v>
      </c>
      <c r="D501" s="302">
        <f t="shared" si="71"/>
        <v>18.524739425734207</v>
      </c>
      <c r="E501" s="281">
        <f t="shared" si="68"/>
        <v>18.66051546965182</v>
      </c>
      <c r="G501" s="173">
        <f t="shared" si="67"/>
        <v>29.52</v>
      </c>
      <c r="H501" s="302">
        <f t="shared" si="72"/>
        <v>141.24350400457664</v>
      </c>
      <c r="I501" s="190">
        <f t="shared" si="60"/>
        <v>141.24350400457664</v>
      </c>
      <c r="J501" s="190">
        <f t="shared" si="61"/>
        <v>56.08320399254012</v>
      </c>
      <c r="K501" s="302">
        <f t="shared" si="73"/>
        <v>23996.053847432275</v>
      </c>
      <c r="L501" s="248">
        <f t="shared" si="64"/>
        <v>24270</v>
      </c>
      <c r="M501" s="183">
        <f t="shared" si="69"/>
        <v>26634.337906558056</v>
      </c>
      <c r="N501" s="190">
        <f t="shared" si="62"/>
        <v>26634.337906558056</v>
      </c>
      <c r="O501" s="264">
        <f t="shared" si="74"/>
        <v>0</v>
      </c>
      <c r="P501" s="264">
        <f t="shared" si="74"/>
        <v>292.5</v>
      </c>
      <c r="Q501" s="166">
        <v>4200</v>
      </c>
      <c r="R501" s="166">
        <v>1161</v>
      </c>
      <c r="S501" s="182">
        <f t="shared" si="63"/>
        <v>0</v>
      </c>
      <c r="T501" s="339">
        <v>0.39706749268074576</v>
      </c>
    </row>
    <row r="502" spans="1:20" x14ac:dyDescent="0.2">
      <c r="A502" s="153">
        <f t="shared" si="70"/>
        <v>2042</v>
      </c>
      <c r="B502" s="153">
        <v>9</v>
      </c>
      <c r="D502" s="302">
        <f t="shared" si="71"/>
        <v>18.524739425734207</v>
      </c>
      <c r="E502" s="281">
        <f t="shared" si="68"/>
        <v>18.66051546965182</v>
      </c>
      <c r="G502" s="173">
        <f t="shared" si="67"/>
        <v>30.71</v>
      </c>
      <c r="H502" s="302">
        <f t="shared" si="72"/>
        <v>141.24350400457664</v>
      </c>
      <c r="I502" s="190">
        <f t="shared" si="60"/>
        <v>141.24350400457664</v>
      </c>
      <c r="J502" s="190">
        <f t="shared" si="61"/>
        <v>56.08320399254012</v>
      </c>
      <c r="K502" s="302">
        <f t="shared" si="73"/>
        <v>23993.053854145026</v>
      </c>
      <c r="L502" s="248">
        <f t="shared" si="64"/>
        <v>24269</v>
      </c>
      <c r="M502" s="183">
        <f t="shared" si="69"/>
        <v>26634.337906558056</v>
      </c>
      <c r="N502" s="190">
        <f t="shared" si="62"/>
        <v>26634.337906558056</v>
      </c>
      <c r="O502" s="264">
        <f t="shared" si="74"/>
        <v>43.5</v>
      </c>
      <c r="P502" s="264">
        <f t="shared" si="74"/>
        <v>138.5</v>
      </c>
      <c r="Q502" s="166">
        <v>4200</v>
      </c>
      <c r="R502" s="166">
        <v>1161</v>
      </c>
      <c r="S502" s="182">
        <f t="shared" si="63"/>
        <v>0</v>
      </c>
      <c r="T502" s="339">
        <v>0.39706749268074576</v>
      </c>
    </row>
    <row r="503" spans="1:20" x14ac:dyDescent="0.2">
      <c r="A503" s="153">
        <f>A491+1</f>
        <v>2042</v>
      </c>
      <c r="B503" s="153">
        <v>10</v>
      </c>
      <c r="D503" s="302">
        <f t="shared" si="71"/>
        <v>18.524739425734207</v>
      </c>
      <c r="E503" s="281">
        <f t="shared" si="68"/>
        <v>18.66051546965182</v>
      </c>
      <c r="G503" s="173">
        <f t="shared" si="67"/>
        <v>29.52</v>
      </c>
      <c r="H503" s="302">
        <f t="shared" si="72"/>
        <v>141.24350400457664</v>
      </c>
      <c r="I503" s="190">
        <f t="shared" si="60"/>
        <v>141.24350400457664</v>
      </c>
      <c r="J503" s="190">
        <f t="shared" si="61"/>
        <v>56.098236577903634</v>
      </c>
      <c r="K503" s="302">
        <f t="shared" si="73"/>
        <v>23990.053860859447</v>
      </c>
      <c r="L503" s="248">
        <f t="shared" si="64"/>
        <v>24268</v>
      </c>
      <c r="M503" s="183">
        <f t="shared" si="69"/>
        <v>26634.337906558056</v>
      </c>
      <c r="N503" s="190">
        <f t="shared" si="62"/>
        <v>26634.337906558056</v>
      </c>
      <c r="O503" s="264">
        <f t="shared" si="74"/>
        <v>259.5</v>
      </c>
      <c r="P503" s="264">
        <f t="shared" si="74"/>
        <v>8</v>
      </c>
      <c r="Q503" s="166">
        <v>4200</v>
      </c>
      <c r="R503" s="166">
        <v>1161</v>
      </c>
      <c r="S503" s="182">
        <f t="shared" si="63"/>
        <v>0</v>
      </c>
      <c r="T503" s="339">
        <v>0.3971739229585094</v>
      </c>
    </row>
    <row r="504" spans="1:20" x14ac:dyDescent="0.2">
      <c r="A504" s="153">
        <f t="shared" si="70"/>
        <v>2042</v>
      </c>
      <c r="B504" s="153">
        <v>11</v>
      </c>
      <c r="D504" s="302">
        <f t="shared" si="71"/>
        <v>18.524739425734207</v>
      </c>
      <c r="E504" s="281">
        <f t="shared" si="68"/>
        <v>18.66051546965182</v>
      </c>
      <c r="G504" s="173">
        <f t="shared" si="67"/>
        <v>29.38</v>
      </c>
      <c r="H504" s="302">
        <f t="shared" si="72"/>
        <v>141.24350400457664</v>
      </c>
      <c r="I504" s="190">
        <f t="shared" si="60"/>
        <v>141.24350400457664</v>
      </c>
      <c r="J504" s="190">
        <f t="shared" si="61"/>
        <v>56.098236577903634</v>
      </c>
      <c r="K504" s="302">
        <f t="shared" si="73"/>
        <v>23987.053867575542</v>
      </c>
      <c r="L504" s="248">
        <f t="shared" si="64"/>
        <v>24267</v>
      </c>
      <c r="M504" s="183">
        <f t="shared" si="69"/>
        <v>26634.337906558056</v>
      </c>
      <c r="N504" s="190">
        <f t="shared" si="62"/>
        <v>26634.337906558056</v>
      </c>
      <c r="O504" s="264">
        <f t="shared" si="74"/>
        <v>529.75</v>
      </c>
      <c r="P504" s="264">
        <f t="shared" si="74"/>
        <v>1</v>
      </c>
      <c r="Q504" s="166">
        <v>4200</v>
      </c>
      <c r="R504" s="166">
        <v>1161</v>
      </c>
      <c r="S504" s="182">
        <f t="shared" si="63"/>
        <v>0</v>
      </c>
      <c r="T504" s="339">
        <v>0.3971739229585094</v>
      </c>
    </row>
    <row r="505" spans="1:20" x14ac:dyDescent="0.2">
      <c r="A505" s="153">
        <f t="shared" si="70"/>
        <v>2042</v>
      </c>
      <c r="B505" s="153">
        <v>12</v>
      </c>
      <c r="D505" s="302">
        <f t="shared" si="71"/>
        <v>18.524739425734207</v>
      </c>
      <c r="E505" s="281">
        <f t="shared" si="68"/>
        <v>18.66051546965182</v>
      </c>
      <c r="G505" s="173">
        <f t="shared" si="67"/>
        <v>32.81</v>
      </c>
      <c r="H505" s="302">
        <f t="shared" si="72"/>
        <v>141.24350400457664</v>
      </c>
      <c r="I505" s="190">
        <f t="shared" si="60"/>
        <v>141.24350400457664</v>
      </c>
      <c r="J505" s="190">
        <f t="shared" si="61"/>
        <v>56.098236577903634</v>
      </c>
      <c r="K505" s="302">
        <f t="shared" si="73"/>
        <v>23984.053874293317</v>
      </c>
      <c r="L505" s="248">
        <f t="shared" si="64"/>
        <v>24266</v>
      </c>
      <c r="M505" s="183">
        <f t="shared" si="69"/>
        <v>26634.337906558056</v>
      </c>
      <c r="N505" s="190">
        <f t="shared" si="62"/>
        <v>26634.337906558056</v>
      </c>
      <c r="O505" s="264">
        <f t="shared" si="74"/>
        <v>719</v>
      </c>
      <c r="P505" s="264">
        <f t="shared" si="74"/>
        <v>0</v>
      </c>
      <c r="Q505" s="166">
        <v>4200</v>
      </c>
      <c r="R505" s="166">
        <v>1161</v>
      </c>
      <c r="S505" s="182">
        <f t="shared" si="63"/>
        <v>0</v>
      </c>
      <c r="T505" s="339">
        <v>0.3971739229585094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view="pageBreakPreview" zoomScale="60" zoomScaleNormal="100" workbookViewId="0">
      <pane ySplit="1" topLeftCell="A2" activePane="bottomLeft" state="frozenSplit"/>
      <selection activeCell="P1" sqref="P1:Q15"/>
      <selection pane="bottomLeft" activeCell="P1" sqref="P1:Q15"/>
    </sheetView>
  </sheetViews>
  <sheetFormatPr defaultColWidth="9.140625" defaultRowHeight="12.75" x14ac:dyDescent="0.2"/>
  <cols>
    <col min="1" max="1" width="5.85546875" style="177" bestFit="1" customWidth="1"/>
    <col min="2" max="2" width="9.140625" style="157"/>
    <col min="3" max="3" width="7.85546875" style="177" bestFit="1" customWidth="1"/>
    <col min="4" max="4" width="9.140625" style="177"/>
    <col min="5" max="5" width="7.85546875" style="177" bestFit="1" customWidth="1"/>
    <col min="6" max="6" width="9.28515625" style="177" bestFit="1" customWidth="1"/>
    <col min="7" max="7" width="7.85546875" style="177" bestFit="1" customWidth="1"/>
    <col min="8" max="8" width="10.85546875" style="177" bestFit="1" customWidth="1"/>
    <col min="9" max="9" width="7.85546875" style="177" bestFit="1" customWidth="1"/>
    <col min="10" max="10" width="7.7109375" style="177" bestFit="1" customWidth="1"/>
    <col min="11" max="11" width="7.85546875" style="177" bestFit="1" customWidth="1"/>
    <col min="12" max="12" width="9.140625" style="177"/>
    <col min="13" max="13" width="9.140625" style="157"/>
    <col min="14" max="14" width="5.85546875" bestFit="1" customWidth="1"/>
    <col min="15" max="15" width="9.140625" style="5"/>
    <col min="16" max="16" width="7.85546875" style="177" bestFit="1" customWidth="1"/>
    <col min="18" max="18" width="7.85546875" style="177" bestFit="1" customWidth="1"/>
    <col min="19" max="19" width="9.28515625" bestFit="1" customWidth="1"/>
    <col min="20" max="20" width="7.85546875" style="177" bestFit="1" customWidth="1"/>
    <col min="21" max="21" width="10.85546875" bestFit="1" customWidth="1"/>
    <col min="22" max="22" width="7.85546875" style="177" bestFit="1" customWidth="1"/>
    <col min="23" max="23" width="10.85546875" customWidth="1"/>
    <col min="24" max="24" width="7.85546875" style="177" bestFit="1" customWidth="1"/>
    <col min="25" max="16384" width="9.140625" style="177"/>
  </cols>
  <sheetData>
    <row r="1" spans="1:24" s="215" customFormat="1" x14ac:dyDescent="0.2">
      <c r="A1" s="193" t="s">
        <v>15</v>
      </c>
      <c r="B1" s="214" t="s">
        <v>16</v>
      </c>
      <c r="C1" s="193" t="s">
        <v>125</v>
      </c>
      <c r="D1" s="214" t="s">
        <v>17</v>
      </c>
      <c r="E1" s="193" t="s">
        <v>125</v>
      </c>
      <c r="F1" s="214" t="s">
        <v>5</v>
      </c>
      <c r="G1" s="193" t="s">
        <v>125</v>
      </c>
      <c r="H1" s="214" t="s">
        <v>19</v>
      </c>
      <c r="I1" s="193" t="s">
        <v>125</v>
      </c>
      <c r="J1" s="193" t="s">
        <v>124</v>
      </c>
      <c r="K1" s="193" t="s">
        <v>125</v>
      </c>
      <c r="L1" s="193"/>
      <c r="M1" s="214" t="s">
        <v>209</v>
      </c>
      <c r="N1" s="22" t="s">
        <v>15</v>
      </c>
      <c r="O1" s="35" t="s">
        <v>16</v>
      </c>
      <c r="P1" s="193"/>
      <c r="Q1" s="35"/>
      <c r="R1" s="193" t="s">
        <v>125</v>
      </c>
      <c r="S1" s="35" t="s">
        <v>5</v>
      </c>
      <c r="T1" s="193" t="s">
        <v>125</v>
      </c>
      <c r="U1" s="35" t="s">
        <v>19</v>
      </c>
      <c r="V1" s="193" t="s">
        <v>125</v>
      </c>
      <c r="W1" s="35" t="s">
        <v>210</v>
      </c>
      <c r="X1" s="193" t="s">
        <v>125</v>
      </c>
    </row>
    <row r="2" spans="1:24" x14ac:dyDescent="0.2">
      <c r="A2" s="192">
        <v>1995</v>
      </c>
      <c r="B2" s="216" t="e">
        <f>SUM('OD ShareUEC'!$D2:$G2,'OD ShareUEC'!$U2)</f>
        <v>#DIV/0!</v>
      </c>
      <c r="C2" s="198"/>
      <c r="D2" s="216" t="e">
        <f>SUM('OD ShareUEC'!$H2:$K2)</f>
        <v>#DIV/0!</v>
      </c>
      <c r="E2" s="198"/>
      <c r="F2" s="216" t="e">
        <f>'OD ShareUEC'!$L2</f>
        <v>#DIV/0!</v>
      </c>
      <c r="G2" s="198"/>
      <c r="H2" s="216" t="e">
        <f>SUM('OD ShareUEC'!$M2:$W2)</f>
        <v>#DIV/0!</v>
      </c>
      <c r="I2" s="198"/>
      <c r="J2" s="216" t="e">
        <f t="shared" ref="J2:J49" si="0">SUM(B2:H2)</f>
        <v>#DIV/0!</v>
      </c>
      <c r="K2" s="198"/>
      <c r="L2" s="217"/>
      <c r="M2" s="216"/>
      <c r="N2" s="24">
        <v>1995</v>
      </c>
      <c r="O2" s="36">
        <v>2034.8380717866903</v>
      </c>
      <c r="P2" s="198"/>
      <c r="Q2" s="36"/>
      <c r="R2" s="198"/>
      <c r="S2" s="36">
        <v>1631.1981150194601</v>
      </c>
      <c r="T2" s="198"/>
      <c r="U2" s="36">
        <v>6930.0325397880333</v>
      </c>
      <c r="V2" s="198"/>
      <c r="W2" s="36">
        <f>SUM(O2:U2)</f>
        <v>10596.068726594183</v>
      </c>
      <c r="X2" s="198"/>
    </row>
    <row r="3" spans="1:24" x14ac:dyDescent="0.2">
      <c r="A3" s="192">
        <f t="shared" ref="A3:A49" si="1">A2+1</f>
        <v>1996</v>
      </c>
      <c r="B3" s="216" t="e">
        <f>SUM('OD ShareUEC'!$D3:$G3,'OD ShareUEC'!$U3)</f>
        <v>#DIV/0!</v>
      </c>
      <c r="C3" s="198" t="e">
        <f t="shared" ref="C3:I48" si="2">B3/B2-1</f>
        <v>#DIV/0!</v>
      </c>
      <c r="D3" s="216" t="e">
        <f>SUM('OD ShareUEC'!$H3:$K3)</f>
        <v>#DIV/0!</v>
      </c>
      <c r="E3" s="198" t="e">
        <f t="shared" si="2"/>
        <v>#DIV/0!</v>
      </c>
      <c r="F3" s="216" t="e">
        <f>'OD ShareUEC'!$L3</f>
        <v>#DIV/0!</v>
      </c>
      <c r="G3" s="198" t="e">
        <f t="shared" si="2"/>
        <v>#DIV/0!</v>
      </c>
      <c r="H3" s="216" t="e">
        <f>SUM('OD ShareUEC'!$M3:$W3)</f>
        <v>#DIV/0!</v>
      </c>
      <c r="I3" s="198" t="e">
        <f t="shared" si="2"/>
        <v>#DIV/0!</v>
      </c>
      <c r="J3" s="216" t="e">
        <f t="shared" si="0"/>
        <v>#DIV/0!</v>
      </c>
      <c r="K3" s="198" t="e">
        <f t="shared" ref="K3:K49" si="3">J3/J2-1</f>
        <v>#DIV/0!</v>
      </c>
      <c r="L3" s="217"/>
      <c r="M3" s="216"/>
      <c r="N3" s="24">
        <f t="shared" ref="N3:N27" si="4">N2+1</f>
        <v>1996</v>
      </c>
      <c r="O3" s="36">
        <v>2037.4236620591901</v>
      </c>
      <c r="P3" s="198"/>
      <c r="Q3" s="36"/>
      <c r="R3" s="198" t="e">
        <f t="shared" ref="P3:X48" si="5">Q3/Q2-1</f>
        <v>#DIV/0!</v>
      </c>
      <c r="S3" s="36">
        <v>1626.819404112329</v>
      </c>
      <c r="T3" s="198">
        <f t="shared" si="5"/>
        <v>-2.6843526036559595E-3</v>
      </c>
      <c r="U3" s="36">
        <v>7006.9672616898661</v>
      </c>
      <c r="V3" s="198">
        <f t="shared" si="5"/>
        <v>1.1101639344421654E-2</v>
      </c>
      <c r="W3" s="36" t="e">
        <f t="shared" ref="W3:W48" si="6">SUM(O3:U3)</f>
        <v>#DIV/0!</v>
      </c>
      <c r="X3" s="198" t="e">
        <f t="shared" si="5"/>
        <v>#DIV/0!</v>
      </c>
    </row>
    <row r="4" spans="1:24" x14ac:dyDescent="0.2">
      <c r="A4" s="192">
        <f t="shared" si="1"/>
        <v>1997</v>
      </c>
      <c r="B4" s="216" t="e">
        <f>SUM('OD ShareUEC'!$D4:$G4,'OD ShareUEC'!$U4)</f>
        <v>#DIV/0!</v>
      </c>
      <c r="C4" s="198" t="e">
        <f t="shared" si="2"/>
        <v>#DIV/0!</v>
      </c>
      <c r="D4" s="216" t="e">
        <f>SUM('OD ShareUEC'!$H4:$K4)</f>
        <v>#DIV/0!</v>
      </c>
      <c r="E4" s="198" t="e">
        <f t="shared" si="2"/>
        <v>#DIV/0!</v>
      </c>
      <c r="F4" s="216" t="e">
        <f>'OD ShareUEC'!$L4</f>
        <v>#DIV/0!</v>
      </c>
      <c r="G4" s="198" t="e">
        <f t="shared" si="2"/>
        <v>#DIV/0!</v>
      </c>
      <c r="H4" s="216" t="e">
        <f>SUM('OD ShareUEC'!$M4:$W4)</f>
        <v>#DIV/0!</v>
      </c>
      <c r="I4" s="198" t="e">
        <f t="shared" si="2"/>
        <v>#DIV/0!</v>
      </c>
      <c r="J4" s="216" t="e">
        <f t="shared" si="0"/>
        <v>#DIV/0!</v>
      </c>
      <c r="K4" s="198" t="e">
        <f t="shared" si="3"/>
        <v>#DIV/0!</v>
      </c>
      <c r="L4" s="217"/>
      <c r="M4" s="216"/>
      <c r="N4" s="24">
        <f t="shared" si="4"/>
        <v>1997</v>
      </c>
      <c r="O4" s="36">
        <v>2039.0906980198602</v>
      </c>
      <c r="P4" s="198"/>
      <c r="Q4" s="36"/>
      <c r="R4" s="198" t="e">
        <f t="shared" si="5"/>
        <v>#DIV/0!</v>
      </c>
      <c r="S4" s="36">
        <v>1622.464138278403</v>
      </c>
      <c r="T4" s="198">
        <f t="shared" si="5"/>
        <v>-2.6771661457422047E-3</v>
      </c>
      <c r="U4" s="36">
        <v>7081.4165912800563</v>
      </c>
      <c r="V4" s="198">
        <f t="shared" si="5"/>
        <v>1.0625043162002079E-2</v>
      </c>
      <c r="W4" s="36" t="e">
        <f t="shared" si="6"/>
        <v>#DIV/0!</v>
      </c>
      <c r="X4" s="198" t="e">
        <f t="shared" si="5"/>
        <v>#DIV/0!</v>
      </c>
    </row>
    <row r="5" spans="1:24" x14ac:dyDescent="0.2">
      <c r="A5" s="192">
        <f t="shared" si="1"/>
        <v>1998</v>
      </c>
      <c r="B5" s="216" t="e">
        <f>SUM('OD ShareUEC'!$D5:$G5,'OD ShareUEC'!$U5)</f>
        <v>#DIV/0!</v>
      </c>
      <c r="C5" s="198" t="e">
        <f t="shared" si="2"/>
        <v>#DIV/0!</v>
      </c>
      <c r="D5" s="216" t="e">
        <f>SUM('OD ShareUEC'!$H5:$K5)</f>
        <v>#DIV/0!</v>
      </c>
      <c r="E5" s="198" t="e">
        <f t="shared" si="2"/>
        <v>#DIV/0!</v>
      </c>
      <c r="F5" s="216" t="e">
        <f>'OD ShareUEC'!$L5</f>
        <v>#DIV/0!</v>
      </c>
      <c r="G5" s="198" t="e">
        <f t="shared" si="2"/>
        <v>#DIV/0!</v>
      </c>
      <c r="H5" s="216" t="e">
        <f>SUM('OD ShareUEC'!$M5:$W5)</f>
        <v>#DIV/0!</v>
      </c>
      <c r="I5" s="198" t="e">
        <f t="shared" si="2"/>
        <v>#DIV/0!</v>
      </c>
      <c r="J5" s="216" t="e">
        <f t="shared" si="0"/>
        <v>#DIV/0!</v>
      </c>
      <c r="K5" s="198" t="e">
        <f t="shared" si="3"/>
        <v>#DIV/0!</v>
      </c>
      <c r="L5" s="217"/>
      <c r="M5" s="216"/>
      <c r="N5" s="24">
        <f t="shared" si="4"/>
        <v>1998</v>
      </c>
      <c r="O5" s="36">
        <v>2039.8649495481538</v>
      </c>
      <c r="P5" s="198"/>
      <c r="Q5" s="36"/>
      <c r="R5" s="198" t="e">
        <f t="shared" si="5"/>
        <v>#DIV/0!</v>
      </c>
      <c r="S5" s="36">
        <v>1618.1321297213753</v>
      </c>
      <c r="T5" s="198">
        <f t="shared" si="5"/>
        <v>-2.6700180637732052E-3</v>
      </c>
      <c r="U5" s="36">
        <v>7156.1212056055683</v>
      </c>
      <c r="V5" s="198">
        <f t="shared" si="5"/>
        <v>1.0549388439807572E-2</v>
      </c>
      <c r="W5" s="36" t="e">
        <f t="shared" si="6"/>
        <v>#DIV/0!</v>
      </c>
      <c r="X5" s="198" t="e">
        <f t="shared" si="5"/>
        <v>#DIV/0!</v>
      </c>
    </row>
    <row r="6" spans="1:24" x14ac:dyDescent="0.2">
      <c r="A6" s="192">
        <f t="shared" si="1"/>
        <v>1999</v>
      </c>
      <c r="B6" s="216" t="e">
        <f>SUM('OD ShareUEC'!$D6:$G6,'OD ShareUEC'!$U6)</f>
        <v>#DIV/0!</v>
      </c>
      <c r="C6" s="198" t="e">
        <f t="shared" si="2"/>
        <v>#DIV/0!</v>
      </c>
      <c r="D6" s="216" t="e">
        <f>SUM('OD ShareUEC'!$H6:$K6)</f>
        <v>#DIV/0!</v>
      </c>
      <c r="E6" s="198" t="e">
        <f t="shared" si="2"/>
        <v>#DIV/0!</v>
      </c>
      <c r="F6" s="216" t="e">
        <f>'OD ShareUEC'!$L6</f>
        <v>#DIV/0!</v>
      </c>
      <c r="G6" s="198" t="e">
        <f t="shared" si="2"/>
        <v>#DIV/0!</v>
      </c>
      <c r="H6" s="216" t="e">
        <f>SUM('OD ShareUEC'!$M6:$W6)</f>
        <v>#DIV/0!</v>
      </c>
      <c r="I6" s="198" t="e">
        <f t="shared" si="2"/>
        <v>#DIV/0!</v>
      </c>
      <c r="J6" s="216" t="e">
        <f t="shared" si="0"/>
        <v>#DIV/0!</v>
      </c>
      <c r="K6" s="198" t="e">
        <f t="shared" si="3"/>
        <v>#DIV/0!</v>
      </c>
      <c r="L6" s="217"/>
      <c r="M6" s="216"/>
      <c r="N6" s="24">
        <f t="shared" si="4"/>
        <v>1999</v>
      </c>
      <c r="O6" s="36">
        <v>2039.7914590634546</v>
      </c>
      <c r="P6" s="198"/>
      <c r="Q6" s="36"/>
      <c r="R6" s="198" t="e">
        <f t="shared" si="5"/>
        <v>#DIV/0!</v>
      </c>
      <c r="S6" s="36">
        <v>1613.8231926452761</v>
      </c>
      <c r="T6" s="198">
        <f t="shared" si="5"/>
        <v>-2.6629080511745284E-3</v>
      </c>
      <c r="U6" s="36">
        <v>7231.0811046664021</v>
      </c>
      <c r="V6" s="198">
        <f t="shared" si="5"/>
        <v>1.0474934242605594E-2</v>
      </c>
      <c r="W6" s="36" t="e">
        <f t="shared" si="6"/>
        <v>#DIV/0!</v>
      </c>
      <c r="X6" s="198" t="e">
        <f t="shared" si="5"/>
        <v>#DIV/0!</v>
      </c>
    </row>
    <row r="7" spans="1:24" x14ac:dyDescent="0.2">
      <c r="A7" s="192">
        <f t="shared" si="1"/>
        <v>2000</v>
      </c>
      <c r="B7" s="216" t="e">
        <f>SUM('OD ShareUEC'!$D7:$G7,'OD ShareUEC'!$U7)</f>
        <v>#DIV/0!</v>
      </c>
      <c r="C7" s="202" t="e">
        <f t="shared" si="2"/>
        <v>#DIV/0!</v>
      </c>
      <c r="D7" s="216" t="e">
        <f>SUM('OD ShareUEC'!$H7:$K7)</f>
        <v>#DIV/0!</v>
      </c>
      <c r="E7" s="202" t="e">
        <f t="shared" si="2"/>
        <v>#DIV/0!</v>
      </c>
      <c r="F7" s="216" t="e">
        <f>'OD ShareUEC'!$L7</f>
        <v>#DIV/0!</v>
      </c>
      <c r="G7" s="202" t="e">
        <f t="shared" si="2"/>
        <v>#DIV/0!</v>
      </c>
      <c r="H7" s="216" t="e">
        <f>SUM('OD ShareUEC'!$M7:$W7)</f>
        <v>#DIV/0!</v>
      </c>
      <c r="I7" s="202" t="e">
        <f t="shared" si="2"/>
        <v>#DIV/0!</v>
      </c>
      <c r="J7" s="216" t="e">
        <f t="shared" si="0"/>
        <v>#DIV/0!</v>
      </c>
      <c r="K7" s="202" t="e">
        <f t="shared" si="3"/>
        <v>#DIV/0!</v>
      </c>
      <c r="L7" s="217"/>
      <c r="M7" s="216"/>
      <c r="N7" s="24">
        <f t="shared" si="4"/>
        <v>2000</v>
      </c>
      <c r="O7" s="36">
        <v>2038.9351673918052</v>
      </c>
      <c r="P7" s="202"/>
      <c r="Q7" s="36"/>
      <c r="R7" s="202" t="e">
        <f t="shared" si="5"/>
        <v>#DIV/0!</v>
      </c>
      <c r="S7" s="36">
        <v>1609.5371432279101</v>
      </c>
      <c r="T7" s="202">
        <f t="shared" si="5"/>
        <v>-2.6558358046278041E-3</v>
      </c>
      <c r="U7" s="36">
        <v>7306.2962884625576</v>
      </c>
      <c r="V7" s="202">
        <f t="shared" si="5"/>
        <v>1.0401651247918808E-2</v>
      </c>
      <c r="W7" s="36" t="e">
        <f t="shared" si="6"/>
        <v>#DIV/0!</v>
      </c>
      <c r="X7" s="202" t="e">
        <f t="shared" si="5"/>
        <v>#DIV/0!</v>
      </c>
    </row>
    <row r="8" spans="1:24" x14ac:dyDescent="0.2">
      <c r="A8" s="192">
        <f t="shared" si="1"/>
        <v>2001</v>
      </c>
      <c r="B8" s="216" t="e">
        <f>SUM('OD ShareUEC'!$D8:$G8,'OD ShareUEC'!$U8)</f>
        <v>#DIV/0!</v>
      </c>
      <c r="C8" s="202" t="e">
        <f t="shared" si="2"/>
        <v>#DIV/0!</v>
      </c>
      <c r="D8" s="216" t="e">
        <f>SUM('OD ShareUEC'!$H8:$K8)</f>
        <v>#DIV/0!</v>
      </c>
      <c r="E8" s="202" t="e">
        <f t="shared" si="2"/>
        <v>#DIV/0!</v>
      </c>
      <c r="F8" s="216" t="e">
        <f>'OD ShareUEC'!$L8</f>
        <v>#DIV/0!</v>
      </c>
      <c r="G8" s="202" t="e">
        <f t="shared" si="2"/>
        <v>#DIV/0!</v>
      </c>
      <c r="H8" s="216" t="e">
        <f>SUM('OD ShareUEC'!$M8:$W8)</f>
        <v>#DIV/0!</v>
      </c>
      <c r="I8" s="202" t="e">
        <f t="shared" si="2"/>
        <v>#DIV/0!</v>
      </c>
      <c r="J8" s="216" t="e">
        <f t="shared" si="0"/>
        <v>#DIV/0!</v>
      </c>
      <c r="K8" s="202" t="e">
        <f t="shared" si="3"/>
        <v>#DIV/0!</v>
      </c>
      <c r="L8" s="217"/>
      <c r="M8" s="216"/>
      <c r="N8" s="24">
        <f t="shared" si="4"/>
        <v>2001</v>
      </c>
      <c r="O8" s="36">
        <v>2037.380615703898</v>
      </c>
      <c r="P8" s="202"/>
      <c r="Q8" s="36"/>
      <c r="R8" s="202" t="e">
        <f t="shared" si="5"/>
        <v>#DIV/0!</v>
      </c>
      <c r="S8" s="36">
        <v>1605.2737995947157</v>
      </c>
      <c r="T8" s="202">
        <f t="shared" si="5"/>
        <v>-2.6488010240287574E-3</v>
      </c>
      <c r="U8" s="36">
        <v>7381.7667569940359</v>
      </c>
      <c r="V8" s="202">
        <f t="shared" si="5"/>
        <v>1.0329511089038901E-2</v>
      </c>
      <c r="W8" s="36" t="e">
        <f t="shared" si="6"/>
        <v>#DIV/0!</v>
      </c>
      <c r="X8" s="202" t="e">
        <f t="shared" si="5"/>
        <v>#DIV/0!</v>
      </c>
    </row>
    <row r="9" spans="1:24" x14ac:dyDescent="0.2">
      <c r="A9" s="192">
        <f t="shared" si="1"/>
        <v>2002</v>
      </c>
      <c r="B9" s="216" t="e">
        <f>SUM('OD ShareUEC'!$D9:$G9,'OD ShareUEC'!$U9)</f>
        <v>#DIV/0!</v>
      </c>
      <c r="C9" s="202" t="e">
        <f t="shared" si="2"/>
        <v>#DIV/0!</v>
      </c>
      <c r="D9" s="216" t="e">
        <f>SUM('OD ShareUEC'!$H9:$K9)</f>
        <v>#DIV/0!</v>
      </c>
      <c r="E9" s="202" t="e">
        <f t="shared" si="2"/>
        <v>#DIV/0!</v>
      </c>
      <c r="F9" s="216" t="e">
        <f>'OD ShareUEC'!$L9</f>
        <v>#DIV/0!</v>
      </c>
      <c r="G9" s="202" t="e">
        <f t="shared" si="2"/>
        <v>#DIV/0!</v>
      </c>
      <c r="H9" s="216" t="e">
        <f>SUM('OD ShareUEC'!$M9:$W9)</f>
        <v>#DIV/0!</v>
      </c>
      <c r="I9" s="202" t="e">
        <f t="shared" si="2"/>
        <v>#DIV/0!</v>
      </c>
      <c r="J9" s="216" t="e">
        <f t="shared" si="0"/>
        <v>#DIV/0!</v>
      </c>
      <c r="K9" s="202" t="e">
        <f t="shared" si="3"/>
        <v>#DIV/0!</v>
      </c>
      <c r="L9" s="217"/>
      <c r="M9" s="216"/>
      <c r="N9" s="24">
        <f t="shared" si="4"/>
        <v>2002</v>
      </c>
      <c r="O9" s="36">
        <v>2035.9537869557148</v>
      </c>
      <c r="P9" s="202"/>
      <c r="Q9" s="36"/>
      <c r="R9" s="202" t="e">
        <f t="shared" si="5"/>
        <v>#DIV/0!</v>
      </c>
      <c r="S9" s="36">
        <v>1601.0329817930383</v>
      </c>
      <c r="T9" s="202">
        <f t="shared" si="5"/>
        <v>-2.6418034124446876E-3</v>
      </c>
      <c r="U9" s="36">
        <v>7460.760859227209</v>
      </c>
      <c r="V9" s="202">
        <f t="shared" si="5"/>
        <v>1.0701246034132472E-2</v>
      </c>
      <c r="W9" s="36" t="e">
        <f t="shared" si="6"/>
        <v>#DIV/0!</v>
      </c>
      <c r="X9" s="202" t="e">
        <f t="shared" si="5"/>
        <v>#DIV/0!</v>
      </c>
    </row>
    <row r="10" spans="1:24" x14ac:dyDescent="0.2">
      <c r="A10" s="192">
        <f t="shared" si="1"/>
        <v>2003</v>
      </c>
      <c r="B10" s="216" t="e">
        <f>SUM('OD ShareUEC'!$D10:$G10,'OD ShareUEC'!$U10)</f>
        <v>#DIV/0!</v>
      </c>
      <c r="C10" s="202" t="e">
        <f t="shared" si="2"/>
        <v>#DIV/0!</v>
      </c>
      <c r="D10" s="216" t="e">
        <f>SUM('OD ShareUEC'!$H10:$K10)</f>
        <v>#DIV/0!</v>
      </c>
      <c r="E10" s="202" t="e">
        <f t="shared" si="2"/>
        <v>#DIV/0!</v>
      </c>
      <c r="F10" s="216" t="e">
        <f>'OD ShareUEC'!$L10</f>
        <v>#DIV/0!</v>
      </c>
      <c r="G10" s="202" t="e">
        <f t="shared" si="2"/>
        <v>#DIV/0!</v>
      </c>
      <c r="H10" s="216" t="e">
        <f>SUM('OD ShareUEC'!$M10:$W10)</f>
        <v>#DIV/0!</v>
      </c>
      <c r="I10" s="202" t="e">
        <f t="shared" si="2"/>
        <v>#DIV/0!</v>
      </c>
      <c r="J10" s="216" t="e">
        <f t="shared" si="0"/>
        <v>#DIV/0!</v>
      </c>
      <c r="K10" s="202" t="e">
        <f t="shared" si="3"/>
        <v>#DIV/0!</v>
      </c>
      <c r="L10" s="217"/>
      <c r="M10" s="216"/>
      <c r="N10" s="24">
        <f t="shared" si="4"/>
        <v>2003</v>
      </c>
      <c r="O10" s="36">
        <v>2032.6068855658739</v>
      </c>
      <c r="P10" s="202"/>
      <c r="Q10" s="36"/>
      <c r="R10" s="202" t="e">
        <f t="shared" si="5"/>
        <v>#DIV/0!</v>
      </c>
      <c r="S10" s="36">
        <v>1596.8145117668116</v>
      </c>
      <c r="T10" s="202">
        <f t="shared" si="5"/>
        <v>-2.6348426760717247E-3</v>
      </c>
      <c r="U10" s="36">
        <v>7542.8155147000052</v>
      </c>
      <c r="V10" s="202">
        <f t="shared" si="5"/>
        <v>1.099816185252922E-2</v>
      </c>
      <c r="W10" s="36" t="e">
        <f t="shared" si="6"/>
        <v>#DIV/0!</v>
      </c>
      <c r="X10" s="202" t="e">
        <f t="shared" si="5"/>
        <v>#DIV/0!</v>
      </c>
    </row>
    <row r="11" spans="1:24" x14ac:dyDescent="0.2">
      <c r="A11" s="192">
        <f t="shared" si="1"/>
        <v>2004</v>
      </c>
      <c r="B11" s="216" t="e">
        <f>SUM('OD ShareUEC'!$D11:$G11,'OD ShareUEC'!$U11)</f>
        <v>#DIV/0!</v>
      </c>
      <c r="C11" s="202" t="e">
        <f t="shared" si="2"/>
        <v>#DIV/0!</v>
      </c>
      <c r="D11" s="216" t="e">
        <f>SUM('OD ShareUEC'!$H11:$K11)</f>
        <v>#DIV/0!</v>
      </c>
      <c r="E11" s="202" t="e">
        <f t="shared" si="2"/>
        <v>#DIV/0!</v>
      </c>
      <c r="F11" s="216" t="e">
        <f>'OD ShareUEC'!$L11</f>
        <v>#DIV/0!</v>
      </c>
      <c r="G11" s="202" t="e">
        <f t="shared" si="2"/>
        <v>#DIV/0!</v>
      </c>
      <c r="H11" s="216" t="e">
        <f>SUM('OD ShareUEC'!$M11:$W11)</f>
        <v>#DIV/0!</v>
      </c>
      <c r="I11" s="202" t="e">
        <f t="shared" si="2"/>
        <v>#DIV/0!</v>
      </c>
      <c r="J11" s="216" t="e">
        <f t="shared" si="0"/>
        <v>#DIV/0!</v>
      </c>
      <c r="K11" s="202" t="e">
        <f t="shared" si="3"/>
        <v>#DIV/0!</v>
      </c>
      <c r="L11" s="217"/>
      <c r="M11" s="216"/>
      <c r="N11" s="24">
        <f t="shared" si="4"/>
        <v>2004</v>
      </c>
      <c r="O11" s="36">
        <v>2028.8939634529845</v>
      </c>
      <c r="P11" s="202"/>
      <c r="Q11" s="36"/>
      <c r="R11" s="202" t="e">
        <f t="shared" si="5"/>
        <v>#DIV/0!</v>
      </c>
      <c r="S11" s="36">
        <v>1592.6182133316365</v>
      </c>
      <c r="T11" s="202">
        <f t="shared" si="5"/>
        <v>-2.627918524194861E-3</v>
      </c>
      <c r="U11" s="36">
        <v>7625.6966950052056</v>
      </c>
      <c r="V11" s="202">
        <f t="shared" si="5"/>
        <v>1.0988095909766793E-2</v>
      </c>
      <c r="W11" s="36" t="e">
        <f t="shared" si="6"/>
        <v>#DIV/0!</v>
      </c>
      <c r="X11" s="202" t="e">
        <f t="shared" si="5"/>
        <v>#DIV/0!</v>
      </c>
    </row>
    <row r="12" spans="1:24" x14ac:dyDescent="0.2">
      <c r="A12" s="192">
        <f t="shared" si="1"/>
        <v>2005</v>
      </c>
      <c r="B12" s="216" t="e">
        <f>SUM('OD ShareUEC'!$D12:$G12,'OD ShareUEC'!$U12)</f>
        <v>#DIV/0!</v>
      </c>
      <c r="C12" s="202" t="e">
        <f t="shared" si="2"/>
        <v>#DIV/0!</v>
      </c>
      <c r="D12" s="216" t="e">
        <f>SUM('OD ShareUEC'!$H12:$K12)</f>
        <v>#DIV/0!</v>
      </c>
      <c r="E12" s="202" t="e">
        <f t="shared" si="2"/>
        <v>#DIV/0!</v>
      </c>
      <c r="F12" s="216" t="e">
        <f>'OD ShareUEC'!$L12</f>
        <v>#DIV/0!</v>
      </c>
      <c r="G12" s="202" t="e">
        <f t="shared" si="2"/>
        <v>#DIV/0!</v>
      </c>
      <c r="H12" s="216" t="e">
        <f>SUM('OD ShareUEC'!$M12:$W12)</f>
        <v>#DIV/0!</v>
      </c>
      <c r="I12" s="202" t="e">
        <f t="shared" si="2"/>
        <v>#DIV/0!</v>
      </c>
      <c r="J12" s="216" t="e">
        <f t="shared" si="0"/>
        <v>#DIV/0!</v>
      </c>
      <c r="K12" s="202" t="e">
        <f t="shared" si="3"/>
        <v>#DIV/0!</v>
      </c>
      <c r="L12" s="217"/>
      <c r="M12" s="216"/>
      <c r="N12" s="24">
        <f t="shared" si="4"/>
        <v>2005</v>
      </c>
      <c r="O12" s="36">
        <v>2025.026994301161</v>
      </c>
      <c r="P12" s="202"/>
      <c r="Q12" s="36"/>
      <c r="R12" s="202" t="e">
        <f t="shared" si="5"/>
        <v>#DIV/0!</v>
      </c>
      <c r="S12" s="36">
        <v>1588.4439121502512</v>
      </c>
      <c r="T12" s="202">
        <f t="shared" si="5"/>
        <v>-2.6210306691476504E-3</v>
      </c>
      <c r="U12" s="36">
        <v>7709.3717418777042</v>
      </c>
      <c r="V12" s="202">
        <f t="shared" si="5"/>
        <v>1.097277405844177E-2</v>
      </c>
      <c r="W12" s="36" t="e">
        <f t="shared" si="6"/>
        <v>#DIV/0!</v>
      </c>
      <c r="X12" s="202" t="e">
        <f t="shared" si="5"/>
        <v>#DIV/0!</v>
      </c>
    </row>
    <row r="13" spans="1:24" x14ac:dyDescent="0.2">
      <c r="A13" s="192">
        <f t="shared" si="1"/>
        <v>2006</v>
      </c>
      <c r="B13" s="216" t="e">
        <f>SUM('OD ShareUEC'!$D13:$G13,'OD ShareUEC'!$U13)</f>
        <v>#DIV/0!</v>
      </c>
      <c r="C13" s="202" t="e">
        <f t="shared" si="2"/>
        <v>#DIV/0!</v>
      </c>
      <c r="D13" s="216" t="e">
        <f>SUM('OD ShareUEC'!$H13:$K13)</f>
        <v>#DIV/0!</v>
      </c>
      <c r="E13" s="202" t="e">
        <f t="shared" si="2"/>
        <v>#DIV/0!</v>
      </c>
      <c r="F13" s="216" t="e">
        <f>'OD ShareUEC'!$L13</f>
        <v>#DIV/0!</v>
      </c>
      <c r="G13" s="202" t="e">
        <f t="shared" si="2"/>
        <v>#DIV/0!</v>
      </c>
      <c r="H13" s="216" t="e">
        <f>SUM('OD ShareUEC'!$M13:$W13)</f>
        <v>#DIV/0!</v>
      </c>
      <c r="I13" s="202" t="e">
        <f t="shared" si="2"/>
        <v>#DIV/0!</v>
      </c>
      <c r="J13" s="216" t="e">
        <f t="shared" si="0"/>
        <v>#DIV/0!</v>
      </c>
      <c r="K13" s="202" t="e">
        <f t="shared" si="3"/>
        <v>#DIV/0!</v>
      </c>
      <c r="L13" s="217"/>
      <c r="M13" s="216"/>
      <c r="N13" s="24">
        <f t="shared" si="4"/>
        <v>2006</v>
      </c>
      <c r="O13" s="36">
        <v>2005.3707023884558</v>
      </c>
      <c r="P13" s="202"/>
      <c r="Q13" s="36"/>
      <c r="R13" s="202" t="e">
        <f t="shared" si="5"/>
        <v>#DIV/0!</v>
      </c>
      <c r="S13" s="36">
        <v>1582.7976197631328</v>
      </c>
      <c r="T13" s="202">
        <f t="shared" si="5"/>
        <v>-3.5546060795279555E-3</v>
      </c>
      <c r="U13" s="36">
        <v>7679.8865647264538</v>
      </c>
      <c r="V13" s="202">
        <f t="shared" si="5"/>
        <v>-3.8245888430941122E-3</v>
      </c>
      <c r="W13" s="36" t="e">
        <f t="shared" si="6"/>
        <v>#DIV/0!</v>
      </c>
      <c r="X13" s="202" t="e">
        <f t="shared" si="5"/>
        <v>#DIV/0!</v>
      </c>
    </row>
    <row r="14" spans="1:24" x14ac:dyDescent="0.2">
      <c r="A14" s="192">
        <f t="shared" si="1"/>
        <v>2007</v>
      </c>
      <c r="B14" s="216" t="e">
        <f>SUM('OD ShareUEC'!$D14:$G14,'OD ShareUEC'!$U14)</f>
        <v>#DIV/0!</v>
      </c>
      <c r="C14" s="202" t="e">
        <f t="shared" si="2"/>
        <v>#DIV/0!</v>
      </c>
      <c r="D14" s="216" t="e">
        <f>SUM('OD ShareUEC'!$H14:$K14)</f>
        <v>#DIV/0!</v>
      </c>
      <c r="E14" s="202" t="e">
        <f t="shared" si="2"/>
        <v>#DIV/0!</v>
      </c>
      <c r="F14" s="216" t="e">
        <f>'OD ShareUEC'!$L14</f>
        <v>#DIV/0!</v>
      </c>
      <c r="G14" s="202" t="e">
        <f t="shared" si="2"/>
        <v>#DIV/0!</v>
      </c>
      <c r="H14" s="216" t="e">
        <f>SUM('OD ShareUEC'!$M14:$W14)</f>
        <v>#DIV/0!</v>
      </c>
      <c r="I14" s="202" t="e">
        <f t="shared" si="2"/>
        <v>#DIV/0!</v>
      </c>
      <c r="J14" s="216" t="e">
        <f t="shared" si="0"/>
        <v>#DIV/0!</v>
      </c>
      <c r="K14" s="202" t="e">
        <f t="shared" si="3"/>
        <v>#DIV/0!</v>
      </c>
      <c r="L14" s="217"/>
      <c r="M14" s="216"/>
      <c r="N14" s="24">
        <f t="shared" si="4"/>
        <v>2007</v>
      </c>
      <c r="O14" s="36">
        <v>2007.0480929212758</v>
      </c>
      <c r="P14" s="202"/>
      <c r="Q14" s="36"/>
      <c r="R14" s="202" t="e">
        <f t="shared" si="5"/>
        <v>#DIV/0!</v>
      </c>
      <c r="S14" s="36">
        <v>1577.9442429946798</v>
      </c>
      <c r="T14" s="202">
        <f t="shared" si="5"/>
        <v>-3.0663280686379357E-3</v>
      </c>
      <c r="U14" s="36">
        <v>7754.9599434618221</v>
      </c>
      <c r="V14" s="202">
        <f t="shared" si="5"/>
        <v>9.7753239064986008E-3</v>
      </c>
      <c r="W14" s="36" t="e">
        <f t="shared" si="6"/>
        <v>#DIV/0!</v>
      </c>
      <c r="X14" s="202" t="e">
        <f t="shared" si="5"/>
        <v>#DIV/0!</v>
      </c>
    </row>
    <row r="15" spans="1:24" x14ac:dyDescent="0.2">
      <c r="A15" s="192">
        <f t="shared" si="1"/>
        <v>2008</v>
      </c>
      <c r="B15" s="216" t="e">
        <f>SUM('OD ShareUEC'!$D15:$G15,'OD ShareUEC'!$U15)</f>
        <v>#DIV/0!</v>
      </c>
      <c r="C15" s="202" t="e">
        <f t="shared" si="2"/>
        <v>#DIV/0!</v>
      </c>
      <c r="D15" s="216" t="e">
        <f>SUM('OD ShareUEC'!$H15:$K15)</f>
        <v>#DIV/0!</v>
      </c>
      <c r="E15" s="202" t="e">
        <f t="shared" si="2"/>
        <v>#DIV/0!</v>
      </c>
      <c r="F15" s="216" t="e">
        <f>'OD ShareUEC'!$L15</f>
        <v>#DIV/0!</v>
      </c>
      <c r="G15" s="202" t="e">
        <f t="shared" si="2"/>
        <v>#DIV/0!</v>
      </c>
      <c r="H15" s="216" t="e">
        <f>SUM('OD ShareUEC'!$M15:$W15)</f>
        <v>#DIV/0!</v>
      </c>
      <c r="I15" s="202" t="e">
        <f t="shared" si="2"/>
        <v>#DIV/0!</v>
      </c>
      <c r="J15" s="216" t="e">
        <f t="shared" si="0"/>
        <v>#DIV/0!</v>
      </c>
      <c r="K15" s="202" t="e">
        <f t="shared" si="3"/>
        <v>#DIV/0!</v>
      </c>
      <c r="L15" s="217"/>
      <c r="M15" s="216"/>
      <c r="N15" s="24">
        <f t="shared" si="4"/>
        <v>2008</v>
      </c>
      <c r="O15" s="36">
        <v>2028.5180136888566</v>
      </c>
      <c r="P15" s="202"/>
      <c r="Q15" s="36"/>
      <c r="R15" s="202" t="e">
        <f t="shared" si="5"/>
        <v>#DIV/0!</v>
      </c>
      <c r="S15" s="36">
        <v>1574.3637768153478</v>
      </c>
      <c r="T15" s="202">
        <f t="shared" si="5"/>
        <v>-2.2690701494856302E-3</v>
      </c>
      <c r="U15" s="36">
        <v>7773.3190685685859</v>
      </c>
      <c r="V15" s="202">
        <f t="shared" si="5"/>
        <v>2.367404247167304E-3</v>
      </c>
      <c r="W15" s="36" t="e">
        <f t="shared" si="6"/>
        <v>#DIV/0!</v>
      </c>
      <c r="X15" s="202" t="e">
        <f t="shared" si="5"/>
        <v>#DIV/0!</v>
      </c>
    </row>
    <row r="16" spans="1:24" x14ac:dyDescent="0.2">
      <c r="A16" s="192">
        <f t="shared" si="1"/>
        <v>2009</v>
      </c>
      <c r="B16" s="216" t="e">
        <f>SUM('OD ShareUEC'!$D16:$G16,'OD ShareUEC'!$U16)</f>
        <v>#DIV/0!</v>
      </c>
      <c r="C16" s="202" t="e">
        <f t="shared" si="2"/>
        <v>#DIV/0!</v>
      </c>
      <c r="D16" s="216" t="e">
        <f>SUM('OD ShareUEC'!$H16:$K16)</f>
        <v>#DIV/0!</v>
      </c>
      <c r="E16" s="202" t="e">
        <f t="shared" si="2"/>
        <v>#DIV/0!</v>
      </c>
      <c r="F16" s="216" t="e">
        <f>'OD ShareUEC'!$L16</f>
        <v>#DIV/0!</v>
      </c>
      <c r="G16" s="202" t="e">
        <f t="shared" si="2"/>
        <v>#DIV/0!</v>
      </c>
      <c r="H16" s="216" t="e">
        <f>SUM('OD ShareUEC'!$M16:$W16)</f>
        <v>#DIV/0!</v>
      </c>
      <c r="I16" s="202" t="e">
        <f t="shared" si="2"/>
        <v>#DIV/0!</v>
      </c>
      <c r="J16" s="216" t="e">
        <f t="shared" si="0"/>
        <v>#DIV/0!</v>
      </c>
      <c r="K16" s="202" t="e">
        <f t="shared" si="3"/>
        <v>#DIV/0!</v>
      </c>
      <c r="L16" s="217"/>
      <c r="M16" s="216"/>
      <c r="N16" s="24">
        <f t="shared" si="4"/>
        <v>2009</v>
      </c>
      <c r="O16" s="36">
        <v>2014.8343189548841</v>
      </c>
      <c r="P16" s="202">
        <f t="shared" si="5"/>
        <v>-6.7456609414519031E-3</v>
      </c>
      <c r="Q16" s="36">
        <v>5129.4674626857532</v>
      </c>
      <c r="R16" s="202" t="e">
        <f t="shared" si="5"/>
        <v>#DIV/0!</v>
      </c>
      <c r="S16" s="36">
        <v>1571.1398391676419</v>
      </c>
      <c r="T16" s="202">
        <f t="shared" si="5"/>
        <v>-2.0477717381349736E-3</v>
      </c>
      <c r="U16" s="36">
        <v>7745.0894046735284</v>
      </c>
      <c r="V16" s="202">
        <f t="shared" si="5"/>
        <v>-3.6316100813620356E-3</v>
      </c>
      <c r="W16" s="36" t="e">
        <f t="shared" si="6"/>
        <v>#DIV/0!</v>
      </c>
      <c r="X16" s="202" t="e">
        <f t="shared" si="5"/>
        <v>#DIV/0!</v>
      </c>
    </row>
    <row r="17" spans="1:24" x14ac:dyDescent="0.2">
      <c r="A17" s="192">
        <f t="shared" si="1"/>
        <v>2010</v>
      </c>
      <c r="B17" s="216" t="e">
        <f>SUM('OD ShareUEC'!$D17:$G17,'OD ShareUEC'!$U17)</f>
        <v>#DIV/0!</v>
      </c>
      <c r="C17" s="202" t="e">
        <f t="shared" si="2"/>
        <v>#DIV/0!</v>
      </c>
      <c r="D17" s="216" t="e">
        <f>SUM('OD ShareUEC'!$H17:$K17)</f>
        <v>#DIV/0!</v>
      </c>
      <c r="E17" s="202" t="e">
        <f t="shared" si="2"/>
        <v>#DIV/0!</v>
      </c>
      <c r="F17" s="216" t="e">
        <f>'OD ShareUEC'!$L17</f>
        <v>#DIV/0!</v>
      </c>
      <c r="G17" s="202" t="e">
        <f t="shared" si="2"/>
        <v>#DIV/0!</v>
      </c>
      <c r="H17" s="216" t="e">
        <f>SUM('OD ShareUEC'!$M17:$W17)</f>
        <v>#DIV/0!</v>
      </c>
      <c r="I17" s="202" t="e">
        <f t="shared" si="2"/>
        <v>#DIV/0!</v>
      </c>
      <c r="J17" s="216" t="e">
        <f t="shared" si="0"/>
        <v>#DIV/0!</v>
      </c>
      <c r="K17" s="202" t="e">
        <f t="shared" si="3"/>
        <v>#DIV/0!</v>
      </c>
      <c r="L17" s="217"/>
      <c r="M17" s="216"/>
      <c r="N17" s="24">
        <f t="shared" si="4"/>
        <v>2010</v>
      </c>
      <c r="O17" s="36">
        <v>2006.782096665122</v>
      </c>
      <c r="P17" s="202">
        <f t="shared" si="5"/>
        <v>-3.996468699192568E-3</v>
      </c>
      <c r="Q17" s="36">
        <v>5077.858445727511</v>
      </c>
      <c r="R17" s="202">
        <f t="shared" si="5"/>
        <v>-1.0061281669816902E-2</v>
      </c>
      <c r="S17" s="36">
        <v>1567.4914286226908</v>
      </c>
      <c r="T17" s="202">
        <f t="shared" si="5"/>
        <v>-2.3221424687975833E-3</v>
      </c>
      <c r="U17" s="36">
        <v>7639.6178440684562</v>
      </c>
      <c r="V17" s="202">
        <f t="shared" si="5"/>
        <v>-1.361786224719741E-2</v>
      </c>
      <c r="W17" s="36">
        <f t="shared" si="6"/>
        <v>16291.733435190943</v>
      </c>
      <c r="X17" s="202" t="e">
        <f t="shared" si="5"/>
        <v>#DIV/0!</v>
      </c>
    </row>
    <row r="18" spans="1:24" x14ac:dyDescent="0.2">
      <c r="A18" s="192">
        <f t="shared" si="1"/>
        <v>2011</v>
      </c>
      <c r="B18" s="216" t="e">
        <f>SUM('OD ShareUEC'!$D18:$G18,'OD ShareUEC'!$U18)</f>
        <v>#DIV/0!</v>
      </c>
      <c r="C18" s="202" t="e">
        <f t="shared" si="2"/>
        <v>#DIV/0!</v>
      </c>
      <c r="D18" s="216" t="e">
        <f>SUM('OD ShareUEC'!$H18:$K18)</f>
        <v>#DIV/0!</v>
      </c>
      <c r="E18" s="202" t="e">
        <f t="shared" si="2"/>
        <v>#DIV/0!</v>
      </c>
      <c r="F18" s="216" t="e">
        <f>'OD ShareUEC'!$L18</f>
        <v>#DIV/0!</v>
      </c>
      <c r="G18" s="202" t="e">
        <f t="shared" si="2"/>
        <v>#DIV/0!</v>
      </c>
      <c r="H18" s="216" t="e">
        <f>SUM('OD ShareUEC'!$M18:$W18)</f>
        <v>#DIV/0!</v>
      </c>
      <c r="I18" s="202" t="e">
        <f t="shared" si="2"/>
        <v>#DIV/0!</v>
      </c>
      <c r="J18" s="216" t="e">
        <f t="shared" si="0"/>
        <v>#DIV/0!</v>
      </c>
      <c r="K18" s="202" t="e">
        <f t="shared" si="3"/>
        <v>#DIV/0!</v>
      </c>
      <c r="L18" s="217"/>
      <c r="M18" s="216"/>
      <c r="N18" s="24">
        <f t="shared" si="4"/>
        <v>2011</v>
      </c>
      <c r="O18" s="36">
        <v>1993.9756887009096</v>
      </c>
      <c r="P18" s="202">
        <f t="shared" si="5"/>
        <v>-6.3815637908540834E-3</v>
      </c>
      <c r="Q18" s="36">
        <v>5034.7004327750356</v>
      </c>
      <c r="R18" s="202">
        <f t="shared" si="5"/>
        <v>-8.4992548362171627E-3</v>
      </c>
      <c r="S18" s="36">
        <v>1564.1645759217611</v>
      </c>
      <c r="T18" s="202">
        <f t="shared" si="5"/>
        <v>-2.1224056732820351E-3</v>
      </c>
      <c r="U18" s="36">
        <v>7589.7637323676845</v>
      </c>
      <c r="V18" s="202">
        <f t="shared" si="5"/>
        <v>-6.5257337105519841E-3</v>
      </c>
      <c r="W18" s="36">
        <f t="shared" si="6"/>
        <v>16182.587426541091</v>
      </c>
      <c r="X18" s="202">
        <f t="shared" si="5"/>
        <v>-6.6994717955605187E-3</v>
      </c>
    </row>
    <row r="19" spans="1:24" x14ac:dyDescent="0.2">
      <c r="A19" s="192">
        <f t="shared" si="1"/>
        <v>2012</v>
      </c>
      <c r="B19" s="216" t="e">
        <f>SUM('OD ShareUEC'!$D19:$G19,'OD ShareUEC'!$U19)</f>
        <v>#DIV/0!</v>
      </c>
      <c r="C19" s="198" t="e">
        <f t="shared" si="2"/>
        <v>#DIV/0!</v>
      </c>
      <c r="D19" s="216" t="e">
        <f>SUM('OD ShareUEC'!$H19:$K19)</f>
        <v>#DIV/0!</v>
      </c>
      <c r="E19" s="198" t="e">
        <f t="shared" si="2"/>
        <v>#DIV/0!</v>
      </c>
      <c r="F19" s="216" t="e">
        <f>'OD ShareUEC'!$L19</f>
        <v>#DIV/0!</v>
      </c>
      <c r="G19" s="198" t="e">
        <f t="shared" si="2"/>
        <v>#DIV/0!</v>
      </c>
      <c r="H19" s="216" t="e">
        <f>SUM('OD ShareUEC'!$M19:$W19)</f>
        <v>#DIV/0!</v>
      </c>
      <c r="I19" s="198" t="e">
        <f t="shared" si="2"/>
        <v>#DIV/0!</v>
      </c>
      <c r="J19" s="216" t="e">
        <f t="shared" si="0"/>
        <v>#DIV/0!</v>
      </c>
      <c r="K19" s="198" t="e">
        <f t="shared" si="3"/>
        <v>#DIV/0!</v>
      </c>
      <c r="L19" s="217"/>
      <c r="M19" s="216" t="e">
        <f>H19-U19</f>
        <v>#DIV/0!</v>
      </c>
      <c r="N19" s="24">
        <f t="shared" si="4"/>
        <v>2012</v>
      </c>
      <c r="O19" s="36">
        <v>1990.7295037371453</v>
      </c>
      <c r="P19" s="198">
        <f t="shared" si="5"/>
        <v>-1.6279962600141973E-3</v>
      </c>
      <c r="Q19" s="36">
        <v>4997.2997162838565</v>
      </c>
      <c r="R19" s="198">
        <f t="shared" si="5"/>
        <v>-7.4285882527800329E-3</v>
      </c>
      <c r="S19" s="36">
        <v>1561.2201676733225</v>
      </c>
      <c r="T19" s="198">
        <f t="shared" si="5"/>
        <v>-1.8824158875375696E-3</v>
      </c>
      <c r="U19" s="36">
        <v>7573.7812473659496</v>
      </c>
      <c r="V19" s="198">
        <f t="shared" si="5"/>
        <v>-2.1057948001167448E-3</v>
      </c>
      <c r="W19" s="36">
        <f t="shared" si="6"/>
        <v>16123.019696059873</v>
      </c>
      <c r="X19" s="198">
        <f t="shared" si="5"/>
        <v>-3.6809768988809166E-3</v>
      </c>
    </row>
    <row r="20" spans="1:24" x14ac:dyDescent="0.2">
      <c r="A20" s="192">
        <f t="shared" si="1"/>
        <v>2013</v>
      </c>
      <c r="B20" s="216" t="e">
        <f>SUM('OD ShareUEC'!$D20:$G20,'OD ShareUEC'!$U20)</f>
        <v>#DIV/0!</v>
      </c>
      <c r="C20" s="198" t="e">
        <f t="shared" si="2"/>
        <v>#DIV/0!</v>
      </c>
      <c r="D20" s="216" t="e">
        <f>SUM('OD ShareUEC'!$H20:$K20)</f>
        <v>#DIV/0!</v>
      </c>
      <c r="E20" s="198" t="e">
        <f t="shared" si="2"/>
        <v>#DIV/0!</v>
      </c>
      <c r="F20" s="216" t="e">
        <f>'OD ShareUEC'!$L20</f>
        <v>#DIV/0!</v>
      </c>
      <c r="G20" s="198" t="e">
        <f t="shared" si="2"/>
        <v>#DIV/0!</v>
      </c>
      <c r="H20" s="216" t="e">
        <f>SUM('OD ShareUEC'!$M20:$W20)</f>
        <v>#DIV/0!</v>
      </c>
      <c r="I20" s="198" t="e">
        <f t="shared" si="2"/>
        <v>#DIV/0!</v>
      </c>
      <c r="J20" s="216" t="e">
        <f t="shared" si="0"/>
        <v>#DIV/0!</v>
      </c>
      <c r="K20" s="198" t="e">
        <f t="shared" si="3"/>
        <v>#DIV/0!</v>
      </c>
      <c r="L20" s="225" t="s">
        <v>32</v>
      </c>
      <c r="M20" s="216" t="e">
        <f t="shared" ref="M20:M48" si="7">H20-U20</f>
        <v>#DIV/0!</v>
      </c>
      <c r="N20" s="24">
        <f t="shared" si="4"/>
        <v>2013</v>
      </c>
      <c r="O20" s="36">
        <v>1986.6489102383609</v>
      </c>
      <c r="P20" s="198">
        <f t="shared" si="5"/>
        <v>-2.0497980720755038E-3</v>
      </c>
      <c r="Q20" s="36">
        <v>4965.0345364997675</v>
      </c>
      <c r="R20" s="198">
        <f t="shared" si="5"/>
        <v>-6.4565228455183421E-3</v>
      </c>
      <c r="S20" s="36">
        <v>1558.6181475961234</v>
      </c>
      <c r="T20" s="198">
        <f t="shared" si="5"/>
        <v>-1.6666579967877793E-3</v>
      </c>
      <c r="U20" s="36">
        <v>7565.6619581383866</v>
      </c>
      <c r="V20" s="198">
        <f t="shared" si="5"/>
        <v>-1.0720258431529128E-3</v>
      </c>
      <c r="W20" s="36">
        <f t="shared" si="6"/>
        <v>16075.953379493723</v>
      </c>
      <c r="X20" s="198">
        <f t="shared" si="5"/>
        <v>-2.9191998430450061E-3</v>
      </c>
    </row>
    <row r="21" spans="1:24" x14ac:dyDescent="0.2">
      <c r="A21" s="192">
        <f t="shared" si="1"/>
        <v>2014</v>
      </c>
      <c r="B21" s="216" t="e">
        <f>SUM('OD ShareUEC'!$D21:$G21,'OD ShareUEC'!$U21)</f>
        <v>#DIV/0!</v>
      </c>
      <c r="C21" s="198" t="e">
        <f t="shared" si="2"/>
        <v>#DIV/0!</v>
      </c>
      <c r="D21" s="216" t="e">
        <f>SUM('OD ShareUEC'!$H21:$K21)</f>
        <v>#DIV/0!</v>
      </c>
      <c r="E21" s="198" t="e">
        <f t="shared" si="2"/>
        <v>#DIV/0!</v>
      </c>
      <c r="F21" s="216" t="e">
        <f>'OD ShareUEC'!$L21</f>
        <v>#DIV/0!</v>
      </c>
      <c r="G21" s="198" t="e">
        <f t="shared" si="2"/>
        <v>#DIV/0!</v>
      </c>
      <c r="H21" s="216" t="e">
        <f>SUM('OD ShareUEC'!$M21:$W21)</f>
        <v>#DIV/0!</v>
      </c>
      <c r="I21" s="198" t="e">
        <f t="shared" si="2"/>
        <v>#DIV/0!</v>
      </c>
      <c r="J21" s="216" t="e">
        <f t="shared" si="0"/>
        <v>#DIV/0!</v>
      </c>
      <c r="K21" s="198" t="e">
        <f t="shared" si="3"/>
        <v>#DIV/0!</v>
      </c>
      <c r="L21" s="217"/>
      <c r="M21" s="216" t="e">
        <f t="shared" si="7"/>
        <v>#DIV/0!</v>
      </c>
      <c r="N21" s="24">
        <f t="shared" si="4"/>
        <v>2014</v>
      </c>
      <c r="O21" s="36">
        <v>1982.7201739317659</v>
      </c>
      <c r="P21" s="198">
        <f t="shared" si="5"/>
        <v>-1.9775695072984378E-3</v>
      </c>
      <c r="Q21" s="36">
        <v>4938.0375063148003</v>
      </c>
      <c r="R21" s="198">
        <f t="shared" si="5"/>
        <v>-5.4374304924773575E-3</v>
      </c>
      <c r="S21" s="36">
        <v>1556.2912958753395</v>
      </c>
      <c r="T21" s="198">
        <f t="shared" si="5"/>
        <v>-1.4928940256294654E-3</v>
      </c>
      <c r="U21" s="36">
        <v>7598.0108205387196</v>
      </c>
      <c r="V21" s="198">
        <f t="shared" si="5"/>
        <v>4.2757477903880847E-3</v>
      </c>
      <c r="W21" s="36">
        <f t="shared" si="6"/>
        <v>16075.0508887666</v>
      </c>
      <c r="X21" s="198">
        <f t="shared" si="5"/>
        <v>-5.6139172950997462E-5</v>
      </c>
    </row>
    <row r="22" spans="1:24" x14ac:dyDescent="0.2">
      <c r="A22" s="192">
        <f t="shared" si="1"/>
        <v>2015</v>
      </c>
      <c r="B22" s="216" t="e">
        <f>SUM('OD ShareUEC'!$D22:$G22,'OD ShareUEC'!$U22)</f>
        <v>#DIV/0!</v>
      </c>
      <c r="C22" s="198" t="e">
        <f t="shared" si="2"/>
        <v>#DIV/0!</v>
      </c>
      <c r="D22" s="216" t="e">
        <f>SUM('OD ShareUEC'!$H22:$K22)</f>
        <v>#DIV/0!</v>
      </c>
      <c r="E22" s="198" t="e">
        <f t="shared" si="2"/>
        <v>#DIV/0!</v>
      </c>
      <c r="F22" s="216" t="e">
        <f>'OD ShareUEC'!$L22</f>
        <v>#DIV/0!</v>
      </c>
      <c r="G22" s="198" t="e">
        <f t="shared" si="2"/>
        <v>#DIV/0!</v>
      </c>
      <c r="H22" s="216" t="e">
        <f>SUM('OD ShareUEC'!$M22:$W22)</f>
        <v>#DIV/0!</v>
      </c>
      <c r="I22" s="198" t="e">
        <f t="shared" si="2"/>
        <v>#DIV/0!</v>
      </c>
      <c r="J22" s="216" t="e">
        <f t="shared" si="0"/>
        <v>#DIV/0!</v>
      </c>
      <c r="K22" s="198" t="e">
        <f t="shared" si="3"/>
        <v>#DIV/0!</v>
      </c>
      <c r="L22" s="217"/>
      <c r="M22" s="216" t="e">
        <f t="shared" si="7"/>
        <v>#DIV/0!</v>
      </c>
      <c r="N22" s="24">
        <f t="shared" si="4"/>
        <v>2015</v>
      </c>
      <c r="O22" s="36">
        <v>1978.6271387593506</v>
      </c>
      <c r="P22" s="198">
        <f t="shared" si="5"/>
        <v>-2.0643534202301472E-3</v>
      </c>
      <c r="Q22" s="36">
        <v>4916.3352471240632</v>
      </c>
      <c r="R22" s="198">
        <f t="shared" si="5"/>
        <v>-4.3949158269827038E-3</v>
      </c>
      <c r="S22" s="36">
        <v>1554.1602424595378</v>
      </c>
      <c r="T22" s="198">
        <f t="shared" si="5"/>
        <v>-1.3693152570150025E-3</v>
      </c>
      <c r="U22" s="36">
        <v>7630.5971256797475</v>
      </c>
      <c r="V22" s="198">
        <f t="shared" si="5"/>
        <v>4.2887942529565848E-3</v>
      </c>
      <c r="W22" s="36">
        <f t="shared" si="6"/>
        <v>16079.711925438194</v>
      </c>
      <c r="X22" s="198">
        <f t="shared" si="5"/>
        <v>2.8995470707049442E-4</v>
      </c>
    </row>
    <row r="23" spans="1:24" x14ac:dyDescent="0.2">
      <c r="A23" s="192">
        <f t="shared" si="1"/>
        <v>2016</v>
      </c>
      <c r="B23" s="216" t="e">
        <f>SUM('OD ShareUEC'!$D23:$G23,'OD ShareUEC'!$U23)</f>
        <v>#DIV/0!</v>
      </c>
      <c r="C23" s="198" t="e">
        <f t="shared" si="2"/>
        <v>#DIV/0!</v>
      </c>
      <c r="D23" s="216" t="e">
        <f>SUM('OD ShareUEC'!$H23:$K23)</f>
        <v>#DIV/0!</v>
      </c>
      <c r="E23" s="198" t="e">
        <f t="shared" si="2"/>
        <v>#DIV/0!</v>
      </c>
      <c r="F23" s="216" t="e">
        <f>'OD ShareUEC'!$L23</f>
        <v>#DIV/0!</v>
      </c>
      <c r="G23" s="198" t="e">
        <f t="shared" si="2"/>
        <v>#DIV/0!</v>
      </c>
      <c r="H23" s="216" t="e">
        <f>SUM('OD ShareUEC'!$M23:$W23)</f>
        <v>#DIV/0!</v>
      </c>
      <c r="I23" s="198" t="e">
        <f t="shared" si="2"/>
        <v>#DIV/0!</v>
      </c>
      <c r="J23" s="216" t="e">
        <f t="shared" si="0"/>
        <v>#DIV/0!</v>
      </c>
      <c r="K23" s="198" t="e">
        <f t="shared" si="3"/>
        <v>#DIV/0!</v>
      </c>
      <c r="L23" s="217"/>
      <c r="M23" s="216" t="e">
        <f t="shared" si="7"/>
        <v>#DIV/0!</v>
      </c>
      <c r="N23" s="24">
        <f t="shared" si="4"/>
        <v>2016</v>
      </c>
      <c r="O23" s="36">
        <v>1974.672571347922</v>
      </c>
      <c r="P23" s="198">
        <f t="shared" si="5"/>
        <v>-1.9986420553739226E-3</v>
      </c>
      <c r="Q23" s="36">
        <v>4900.0201657203625</v>
      </c>
      <c r="R23" s="198">
        <f t="shared" si="5"/>
        <v>-3.3185453358260952E-3</v>
      </c>
      <c r="S23" s="36">
        <v>1552.307694852826</v>
      </c>
      <c r="T23" s="198">
        <f t="shared" si="5"/>
        <v>-1.1919926633692235E-3</v>
      </c>
      <c r="U23" s="36">
        <v>7670.8932739730499</v>
      </c>
      <c r="V23" s="198">
        <f t="shared" si="5"/>
        <v>5.2808643451625059E-3</v>
      </c>
      <c r="W23" s="36">
        <f t="shared" si="6"/>
        <v>16097.887196714106</v>
      </c>
      <c r="X23" s="198">
        <f t="shared" si="5"/>
        <v>1.1303231898798227E-3</v>
      </c>
    </row>
    <row r="24" spans="1:24" x14ac:dyDescent="0.2">
      <c r="A24" s="192">
        <f t="shared" si="1"/>
        <v>2017</v>
      </c>
      <c r="B24" s="216" t="e">
        <f>SUM('OD ShareUEC'!$D24:$G24,'OD ShareUEC'!$U24)</f>
        <v>#DIV/0!</v>
      </c>
      <c r="C24" s="198" t="e">
        <f t="shared" si="2"/>
        <v>#DIV/0!</v>
      </c>
      <c r="D24" s="216" t="e">
        <f>SUM('OD ShareUEC'!$H24:$K24)</f>
        <v>#DIV/0!</v>
      </c>
      <c r="E24" s="198" t="e">
        <f t="shared" si="2"/>
        <v>#DIV/0!</v>
      </c>
      <c r="F24" s="216" t="e">
        <f>'OD ShareUEC'!$L24</f>
        <v>#DIV/0!</v>
      </c>
      <c r="G24" s="198" t="e">
        <f t="shared" si="2"/>
        <v>#DIV/0!</v>
      </c>
      <c r="H24" s="216" t="e">
        <f>SUM('OD ShareUEC'!$M24:$W24)</f>
        <v>#DIV/0!</v>
      </c>
      <c r="I24" s="198" t="e">
        <f t="shared" si="2"/>
        <v>#DIV/0!</v>
      </c>
      <c r="J24" s="216" t="e">
        <f t="shared" si="0"/>
        <v>#DIV/0!</v>
      </c>
      <c r="K24" s="198" t="e">
        <f t="shared" si="3"/>
        <v>#DIV/0!</v>
      </c>
      <c r="L24" s="217"/>
      <c r="M24" s="216" t="e">
        <f t="shared" si="7"/>
        <v>#DIV/0!</v>
      </c>
      <c r="N24" s="24">
        <f t="shared" si="4"/>
        <v>2017</v>
      </c>
      <c r="O24" s="36">
        <v>1968.5457864142468</v>
      </c>
      <c r="P24" s="198">
        <f t="shared" si="5"/>
        <v>-3.1026839702812392E-3</v>
      </c>
      <c r="Q24" s="36">
        <v>4886.5455793401779</v>
      </c>
      <c r="R24" s="198">
        <f t="shared" si="5"/>
        <v>-2.7499042706906618E-3</v>
      </c>
      <c r="S24" s="36">
        <v>1550.7032367264324</v>
      </c>
      <c r="T24" s="198">
        <f t="shared" si="5"/>
        <v>-1.0335954216510457E-3</v>
      </c>
      <c r="U24" s="36">
        <v>7687.0924467186978</v>
      </c>
      <c r="V24" s="198">
        <f t="shared" si="5"/>
        <v>2.1117713631357837E-3</v>
      </c>
      <c r="W24" s="36">
        <f t="shared" si="6"/>
        <v>16092.880163015892</v>
      </c>
      <c r="X24" s="198">
        <f t="shared" si="5"/>
        <v>-3.1103669922816213E-4</v>
      </c>
    </row>
    <row r="25" spans="1:24" x14ac:dyDescent="0.2">
      <c r="A25" s="192">
        <f t="shared" si="1"/>
        <v>2018</v>
      </c>
      <c r="B25" s="216" t="e">
        <f>SUM('OD ShareUEC'!$D25:$G25,'OD ShareUEC'!$U25)</f>
        <v>#DIV/0!</v>
      </c>
      <c r="C25" s="198" t="e">
        <f t="shared" si="2"/>
        <v>#DIV/0!</v>
      </c>
      <c r="D25" s="216" t="e">
        <f>SUM('OD ShareUEC'!$H25:$K25)</f>
        <v>#DIV/0!</v>
      </c>
      <c r="E25" s="198" t="e">
        <f t="shared" si="2"/>
        <v>#DIV/0!</v>
      </c>
      <c r="F25" s="216" t="e">
        <f>'OD ShareUEC'!$L25</f>
        <v>#DIV/0!</v>
      </c>
      <c r="G25" s="198" t="e">
        <f t="shared" si="2"/>
        <v>#DIV/0!</v>
      </c>
      <c r="H25" s="216" t="e">
        <f>SUM('OD ShareUEC'!$M25:$W25)</f>
        <v>#DIV/0!</v>
      </c>
      <c r="I25" s="198" t="e">
        <f t="shared" si="2"/>
        <v>#DIV/0!</v>
      </c>
      <c r="J25" s="216" t="e">
        <f t="shared" si="0"/>
        <v>#DIV/0!</v>
      </c>
      <c r="K25" s="198" t="e">
        <f t="shared" si="3"/>
        <v>#DIV/0!</v>
      </c>
      <c r="L25" s="217"/>
      <c r="M25" s="216" t="e">
        <f t="shared" si="7"/>
        <v>#DIV/0!</v>
      </c>
      <c r="N25" s="24">
        <f t="shared" si="4"/>
        <v>2018</v>
      </c>
      <c r="O25" s="36">
        <v>1963.111550305829</v>
      </c>
      <c r="P25" s="198">
        <f t="shared" si="5"/>
        <v>-2.7605332555237228E-3</v>
      </c>
      <c r="Q25" s="36">
        <v>4878.1645917719979</v>
      </c>
      <c r="R25" s="198">
        <f t="shared" si="5"/>
        <v>-1.7151149891272421E-3</v>
      </c>
      <c r="S25" s="36">
        <v>1549.3319572397072</v>
      </c>
      <c r="T25" s="198">
        <f t="shared" si="5"/>
        <v>-8.8429523731436976E-4</v>
      </c>
      <c r="U25" s="36">
        <v>7726.4553192846288</v>
      </c>
      <c r="V25" s="198">
        <f t="shared" si="5"/>
        <v>5.1206451384273599E-3</v>
      </c>
      <c r="W25" s="36">
        <f t="shared" si="6"/>
        <v>16117.05805865868</v>
      </c>
      <c r="X25" s="198">
        <f t="shared" si="5"/>
        <v>1.5023970475063209E-3</v>
      </c>
    </row>
    <row r="26" spans="1:24" x14ac:dyDescent="0.2">
      <c r="A26" s="192">
        <f t="shared" si="1"/>
        <v>2019</v>
      </c>
      <c r="B26" s="216" t="e">
        <f>SUM('OD ShareUEC'!$D26:$G26,'OD ShareUEC'!$U26)</f>
        <v>#DIV/0!</v>
      </c>
      <c r="C26" s="198" t="e">
        <f t="shared" si="2"/>
        <v>#DIV/0!</v>
      </c>
      <c r="D26" s="216" t="e">
        <f>SUM('OD ShareUEC'!$H26:$K26)</f>
        <v>#DIV/0!</v>
      </c>
      <c r="E26" s="198" t="e">
        <f t="shared" si="2"/>
        <v>#DIV/0!</v>
      </c>
      <c r="F26" s="216" t="e">
        <f>'OD ShareUEC'!$L26</f>
        <v>#DIV/0!</v>
      </c>
      <c r="G26" s="198" t="e">
        <f t="shared" si="2"/>
        <v>#DIV/0!</v>
      </c>
      <c r="H26" s="216" t="e">
        <f>SUM('OD ShareUEC'!$M26:$W26)</f>
        <v>#DIV/0!</v>
      </c>
      <c r="I26" s="198" t="e">
        <f t="shared" si="2"/>
        <v>#DIV/0!</v>
      </c>
      <c r="J26" s="216" t="e">
        <f t="shared" si="0"/>
        <v>#DIV/0!</v>
      </c>
      <c r="K26" s="198" t="e">
        <f t="shared" si="3"/>
        <v>#DIV/0!</v>
      </c>
      <c r="L26" s="217"/>
      <c r="M26" s="216" t="e">
        <f t="shared" si="7"/>
        <v>#DIV/0!</v>
      </c>
      <c r="N26" s="24">
        <f t="shared" si="4"/>
        <v>2019</v>
      </c>
      <c r="O26" s="36">
        <v>1957.8215555222866</v>
      </c>
      <c r="P26" s="198">
        <f t="shared" si="5"/>
        <v>-2.6946990265114268E-3</v>
      </c>
      <c r="Q26" s="36">
        <v>4873.298349325345</v>
      </c>
      <c r="R26" s="198">
        <f t="shared" si="5"/>
        <v>-9.9755601827389295E-4</v>
      </c>
      <c r="S26" s="36">
        <v>1548.1725786032853</v>
      </c>
      <c r="T26" s="198">
        <f t="shared" si="5"/>
        <v>-7.4830873461584346E-4</v>
      </c>
      <c r="U26" s="36">
        <v>7781.6372117057144</v>
      </c>
      <c r="V26" s="198">
        <f t="shared" si="5"/>
        <v>7.1419415683873222E-3</v>
      </c>
      <c r="W26" s="36">
        <f t="shared" si="6"/>
        <v>16160.925254592854</v>
      </c>
      <c r="X26" s="198">
        <f t="shared" si="5"/>
        <v>2.7217868034301596E-3</v>
      </c>
    </row>
    <row r="27" spans="1:24" x14ac:dyDescent="0.2">
      <c r="A27" s="192">
        <f t="shared" si="1"/>
        <v>2020</v>
      </c>
      <c r="B27" s="216" t="e">
        <f>SUM('OD ShareUEC'!$D27:$G27,'OD ShareUEC'!$U27)</f>
        <v>#DIV/0!</v>
      </c>
      <c r="C27" s="198" t="e">
        <f t="shared" si="2"/>
        <v>#DIV/0!</v>
      </c>
      <c r="D27" s="216" t="e">
        <f>SUM('OD ShareUEC'!$H27:$K27)</f>
        <v>#DIV/0!</v>
      </c>
      <c r="E27" s="198" t="e">
        <f t="shared" si="2"/>
        <v>#DIV/0!</v>
      </c>
      <c r="F27" s="216" t="e">
        <f>'OD ShareUEC'!$L27</f>
        <v>#DIV/0!</v>
      </c>
      <c r="G27" s="198" t="e">
        <f t="shared" si="2"/>
        <v>#DIV/0!</v>
      </c>
      <c r="H27" s="216" t="e">
        <f>SUM('OD ShareUEC'!$M27:$W27)</f>
        <v>#DIV/0!</v>
      </c>
      <c r="I27" s="198" t="e">
        <f t="shared" si="2"/>
        <v>#DIV/0!</v>
      </c>
      <c r="J27" s="216" t="e">
        <f t="shared" si="0"/>
        <v>#DIV/0!</v>
      </c>
      <c r="K27" s="198" t="e">
        <f t="shared" si="3"/>
        <v>#DIV/0!</v>
      </c>
      <c r="L27" s="217"/>
      <c r="M27" s="216" t="e">
        <f t="shared" si="7"/>
        <v>#DIV/0!</v>
      </c>
      <c r="N27" s="24">
        <f t="shared" si="4"/>
        <v>2020</v>
      </c>
      <c r="O27" s="36">
        <v>1953.3852729782675</v>
      </c>
      <c r="P27" s="198">
        <f t="shared" si="5"/>
        <v>-2.2659279296961543E-3</v>
      </c>
      <c r="Q27" s="36">
        <v>4865.6272040982458</v>
      </c>
      <c r="R27" s="198">
        <f t="shared" si="5"/>
        <v>-1.5741177078069102E-3</v>
      </c>
      <c r="S27" s="36">
        <v>1544.7217659276209</v>
      </c>
      <c r="T27" s="198">
        <f t="shared" si="5"/>
        <v>-2.2289586596202504E-3</v>
      </c>
      <c r="U27" s="36">
        <v>7855.5480694401831</v>
      </c>
      <c r="V27" s="198">
        <f t="shared" si="5"/>
        <v>9.4981114800991584E-3</v>
      </c>
      <c r="W27" s="36">
        <f t="shared" si="6"/>
        <v>16219.276243440019</v>
      </c>
      <c r="X27" s="198">
        <f t="shared" si="5"/>
        <v>3.6106217885378822E-3</v>
      </c>
    </row>
    <row r="28" spans="1:24" x14ac:dyDescent="0.2">
      <c r="A28" s="192">
        <f t="shared" si="1"/>
        <v>2021</v>
      </c>
      <c r="B28" s="216" t="e">
        <f>SUM('OD ShareUEC'!$D28:$G28,'OD ShareUEC'!$U28)</f>
        <v>#DIV/0!</v>
      </c>
      <c r="C28" s="198" t="e">
        <f t="shared" si="2"/>
        <v>#DIV/0!</v>
      </c>
      <c r="D28" s="216" t="e">
        <f>SUM('OD ShareUEC'!$H28:$K28)</f>
        <v>#DIV/0!</v>
      </c>
      <c r="E28" s="198" t="e">
        <f t="shared" si="2"/>
        <v>#DIV/0!</v>
      </c>
      <c r="F28" s="216" t="e">
        <f>'OD ShareUEC'!$L28</f>
        <v>#DIV/0!</v>
      </c>
      <c r="G28" s="198" t="e">
        <f t="shared" si="2"/>
        <v>#DIV/0!</v>
      </c>
      <c r="H28" s="216" t="e">
        <f>SUM('OD ShareUEC'!$M28:$W28)</f>
        <v>#DIV/0!</v>
      </c>
      <c r="I28" s="198" t="e">
        <f t="shared" si="2"/>
        <v>#DIV/0!</v>
      </c>
      <c r="J28" s="216" t="e">
        <f t="shared" si="0"/>
        <v>#DIV/0!</v>
      </c>
      <c r="K28" s="198" t="e">
        <f t="shared" si="3"/>
        <v>#DIV/0!</v>
      </c>
      <c r="L28" s="217"/>
      <c r="M28" s="216" t="e">
        <f t="shared" si="7"/>
        <v>#DIV/0!</v>
      </c>
      <c r="N28" s="25">
        <v>2021</v>
      </c>
      <c r="O28" s="36">
        <v>1948.7486984424272</v>
      </c>
      <c r="P28" s="198">
        <f t="shared" si="5"/>
        <v>-2.3736098556589313E-3</v>
      </c>
      <c r="Q28" s="36">
        <v>4862.2516137244002</v>
      </c>
      <c r="R28" s="198">
        <f t="shared" si="5"/>
        <v>-6.9376263989207043E-4</v>
      </c>
      <c r="S28" s="36">
        <v>1541.7437823699952</v>
      </c>
      <c r="T28" s="198">
        <f t="shared" si="5"/>
        <v>-1.9278446276294048E-3</v>
      </c>
      <c r="U28" s="36">
        <v>7906.1199072072832</v>
      </c>
      <c r="V28" s="198">
        <f t="shared" si="5"/>
        <v>6.4377223995146782E-3</v>
      </c>
      <c r="W28" s="36">
        <f t="shared" si="6"/>
        <v>16258.859006526984</v>
      </c>
      <c r="X28" s="198">
        <f t="shared" si="5"/>
        <v>2.4404765350103386E-3</v>
      </c>
    </row>
    <row r="29" spans="1:24" x14ac:dyDescent="0.2">
      <c r="A29" s="192">
        <f t="shared" si="1"/>
        <v>2022</v>
      </c>
      <c r="B29" s="216" t="e">
        <f>SUM('OD ShareUEC'!$D29:$G29,'OD ShareUEC'!$U29)</f>
        <v>#DIV/0!</v>
      </c>
      <c r="C29" s="198" t="e">
        <f t="shared" si="2"/>
        <v>#DIV/0!</v>
      </c>
      <c r="D29" s="216" t="e">
        <f>SUM('OD ShareUEC'!$H29:$K29)</f>
        <v>#DIV/0!</v>
      </c>
      <c r="E29" s="198" t="e">
        <f t="shared" si="2"/>
        <v>#DIV/0!</v>
      </c>
      <c r="F29" s="216" t="e">
        <f>'OD ShareUEC'!$L29</f>
        <v>#DIV/0!</v>
      </c>
      <c r="G29" s="198" t="e">
        <f t="shared" si="2"/>
        <v>#DIV/0!</v>
      </c>
      <c r="H29" s="216" t="e">
        <f>SUM('OD ShareUEC'!$M29:$W29)</f>
        <v>#DIV/0!</v>
      </c>
      <c r="I29" s="198" t="e">
        <f t="shared" si="2"/>
        <v>#DIV/0!</v>
      </c>
      <c r="J29" s="216" t="e">
        <f t="shared" si="0"/>
        <v>#DIV/0!</v>
      </c>
      <c r="K29" s="198" t="e">
        <f t="shared" si="3"/>
        <v>#DIV/0!</v>
      </c>
      <c r="L29" s="217"/>
      <c r="M29" s="216" t="e">
        <f t="shared" si="7"/>
        <v>#DIV/0!</v>
      </c>
      <c r="N29" s="25">
        <v>2022</v>
      </c>
      <c r="O29" s="36">
        <v>1944.1710838374672</v>
      </c>
      <c r="P29" s="198">
        <f t="shared" si="5"/>
        <v>-2.3490020076055718E-3</v>
      </c>
      <c r="Q29" s="36">
        <v>4862.2729248005489</v>
      </c>
      <c r="R29" s="198">
        <f t="shared" si="5"/>
        <v>4.3829644866821837E-6</v>
      </c>
      <c r="S29" s="36">
        <v>1538.8730977350931</v>
      </c>
      <c r="T29" s="198">
        <f t="shared" si="5"/>
        <v>-1.8619725714017488E-3</v>
      </c>
      <c r="U29" s="36">
        <v>7969.8458097321927</v>
      </c>
      <c r="V29" s="198">
        <f t="shared" si="5"/>
        <v>8.0603258327534011E-3</v>
      </c>
      <c r="W29" s="36">
        <f t="shared" si="6"/>
        <v>16315.158709513687</v>
      </c>
      <c r="X29" s="198">
        <f t="shared" si="5"/>
        <v>3.4627093428944988E-3</v>
      </c>
    </row>
    <row r="30" spans="1:24" x14ac:dyDescent="0.2">
      <c r="A30" s="192">
        <f t="shared" si="1"/>
        <v>2023</v>
      </c>
      <c r="B30" s="216" t="e">
        <f>SUM('OD ShareUEC'!$D30:$G30,'OD ShareUEC'!$U30)</f>
        <v>#DIV/0!</v>
      </c>
      <c r="C30" s="198" t="e">
        <f t="shared" si="2"/>
        <v>#DIV/0!</v>
      </c>
      <c r="D30" s="216" t="e">
        <f>SUM('OD ShareUEC'!$H30:$K30)</f>
        <v>#DIV/0!</v>
      </c>
      <c r="E30" s="198" t="e">
        <f t="shared" si="2"/>
        <v>#DIV/0!</v>
      </c>
      <c r="F30" s="216" t="e">
        <f>'OD ShareUEC'!$L30</f>
        <v>#DIV/0!</v>
      </c>
      <c r="G30" s="198" t="e">
        <f t="shared" si="2"/>
        <v>#DIV/0!</v>
      </c>
      <c r="H30" s="216" t="e">
        <f>SUM('OD ShareUEC'!$M30:$W30)</f>
        <v>#DIV/0!</v>
      </c>
      <c r="I30" s="198" t="e">
        <f t="shared" si="2"/>
        <v>#DIV/0!</v>
      </c>
      <c r="J30" s="216" t="e">
        <f t="shared" si="0"/>
        <v>#DIV/0!</v>
      </c>
      <c r="K30" s="198" t="e">
        <f t="shared" si="3"/>
        <v>#DIV/0!</v>
      </c>
      <c r="L30" s="217"/>
      <c r="M30" s="216" t="e">
        <f t="shared" si="7"/>
        <v>#DIV/0!</v>
      </c>
      <c r="N30" s="25">
        <v>2023</v>
      </c>
      <c r="O30" s="36">
        <v>1938.834858063228</v>
      </c>
      <c r="P30" s="198">
        <f t="shared" si="5"/>
        <v>-2.7447305530881039E-3</v>
      </c>
      <c r="Q30" s="36">
        <v>4858.9228808965872</v>
      </c>
      <c r="R30" s="198">
        <f t="shared" si="5"/>
        <v>-6.8898721971666355E-4</v>
      </c>
      <c r="S30" s="36">
        <v>1536.1594206962407</v>
      </c>
      <c r="T30" s="198">
        <f t="shared" si="5"/>
        <v>-1.7634183369937828E-3</v>
      </c>
      <c r="U30" s="36">
        <v>8042.9444058437657</v>
      </c>
      <c r="V30" s="198">
        <f t="shared" si="5"/>
        <v>9.171895900709881E-3</v>
      </c>
      <c r="W30" s="36">
        <f t="shared" si="6"/>
        <v>16376.856368363713</v>
      </c>
      <c r="X30" s="198">
        <f t="shared" si="5"/>
        <v>3.7816156096630582E-3</v>
      </c>
    </row>
    <row r="31" spans="1:24" x14ac:dyDescent="0.2">
      <c r="A31" s="192">
        <f t="shared" si="1"/>
        <v>2024</v>
      </c>
      <c r="B31" s="216" t="e">
        <f>SUM('OD ShareUEC'!$D31:$G31,'OD ShareUEC'!$U31)</f>
        <v>#DIV/0!</v>
      </c>
      <c r="C31" s="198" t="e">
        <f t="shared" si="2"/>
        <v>#DIV/0!</v>
      </c>
      <c r="D31" s="216" t="e">
        <f>SUM('OD ShareUEC'!$H31:$K31)</f>
        <v>#DIV/0!</v>
      </c>
      <c r="E31" s="198" t="e">
        <f t="shared" si="2"/>
        <v>#DIV/0!</v>
      </c>
      <c r="F31" s="216" t="e">
        <f>'OD ShareUEC'!$L31</f>
        <v>#DIV/0!</v>
      </c>
      <c r="G31" s="198" t="e">
        <f t="shared" si="2"/>
        <v>#DIV/0!</v>
      </c>
      <c r="H31" s="216" t="e">
        <f>SUM('OD ShareUEC'!$M31:$W31)</f>
        <v>#DIV/0!</v>
      </c>
      <c r="I31" s="198" t="e">
        <f t="shared" si="2"/>
        <v>#DIV/0!</v>
      </c>
      <c r="J31" s="216" t="e">
        <f t="shared" si="0"/>
        <v>#DIV/0!</v>
      </c>
      <c r="K31" s="198" t="e">
        <f t="shared" si="3"/>
        <v>#DIV/0!</v>
      </c>
      <c r="L31" s="217"/>
      <c r="M31" s="216" t="e">
        <f t="shared" si="7"/>
        <v>#DIV/0!</v>
      </c>
      <c r="N31" s="25">
        <v>2024</v>
      </c>
      <c r="O31" s="36">
        <v>1933.6831884859146</v>
      </c>
      <c r="P31" s="198">
        <f t="shared" si="5"/>
        <v>-2.6570956035212312E-3</v>
      </c>
      <c r="Q31" s="36">
        <v>4858.1049645441708</v>
      </c>
      <c r="R31" s="198">
        <f t="shared" si="5"/>
        <v>-1.6833285328154979E-4</v>
      </c>
      <c r="S31" s="36">
        <v>1533.5514680981323</v>
      </c>
      <c r="T31" s="198">
        <f t="shared" si="5"/>
        <v>-1.6977096016026483E-3</v>
      </c>
      <c r="U31" s="36">
        <v>8129.4625154793403</v>
      </c>
      <c r="V31" s="198">
        <f t="shared" si="5"/>
        <v>1.0757019478179197E-2</v>
      </c>
      <c r="W31" s="36">
        <f t="shared" si="6"/>
        <v>16454.797613469498</v>
      </c>
      <c r="X31" s="198">
        <f t="shared" si="5"/>
        <v>4.7592311584505609E-3</v>
      </c>
    </row>
    <row r="32" spans="1:24" x14ac:dyDescent="0.2">
      <c r="A32" s="192">
        <f t="shared" si="1"/>
        <v>2025</v>
      </c>
      <c r="B32" s="216" t="e">
        <f>SUM('OD ShareUEC'!$D32:$G32,'OD ShareUEC'!$U32)</f>
        <v>#DIV/0!</v>
      </c>
      <c r="C32" s="198" t="e">
        <f t="shared" si="2"/>
        <v>#DIV/0!</v>
      </c>
      <c r="D32" s="216" t="e">
        <f>SUM('OD ShareUEC'!$H32:$K32)</f>
        <v>#DIV/0!</v>
      </c>
      <c r="E32" s="198" t="e">
        <f t="shared" si="2"/>
        <v>#DIV/0!</v>
      </c>
      <c r="F32" s="216" t="e">
        <f>'OD ShareUEC'!$L32</f>
        <v>#DIV/0!</v>
      </c>
      <c r="G32" s="198" t="e">
        <f t="shared" si="2"/>
        <v>#DIV/0!</v>
      </c>
      <c r="H32" s="216" t="e">
        <f>SUM('OD ShareUEC'!$M32:$W32)</f>
        <v>#DIV/0!</v>
      </c>
      <c r="I32" s="198" t="e">
        <f t="shared" si="2"/>
        <v>#DIV/0!</v>
      </c>
      <c r="J32" s="216" t="e">
        <f t="shared" si="0"/>
        <v>#DIV/0!</v>
      </c>
      <c r="K32" s="198" t="e">
        <f t="shared" si="3"/>
        <v>#DIV/0!</v>
      </c>
      <c r="L32" s="217"/>
      <c r="M32" s="216" t="e">
        <f t="shared" si="7"/>
        <v>#DIV/0!</v>
      </c>
      <c r="N32" s="25">
        <v>2025</v>
      </c>
      <c r="O32" s="36">
        <v>1927.9210980596517</v>
      </c>
      <c r="P32" s="198">
        <f t="shared" si="5"/>
        <v>-2.9798523670129251E-3</v>
      </c>
      <c r="Q32" s="36">
        <v>4859.3253490362831</v>
      </c>
      <c r="R32" s="198">
        <f t="shared" si="5"/>
        <v>2.5120587163485197E-4</v>
      </c>
      <c r="S32" s="36">
        <v>1531.0328626860733</v>
      </c>
      <c r="T32" s="198">
        <f t="shared" si="5"/>
        <v>-1.6423351054416502E-3</v>
      </c>
      <c r="U32" s="36">
        <v>8193.3968339822313</v>
      </c>
      <c r="V32" s="198">
        <f t="shared" si="5"/>
        <v>7.8645197491413743E-3</v>
      </c>
      <c r="W32" s="36">
        <f t="shared" si="6"/>
        <v>16511.67177278264</v>
      </c>
      <c r="X32" s="198">
        <f t="shared" si="5"/>
        <v>3.4563876535671501E-3</v>
      </c>
    </row>
    <row r="33" spans="1:24" x14ac:dyDescent="0.2">
      <c r="A33" s="192">
        <f t="shared" si="1"/>
        <v>2026</v>
      </c>
      <c r="B33" s="216" t="e">
        <f>SUM('OD ShareUEC'!$D33:$G33,'OD ShareUEC'!$U33)</f>
        <v>#DIV/0!</v>
      </c>
      <c r="C33" s="198" t="e">
        <f t="shared" si="2"/>
        <v>#DIV/0!</v>
      </c>
      <c r="D33" s="216" t="e">
        <f>SUM('OD ShareUEC'!$H33:$K33)</f>
        <v>#DIV/0!</v>
      </c>
      <c r="E33" s="198" t="e">
        <f t="shared" si="2"/>
        <v>#DIV/0!</v>
      </c>
      <c r="F33" s="216" t="e">
        <f>'OD ShareUEC'!$L33</f>
        <v>#DIV/0!</v>
      </c>
      <c r="G33" s="198" t="e">
        <f t="shared" si="2"/>
        <v>#DIV/0!</v>
      </c>
      <c r="H33" s="216" t="e">
        <f>SUM('OD ShareUEC'!$M33:$W33)</f>
        <v>#DIV/0!</v>
      </c>
      <c r="I33" s="198" t="e">
        <f t="shared" si="2"/>
        <v>#DIV/0!</v>
      </c>
      <c r="J33" s="216" t="e">
        <f t="shared" si="0"/>
        <v>#DIV/0!</v>
      </c>
      <c r="K33" s="198" t="e">
        <f t="shared" si="3"/>
        <v>#DIV/0!</v>
      </c>
      <c r="M33" s="216" t="e">
        <f t="shared" si="7"/>
        <v>#DIV/0!</v>
      </c>
      <c r="N33" s="25">
        <v>2026</v>
      </c>
      <c r="O33" s="36">
        <v>1922.5071557232845</v>
      </c>
      <c r="P33" s="198">
        <f t="shared" si="5"/>
        <v>-2.8081763002728577E-3</v>
      </c>
      <c r="Q33" s="36">
        <v>4862.2226227333122</v>
      </c>
      <c r="R33" s="198">
        <f t="shared" si="5"/>
        <v>5.9622961808969421E-4</v>
      </c>
      <c r="S33" s="36">
        <v>1528.7267653660033</v>
      </c>
      <c r="T33" s="198">
        <f t="shared" si="5"/>
        <v>-1.5062363299139792E-3</v>
      </c>
      <c r="U33" s="36">
        <v>8267.9786854927333</v>
      </c>
      <c r="V33" s="198">
        <f t="shared" si="5"/>
        <v>9.1026778052751833E-3</v>
      </c>
      <c r="W33" s="36">
        <f t="shared" si="6"/>
        <v>16581.431511132323</v>
      </c>
      <c r="X33" s="198">
        <f t="shared" si="5"/>
        <v>4.2248743379620368E-3</v>
      </c>
    </row>
    <row r="34" spans="1:24" x14ac:dyDescent="0.2">
      <c r="A34" s="192">
        <f t="shared" si="1"/>
        <v>2027</v>
      </c>
      <c r="B34" s="216" t="e">
        <f>SUM('OD ShareUEC'!$D34:$G34,'OD ShareUEC'!$U34)</f>
        <v>#DIV/0!</v>
      </c>
      <c r="C34" s="198" t="e">
        <f t="shared" si="2"/>
        <v>#DIV/0!</v>
      </c>
      <c r="D34" s="216" t="e">
        <f>SUM('OD ShareUEC'!$H34:$K34)</f>
        <v>#DIV/0!</v>
      </c>
      <c r="E34" s="198" t="e">
        <f t="shared" si="2"/>
        <v>#DIV/0!</v>
      </c>
      <c r="F34" s="216" t="e">
        <f>'OD ShareUEC'!$L34</f>
        <v>#DIV/0!</v>
      </c>
      <c r="G34" s="198" t="e">
        <f t="shared" si="2"/>
        <v>#DIV/0!</v>
      </c>
      <c r="H34" s="216" t="e">
        <f>SUM('OD ShareUEC'!$M34:$W34)</f>
        <v>#DIV/0!</v>
      </c>
      <c r="I34" s="198" t="e">
        <f t="shared" si="2"/>
        <v>#DIV/0!</v>
      </c>
      <c r="J34" s="216" t="e">
        <f t="shared" si="0"/>
        <v>#DIV/0!</v>
      </c>
      <c r="K34" s="198" t="e">
        <f t="shared" si="3"/>
        <v>#DIV/0!</v>
      </c>
      <c r="M34" s="216" t="e">
        <f t="shared" si="7"/>
        <v>#DIV/0!</v>
      </c>
      <c r="N34" s="25">
        <v>2027</v>
      </c>
      <c r="O34" s="36">
        <v>1917.0430921945101</v>
      </c>
      <c r="P34" s="198">
        <f t="shared" si="5"/>
        <v>-2.8421551059032435E-3</v>
      </c>
      <c r="Q34" s="36">
        <v>4866.3591496913677</v>
      </c>
      <c r="R34" s="198">
        <f t="shared" si="5"/>
        <v>8.5074816169772305E-4</v>
      </c>
      <c r="S34" s="36">
        <v>1526.6880098458441</v>
      </c>
      <c r="T34" s="198">
        <f t="shared" si="5"/>
        <v>-1.3336297671684427E-3</v>
      </c>
      <c r="U34" s="36">
        <v>8337.6240006482403</v>
      </c>
      <c r="V34" s="198">
        <f t="shared" si="5"/>
        <v>8.4234996006591345E-3</v>
      </c>
      <c r="W34" s="36">
        <f t="shared" si="6"/>
        <v>16647.710927343251</v>
      </c>
      <c r="X34" s="198">
        <f t="shared" si="5"/>
        <v>3.9972071269256393E-3</v>
      </c>
    </row>
    <row r="35" spans="1:24" x14ac:dyDescent="0.2">
      <c r="A35" s="192">
        <f t="shared" si="1"/>
        <v>2028</v>
      </c>
      <c r="B35" s="216" t="e">
        <f>SUM('OD ShareUEC'!$D35:$G35,'OD ShareUEC'!$U35)</f>
        <v>#DIV/0!</v>
      </c>
      <c r="C35" s="198" t="e">
        <f t="shared" si="2"/>
        <v>#DIV/0!</v>
      </c>
      <c r="D35" s="216" t="e">
        <f>SUM('OD ShareUEC'!$H35:$K35)</f>
        <v>#DIV/0!</v>
      </c>
      <c r="E35" s="198" t="e">
        <f t="shared" si="2"/>
        <v>#DIV/0!</v>
      </c>
      <c r="F35" s="216" t="e">
        <f>'OD ShareUEC'!$L35</f>
        <v>#DIV/0!</v>
      </c>
      <c r="G35" s="198" t="e">
        <f t="shared" si="2"/>
        <v>#DIV/0!</v>
      </c>
      <c r="H35" s="216" t="e">
        <f>SUM('OD ShareUEC'!$M35:$W35)</f>
        <v>#DIV/0!</v>
      </c>
      <c r="I35" s="198" t="e">
        <f t="shared" si="2"/>
        <v>#DIV/0!</v>
      </c>
      <c r="J35" s="216" t="e">
        <f t="shared" si="0"/>
        <v>#DIV/0!</v>
      </c>
      <c r="K35" s="198" t="e">
        <f t="shared" si="3"/>
        <v>#DIV/0!</v>
      </c>
      <c r="M35" s="216" t="e">
        <f t="shared" si="7"/>
        <v>#DIV/0!</v>
      </c>
      <c r="N35" s="25">
        <v>2028</v>
      </c>
      <c r="O35" s="36">
        <v>1911.6031433475573</v>
      </c>
      <c r="P35" s="198">
        <f t="shared" si="5"/>
        <v>-2.8376768728373136E-3</v>
      </c>
      <c r="Q35" s="36">
        <v>4870.0650018911319</v>
      </c>
      <c r="R35" s="198">
        <f t="shared" si="5"/>
        <v>7.6152459893941149E-4</v>
      </c>
      <c r="S35" s="36">
        <v>1524.745826097268</v>
      </c>
      <c r="T35" s="198">
        <f t="shared" si="5"/>
        <v>-1.2721549760335016E-3</v>
      </c>
      <c r="U35" s="36">
        <v>8410.9310187332376</v>
      </c>
      <c r="V35" s="198">
        <f t="shared" si="5"/>
        <v>8.7923151822746348E-3</v>
      </c>
      <c r="W35" s="36">
        <f t="shared" si="6"/>
        <v>16717.341641761945</v>
      </c>
      <c r="X35" s="198">
        <f t="shared" si="5"/>
        <v>4.1825999215501231E-3</v>
      </c>
    </row>
    <row r="36" spans="1:24" x14ac:dyDescent="0.2">
      <c r="A36" s="192">
        <f t="shared" si="1"/>
        <v>2029</v>
      </c>
      <c r="B36" s="216" t="e">
        <f>SUM('OD ShareUEC'!$D36:$G36,'OD ShareUEC'!$U36)</f>
        <v>#DIV/0!</v>
      </c>
      <c r="C36" s="198" t="e">
        <f t="shared" si="2"/>
        <v>#DIV/0!</v>
      </c>
      <c r="D36" s="216" t="e">
        <f>SUM('OD ShareUEC'!$H36:$K36)</f>
        <v>#DIV/0!</v>
      </c>
      <c r="E36" s="198" t="e">
        <f t="shared" si="2"/>
        <v>#DIV/0!</v>
      </c>
      <c r="F36" s="216" t="e">
        <f>'OD ShareUEC'!$L36</f>
        <v>#DIV/0!</v>
      </c>
      <c r="G36" s="198" t="e">
        <f t="shared" si="2"/>
        <v>#DIV/0!</v>
      </c>
      <c r="H36" s="216" t="e">
        <f>SUM('OD ShareUEC'!$M36:$W36)</f>
        <v>#DIV/0!</v>
      </c>
      <c r="I36" s="198" t="e">
        <f t="shared" si="2"/>
        <v>#DIV/0!</v>
      </c>
      <c r="J36" s="216" t="e">
        <f t="shared" si="0"/>
        <v>#DIV/0!</v>
      </c>
      <c r="K36" s="198" t="e">
        <f t="shared" si="3"/>
        <v>#DIV/0!</v>
      </c>
      <c r="M36" s="216" t="e">
        <f t="shared" si="7"/>
        <v>#DIV/0!</v>
      </c>
      <c r="N36" s="25">
        <v>2029</v>
      </c>
      <c r="O36" s="36">
        <v>1905.3657538206155</v>
      </c>
      <c r="P36" s="198">
        <f t="shared" si="5"/>
        <v>-3.2629102691361656E-3</v>
      </c>
      <c r="Q36" s="36">
        <v>4873.5761685073776</v>
      </c>
      <c r="R36" s="198">
        <f t="shared" si="5"/>
        <v>7.2096914823149838E-4</v>
      </c>
      <c r="S36" s="36">
        <v>1522.8912678016768</v>
      </c>
      <c r="T36" s="198">
        <f t="shared" si="5"/>
        <v>-1.2163065239130244E-3</v>
      </c>
      <c r="U36" s="36">
        <v>8453.3982082685616</v>
      </c>
      <c r="V36" s="198">
        <f t="shared" si="5"/>
        <v>5.0490474170741262E-3</v>
      </c>
      <c r="W36" s="36">
        <f t="shared" si="6"/>
        <v>16755.227640150588</v>
      </c>
      <c r="X36" s="198">
        <f t="shared" si="5"/>
        <v>2.2662693148531865E-3</v>
      </c>
    </row>
    <row r="37" spans="1:24" x14ac:dyDescent="0.2">
      <c r="A37" s="192">
        <f t="shared" si="1"/>
        <v>2030</v>
      </c>
      <c r="B37" s="216" t="e">
        <f>SUM('OD ShareUEC'!$D37:$G37,'OD ShareUEC'!$U37)</f>
        <v>#DIV/0!</v>
      </c>
      <c r="C37" s="198" t="e">
        <f t="shared" si="2"/>
        <v>#DIV/0!</v>
      </c>
      <c r="D37" s="216" t="e">
        <f>SUM('OD ShareUEC'!$H37:$K37)</f>
        <v>#DIV/0!</v>
      </c>
      <c r="E37" s="198" t="e">
        <f t="shared" si="2"/>
        <v>#DIV/0!</v>
      </c>
      <c r="F37" s="216" t="e">
        <f>'OD ShareUEC'!$L37</f>
        <v>#DIV/0!</v>
      </c>
      <c r="G37" s="198" t="e">
        <f t="shared" si="2"/>
        <v>#DIV/0!</v>
      </c>
      <c r="H37" s="216" t="e">
        <f>SUM('OD ShareUEC'!$M37:$W37)</f>
        <v>#DIV/0!</v>
      </c>
      <c r="I37" s="198" t="e">
        <f t="shared" si="2"/>
        <v>#DIV/0!</v>
      </c>
      <c r="J37" s="216" t="e">
        <f t="shared" si="0"/>
        <v>#DIV/0!</v>
      </c>
      <c r="K37" s="198" t="e">
        <f t="shared" si="3"/>
        <v>#DIV/0!</v>
      </c>
      <c r="M37" s="216" t="e">
        <f t="shared" si="7"/>
        <v>#DIV/0!</v>
      </c>
      <c r="N37" s="25">
        <f>N36+1</f>
        <v>2030</v>
      </c>
      <c r="O37" s="36">
        <v>1899.7737050270516</v>
      </c>
      <c r="P37" s="198">
        <f t="shared" si="5"/>
        <v>-2.9348951939284218E-3</v>
      </c>
      <c r="Q37" s="36">
        <v>4877.2605215163239</v>
      </c>
      <c r="R37" s="198">
        <f t="shared" si="5"/>
        <v>7.5598551896116639E-4</v>
      </c>
      <c r="S37" s="36">
        <v>1521.1369104900377</v>
      </c>
      <c r="T37" s="198">
        <f t="shared" si="5"/>
        <v>-1.1519911819912743E-3</v>
      </c>
      <c r="U37" s="36">
        <v>8573.1773255815096</v>
      </c>
      <c r="V37" s="198">
        <f t="shared" si="5"/>
        <v>1.4169345198453698E-2</v>
      </c>
      <c r="W37" s="36">
        <f t="shared" si="6"/>
        <v>16871.345131714064</v>
      </c>
      <c r="X37" s="198">
        <f t="shared" si="5"/>
        <v>6.9302246473348372E-3</v>
      </c>
    </row>
    <row r="38" spans="1:24" x14ac:dyDescent="0.2">
      <c r="A38" s="192">
        <f t="shared" si="1"/>
        <v>2031</v>
      </c>
      <c r="B38" s="216" t="e">
        <f>SUM('OD ShareUEC'!$D38:$G38,'OD ShareUEC'!$U38)</f>
        <v>#DIV/0!</v>
      </c>
      <c r="C38" s="198" t="e">
        <f t="shared" si="2"/>
        <v>#DIV/0!</v>
      </c>
      <c r="D38" s="216" t="e">
        <f>SUM('OD ShareUEC'!$H38:$K38)</f>
        <v>#DIV/0!</v>
      </c>
      <c r="E38" s="198" t="e">
        <f t="shared" si="2"/>
        <v>#DIV/0!</v>
      </c>
      <c r="F38" s="216" t="e">
        <f>'OD ShareUEC'!$L38</f>
        <v>#DIV/0!</v>
      </c>
      <c r="G38" s="198" t="e">
        <f t="shared" si="2"/>
        <v>#DIV/0!</v>
      </c>
      <c r="H38" s="216" t="e">
        <f>SUM('OD ShareUEC'!$M38:$W38)</f>
        <v>#DIV/0!</v>
      </c>
      <c r="I38" s="198" t="e">
        <f t="shared" si="2"/>
        <v>#DIV/0!</v>
      </c>
      <c r="J38" s="216" t="e">
        <f t="shared" si="0"/>
        <v>#DIV/0!</v>
      </c>
      <c r="K38" s="198" t="e">
        <f t="shared" si="3"/>
        <v>#DIV/0!</v>
      </c>
      <c r="M38" s="216" t="e">
        <f t="shared" si="7"/>
        <v>#DIV/0!</v>
      </c>
      <c r="N38" s="25">
        <f t="shared" ref="N38:N45" si="8">N37+1</f>
        <v>2031</v>
      </c>
      <c r="O38" s="36">
        <v>1894.6948225140775</v>
      </c>
      <c r="P38" s="198">
        <f t="shared" si="5"/>
        <v>-2.6734144701207052E-3</v>
      </c>
      <c r="Q38" s="36">
        <v>4880.7328642833818</v>
      </c>
      <c r="R38" s="198">
        <f t="shared" si="5"/>
        <v>7.1194531268914396E-4</v>
      </c>
      <c r="S38" s="36">
        <v>1519.3865905357047</v>
      </c>
      <c r="T38" s="198">
        <f t="shared" si="5"/>
        <v>-1.1506656253374992E-3</v>
      </c>
      <c r="U38" s="36">
        <v>8639.2324745392616</v>
      </c>
      <c r="V38" s="198">
        <f t="shared" si="5"/>
        <v>7.7048620889539343E-3</v>
      </c>
      <c r="W38" s="36">
        <f t="shared" si="6"/>
        <v>16934.043639737643</v>
      </c>
      <c r="X38" s="198">
        <f t="shared" si="5"/>
        <v>3.7162720301253671E-3</v>
      </c>
    </row>
    <row r="39" spans="1:24" x14ac:dyDescent="0.2">
      <c r="A39" s="192">
        <f t="shared" si="1"/>
        <v>2032</v>
      </c>
      <c r="B39" s="216" t="e">
        <f>SUM('OD ShareUEC'!$D39:$G39,'OD ShareUEC'!$U39)</f>
        <v>#DIV/0!</v>
      </c>
      <c r="C39" s="198" t="e">
        <f t="shared" si="2"/>
        <v>#DIV/0!</v>
      </c>
      <c r="D39" s="216" t="e">
        <f>SUM('OD ShareUEC'!$H39:$K39)</f>
        <v>#DIV/0!</v>
      </c>
      <c r="E39" s="198" t="e">
        <f t="shared" si="2"/>
        <v>#DIV/0!</v>
      </c>
      <c r="F39" s="216" t="e">
        <f>'OD ShareUEC'!$L39</f>
        <v>#DIV/0!</v>
      </c>
      <c r="G39" s="198" t="e">
        <f t="shared" si="2"/>
        <v>#DIV/0!</v>
      </c>
      <c r="H39" s="216" t="e">
        <f>SUM('OD ShareUEC'!$M39:$W39)</f>
        <v>#DIV/0!</v>
      </c>
      <c r="I39" s="198" t="e">
        <f t="shared" si="2"/>
        <v>#DIV/0!</v>
      </c>
      <c r="J39" s="216" t="e">
        <f t="shared" si="0"/>
        <v>#DIV/0!</v>
      </c>
      <c r="K39" s="198" t="e">
        <f t="shared" si="3"/>
        <v>#DIV/0!</v>
      </c>
      <c r="M39" s="216" t="e">
        <f t="shared" si="7"/>
        <v>#DIV/0!</v>
      </c>
      <c r="N39" s="25">
        <f t="shared" si="8"/>
        <v>2032</v>
      </c>
      <c r="O39" s="36">
        <v>1889.5130919486996</v>
      </c>
      <c r="P39" s="198">
        <f t="shared" si="5"/>
        <v>-2.7348628939103392E-3</v>
      </c>
      <c r="Q39" s="36">
        <v>4883.9981666667682</v>
      </c>
      <c r="R39" s="198">
        <f t="shared" si="5"/>
        <v>6.6901886953929512E-4</v>
      </c>
      <c r="S39" s="36">
        <v>1517.6402940177511</v>
      </c>
      <c r="T39" s="198">
        <f t="shared" si="5"/>
        <v>-1.1493431157226786E-3</v>
      </c>
      <c r="U39" s="36">
        <v>8706.1585813910642</v>
      </c>
      <c r="V39" s="198">
        <f t="shared" si="5"/>
        <v>7.7467653578071616E-3</v>
      </c>
      <c r="W39" s="36">
        <f t="shared" si="6"/>
        <v>16997.306918837145</v>
      </c>
      <c r="X39" s="198">
        <f t="shared" si="5"/>
        <v>3.7358637101327918E-3</v>
      </c>
    </row>
    <row r="40" spans="1:24" x14ac:dyDescent="0.2">
      <c r="A40" s="192">
        <f t="shared" si="1"/>
        <v>2033</v>
      </c>
      <c r="B40" s="216" t="e">
        <f>SUM('OD ShareUEC'!$D40:$G40,'OD ShareUEC'!$U40)</f>
        <v>#DIV/0!</v>
      </c>
      <c r="C40" s="198" t="e">
        <f t="shared" si="2"/>
        <v>#DIV/0!</v>
      </c>
      <c r="D40" s="216" t="e">
        <f>SUM('OD ShareUEC'!$H40:$K40)</f>
        <v>#DIV/0!</v>
      </c>
      <c r="E40" s="198" t="e">
        <f t="shared" si="2"/>
        <v>#DIV/0!</v>
      </c>
      <c r="F40" s="216" t="e">
        <f>'OD ShareUEC'!$L40</f>
        <v>#DIV/0!</v>
      </c>
      <c r="G40" s="198" t="e">
        <f t="shared" si="2"/>
        <v>#DIV/0!</v>
      </c>
      <c r="H40" s="216" t="e">
        <f>SUM('OD ShareUEC'!$M40:$W40)</f>
        <v>#DIV/0!</v>
      </c>
      <c r="I40" s="198" t="e">
        <f t="shared" si="2"/>
        <v>#DIV/0!</v>
      </c>
      <c r="J40" s="216" t="e">
        <f t="shared" si="0"/>
        <v>#DIV/0!</v>
      </c>
      <c r="K40" s="198" t="e">
        <f t="shared" si="3"/>
        <v>#DIV/0!</v>
      </c>
      <c r="M40" s="216" t="e">
        <f t="shared" si="7"/>
        <v>#DIV/0!</v>
      </c>
      <c r="N40" s="25">
        <f t="shared" si="8"/>
        <v>2033</v>
      </c>
      <c r="O40" s="36">
        <v>1884.2310447558564</v>
      </c>
      <c r="P40" s="198">
        <f t="shared" si="5"/>
        <v>-2.7954541386087106E-3</v>
      </c>
      <c r="Q40" s="36">
        <v>4887.0612567138587</v>
      </c>
      <c r="R40" s="198">
        <f t="shared" si="5"/>
        <v>6.2716854973365876E-4</v>
      </c>
      <c r="S40" s="36">
        <v>1515.898007079177</v>
      </c>
      <c r="T40" s="198">
        <f t="shared" si="5"/>
        <v>-1.1480236426523183E-3</v>
      </c>
      <c r="U40" s="36">
        <v>8773.9668524517874</v>
      </c>
      <c r="V40" s="198">
        <f t="shared" si="5"/>
        <v>7.7885407699396225E-3</v>
      </c>
      <c r="W40" s="36">
        <f t="shared" si="6"/>
        <v>17061.153844691449</v>
      </c>
      <c r="X40" s="198">
        <f t="shared" si="5"/>
        <v>3.7562965803450421E-3</v>
      </c>
    </row>
    <row r="41" spans="1:24" x14ac:dyDescent="0.2">
      <c r="A41" s="192">
        <f t="shared" si="1"/>
        <v>2034</v>
      </c>
      <c r="B41" s="216" t="e">
        <f>SUM('OD ShareUEC'!$D41:$G41,'OD ShareUEC'!$U41)</f>
        <v>#DIV/0!</v>
      </c>
      <c r="C41" s="198" t="e">
        <f t="shared" si="2"/>
        <v>#DIV/0!</v>
      </c>
      <c r="D41" s="216" t="e">
        <f>SUM('OD ShareUEC'!$H41:$K41)</f>
        <v>#DIV/0!</v>
      </c>
      <c r="E41" s="198" t="e">
        <f t="shared" si="2"/>
        <v>#DIV/0!</v>
      </c>
      <c r="F41" s="216" t="e">
        <f>'OD ShareUEC'!$L41</f>
        <v>#DIV/0!</v>
      </c>
      <c r="G41" s="198" t="e">
        <f t="shared" si="2"/>
        <v>#DIV/0!</v>
      </c>
      <c r="H41" s="216" t="e">
        <f>SUM('OD ShareUEC'!$M41:$W41)</f>
        <v>#DIV/0!</v>
      </c>
      <c r="I41" s="198" t="e">
        <f t="shared" si="2"/>
        <v>#DIV/0!</v>
      </c>
      <c r="J41" s="216" t="e">
        <f t="shared" si="0"/>
        <v>#DIV/0!</v>
      </c>
      <c r="K41" s="198" t="e">
        <f t="shared" si="3"/>
        <v>#DIV/0!</v>
      </c>
      <c r="M41" s="216" t="e">
        <f t="shared" si="7"/>
        <v>#DIV/0!</v>
      </c>
      <c r="N41" s="25">
        <f t="shared" si="8"/>
        <v>2034</v>
      </c>
      <c r="O41" s="36">
        <v>1878.8511373278736</v>
      </c>
      <c r="P41" s="198">
        <f t="shared" si="5"/>
        <v>-2.8552270396754453E-3</v>
      </c>
      <c r="Q41" s="36">
        <v>4889.926825631359</v>
      </c>
      <c r="R41" s="198">
        <f t="shared" si="5"/>
        <v>5.8635829734354772E-4</v>
      </c>
      <c r="S41" s="36">
        <v>1514.1597159265416</v>
      </c>
      <c r="T41" s="198">
        <f t="shared" si="5"/>
        <v>-1.1467071956804409E-3</v>
      </c>
      <c r="U41" s="36">
        <v>8842.66863903583</v>
      </c>
      <c r="V41" s="198">
        <f t="shared" si="5"/>
        <v>7.8301853357065632E-3</v>
      </c>
      <c r="W41" s="36">
        <f t="shared" si="6"/>
        <v>17125.602902345665</v>
      </c>
      <c r="X41" s="198">
        <f t="shared" si="5"/>
        <v>3.7775321787083538E-3</v>
      </c>
    </row>
    <row r="42" spans="1:24" x14ac:dyDescent="0.2">
      <c r="A42" s="192">
        <f t="shared" si="1"/>
        <v>2035</v>
      </c>
      <c r="B42" s="216" t="e">
        <f>SUM('OD ShareUEC'!$D42:$G42,'OD ShareUEC'!$U42)</f>
        <v>#DIV/0!</v>
      </c>
      <c r="C42" s="198" t="e">
        <f t="shared" si="2"/>
        <v>#DIV/0!</v>
      </c>
      <c r="D42" s="216" t="e">
        <f>SUM('OD ShareUEC'!$H42:$K42)</f>
        <v>#DIV/0!</v>
      </c>
      <c r="E42" s="198" t="e">
        <f t="shared" si="2"/>
        <v>#DIV/0!</v>
      </c>
      <c r="F42" s="216" t="e">
        <f>'OD ShareUEC'!$L42</f>
        <v>#DIV/0!</v>
      </c>
      <c r="G42" s="198" t="e">
        <f t="shared" si="2"/>
        <v>#DIV/0!</v>
      </c>
      <c r="H42" s="216" t="e">
        <f>SUM('OD ShareUEC'!$M42:$W42)</f>
        <v>#DIV/0!</v>
      </c>
      <c r="I42" s="198" t="e">
        <f t="shared" si="2"/>
        <v>#DIV/0!</v>
      </c>
      <c r="J42" s="216" t="e">
        <f t="shared" si="0"/>
        <v>#DIV/0!</v>
      </c>
      <c r="K42" s="198" t="e">
        <f t="shared" si="3"/>
        <v>#DIV/0!</v>
      </c>
      <c r="M42" s="216" t="e">
        <f t="shared" si="7"/>
        <v>#DIV/0!</v>
      </c>
      <c r="N42" s="25">
        <f t="shared" si="8"/>
        <v>2035</v>
      </c>
      <c r="O42" s="36">
        <v>1873.3757536701899</v>
      </c>
      <c r="P42" s="198">
        <f t="shared" si="5"/>
        <v>-2.9142189867532586E-3</v>
      </c>
      <c r="Q42" s="36">
        <v>4892.5994325482425</v>
      </c>
      <c r="R42" s="198">
        <f t="shared" si="5"/>
        <v>5.4655356044897019E-4</v>
      </c>
      <c r="S42" s="36">
        <v>1512.4254068296004</v>
      </c>
      <c r="T42" s="198">
        <f t="shared" si="5"/>
        <v>-1.1453937644086976E-3</v>
      </c>
      <c r="U42" s="36">
        <v>8912.2754393354226</v>
      </c>
      <c r="V42" s="198">
        <f t="shared" si="5"/>
        <v>7.8716961067968327E-3</v>
      </c>
      <c r="W42" s="36">
        <f t="shared" si="6"/>
        <v>17190.672519324267</v>
      </c>
      <c r="X42" s="198">
        <f t="shared" si="5"/>
        <v>3.7995518960496355E-3</v>
      </c>
    </row>
    <row r="43" spans="1:24" x14ac:dyDescent="0.2">
      <c r="A43" s="192">
        <f t="shared" si="1"/>
        <v>2036</v>
      </c>
      <c r="B43" s="216" t="e">
        <f>SUM('OD ShareUEC'!$D43:$G43,'OD ShareUEC'!$U43)</f>
        <v>#DIV/0!</v>
      </c>
      <c r="C43" s="198" t="e">
        <f t="shared" si="2"/>
        <v>#DIV/0!</v>
      </c>
      <c r="D43" s="216" t="e">
        <f>SUM('OD ShareUEC'!$H43:$K43)</f>
        <v>#DIV/0!</v>
      </c>
      <c r="E43" s="198" t="e">
        <f t="shared" si="2"/>
        <v>#DIV/0!</v>
      </c>
      <c r="F43" s="216" t="e">
        <f>'OD ShareUEC'!$L43</f>
        <v>#DIV/0!</v>
      </c>
      <c r="G43" s="198" t="e">
        <f t="shared" si="2"/>
        <v>#DIV/0!</v>
      </c>
      <c r="H43" s="216" t="e">
        <f>SUM('OD ShareUEC'!$M43:$W43)</f>
        <v>#DIV/0!</v>
      </c>
      <c r="I43" s="198" t="e">
        <f t="shared" si="2"/>
        <v>#DIV/0!</v>
      </c>
      <c r="J43" s="216" t="e">
        <f t="shared" si="0"/>
        <v>#DIV/0!</v>
      </c>
      <c r="K43" s="198" t="e">
        <f t="shared" si="3"/>
        <v>#DIV/0!</v>
      </c>
      <c r="M43" s="216" t="e">
        <f t="shared" si="7"/>
        <v>#DIV/0!</v>
      </c>
      <c r="N43" s="25">
        <f t="shared" si="8"/>
        <v>2036</v>
      </c>
      <c r="O43" s="36">
        <v>1867.807207937253</v>
      </c>
      <c r="P43" s="198">
        <f t="shared" si="5"/>
        <v>-2.9724659999614822E-3</v>
      </c>
      <c r="Q43" s="36">
        <v>4895.0835090814835</v>
      </c>
      <c r="R43" s="198">
        <f t="shared" si="5"/>
        <v>5.0772121598918751E-4</v>
      </c>
      <c r="S43" s="36">
        <v>1510.6950661209421</v>
      </c>
      <c r="T43" s="198">
        <f t="shared" si="5"/>
        <v>-1.1440833384871452E-3</v>
      </c>
      <c r="U43" s="36">
        <v>8982.7989003232306</v>
      </c>
      <c r="V43" s="198">
        <f t="shared" si="5"/>
        <v>7.9130701769543066E-3</v>
      </c>
      <c r="W43" s="36">
        <f t="shared" si="6"/>
        <v>17256.381074634788</v>
      </c>
      <c r="X43" s="198">
        <f t="shared" si="5"/>
        <v>3.8223376797303921E-3</v>
      </c>
    </row>
    <row r="44" spans="1:24" x14ac:dyDescent="0.2">
      <c r="A44" s="192">
        <f t="shared" si="1"/>
        <v>2037</v>
      </c>
      <c r="B44" s="216" t="e">
        <f>SUM('OD ShareUEC'!$D44:$G44,'OD ShareUEC'!$U44)</f>
        <v>#DIV/0!</v>
      </c>
      <c r="C44" s="198" t="e">
        <f t="shared" si="2"/>
        <v>#DIV/0!</v>
      </c>
      <c r="D44" s="216" t="e">
        <f>SUM('OD ShareUEC'!$H44:$K44)</f>
        <v>#DIV/0!</v>
      </c>
      <c r="E44" s="198" t="e">
        <f t="shared" si="2"/>
        <v>#DIV/0!</v>
      </c>
      <c r="F44" s="216" t="e">
        <f>'OD ShareUEC'!$L44</f>
        <v>#DIV/0!</v>
      </c>
      <c r="G44" s="198" t="e">
        <f t="shared" si="2"/>
        <v>#DIV/0!</v>
      </c>
      <c r="H44" s="216" t="e">
        <f>SUM('OD ShareUEC'!$M44:$W44)</f>
        <v>#DIV/0!</v>
      </c>
      <c r="I44" s="198" t="e">
        <f t="shared" si="2"/>
        <v>#DIV/0!</v>
      </c>
      <c r="J44" s="216" t="e">
        <f t="shared" si="0"/>
        <v>#DIV/0!</v>
      </c>
      <c r="K44" s="198" t="e">
        <f t="shared" si="3"/>
        <v>#DIV/0!</v>
      </c>
      <c r="M44" s="216" t="e">
        <f t="shared" si="7"/>
        <v>#DIV/0!</v>
      </c>
      <c r="N44" s="25">
        <f t="shared" si="8"/>
        <v>2037</v>
      </c>
      <c r="O44" s="36">
        <v>1862.1477468638532</v>
      </c>
      <c r="P44" s="198">
        <f t="shared" si="5"/>
        <v>-3.0300028018683811E-3</v>
      </c>
      <c r="Q44" s="36">
        <v>4897.3833637140115</v>
      </c>
      <c r="R44" s="198">
        <f t="shared" si="5"/>
        <v>4.6982949897822479E-4</v>
      </c>
      <c r="S44" s="36">
        <v>1508.9686801956316</v>
      </c>
      <c r="T44" s="198">
        <f t="shared" si="5"/>
        <v>-1.1427759076114707E-3</v>
      </c>
      <c r="U44" s="36">
        <v>9054.2508196797244</v>
      </c>
      <c r="V44" s="198">
        <f t="shared" si="5"/>
        <v>7.954304682688873E-3</v>
      </c>
      <c r="W44" s="36">
        <f t="shared" si="6"/>
        <v>17322.74690750401</v>
      </c>
      <c r="X44" s="198">
        <f t="shared" si="5"/>
        <v>3.8458720042275907E-3</v>
      </c>
    </row>
    <row r="45" spans="1:24" x14ac:dyDescent="0.2">
      <c r="A45" s="192">
        <f t="shared" si="1"/>
        <v>2038</v>
      </c>
      <c r="B45" s="216" t="e">
        <f>SUM('OD ShareUEC'!$D45:$G45,'OD ShareUEC'!$U45)</f>
        <v>#DIV/0!</v>
      </c>
      <c r="C45" s="198" t="e">
        <f t="shared" si="2"/>
        <v>#DIV/0!</v>
      </c>
      <c r="D45" s="216" t="e">
        <f>SUM('OD ShareUEC'!$H45:$K45)</f>
        <v>#DIV/0!</v>
      </c>
      <c r="E45" s="198" t="e">
        <f t="shared" si="2"/>
        <v>#DIV/0!</v>
      </c>
      <c r="F45" s="216" t="e">
        <f>'OD ShareUEC'!$L45</f>
        <v>#DIV/0!</v>
      </c>
      <c r="G45" s="198" t="e">
        <f t="shared" si="2"/>
        <v>#DIV/0!</v>
      </c>
      <c r="H45" s="216" t="e">
        <f>SUM('OD ShareUEC'!$M45:$W45)</f>
        <v>#DIV/0!</v>
      </c>
      <c r="I45" s="198" t="e">
        <f t="shared" si="2"/>
        <v>#DIV/0!</v>
      </c>
      <c r="J45" s="216" t="e">
        <f t="shared" si="0"/>
        <v>#DIV/0!</v>
      </c>
      <c r="K45" s="198" t="e">
        <f t="shared" si="3"/>
        <v>#DIV/0!</v>
      </c>
      <c r="M45" s="216" t="e">
        <f t="shared" si="7"/>
        <v>#DIV/0!</v>
      </c>
      <c r="N45" s="25">
        <f t="shared" si="8"/>
        <v>2038</v>
      </c>
      <c r="O45" s="36">
        <v>1856.9042713280946</v>
      </c>
      <c r="P45" s="198">
        <f t="shared" si="5"/>
        <v>-2.815821432316179E-3</v>
      </c>
      <c r="Q45" s="36">
        <v>4899.503185993859</v>
      </c>
      <c r="R45" s="198">
        <f t="shared" si="5"/>
        <v>4.3284793580866676E-4</v>
      </c>
      <c r="S45" s="36">
        <v>1507.2462355108519</v>
      </c>
      <c r="T45" s="198">
        <f t="shared" si="5"/>
        <v>-1.1414714615258781E-3</v>
      </c>
      <c r="U45" s="36">
        <v>9126.6075669938928</v>
      </c>
      <c r="V45" s="198">
        <f t="shared" si="5"/>
        <v>7.9914670749896555E-3</v>
      </c>
      <c r="W45" s="36">
        <f t="shared" si="6"/>
        <v>17390.25773538174</v>
      </c>
      <c r="X45" s="198">
        <f t="shared" si="5"/>
        <v>3.8972357119924084E-3</v>
      </c>
    </row>
    <row r="46" spans="1:24" x14ac:dyDescent="0.2">
      <c r="A46" s="192">
        <f t="shared" si="1"/>
        <v>2039</v>
      </c>
      <c r="B46" s="216" t="e">
        <f>SUM('OD ShareUEC'!$D46:$G46,'OD ShareUEC'!$U46)</f>
        <v>#DIV/0!</v>
      </c>
      <c r="C46" s="198" t="e">
        <f t="shared" si="2"/>
        <v>#DIV/0!</v>
      </c>
      <c r="D46" s="216" t="e">
        <f>SUM('OD ShareUEC'!$H46:$K46)</f>
        <v>#DIV/0!</v>
      </c>
      <c r="E46" s="198" t="e">
        <f t="shared" si="2"/>
        <v>#DIV/0!</v>
      </c>
      <c r="F46" s="216" t="e">
        <f>'OD ShareUEC'!$L46</f>
        <v>#DIV/0!</v>
      </c>
      <c r="G46" s="198" t="e">
        <f t="shared" si="2"/>
        <v>#DIV/0!</v>
      </c>
      <c r="H46" s="216" t="e">
        <f>SUM('OD ShareUEC'!$M46:$W46)</f>
        <v>#DIV/0!</v>
      </c>
      <c r="I46" s="198" t="e">
        <f t="shared" si="2"/>
        <v>#DIV/0!</v>
      </c>
      <c r="J46" s="216" t="e">
        <f t="shared" si="0"/>
        <v>#DIV/0!</v>
      </c>
      <c r="K46" s="198" t="e">
        <f t="shared" si="3"/>
        <v>#DIV/0!</v>
      </c>
      <c r="M46" s="216" t="e">
        <f t="shared" si="7"/>
        <v>#DIV/0!</v>
      </c>
      <c r="N46" s="25">
        <f>N45+1</f>
        <v>2039</v>
      </c>
      <c r="O46" s="36">
        <v>1851.5671081146734</v>
      </c>
      <c r="P46" s="198">
        <f t="shared" si="5"/>
        <v>-2.8742263647247857E-3</v>
      </c>
      <c r="Q46" s="36">
        <v>4901.4470505629597</v>
      </c>
      <c r="R46" s="198">
        <f t="shared" si="5"/>
        <v>3.9674728136884774E-4</v>
      </c>
      <c r="S46" s="36">
        <v>1505.5277185855498</v>
      </c>
      <c r="T46" s="198">
        <f t="shared" si="5"/>
        <v>-1.1401699900213114E-3</v>
      </c>
      <c r="U46" s="36">
        <v>9199.9168326678409</v>
      </c>
      <c r="V46" s="198">
        <f t="shared" si="5"/>
        <v>8.0324770333140005E-3</v>
      </c>
      <c r="W46" s="36">
        <f t="shared" si="6"/>
        <v>17458.455092281947</v>
      </c>
      <c r="X46" s="198">
        <f t="shared" si="5"/>
        <v>3.9215840235338195E-3</v>
      </c>
    </row>
    <row r="47" spans="1:24" x14ac:dyDescent="0.2">
      <c r="A47" s="192">
        <f t="shared" si="1"/>
        <v>2040</v>
      </c>
      <c r="B47" s="216" t="e">
        <f>SUM('OD ShareUEC'!$D47:$G47,'OD ShareUEC'!$U47)</f>
        <v>#DIV/0!</v>
      </c>
      <c r="C47" s="198" t="e">
        <f t="shared" si="2"/>
        <v>#DIV/0!</v>
      </c>
      <c r="D47" s="216" t="e">
        <f>SUM('OD ShareUEC'!$H47:$K47)</f>
        <v>#DIV/0!</v>
      </c>
      <c r="E47" s="198" t="e">
        <f t="shared" si="2"/>
        <v>#DIV/0!</v>
      </c>
      <c r="F47" s="216" t="e">
        <f>'OD ShareUEC'!$L47</f>
        <v>#DIV/0!</v>
      </c>
      <c r="G47" s="198" t="e">
        <f t="shared" si="2"/>
        <v>#DIV/0!</v>
      </c>
      <c r="H47" s="216" t="e">
        <f>SUM('OD ShareUEC'!$M47:$W47)</f>
        <v>#DIV/0!</v>
      </c>
      <c r="I47" s="198" t="e">
        <f t="shared" si="2"/>
        <v>#DIV/0!</v>
      </c>
      <c r="J47" s="216" t="e">
        <f t="shared" si="0"/>
        <v>#DIV/0!</v>
      </c>
      <c r="K47" s="198" t="e">
        <f t="shared" si="3"/>
        <v>#DIV/0!</v>
      </c>
      <c r="M47" s="216" t="e">
        <f t="shared" si="7"/>
        <v>#DIV/0!</v>
      </c>
      <c r="N47" s="25">
        <f>N46+1</f>
        <v>2040</v>
      </c>
      <c r="O47" s="36">
        <v>1846.1383016455788</v>
      </c>
      <c r="P47" s="198">
        <f t="shared" si="5"/>
        <v>-2.932006323347558E-3</v>
      </c>
      <c r="Q47" s="36">
        <v>4903.2189210235829</v>
      </c>
      <c r="R47" s="198">
        <f t="shared" si="5"/>
        <v>3.6149945971963859E-4</v>
      </c>
      <c r="S47" s="36">
        <v>1503.8131160000864</v>
      </c>
      <c r="T47" s="198">
        <f t="shared" si="5"/>
        <v>-1.1388714829336788E-3</v>
      </c>
      <c r="U47" s="36">
        <v>9274.1908783210492</v>
      </c>
      <c r="V47" s="198">
        <f t="shared" si="5"/>
        <v>8.0733388142673057E-3</v>
      </c>
      <c r="W47" s="36">
        <f t="shared" si="6"/>
        <v>17527.357507611952</v>
      </c>
      <c r="X47" s="198">
        <f t="shared" si="5"/>
        <v>3.9466502027700745E-3</v>
      </c>
    </row>
    <row r="48" spans="1:24" x14ac:dyDescent="0.2">
      <c r="A48" s="192">
        <f t="shared" si="1"/>
        <v>2041</v>
      </c>
      <c r="B48" s="216" t="e">
        <f>SUM('OD ShareUEC'!$D48:$G48,'OD ShareUEC'!$U48)</f>
        <v>#DIV/0!</v>
      </c>
      <c r="C48" s="198" t="e">
        <f t="shared" si="2"/>
        <v>#DIV/0!</v>
      </c>
      <c r="D48" s="216" t="e">
        <f>SUM('OD ShareUEC'!$H48:$K48)</f>
        <v>#DIV/0!</v>
      </c>
      <c r="E48" s="198" t="e">
        <f t="shared" si="2"/>
        <v>#DIV/0!</v>
      </c>
      <c r="F48" s="216" t="e">
        <f>'OD ShareUEC'!$L48</f>
        <v>#DIV/0!</v>
      </c>
      <c r="G48" s="198" t="e">
        <f t="shared" si="2"/>
        <v>#DIV/0!</v>
      </c>
      <c r="H48" s="216" t="e">
        <f>SUM('OD ShareUEC'!$M48:$W48)</f>
        <v>#DIV/0!</v>
      </c>
      <c r="I48" s="198" t="e">
        <f t="shared" si="2"/>
        <v>#DIV/0!</v>
      </c>
      <c r="J48" s="216" t="e">
        <f t="shared" si="0"/>
        <v>#DIV/0!</v>
      </c>
      <c r="K48" s="198" t="e">
        <f t="shared" si="3"/>
        <v>#DIV/0!</v>
      </c>
      <c r="M48" s="216" t="e">
        <f t="shared" si="7"/>
        <v>#DIV/0!</v>
      </c>
      <c r="N48" s="25">
        <f>N47+1</f>
        <v>2041</v>
      </c>
      <c r="O48" s="36">
        <v>1840.6198406709434</v>
      </c>
      <c r="P48" s="198">
        <f t="shared" si="5"/>
        <v>-2.9891915300801486E-3</v>
      </c>
      <c r="Q48" s="36">
        <v>4904.8226536500069</v>
      </c>
      <c r="R48" s="198">
        <f t="shared" si="5"/>
        <v>3.270775081136712E-4</v>
      </c>
      <c r="S48" s="36">
        <v>1502.1024143958848</v>
      </c>
      <c r="T48" s="198">
        <f t="shared" si="5"/>
        <v>-1.1375759301474053E-3</v>
      </c>
      <c r="U48" s="36">
        <v>9349.442124243431</v>
      </c>
      <c r="V48" s="198">
        <f t="shared" si="5"/>
        <v>8.1140497224707619E-3</v>
      </c>
      <c r="W48" s="36">
        <f t="shared" si="6"/>
        <v>17596.983233270315</v>
      </c>
      <c r="X48" s="198">
        <f t="shared" si="5"/>
        <v>3.9724028923426857E-3</v>
      </c>
    </row>
    <row r="49" spans="1:11" x14ac:dyDescent="0.2">
      <c r="A49" s="192">
        <f t="shared" si="1"/>
        <v>2042</v>
      </c>
      <c r="B49" s="216" t="e">
        <f>SUM('OD ShareUEC'!$D49:$G49,'OD ShareUEC'!$U49)</f>
        <v>#DIV/0!</v>
      </c>
      <c r="D49" s="216" t="e">
        <f>SUM('OD ShareUEC'!$H49:$K49)</f>
        <v>#DIV/0!</v>
      </c>
      <c r="F49" s="216" t="e">
        <f>'OD ShareUEC'!$L49</f>
        <v>#DIV/0!</v>
      </c>
      <c r="H49" s="216" t="e">
        <f>SUM('OD ShareUEC'!$M49:$W49)</f>
        <v>#DIV/0!</v>
      </c>
      <c r="J49" s="216" t="e">
        <f t="shared" si="0"/>
        <v>#DIV/0!</v>
      </c>
      <c r="K49" s="198" t="e">
        <f t="shared" si="3"/>
        <v>#DIV/0!</v>
      </c>
    </row>
    <row r="50" spans="1:11" x14ac:dyDescent="0.2">
      <c r="A50" s="192"/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view="pageBreakPreview" zoomScale="60" zoomScaleNormal="100" workbookViewId="0">
      <selection activeCell="P1" sqref="P1:Q15"/>
    </sheetView>
  </sheetViews>
  <sheetFormatPr defaultRowHeight="12.75" x14ac:dyDescent="0.2"/>
  <cols>
    <col min="1" max="1" width="34.7109375" style="177" bestFit="1" customWidth="1"/>
    <col min="2" max="2" width="34.7109375" style="177" customWidth="1"/>
    <col min="3" max="11" width="9.7109375" style="177" bestFit="1" customWidth="1"/>
    <col min="12" max="16384" width="9.140625" style="177"/>
  </cols>
  <sheetData>
    <row r="1" spans="1:12" x14ac:dyDescent="0.2">
      <c r="A1" s="271" t="s">
        <v>235</v>
      </c>
      <c r="B1" s="271" t="s">
        <v>234</v>
      </c>
      <c r="C1" s="271"/>
      <c r="D1" s="271"/>
      <c r="E1" s="271"/>
      <c r="F1" s="271"/>
      <c r="G1" s="271"/>
    </row>
    <row r="3" spans="1:12" x14ac:dyDescent="0.2">
      <c r="A3" s="272" t="s">
        <v>233</v>
      </c>
      <c r="B3" s="273">
        <v>2011</v>
      </c>
      <c r="C3" s="273">
        <v>2012</v>
      </c>
      <c r="D3" s="273">
        <v>2013</v>
      </c>
      <c r="E3" s="273">
        <v>2014</v>
      </c>
      <c r="F3" s="273">
        <v>2015</v>
      </c>
      <c r="G3" s="273">
        <v>2016</v>
      </c>
      <c r="H3" s="273">
        <v>2017</v>
      </c>
      <c r="I3" s="273">
        <v>2018</v>
      </c>
      <c r="J3" s="273">
        <v>2019</v>
      </c>
      <c r="K3" s="273">
        <v>2020</v>
      </c>
      <c r="L3" s="273">
        <v>2021</v>
      </c>
    </row>
    <row r="5" spans="1:12" x14ac:dyDescent="0.2">
      <c r="B5" s="274"/>
    </row>
    <row r="6" spans="1:12" x14ac:dyDescent="0.2">
      <c r="A6" s="209" t="s">
        <v>236</v>
      </c>
      <c r="B6" s="275">
        <v>4.0509999999999997E-2</v>
      </c>
      <c r="C6" s="275">
        <v>4.0509999999999997E-2</v>
      </c>
      <c r="D6" s="275">
        <v>4.0509999999999997E-2</v>
      </c>
      <c r="E6" s="275">
        <v>4.0509999999999997E-2</v>
      </c>
      <c r="F6" s="275">
        <v>4.0509999999999997E-2</v>
      </c>
      <c r="G6" s="275">
        <v>4.0509999999999997E-2</v>
      </c>
      <c r="H6" s="275">
        <v>4.0509999999999997E-2</v>
      </c>
      <c r="I6" s="275">
        <v>4.0509999999999997E-2</v>
      </c>
      <c r="J6" s="275">
        <v>4.0509999999999997E-2</v>
      </c>
      <c r="K6" s="275">
        <v>4.0509999999999997E-2</v>
      </c>
    </row>
    <row r="7" spans="1:12" x14ac:dyDescent="0.2">
      <c r="A7" s="276" t="s">
        <v>237</v>
      </c>
      <c r="B7" s="274">
        <v>0</v>
      </c>
      <c r="C7" s="274">
        <v>0</v>
      </c>
      <c r="D7" s="274">
        <v>0</v>
      </c>
      <c r="E7" s="274">
        <v>0</v>
      </c>
      <c r="F7" s="274">
        <v>0</v>
      </c>
      <c r="G7" s="274">
        <v>0</v>
      </c>
      <c r="H7" s="274">
        <v>0</v>
      </c>
      <c r="I7" s="274">
        <v>0</v>
      </c>
      <c r="J7" s="274">
        <v>0</v>
      </c>
      <c r="K7" s="274">
        <v>0</v>
      </c>
    </row>
    <row r="8" spans="1:12" x14ac:dyDescent="0.2">
      <c r="A8" s="276" t="s">
        <v>238</v>
      </c>
      <c r="B8" s="274">
        <v>6.9040290875426605E-3</v>
      </c>
      <c r="C8" s="274">
        <v>6.9670663080249242E-3</v>
      </c>
      <c r="D8" s="274">
        <v>6.9850527875552149E-3</v>
      </c>
      <c r="E8" s="274">
        <v>7.0413634380610494E-3</v>
      </c>
      <c r="F8" s="274">
        <v>6.9934534029304487E-3</v>
      </c>
      <c r="G8" s="274">
        <v>6.9445427521596069E-3</v>
      </c>
      <c r="H8" s="274">
        <v>6.9237371462077578E-3</v>
      </c>
      <c r="I8" s="274">
        <v>6.879501788441553E-3</v>
      </c>
      <c r="J8" s="274">
        <v>6.8130088062888349E-3</v>
      </c>
      <c r="K8" s="274">
        <v>6.7472107038029135E-3</v>
      </c>
    </row>
    <row r="9" spans="1:12" x14ac:dyDescent="0.2">
      <c r="A9" s="209" t="s">
        <v>239</v>
      </c>
      <c r="B9" s="274">
        <v>0</v>
      </c>
      <c r="C9" s="274">
        <v>0</v>
      </c>
      <c r="D9" s="274">
        <v>2.616205455164459E-3</v>
      </c>
      <c r="E9" s="274">
        <v>2.945156994179824E-3</v>
      </c>
      <c r="F9" s="274">
        <v>3.9675494502217469E-3</v>
      </c>
      <c r="G9" s="274">
        <v>4.6581162355194047E-3</v>
      </c>
      <c r="H9" s="274">
        <v>6.840149254199443E-3</v>
      </c>
      <c r="I9" s="274">
        <v>8.0087245473031525E-3</v>
      </c>
      <c r="J9" s="274">
        <v>1.1667915622244462E-2</v>
      </c>
      <c r="K9" s="274">
        <v>1.2080750751286468E-2</v>
      </c>
    </row>
    <row r="10" spans="1:12" x14ac:dyDescent="0.2">
      <c r="A10" s="209" t="s">
        <v>240</v>
      </c>
      <c r="B10" s="274">
        <v>2.7539999999999999E-2</v>
      </c>
      <c r="C10" s="274">
        <v>2.7539999999999999E-2</v>
      </c>
      <c r="D10" s="274">
        <v>2.7539999999999999E-2</v>
      </c>
      <c r="E10" s="274">
        <v>2.7539999999999999E-2</v>
      </c>
      <c r="F10" s="274">
        <v>2.7539999999999999E-2</v>
      </c>
      <c r="G10" s="274">
        <v>2.7539999999999999E-2</v>
      </c>
      <c r="H10" s="274">
        <v>2.7539999999999999E-2</v>
      </c>
      <c r="I10" s="274">
        <v>2.7539999999999999E-2</v>
      </c>
      <c r="J10" s="274">
        <v>2.7539999999999999E-2</v>
      </c>
      <c r="K10" s="274">
        <v>2.7539999999999999E-2</v>
      </c>
    </row>
    <row r="11" spans="1:12" x14ac:dyDescent="0.2">
      <c r="A11" s="209" t="s">
        <v>241</v>
      </c>
      <c r="B11" s="274">
        <v>8.77285210945048E-4</v>
      </c>
      <c r="C11" s="274">
        <v>1.7056811216687577E-3</v>
      </c>
      <c r="D11" s="274">
        <v>1.9983404905439513E-3</v>
      </c>
      <c r="E11" s="274">
        <v>3.798373254319436E-3</v>
      </c>
      <c r="F11" s="274">
        <v>3.9804464944984295E-3</v>
      </c>
      <c r="G11" s="274">
        <v>6.8169881896870434E-3</v>
      </c>
      <c r="H11" s="274">
        <v>7.0836835697467336E-3</v>
      </c>
      <c r="I11" s="274">
        <v>9.0210698979284951E-3</v>
      </c>
      <c r="J11" s="274">
        <v>1.1336343264715104E-2</v>
      </c>
      <c r="K11" s="274">
        <v>1.2319542960755575E-2</v>
      </c>
    </row>
    <row r="12" spans="1:12" x14ac:dyDescent="0.2">
      <c r="A12" s="209" t="s">
        <v>242</v>
      </c>
      <c r="B12" s="274">
        <v>4.103498885064367E-3</v>
      </c>
      <c r="C12" s="274">
        <v>5.3818158075637137E-3</v>
      </c>
      <c r="D12" s="274">
        <v>7.3700802589098504E-3</v>
      </c>
      <c r="E12" s="274">
        <v>1.0318520910558524E-2</v>
      </c>
      <c r="F12" s="274">
        <v>1.3754168771651551E-2</v>
      </c>
      <c r="G12" s="274">
        <v>1.6773121728052322E-2</v>
      </c>
      <c r="H12" s="274">
        <v>1.6891681958649103E-2</v>
      </c>
      <c r="I12" s="274">
        <v>1.5979557837914323E-2</v>
      </c>
      <c r="J12" s="274">
        <v>1.502235312569321E-2</v>
      </c>
      <c r="K12" s="274">
        <v>1.3952265051061298E-2</v>
      </c>
    </row>
    <row r="13" spans="1:12" x14ac:dyDescent="0.2">
      <c r="A13" s="209" t="s">
        <v>243</v>
      </c>
      <c r="B13" s="274">
        <v>1.6853870809482336E-3</v>
      </c>
      <c r="C13" s="274">
        <v>2.2108638771394826E-3</v>
      </c>
      <c r="D13" s="274">
        <v>2.0886532480982223E-3</v>
      </c>
      <c r="E13" s="274">
        <v>2.3978845704106934E-3</v>
      </c>
      <c r="F13" s="274">
        <v>2.3645046530687483E-3</v>
      </c>
      <c r="G13" s="274">
        <v>2.5410112260949294E-3</v>
      </c>
      <c r="H13" s="274">
        <v>2.3981982822832921E-3</v>
      </c>
      <c r="I13" s="274">
        <v>2.5119598154925149E-3</v>
      </c>
      <c r="J13" s="274">
        <v>2.3116955843264873E-3</v>
      </c>
      <c r="K13" s="274">
        <v>2.4168073937886822E-3</v>
      </c>
    </row>
    <row r="14" spans="1:12" x14ac:dyDescent="0.2">
      <c r="A14" s="209" t="s">
        <v>210</v>
      </c>
      <c r="B14" s="277">
        <f>SUM(B6:B13)</f>
        <v>8.1620200264500301E-2</v>
      </c>
      <c r="C14" s="277">
        <f t="shared" ref="C14:K14" si="0">SUM(C6:C13)</f>
        <v>8.4315427114396865E-2</v>
      </c>
      <c r="D14" s="277">
        <f t="shared" si="0"/>
        <v>8.910833224027169E-2</v>
      </c>
      <c r="E14" s="277">
        <f t="shared" si="0"/>
        <v>9.4551299167529523E-2</v>
      </c>
      <c r="F14" s="277">
        <f t="shared" si="0"/>
        <v>9.9110122772370912E-2</v>
      </c>
      <c r="G14" s="277">
        <f t="shared" si="0"/>
        <v>0.10578378013151329</v>
      </c>
      <c r="H14" s="277">
        <f t="shared" si="0"/>
        <v>0.10818745021108633</v>
      </c>
      <c r="I14" s="277">
        <f t="shared" si="0"/>
        <v>0.11045081388708003</v>
      </c>
      <c r="J14" s="277">
        <f t="shared" si="0"/>
        <v>0.1152013164032681</v>
      </c>
      <c r="K14" s="277">
        <f t="shared" si="0"/>
        <v>0.11556657686069494</v>
      </c>
    </row>
    <row r="15" spans="1:12" x14ac:dyDescent="0.2">
      <c r="A15" s="209"/>
      <c r="B15" s="274"/>
      <c r="C15" s="278">
        <f>C14/B$14-1</f>
        <v>3.3021566244169298E-2</v>
      </c>
      <c r="D15" s="278">
        <f t="shared" ref="D15:K15" si="1">D14/C14-1</f>
        <v>5.6844936803462254E-2</v>
      </c>
      <c r="E15" s="278">
        <f t="shared" si="1"/>
        <v>6.108258106078579E-2</v>
      </c>
      <c r="F15" s="278">
        <f t="shared" si="1"/>
        <v>4.8215346007714821E-2</v>
      </c>
      <c r="G15" s="278">
        <f t="shared" si="1"/>
        <v>6.7335779357976966E-2</v>
      </c>
      <c r="H15" s="278">
        <f t="shared" si="1"/>
        <v>2.2722482374752939E-2</v>
      </c>
      <c r="I15" s="278">
        <f t="shared" si="1"/>
        <v>2.092075995485243E-2</v>
      </c>
      <c r="J15" s="278">
        <f t="shared" si="1"/>
        <v>4.3010117798179204E-2</v>
      </c>
      <c r="K15" s="278">
        <f t="shared" si="1"/>
        <v>3.170627461827058E-3</v>
      </c>
    </row>
    <row r="18" spans="1:12" ht="15" x14ac:dyDescent="0.25">
      <c r="A18" s="266" t="s">
        <v>232</v>
      </c>
      <c r="B18" s="266"/>
      <c r="C18" s="267"/>
      <c r="D18" s="268"/>
      <c r="E18" s="268"/>
      <c r="F18" s="268"/>
      <c r="G18" s="268"/>
      <c r="H18" s="268"/>
      <c r="I18" s="268"/>
      <c r="J18" s="268"/>
      <c r="K18" s="268"/>
      <c r="L18" s="268"/>
    </row>
    <row r="19" spans="1:12" ht="14.25" x14ac:dyDescent="0.2">
      <c r="A19" s="266" t="s">
        <v>222</v>
      </c>
      <c r="B19" s="266"/>
      <c r="C19" s="267"/>
      <c r="D19" s="267"/>
      <c r="E19" s="267"/>
      <c r="F19" s="267"/>
      <c r="G19" s="267"/>
      <c r="H19" s="267"/>
      <c r="I19" s="267"/>
      <c r="J19" s="267"/>
      <c r="K19" s="267"/>
      <c r="L19" s="267"/>
    </row>
    <row r="20" spans="1:12" x14ac:dyDescent="0.2">
      <c r="A20" s="269" t="s">
        <v>223</v>
      </c>
      <c r="B20" s="269"/>
      <c r="C20" s="270">
        <v>4.0509999999999997E-2</v>
      </c>
      <c r="D20" s="270">
        <v>4.0509999999999997E-2</v>
      </c>
      <c r="E20" s="270">
        <v>4.0509999999999997E-2</v>
      </c>
      <c r="F20" s="270">
        <v>4.0509999999999997E-2</v>
      </c>
      <c r="G20" s="270">
        <v>4.05099999999999E-2</v>
      </c>
      <c r="H20" s="270">
        <v>4.05099999999999E-2</v>
      </c>
      <c r="I20" s="270">
        <v>4.05099999999999E-2</v>
      </c>
      <c r="J20" s="270">
        <v>4.05099999999999E-2</v>
      </c>
      <c r="K20" s="270">
        <v>4.05099999999999E-2</v>
      </c>
      <c r="L20" s="270">
        <v>4.05099999999999E-2</v>
      </c>
    </row>
    <row r="21" spans="1:12" x14ac:dyDescent="0.2">
      <c r="A21" s="269" t="s">
        <v>224</v>
      </c>
      <c r="B21" s="269"/>
      <c r="C21" s="270">
        <v>0</v>
      </c>
      <c r="D21" s="270">
        <v>0</v>
      </c>
      <c r="E21" s="270">
        <v>0</v>
      </c>
      <c r="F21" s="270">
        <v>0</v>
      </c>
      <c r="G21" s="270">
        <v>0</v>
      </c>
      <c r="H21" s="270">
        <v>0</v>
      </c>
      <c r="I21" s="270">
        <v>0</v>
      </c>
      <c r="J21" s="270">
        <v>0</v>
      </c>
      <c r="K21" s="270">
        <v>0</v>
      </c>
      <c r="L21" s="270">
        <v>0</v>
      </c>
    </row>
    <row r="22" spans="1:12" x14ac:dyDescent="0.2">
      <c r="A22" s="269" t="s">
        <v>225</v>
      </c>
      <c r="B22" s="269"/>
      <c r="C22" s="270">
        <v>6.9324205027928004E-3</v>
      </c>
      <c r="D22" s="270">
        <v>6.9538012173320403E-3</v>
      </c>
      <c r="E22" s="270">
        <v>7.0172978756258301E-3</v>
      </c>
      <c r="F22" s="270">
        <v>7.0222240181779102E-3</v>
      </c>
      <c r="G22" s="270">
        <v>7.0278931723453397E-3</v>
      </c>
      <c r="H22" s="270">
        <v>7.0278931723453397E-3</v>
      </c>
      <c r="I22" s="270">
        <v>7.0278931723453397E-3</v>
      </c>
      <c r="J22" s="270">
        <v>7.0278931723453397E-3</v>
      </c>
      <c r="K22" s="270">
        <v>7.0278931723453397E-3</v>
      </c>
      <c r="L22" s="270">
        <v>7.0278931723453397E-3</v>
      </c>
    </row>
    <row r="23" spans="1:12" x14ac:dyDescent="0.2">
      <c r="A23" s="269" t="s">
        <v>226</v>
      </c>
      <c r="B23" s="269"/>
      <c r="C23" s="270">
        <v>0</v>
      </c>
      <c r="D23" s="270">
        <v>4.1306561508546802E-3</v>
      </c>
      <c r="E23" s="270">
        <v>4.32930142927256E-3</v>
      </c>
      <c r="F23" s="270">
        <v>4.9244013320894802E-3</v>
      </c>
      <c r="G23" s="270">
        <v>5.6012663411940502E-3</v>
      </c>
      <c r="H23" s="270">
        <v>5.6012663411940502E-3</v>
      </c>
      <c r="I23" s="270">
        <v>5.6012663411940502E-3</v>
      </c>
      <c r="J23" s="270">
        <v>5.6012663411940502E-3</v>
      </c>
      <c r="K23" s="270">
        <v>5.6012663411940502E-3</v>
      </c>
      <c r="L23" s="270">
        <v>5.6012663411940502E-3</v>
      </c>
    </row>
    <row r="24" spans="1:12" x14ac:dyDescent="0.2">
      <c r="A24" s="269" t="s">
        <v>227</v>
      </c>
      <c r="B24" s="269"/>
      <c r="C24" s="270">
        <v>2.6679999999999999E-2</v>
      </c>
      <c r="D24" s="270">
        <v>2.6679999999999999E-2</v>
      </c>
      <c r="E24" s="270">
        <v>2.6679999999999902E-2</v>
      </c>
      <c r="F24" s="270">
        <v>2.6679999999999999E-2</v>
      </c>
      <c r="G24" s="270">
        <v>2.6679999999999999E-2</v>
      </c>
      <c r="H24" s="270">
        <v>2.6679999999999999E-2</v>
      </c>
      <c r="I24" s="270">
        <v>2.6679999999999999E-2</v>
      </c>
      <c r="J24" s="270">
        <v>2.6679999999999999E-2</v>
      </c>
      <c r="K24" s="270">
        <v>2.6679999999999999E-2</v>
      </c>
      <c r="L24" s="270">
        <v>2.6679999999999999E-2</v>
      </c>
    </row>
    <row r="25" spans="1:12" x14ac:dyDescent="0.2">
      <c r="A25" s="269" t="s">
        <v>228</v>
      </c>
      <c r="B25" s="269"/>
      <c r="C25" s="270">
        <v>3.4068567399188898E-3</v>
      </c>
      <c r="D25" s="270">
        <v>3.7462869664500399E-3</v>
      </c>
      <c r="E25" s="270">
        <v>5.6215065095499102E-3</v>
      </c>
      <c r="F25" s="270">
        <v>6.9764361926370902E-3</v>
      </c>
      <c r="G25" s="270">
        <v>9.98314758387823E-3</v>
      </c>
      <c r="H25" s="270">
        <v>9.98314758387823E-3</v>
      </c>
      <c r="I25" s="270">
        <v>9.98314758387823E-3</v>
      </c>
      <c r="J25" s="270">
        <v>9.98314758387823E-3</v>
      </c>
      <c r="K25" s="270">
        <v>9.98314758387823E-3</v>
      </c>
      <c r="L25" s="270">
        <v>9.98314758387823E-3</v>
      </c>
    </row>
    <row r="26" spans="1:12" x14ac:dyDescent="0.2">
      <c r="A26" s="269" t="s">
        <v>229</v>
      </c>
      <c r="B26" s="269"/>
      <c r="C26" s="270">
        <v>3.4411710587071301E-3</v>
      </c>
      <c r="D26" s="270">
        <v>5.8656330536642097E-3</v>
      </c>
      <c r="E26" s="270">
        <v>9.3009731238006006E-3</v>
      </c>
      <c r="F26" s="270">
        <v>1.26190676287704E-2</v>
      </c>
      <c r="G26" s="270">
        <v>1.33188705096464E-2</v>
      </c>
      <c r="H26" s="270">
        <v>1.33188705096464E-2</v>
      </c>
      <c r="I26" s="270">
        <v>1.33188705096464E-2</v>
      </c>
      <c r="J26" s="270">
        <v>1.33188705096464E-2</v>
      </c>
      <c r="K26" s="270">
        <v>1.33188705096464E-2</v>
      </c>
      <c r="L26" s="270">
        <v>1.33188705096464E-2</v>
      </c>
    </row>
    <row r="27" spans="1:12" x14ac:dyDescent="0.2">
      <c r="A27" s="269" t="s">
        <v>230</v>
      </c>
      <c r="B27" s="269"/>
      <c r="C27" s="270">
        <v>1.18673196521794E-3</v>
      </c>
      <c r="D27" s="270">
        <v>1.2349532016778901E-3</v>
      </c>
      <c r="E27" s="270">
        <v>1.63727274098049E-3</v>
      </c>
      <c r="F27" s="270">
        <v>1.3276151919828199E-3</v>
      </c>
      <c r="G27" s="270">
        <v>1.4682876663204101E-3</v>
      </c>
      <c r="H27" s="270">
        <v>1.4682876663204101E-3</v>
      </c>
      <c r="I27" s="270">
        <v>1.4682876663204101E-3</v>
      </c>
      <c r="J27" s="270">
        <v>1.4682876663204101E-3</v>
      </c>
      <c r="K27" s="270">
        <v>1.4682876663204101E-3</v>
      </c>
      <c r="L27" s="270">
        <v>1.4682876663204101E-3</v>
      </c>
    </row>
    <row r="28" spans="1:12" x14ac:dyDescent="0.2">
      <c r="A28" s="269" t="s">
        <v>231</v>
      </c>
      <c r="B28" s="269"/>
      <c r="C28" s="270">
        <v>8.2157180266636695E-2</v>
      </c>
      <c r="D28" s="270">
        <v>8.9121330589978898E-2</v>
      </c>
      <c r="E28" s="270">
        <v>9.5096351679229404E-2</v>
      </c>
      <c r="F28" s="270">
        <v>0.100059744363657</v>
      </c>
      <c r="G28" s="270">
        <v>0.104589465273384</v>
      </c>
      <c r="H28" s="270">
        <v>0.104589465273384</v>
      </c>
      <c r="I28" s="270">
        <v>0.104589465273384</v>
      </c>
      <c r="J28" s="270">
        <v>0.104589465273384</v>
      </c>
      <c r="K28" s="270">
        <v>0.104589465273384</v>
      </c>
      <c r="L28" s="270">
        <v>0.104589465273384</v>
      </c>
    </row>
    <row r="29" spans="1:12" x14ac:dyDescent="0.2">
      <c r="C29" s="278">
        <f>C28/B$14-1</f>
        <v>6.5790086326209529E-3</v>
      </c>
      <c r="D29" s="278">
        <f>D28/C28-1</f>
        <v>8.4766179909539607E-2</v>
      </c>
      <c r="E29" s="278">
        <f>E28/D28-1</f>
        <v>6.7043670125840338E-2</v>
      </c>
      <c r="F29" s="278">
        <f>F28/E28-1</f>
        <v>5.2193302863706714E-2</v>
      </c>
      <c r="G29" s="278">
        <f>G28/F28-1</f>
        <v>4.5270162726622543E-2</v>
      </c>
      <c r="H29" s="278">
        <f>H28/G28-1</f>
        <v>0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"/>
  <sheetViews>
    <sheetView view="pageBreakPreview" zoomScale="60" zoomScaleNormal="100" workbookViewId="0">
      <pane xSplit="1" ySplit="1" topLeftCell="B12" activePane="bottomRight" state="frozenSplit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9.140625" defaultRowHeight="12.75" x14ac:dyDescent="0.2"/>
  <cols>
    <col min="1" max="1" width="5.85546875" style="239" bestFit="1" customWidth="1"/>
    <col min="2" max="2" width="7.140625" style="239" customWidth="1"/>
    <col min="3" max="3" width="8.28515625" style="239" customWidth="1"/>
    <col min="4" max="4" width="9.140625" style="159" bestFit="1" customWidth="1"/>
    <col min="5" max="5" width="7.5703125" style="159" bestFit="1" customWidth="1"/>
    <col min="6" max="6" width="9.140625" style="159" bestFit="1" customWidth="1"/>
    <col min="7" max="7" width="7.42578125" style="159" customWidth="1"/>
    <col min="8" max="9" width="8.7109375" style="159" bestFit="1" customWidth="1"/>
    <col min="10" max="10" width="9.140625" style="159" bestFit="1" customWidth="1"/>
    <col min="11" max="12" width="8.7109375" style="159" bestFit="1" customWidth="1"/>
    <col min="13" max="13" width="6.7109375" style="159" bestFit="1" customWidth="1"/>
    <col min="14" max="14" width="8.28515625" style="159" bestFit="1" customWidth="1"/>
    <col min="15" max="16" width="6.7109375" style="159" bestFit="1" customWidth="1"/>
    <col min="17" max="17" width="5.7109375" style="159" bestFit="1" customWidth="1"/>
    <col min="18" max="21" width="8.7109375" style="159" bestFit="1" customWidth="1"/>
    <col min="22" max="23" width="8.28515625" style="159" bestFit="1" customWidth="1"/>
    <col min="24" max="16384" width="9.140625" style="239"/>
  </cols>
  <sheetData>
    <row r="1" spans="1:25" x14ac:dyDescent="0.2">
      <c r="A1" s="194" t="s">
        <v>15</v>
      </c>
      <c r="B1" s="194" t="s">
        <v>16</v>
      </c>
      <c r="C1" s="194" t="s">
        <v>17</v>
      </c>
      <c r="D1" s="238" t="s">
        <v>0</v>
      </c>
      <c r="E1" s="238" t="s">
        <v>1</v>
      </c>
      <c r="F1" s="238"/>
      <c r="G1" s="238" t="s">
        <v>145</v>
      </c>
      <c r="H1" s="238" t="s">
        <v>2</v>
      </c>
      <c r="I1" s="238" t="s">
        <v>3</v>
      </c>
      <c r="J1" s="238"/>
      <c r="K1" s="238" t="s">
        <v>4</v>
      </c>
      <c r="L1" s="238" t="s">
        <v>5</v>
      </c>
      <c r="M1" s="238" t="s">
        <v>6</v>
      </c>
      <c r="N1" s="238" t="s">
        <v>7</v>
      </c>
      <c r="O1" s="238" t="s">
        <v>8</v>
      </c>
      <c r="P1" s="238"/>
      <c r="Q1" s="238"/>
      <c r="R1" s="238" t="s">
        <v>11</v>
      </c>
      <c r="S1" s="238" t="s">
        <v>12</v>
      </c>
      <c r="T1" s="238" t="s">
        <v>100</v>
      </c>
      <c r="U1" s="238" t="s">
        <v>173</v>
      </c>
      <c r="V1" s="238" t="s">
        <v>13</v>
      </c>
      <c r="W1" s="238" t="s">
        <v>14</v>
      </c>
    </row>
    <row r="2" spans="1:25" x14ac:dyDescent="0.2">
      <c r="A2" s="240">
        <v>1995</v>
      </c>
      <c r="B2" s="241">
        <f>D2+E2+F2</f>
        <v>0</v>
      </c>
      <c r="C2" s="241" t="e">
        <f>SUM(G2:I2)</f>
        <v>#DIV/0!</v>
      </c>
      <c r="D2" s="242">
        <f>'OD Efficiencies'!B$54*'OD StructuralVars'!$Q2*('OD Shares'!B2/'OD Efficiencies'!B2)/('OD Shares'!B$12/'OD Efficiencies'!B$12)</f>
        <v>0</v>
      </c>
      <c r="E2" s="242">
        <f>'OD Efficiencies'!C$54*'OD StructuralVars'!$Q2*('OD Shares'!D2/'OD Efficiencies'!C2)/('OD Shares'!D$12/'OD Efficiencies'!C$12)</f>
        <v>0</v>
      </c>
      <c r="F2" s="242"/>
      <c r="G2" s="242">
        <f>'OD Efficiencies'!E$54*'OD StructuralVars'!$Q2*('OD Shares'!H2/(1/'OD Efficiencies'!E2))/('OD Shares'!H$12/(1/'OD Efficiencies'!E$12))</f>
        <v>0</v>
      </c>
      <c r="H2" s="242" t="e">
        <f>'OD Efficiencies'!F$54*'OD StructuralVars'!$R2*('OD Shares'!J2/'OD Efficiencies'!F2)/('OD Shares'!J$12/'OD Efficiencies'!F$12)</f>
        <v>#DIV/0!</v>
      </c>
      <c r="I2" s="242" t="e">
        <f>'OD Efficiencies'!G$54*'OD StructuralVars'!$R2*('OD Shares'!L2/'OD Efficiencies'!G2)/('OD Shares'!L$12/'OD Efficiencies'!G$12)</f>
        <v>#DIV/0!</v>
      </c>
      <c r="J2" s="242"/>
      <c r="K2" s="242" t="e">
        <f>'OD Efficiencies'!I$54*'OD StructuralVars'!$R2*('OD Shares'!P2/'OD Efficiencies'!I2)/('OD Shares'!P$12/'OD Efficiencies'!I$12)</f>
        <v>#DIV/0!</v>
      </c>
      <c r="L2" s="242" t="e">
        <f>'OD Efficiencies'!J$54*('OD Shares'!R2/'OD Efficiencies'!J2)/('OD Shares'!R$12/'OD Efficiencies'!J$12)</f>
        <v>#DIV/0!</v>
      </c>
      <c r="M2" s="242">
        <f>'OD Efficiencies'!K$54*('OD Shares'!T2/(1/'OD Efficiencies'!K2))/('OD Shares'!T$12/(1/'OD Efficiencies'!K$12))</f>
        <v>566.15723563375968</v>
      </c>
      <c r="N2" s="242">
        <f>'OD Efficiencies'!L$54*('OD Shares'!U2/(1/'OD Efficiencies'!L2))/('OD Shares'!U$12/(1/'OD Efficiencies'!L$12))</f>
        <v>878.46433442682826</v>
      </c>
      <c r="O2" s="242">
        <f>'OD Efficiencies'!M$54*('OD Shares'!W2/(1/'OD Efficiencies'!M2))/('OD Shares'!W$12/(1/'OD Efficiencies'!M$12))</f>
        <v>158.12358019682895</v>
      </c>
      <c r="P2" s="242"/>
      <c r="Q2" s="242"/>
      <c r="R2" s="242" t="e">
        <f>'OD Efficiencies'!P$54*('OD Shares'!AC2/(1/'OD Efficiencies'!P2))/('OD Shares'!AC$12/(1/'OD Efficiencies'!P$12))</f>
        <v>#DIV/0!</v>
      </c>
      <c r="S2" s="242" t="e">
        <f>'OD Efficiencies'!Q$54*('OD Shares'!AE2/(1/'OD Efficiencies'!Q2))/('OD Shares'!AE$12/(1/'OD Efficiencies'!Q$12))</f>
        <v>#DIV/0!</v>
      </c>
      <c r="T2" s="242" t="e">
        <f>'OD Efficiencies'!R$54*('OD Shares'!AG2/(1/'OD Efficiencies'!R2))/('OD Shares'!AG$12/(1/'OD Efficiencies'!R$12))</f>
        <v>#DIV/0!</v>
      </c>
      <c r="U2" s="242" t="e">
        <f>'OD Efficiencies'!S$54*('OD Shares'!AH2/(1/'OD Efficiencies'!S2))/('OD Shares'!AH$12/(1/'OD Efficiencies'!S$12))</f>
        <v>#DIV/0!</v>
      </c>
      <c r="V2" s="242">
        <f>'OD Efficiencies'!T$54*('OD Shares'!AI2/(1/'OD Efficiencies'!T2))/('OD Shares'!AI$12/(1/'OD Efficiencies'!T$12))</f>
        <v>2230.7006069480672</v>
      </c>
      <c r="W2" s="242">
        <f>'OD Efficiencies'!V$54*('OD Shares'!AJ2/(1/'OD Efficiencies'!X2))/('OD Shares'!AJ$12/(1/'OD Efficiencies'!X$12))</f>
        <v>2318.3842277207636</v>
      </c>
    </row>
    <row r="3" spans="1:25" x14ac:dyDescent="0.2">
      <c r="A3" s="240">
        <v>1996</v>
      </c>
      <c r="B3" s="241">
        <f t="shared" ref="B3" si="0">D3+E3+F3</f>
        <v>0</v>
      </c>
      <c r="C3" s="241" t="e">
        <f t="shared" ref="C3:C7" si="1">SUM(G3:I3)</f>
        <v>#DIV/0!</v>
      </c>
      <c r="D3" s="242">
        <f>'OD Efficiencies'!B$54*'OD StructuralVars'!$Q3*('OD Shares'!B3/'OD Efficiencies'!B3)/('OD Shares'!B$12/'OD Efficiencies'!B$12)</f>
        <v>0</v>
      </c>
      <c r="E3" s="242">
        <f>'OD Efficiencies'!C$54*'OD StructuralVars'!$Q3*('OD Shares'!D3/'OD Efficiencies'!C3)/('OD Shares'!D$12/'OD Efficiencies'!C$12)</f>
        <v>0</v>
      </c>
      <c r="F3" s="242"/>
      <c r="G3" s="242">
        <f>'OD Efficiencies'!E$54*'OD StructuralVars'!$Q3*('OD Shares'!H3/(1/'OD Efficiencies'!E3))/('OD Shares'!H$12/(1/'OD Efficiencies'!E$12))</f>
        <v>0</v>
      </c>
      <c r="H3" s="242" t="e">
        <f>'OD Efficiencies'!F$54*'OD StructuralVars'!$R3*('OD Shares'!J3/'OD Efficiencies'!F3)/('OD Shares'!J$12/'OD Efficiencies'!F$12)</f>
        <v>#DIV/0!</v>
      </c>
      <c r="I3" s="242" t="e">
        <f>'OD Efficiencies'!G$54*'OD StructuralVars'!$R3*('OD Shares'!L3/'OD Efficiencies'!G3)/('OD Shares'!L$12/'OD Efficiencies'!G$12)</f>
        <v>#DIV/0!</v>
      </c>
      <c r="J3" s="242"/>
      <c r="K3" s="242" t="e">
        <f>'OD Efficiencies'!I$54*'OD StructuralVars'!$R3*('OD Shares'!P3/'OD Efficiencies'!I3)/('OD Shares'!P$12/'OD Efficiencies'!I$12)</f>
        <v>#DIV/0!</v>
      </c>
      <c r="L3" s="242" t="e">
        <f>'OD Efficiencies'!J$54*('OD Shares'!R3/'OD Efficiencies'!J3)/('OD Shares'!R$12/'OD Efficiencies'!J$12)</f>
        <v>#DIV/0!</v>
      </c>
      <c r="M3" s="242">
        <f>'OD Efficiencies'!K$54*('OD Shares'!T3/(1/'OD Efficiencies'!K3))/('OD Shares'!T$12/(1/'OD Efficiencies'!K$12))</f>
        <v>570.75847272695239</v>
      </c>
      <c r="N3" s="242">
        <f>'OD Efficiencies'!L$54*('OD Shares'!U3/(1/'OD Efficiencies'!L3))/('OD Shares'!U$12/(1/'OD Efficiencies'!L$12))</f>
        <v>864.84765095310615</v>
      </c>
      <c r="O3" s="242">
        <f>'OD Efficiencies'!M$54*('OD Shares'!W3/(1/'OD Efficiencies'!M3))/('OD Shares'!W$12/(1/'OD Efficiencies'!M$12))</f>
        <v>155.672577171559</v>
      </c>
      <c r="P3" s="242"/>
      <c r="Q3" s="242"/>
      <c r="R3" s="242" t="e">
        <f>'OD Efficiencies'!P$54*('OD Shares'!AC3/(1/'OD Efficiencies'!P3))/('OD Shares'!AC$12/(1/'OD Efficiencies'!P$12))</f>
        <v>#DIV/0!</v>
      </c>
      <c r="S3" s="242" t="e">
        <f>'OD Efficiencies'!Q$54*('OD Shares'!AE3/(1/'OD Efficiencies'!Q3))/('OD Shares'!AE$12/(1/'OD Efficiencies'!Q$12))</f>
        <v>#DIV/0!</v>
      </c>
      <c r="T3" s="242" t="e">
        <f>'OD Efficiencies'!R$54*('OD Shares'!AG3/(1/'OD Efficiencies'!R3))/('OD Shares'!AG$12/(1/'OD Efficiencies'!R$12))</f>
        <v>#DIV/0!</v>
      </c>
      <c r="U3" s="242" t="e">
        <f>'OD Efficiencies'!S$54*('OD Shares'!AH3/(1/'OD Efficiencies'!S3))/('OD Shares'!AH$12/(1/'OD Efficiencies'!S$12))</f>
        <v>#DIV/0!</v>
      </c>
      <c r="V3" s="242">
        <f>'OD Efficiencies'!T$54*('OD Shares'!AI3/(1/'OD Efficiencies'!T3))/('OD Shares'!AI$12/(1/'OD Efficiencies'!T$12))</f>
        <v>2232.3739067744209</v>
      </c>
      <c r="W3" s="242">
        <f>'OD Efficiencies'!V$54*('OD Shares'!AJ3/(1/'OD Efficiencies'!X3))/('OD Shares'!AJ$12/(1/'OD Efficiencies'!X$12))</f>
        <v>2399.5335849702178</v>
      </c>
    </row>
    <row r="4" spans="1:25" x14ac:dyDescent="0.2">
      <c r="A4" s="240">
        <v>1997</v>
      </c>
      <c r="B4" s="241">
        <f t="shared" ref="B4:B19" si="2">D4+E4+F4+G4</f>
        <v>0</v>
      </c>
      <c r="C4" s="241" t="e">
        <f t="shared" si="1"/>
        <v>#DIV/0!</v>
      </c>
      <c r="D4" s="242">
        <f>'OD Efficiencies'!B$54*'OD StructuralVars'!$Q4*('OD Shares'!B4/'OD Efficiencies'!B4)/('OD Shares'!B$12/'OD Efficiencies'!B$12)</f>
        <v>0</v>
      </c>
      <c r="E4" s="242">
        <f>'OD Efficiencies'!C$54*'OD StructuralVars'!$Q4*('OD Shares'!D4/'OD Efficiencies'!C4)/('OD Shares'!D$12/'OD Efficiencies'!C$12)</f>
        <v>0</v>
      </c>
      <c r="F4" s="242"/>
      <c r="G4" s="242">
        <f>'OD Efficiencies'!E$54*'OD StructuralVars'!$Q4*('OD Shares'!H4/(1/'OD Efficiencies'!E4))/('OD Shares'!H$12/(1/'OD Efficiencies'!E$12))</f>
        <v>0</v>
      </c>
      <c r="H4" s="242" t="e">
        <f>'OD Efficiencies'!F$54*'OD StructuralVars'!$R4*('OD Shares'!J4/'OD Efficiencies'!F4)/('OD Shares'!J$12/'OD Efficiencies'!F$12)</f>
        <v>#DIV/0!</v>
      </c>
      <c r="I4" s="242" t="e">
        <f>'OD Efficiencies'!G$54*'OD StructuralVars'!$R4*('OD Shares'!L4/'OD Efficiencies'!G4)/('OD Shares'!L$12/'OD Efficiencies'!G$12)</f>
        <v>#DIV/0!</v>
      </c>
      <c r="J4" s="242"/>
      <c r="K4" s="242" t="e">
        <f>'OD Efficiencies'!I$54*'OD StructuralVars'!$R4*('OD Shares'!P4/'OD Efficiencies'!I4)/('OD Shares'!P$12/'OD Efficiencies'!I$12)</f>
        <v>#DIV/0!</v>
      </c>
      <c r="L4" s="242" t="e">
        <f>'OD Efficiencies'!J$54*('OD Shares'!R4/'OD Efficiencies'!J4)/('OD Shares'!R$12/'OD Efficiencies'!J$12)</f>
        <v>#DIV/0!</v>
      </c>
      <c r="M4" s="242">
        <f>'OD Efficiencies'!K$54*('OD Shares'!T4/(1/'OD Efficiencies'!K4))/('OD Shares'!T$12/(1/'OD Efficiencies'!K$12))</f>
        <v>575.35720143713638</v>
      </c>
      <c r="N4" s="242">
        <f>'OD Efficiencies'!L$54*('OD Shares'!U4/(1/'OD Efficiencies'!L4))/('OD Shares'!U$12/(1/'OD Efficiencies'!L$12))</f>
        <v>851.23096747938359</v>
      </c>
      <c r="O4" s="242">
        <f>'OD Efficiencies'!M$54*('OD Shares'!W4/(1/'OD Efficiencies'!M4))/('OD Shares'!W$12/(1/'OD Efficiencies'!M$12))</f>
        <v>153.22157414628902</v>
      </c>
      <c r="P4" s="242"/>
      <c r="Q4" s="242"/>
      <c r="R4" s="242" t="e">
        <f>'OD Efficiencies'!P$54*('OD Shares'!AC4/(1/'OD Efficiencies'!P4))/('OD Shares'!AC$12/(1/'OD Efficiencies'!P$12))</f>
        <v>#DIV/0!</v>
      </c>
      <c r="S4" s="242" t="e">
        <f>'OD Efficiencies'!Q$54*('OD Shares'!AE4/(1/'OD Efficiencies'!Q4))/('OD Shares'!AE$12/(1/'OD Efficiencies'!Q$12))</f>
        <v>#DIV/0!</v>
      </c>
      <c r="T4" s="242" t="e">
        <f>'OD Efficiencies'!R$54*('OD Shares'!AG4/(1/'OD Efficiencies'!R4))/('OD Shares'!AG$12/(1/'OD Efficiencies'!R$12))</f>
        <v>#DIV/0!</v>
      </c>
      <c r="U4" s="242" t="e">
        <f>'OD Efficiencies'!S$54*('OD Shares'!AH4/(1/'OD Efficiencies'!S4))/('OD Shares'!AH$12/(1/'OD Efficiencies'!S$12))</f>
        <v>#DIV/0!</v>
      </c>
      <c r="V4" s="242">
        <f>'OD Efficiencies'!T$54*('OD Shares'!AI4/(1/'OD Efficiencies'!T4))/('OD Shares'!AI$12/(1/'OD Efficiencies'!T$12))</f>
        <v>2234.0472066007742</v>
      </c>
      <c r="W4" s="242">
        <f>'OD Efficiencies'!V$54*('OD Shares'!AJ4/(1/'OD Efficiencies'!X4))/('OD Shares'!AJ$12/(1/'OD Efficiencies'!X$12))</f>
        <v>2480.6829422196715</v>
      </c>
    </row>
    <row r="5" spans="1:25" x14ac:dyDescent="0.2">
      <c r="A5" s="240">
        <v>1998</v>
      </c>
      <c r="B5" s="241">
        <f t="shared" si="2"/>
        <v>0</v>
      </c>
      <c r="C5" s="241" t="e">
        <f t="shared" si="1"/>
        <v>#DIV/0!</v>
      </c>
      <c r="D5" s="242">
        <f>'OD Efficiencies'!B$54*'OD StructuralVars'!$Q5*('OD Shares'!B5/'OD Efficiencies'!B5)/('OD Shares'!B$12/'OD Efficiencies'!B$12)</f>
        <v>0</v>
      </c>
      <c r="E5" s="242">
        <f>'OD Efficiencies'!C$54*'OD StructuralVars'!$Q5*('OD Shares'!D5/'OD Efficiencies'!C5)/('OD Shares'!D$12/'OD Efficiencies'!C$12)</f>
        <v>0</v>
      </c>
      <c r="F5" s="242"/>
      <c r="G5" s="242">
        <f>'OD Efficiencies'!E$54*'OD StructuralVars'!$Q5*('OD Shares'!H5/(1/'OD Efficiencies'!E5))/('OD Shares'!H$12/(1/'OD Efficiencies'!E$12))</f>
        <v>0</v>
      </c>
      <c r="H5" s="242" t="e">
        <f>'OD Efficiencies'!F$54*'OD StructuralVars'!$R5*('OD Shares'!J5/'OD Efficiencies'!F5)/('OD Shares'!J$12/'OD Efficiencies'!F$12)</f>
        <v>#DIV/0!</v>
      </c>
      <c r="I5" s="242" t="e">
        <f>'OD Efficiencies'!G$54*'OD StructuralVars'!$R5*('OD Shares'!L5/'OD Efficiencies'!G5)/('OD Shares'!L$12/'OD Efficiencies'!G$12)</f>
        <v>#DIV/0!</v>
      </c>
      <c r="J5" s="242"/>
      <c r="K5" s="242" t="e">
        <f>'OD Efficiencies'!I$54*'OD StructuralVars'!$R5*('OD Shares'!P5/'OD Efficiencies'!I5)/('OD Shares'!P$12/'OD Efficiencies'!I$12)</f>
        <v>#DIV/0!</v>
      </c>
      <c r="L5" s="242" t="e">
        <f>'OD Efficiencies'!J$54*('OD Shares'!R5/'OD Efficiencies'!J5)/('OD Shares'!R$12/'OD Efficiencies'!J$12)</f>
        <v>#DIV/0!</v>
      </c>
      <c r="M5" s="242">
        <f>'OD Efficiencies'!K$54*('OD Shares'!T5/(1/'OD Efficiencies'!K5))/('OD Shares'!T$12/(1/'OD Efficiencies'!K$12))</f>
        <v>579.953421764312</v>
      </c>
      <c r="N5" s="242">
        <f>'OD Efficiencies'!L$54*('OD Shares'!U5/(1/'OD Efficiencies'!L5))/('OD Shares'!U$12/(1/'OD Efficiencies'!L$12))</f>
        <v>837.61428400566149</v>
      </c>
      <c r="O5" s="242">
        <f>'OD Efficiencies'!M$54*('OD Shares'!W5/(1/'OD Efficiencies'!M5))/('OD Shares'!W$12/(1/'OD Efficiencies'!M$12))</f>
        <v>150.770571121019</v>
      </c>
      <c r="P5" s="242"/>
      <c r="Q5" s="242"/>
      <c r="R5" s="242" t="e">
        <f>'OD Efficiencies'!P$54*('OD Shares'!AC5/(1/'OD Efficiencies'!P5))/('OD Shares'!AC$12/(1/'OD Efficiencies'!P$12))</f>
        <v>#DIV/0!</v>
      </c>
      <c r="S5" s="242" t="e">
        <f>'OD Efficiencies'!Q$54*('OD Shares'!AE5/(1/'OD Efficiencies'!Q5))/('OD Shares'!AE$12/(1/'OD Efficiencies'!Q$12))</f>
        <v>#DIV/0!</v>
      </c>
      <c r="T5" s="242" t="e">
        <f>'OD Efficiencies'!R$54*('OD Shares'!AG5/(1/'OD Efficiencies'!R5))/('OD Shares'!AG$12/(1/'OD Efficiencies'!R$12))</f>
        <v>#DIV/0!</v>
      </c>
      <c r="U5" s="242" t="e">
        <f>'OD Efficiencies'!S$54*('OD Shares'!AH5/(1/'OD Efficiencies'!S5))/('OD Shares'!AH$12/(1/'OD Efficiencies'!S$12))</f>
        <v>#DIV/0!</v>
      </c>
      <c r="V5" s="242">
        <f>'OD Efficiencies'!T$54*('OD Shares'!AI5/(1/'OD Efficiencies'!T5))/('OD Shares'!AI$12/(1/'OD Efficiencies'!T$12))</f>
        <v>2235.7205064271275</v>
      </c>
      <c r="W5" s="242">
        <f>'OD Efficiencies'!V$54*('OD Shares'!AJ5/(1/'OD Efficiencies'!X5))/('OD Shares'!AJ$12/(1/'OD Efficiencies'!X$12))</f>
        <v>2561.8322994691248</v>
      </c>
    </row>
    <row r="6" spans="1:25" x14ac:dyDescent="0.2">
      <c r="A6" s="240">
        <v>1999</v>
      </c>
      <c r="B6" s="241">
        <f t="shared" si="2"/>
        <v>0</v>
      </c>
      <c r="C6" s="241" t="e">
        <f t="shared" si="1"/>
        <v>#DIV/0!</v>
      </c>
      <c r="D6" s="242">
        <f>'OD Efficiencies'!B$54*'OD StructuralVars'!$Q6*('OD Shares'!B6/'OD Efficiencies'!B6)/('OD Shares'!B$12/'OD Efficiencies'!B$12)</f>
        <v>0</v>
      </c>
      <c r="E6" s="242">
        <f>'OD Efficiencies'!C$54*'OD StructuralVars'!$Q6*('OD Shares'!D6/'OD Efficiencies'!C6)/('OD Shares'!D$12/'OD Efficiencies'!C$12)</f>
        <v>0</v>
      </c>
      <c r="F6" s="242"/>
      <c r="G6" s="242">
        <f>'OD Efficiencies'!E$54*'OD StructuralVars'!$Q6*('OD Shares'!H6/(1/'OD Efficiencies'!E6))/('OD Shares'!H$12/(1/'OD Efficiencies'!E$12))</f>
        <v>0</v>
      </c>
      <c r="H6" s="242" t="e">
        <f>'OD Efficiencies'!F$54*'OD StructuralVars'!$R6*('OD Shares'!J6/'OD Efficiencies'!F6)/('OD Shares'!J$12/'OD Efficiencies'!F$12)</f>
        <v>#DIV/0!</v>
      </c>
      <c r="I6" s="242" t="e">
        <f>'OD Efficiencies'!G$54*'OD StructuralVars'!$R6*('OD Shares'!L6/'OD Efficiencies'!G6)/('OD Shares'!L$12/'OD Efficiencies'!G$12)</f>
        <v>#DIV/0!</v>
      </c>
      <c r="J6" s="242"/>
      <c r="K6" s="242" t="e">
        <f>'OD Efficiencies'!I$54*'OD StructuralVars'!$R6*('OD Shares'!P6/'OD Efficiencies'!I6)/('OD Shares'!P$12/'OD Efficiencies'!I$12)</f>
        <v>#DIV/0!</v>
      </c>
      <c r="L6" s="242" t="e">
        <f>'OD Efficiencies'!J$54*('OD Shares'!R6/'OD Efficiencies'!J6)/('OD Shares'!R$12/'OD Efficiencies'!J$12)</f>
        <v>#DIV/0!</v>
      </c>
      <c r="M6" s="242">
        <f>'OD Efficiencies'!K$54*('OD Shares'!T6/(1/'OD Efficiencies'!K6))/('OD Shares'!T$12/(1/'OD Efficiencies'!K$12))</f>
        <v>584.54713370847867</v>
      </c>
      <c r="N6" s="242">
        <f>'OD Efficiencies'!L$54*('OD Shares'!U6/(1/'OD Efficiencies'!L6))/('OD Shares'!U$12/(1/'OD Efficiencies'!L$12))</f>
        <v>823.99760053193916</v>
      </c>
      <c r="O6" s="242">
        <f>'OD Efficiencies'!M$54*('OD Shares'!W6/(1/'OD Efficiencies'!M6))/('OD Shares'!W$12/(1/'OD Efficiencies'!M$12))</f>
        <v>148.31956809574896</v>
      </c>
      <c r="P6" s="242"/>
      <c r="Q6" s="242"/>
      <c r="R6" s="242" t="e">
        <f>'OD Efficiencies'!P$54*('OD Shares'!AC6/(1/'OD Efficiencies'!P6))/('OD Shares'!AC$12/(1/'OD Efficiencies'!P$12))</f>
        <v>#DIV/0!</v>
      </c>
      <c r="S6" s="242" t="e">
        <f>'OD Efficiencies'!Q$54*('OD Shares'!AE6/(1/'OD Efficiencies'!Q6))/('OD Shares'!AE$12/(1/'OD Efficiencies'!Q$12))</f>
        <v>#DIV/0!</v>
      </c>
      <c r="T6" s="242" t="e">
        <f>'OD Efficiencies'!R$54*('OD Shares'!AG6/(1/'OD Efficiencies'!R6))/('OD Shares'!AG$12/(1/'OD Efficiencies'!R$12))</f>
        <v>#DIV/0!</v>
      </c>
      <c r="U6" s="242" t="e">
        <f>'OD Efficiencies'!S$54*('OD Shares'!AH6/(1/'OD Efficiencies'!S6))/('OD Shares'!AH$12/(1/'OD Efficiencies'!S$12))</f>
        <v>#DIV/0!</v>
      </c>
      <c r="V6" s="242">
        <f>'OD Efficiencies'!T$54*('OD Shares'!AI6/(1/'OD Efficiencies'!T6))/('OD Shares'!AI$12/(1/'OD Efficiencies'!T$12))</f>
        <v>2237.3938062534808</v>
      </c>
      <c r="W6" s="242">
        <f>'OD Efficiencies'!V$54*('OD Shares'!AJ6/(1/'OD Efficiencies'!X6))/('OD Shares'!AJ$12/(1/'OD Efficiencies'!X$12))</f>
        <v>2642.9816567185785</v>
      </c>
    </row>
    <row r="7" spans="1:25" x14ac:dyDescent="0.2">
      <c r="A7" s="240">
        <v>2000</v>
      </c>
      <c r="B7" s="241">
        <f t="shared" si="2"/>
        <v>0</v>
      </c>
      <c r="C7" s="241" t="e">
        <f t="shared" si="1"/>
        <v>#DIV/0!</v>
      </c>
      <c r="D7" s="242">
        <f>'OD Efficiencies'!B$54*'OD StructuralVars'!$Q7*('OD Shares'!B7/'OD Efficiencies'!B7)/('OD Shares'!B$12/'OD Efficiencies'!B$12)</f>
        <v>0</v>
      </c>
      <c r="E7" s="242">
        <f>'OD Efficiencies'!C$54*'OD StructuralVars'!$Q7*('OD Shares'!D7/'OD Efficiencies'!C7)/('OD Shares'!D$12/'OD Efficiencies'!C$12)</f>
        <v>0</v>
      </c>
      <c r="F7" s="242"/>
      <c r="G7" s="242">
        <f>'OD Efficiencies'!E$54*'OD StructuralVars'!$Q7*('OD Shares'!H7/(1/'OD Efficiencies'!E7))/('OD Shares'!H$12/(1/'OD Efficiencies'!E$12))</f>
        <v>0</v>
      </c>
      <c r="H7" s="242" t="e">
        <f>'OD Efficiencies'!F$54*'OD StructuralVars'!$R7*('OD Shares'!J7/'OD Efficiencies'!F7)/('OD Shares'!J$12/'OD Efficiencies'!F$12)</f>
        <v>#DIV/0!</v>
      </c>
      <c r="I7" s="242" t="e">
        <f>'OD Efficiencies'!G$54*'OD StructuralVars'!$R7*('OD Shares'!L7/'OD Efficiencies'!G7)/('OD Shares'!L$12/'OD Efficiencies'!G$12)</f>
        <v>#DIV/0!</v>
      </c>
      <c r="J7" s="242"/>
      <c r="K7" s="242" t="e">
        <f>'OD Efficiencies'!I$54*'OD StructuralVars'!$R7*('OD Shares'!P7/'OD Efficiencies'!I7)/('OD Shares'!P$12/'OD Efficiencies'!I$12)</f>
        <v>#DIV/0!</v>
      </c>
      <c r="L7" s="242" t="e">
        <f>'OD Efficiencies'!J$54*('OD Shares'!R7/'OD Efficiencies'!J7)/('OD Shares'!R$12/'OD Efficiencies'!J$12)</f>
        <v>#DIV/0!</v>
      </c>
      <c r="M7" s="242">
        <f>'OD Efficiencies'!K$54*('OD Shares'!T7/(1/'OD Efficiencies'!K7))/('OD Shares'!T$12/(1/'OD Efficiencies'!K$12))</f>
        <v>589.13833726963674</v>
      </c>
      <c r="N7" s="242">
        <f>'OD Efficiencies'!L$54*('OD Shares'!U7/(1/'OD Efficiencies'!L7))/('OD Shares'!U$12/(1/'OD Efficiencies'!L$12))</f>
        <v>810.38091705821682</v>
      </c>
      <c r="O7" s="242">
        <f>'OD Efficiencies'!M$54*('OD Shares'!W7/(1/'OD Efficiencies'!M7))/('OD Shares'!W$12/(1/'OD Efficiencies'!M$12))</f>
        <v>145.86856507047898</v>
      </c>
      <c r="P7" s="242"/>
      <c r="Q7" s="242"/>
      <c r="R7" s="242" t="e">
        <f>'OD Efficiencies'!P$54*('OD Shares'!AC7/(1/'OD Efficiencies'!P7))/('OD Shares'!AC$12/(1/'OD Efficiencies'!P$12))</f>
        <v>#DIV/0!</v>
      </c>
      <c r="S7" s="242" t="e">
        <f>'OD Efficiencies'!Q$54*('OD Shares'!AE7/(1/'OD Efficiencies'!Q7))/('OD Shares'!AE$12/(1/'OD Efficiencies'!Q$12))</f>
        <v>#DIV/0!</v>
      </c>
      <c r="T7" s="242" t="e">
        <f>'OD Efficiencies'!R$54*('OD Shares'!AG7/(1/'OD Efficiencies'!R7))/('OD Shares'!AG$12/(1/'OD Efficiencies'!R$12))</f>
        <v>#DIV/0!</v>
      </c>
      <c r="U7" s="242" t="e">
        <f>'OD Efficiencies'!S$54*('OD Shares'!AH7/(1/'OD Efficiencies'!S7))/('OD Shares'!AH$12/(1/'OD Efficiencies'!S$12))</f>
        <v>#DIV/0!</v>
      </c>
      <c r="V7" s="242">
        <f>'OD Efficiencies'!T$54*('OD Shares'!AI7/(1/'OD Efficiencies'!T7))/('OD Shares'!AI$12/(1/'OD Efficiencies'!T$12))</f>
        <v>2239.0671060798345</v>
      </c>
      <c r="W7" s="242">
        <f>'OD Efficiencies'!V$54*('OD Shares'!AJ7/(1/'OD Efficiencies'!X7))/('OD Shares'!AJ$12/(1/'OD Efficiencies'!X$12))</f>
        <v>2724.1310139680322</v>
      </c>
    </row>
    <row r="8" spans="1:25" x14ac:dyDescent="0.2">
      <c r="A8" s="240">
        <v>2001</v>
      </c>
      <c r="B8" s="241">
        <f t="shared" si="2"/>
        <v>0</v>
      </c>
      <c r="C8" s="241" t="e">
        <f>SUM(H8:K8)</f>
        <v>#DIV/0!</v>
      </c>
      <c r="D8" s="242">
        <f>'OD Efficiencies'!B$54*'OD StructuralVars'!$Q8*('OD Shares'!B8/'OD Efficiencies'!B8)/('OD Shares'!B$12/'OD Efficiencies'!B$12)</f>
        <v>0</v>
      </c>
      <c r="E8" s="242">
        <f>'OD Efficiencies'!C$54*'OD StructuralVars'!$Q8*('OD Shares'!D8/'OD Efficiencies'!C8)/('OD Shares'!D$12/'OD Efficiencies'!C$12)</f>
        <v>0</v>
      </c>
      <c r="F8" s="242"/>
      <c r="G8" s="242">
        <f>'OD Efficiencies'!E$54*'OD StructuralVars'!$Q8*('OD Shares'!H8/(1/'OD Efficiencies'!E8))/('OD Shares'!H$12/(1/'OD Efficiencies'!E$12))</f>
        <v>0</v>
      </c>
      <c r="H8" s="242" t="e">
        <f>'OD Efficiencies'!F$54*'OD StructuralVars'!$R8*('OD Shares'!J8/'OD Efficiencies'!F8)/('OD Shares'!J$12/'OD Efficiencies'!F$12)</f>
        <v>#DIV/0!</v>
      </c>
      <c r="I8" s="242" t="e">
        <f>'OD Efficiencies'!G$54*'OD StructuralVars'!$R8*('OD Shares'!L8/'OD Efficiencies'!G8)/('OD Shares'!L$12/'OD Efficiencies'!G$12)</f>
        <v>#DIV/0!</v>
      </c>
      <c r="J8" s="242"/>
      <c r="K8" s="242" t="e">
        <f>'OD Efficiencies'!I$54*'OD StructuralVars'!$R8*('OD Shares'!P8/'OD Efficiencies'!I8)/('OD Shares'!P$12/'OD Efficiencies'!I$12)</f>
        <v>#DIV/0!</v>
      </c>
      <c r="L8" s="242" t="e">
        <f>'OD Efficiencies'!J$54*('OD Shares'!R8/'OD Efficiencies'!J8)/('OD Shares'!R$12/'OD Efficiencies'!J$12)</f>
        <v>#DIV/0!</v>
      </c>
      <c r="M8" s="242">
        <f>'OD Efficiencies'!K$54*('OD Shares'!T8/(1/'OD Efficiencies'!K8))/('OD Shares'!T$12/(1/'OD Efficiencies'!K$12))</f>
        <v>593.7270324477862</v>
      </c>
      <c r="N8" s="242">
        <f>'OD Efficiencies'!L$54*('OD Shares'!U8/(1/'OD Efficiencies'!L8))/('OD Shares'!U$12/(1/'OD Efficiencies'!L$12))</f>
        <v>796.7642335844946</v>
      </c>
      <c r="O8" s="242">
        <f>'OD Efficiencies'!M$54*('OD Shares'!W8/(1/'OD Efficiencies'!M8))/('OD Shares'!W$12/(1/'OD Efficiencies'!M$12))</f>
        <v>143.417562045209</v>
      </c>
      <c r="P8" s="242"/>
      <c r="Q8" s="242"/>
      <c r="R8" s="242" t="e">
        <f>'OD Efficiencies'!P$54*('OD Shares'!AC8/(1/'OD Efficiencies'!P8))/('OD Shares'!AC$12/(1/'OD Efficiencies'!P$12))</f>
        <v>#DIV/0!</v>
      </c>
      <c r="S8" s="242" t="e">
        <f>'OD Efficiencies'!Q$54*('OD Shares'!AE8/(1/'OD Efficiencies'!Q8))/('OD Shares'!AE$12/(1/'OD Efficiencies'!Q$12))</f>
        <v>#DIV/0!</v>
      </c>
      <c r="T8" s="242" t="e">
        <f>'OD Efficiencies'!R$54*('OD Shares'!AG8/(1/'OD Efficiencies'!R8))/('OD Shares'!AG$12/(1/'OD Efficiencies'!R$12))</f>
        <v>#DIV/0!</v>
      </c>
      <c r="U8" s="242" t="e">
        <f>'OD Efficiencies'!S$54*('OD Shares'!AH8/(1/'OD Efficiencies'!S8))/('OD Shares'!AH$12/(1/'OD Efficiencies'!S$12))</f>
        <v>#DIV/0!</v>
      </c>
      <c r="V8" s="242">
        <f>'OD Efficiencies'!T$54*('OD Shares'!AI8/(1/'OD Efficiencies'!T8))/('OD Shares'!AI$12/(1/'OD Efficiencies'!T$12))</f>
        <v>2240.7404059061878</v>
      </c>
      <c r="W8" s="242">
        <f>'OD Efficiencies'!V$54*('OD Shares'!AJ8/(1/'OD Efficiencies'!X8))/('OD Shares'!AJ$12/(1/'OD Efficiencies'!X$12))</f>
        <v>2805.2803712174864</v>
      </c>
    </row>
    <row r="9" spans="1:25" x14ac:dyDescent="0.2">
      <c r="A9" s="240">
        <v>2002</v>
      </c>
      <c r="B9" s="241">
        <f t="shared" si="2"/>
        <v>0</v>
      </c>
      <c r="C9" s="241" t="e">
        <f t="shared" ref="C9:C49" si="3">SUM(H9:K9)</f>
        <v>#DIV/0!</v>
      </c>
      <c r="D9" s="242">
        <f>'OD Efficiencies'!B$54*'OD StructuralVars'!$Q9*('OD Shares'!B9/'OD Efficiencies'!B9)/('OD Shares'!B$12/'OD Efficiencies'!B$12)</f>
        <v>0</v>
      </c>
      <c r="E9" s="242">
        <f>'OD Efficiencies'!C$54*'OD StructuralVars'!$Q9*('OD Shares'!D9/'OD Efficiencies'!C9)/('OD Shares'!D$12/'OD Efficiencies'!C$12)</f>
        <v>0</v>
      </c>
      <c r="F9" s="242"/>
      <c r="G9" s="242">
        <f>'OD Efficiencies'!E$54*'OD StructuralVars'!$Q9*('OD Shares'!H9/(1/'OD Efficiencies'!E9))/('OD Shares'!H$12/(1/'OD Efficiencies'!E$12))</f>
        <v>0</v>
      </c>
      <c r="H9" s="242" t="e">
        <f>'OD Efficiencies'!F$54*'OD StructuralVars'!$R9*('OD Shares'!J9/'OD Efficiencies'!F9)/('OD Shares'!J$12/'OD Efficiencies'!F$12)</f>
        <v>#DIV/0!</v>
      </c>
      <c r="I9" s="242" t="e">
        <f>'OD Efficiencies'!G$54*'OD StructuralVars'!$R9*('OD Shares'!L9/'OD Efficiencies'!G9)/('OD Shares'!L$12/'OD Efficiencies'!G$12)</f>
        <v>#DIV/0!</v>
      </c>
      <c r="J9" s="242"/>
      <c r="K9" s="242" t="e">
        <f>'OD Efficiencies'!I$54*'OD StructuralVars'!$R9*('OD Shares'!P9/'OD Efficiencies'!I9)/('OD Shares'!P$12/'OD Efficiencies'!I$12)</f>
        <v>#DIV/0!</v>
      </c>
      <c r="L9" s="242" t="e">
        <f>'OD Efficiencies'!J$54*('OD Shares'!R9/'OD Efficiencies'!J9)/('OD Shares'!R$12/'OD Efficiencies'!J$12)</f>
        <v>#DIV/0!</v>
      </c>
      <c r="M9" s="242">
        <f>'OD Efficiencies'!K$54*('OD Shares'!T9/(1/'OD Efficiencies'!K9))/('OD Shares'!T$12/(1/'OD Efficiencies'!K$12))</f>
        <v>598.31321924292695</v>
      </c>
      <c r="N9" s="242">
        <f>'OD Efficiencies'!L$54*('OD Shares'!U9/(1/'OD Efficiencies'!L9))/('OD Shares'!U$12/(1/'OD Efficiencies'!L$12))</f>
        <v>783.14755011077227</v>
      </c>
      <c r="O9" s="242">
        <f>'OD Efficiencies'!M$54*('OD Shares'!W9/(1/'OD Efficiencies'!M9))/('OD Shares'!W$12/(1/'OD Efficiencies'!M$12))</f>
        <v>140.96655901993898</v>
      </c>
      <c r="P9" s="242"/>
      <c r="Q9" s="242"/>
      <c r="R9" s="242" t="e">
        <f>'OD Efficiencies'!P$54*('OD Shares'!AC9/(1/'OD Efficiencies'!P9))/('OD Shares'!AC$12/(1/'OD Efficiencies'!P$12))</f>
        <v>#DIV/0!</v>
      </c>
      <c r="S9" s="242" t="e">
        <f>'OD Efficiencies'!Q$54*('OD Shares'!AE9/(1/'OD Efficiencies'!Q9))/('OD Shares'!AE$12/(1/'OD Efficiencies'!Q$12))</f>
        <v>#DIV/0!</v>
      </c>
      <c r="T9" s="242" t="e">
        <f>'OD Efficiencies'!R$54*('OD Shares'!AG9/(1/'OD Efficiencies'!R9))/('OD Shares'!AG$12/(1/'OD Efficiencies'!R$12))</f>
        <v>#DIV/0!</v>
      </c>
      <c r="U9" s="242" t="e">
        <f>'OD Efficiencies'!S$54*('OD Shares'!AH9/(1/'OD Efficiencies'!S9))/('OD Shares'!AH$12/(1/'OD Efficiencies'!S$12))</f>
        <v>#DIV/0!</v>
      </c>
      <c r="V9" s="242">
        <f>'OD Efficiencies'!T$54*('OD Shares'!AI9/(1/'OD Efficiencies'!T9))/('OD Shares'!AI$12/(1/'OD Efficiencies'!T$12))</f>
        <v>2242.4137057325415</v>
      </c>
      <c r="W9" s="242">
        <f>'OD Efficiencies'!V$54*('OD Shares'!AJ9/(1/'OD Efficiencies'!X9))/('OD Shares'!AJ$12/(1/'OD Efficiencies'!X$12))</f>
        <v>2886.4297284669401</v>
      </c>
    </row>
    <row r="10" spans="1:25" x14ac:dyDescent="0.2">
      <c r="A10" s="240">
        <v>2003</v>
      </c>
      <c r="B10" s="241">
        <f t="shared" si="2"/>
        <v>0</v>
      </c>
      <c r="C10" s="241" t="e">
        <f t="shared" si="3"/>
        <v>#DIV/0!</v>
      </c>
      <c r="D10" s="242">
        <f>'OD Efficiencies'!B$54*'OD StructuralVars'!$Q10*('OD Shares'!B10/'OD Efficiencies'!B10)/('OD Shares'!B$12/'OD Efficiencies'!B$12)</f>
        <v>0</v>
      </c>
      <c r="E10" s="242">
        <f>'OD Efficiencies'!C$54*'OD StructuralVars'!$Q10*('OD Shares'!D10/'OD Efficiencies'!C10)/('OD Shares'!D$12/'OD Efficiencies'!C$12)</f>
        <v>0</v>
      </c>
      <c r="F10" s="242"/>
      <c r="G10" s="242">
        <f>'OD Efficiencies'!E$54*'OD StructuralVars'!$Q10*('OD Shares'!H10/(1/'OD Efficiencies'!E10))/('OD Shares'!H$12/(1/'OD Efficiencies'!E$12))</f>
        <v>0</v>
      </c>
      <c r="H10" s="242" t="e">
        <f>'OD Efficiencies'!F$54*'OD StructuralVars'!$R10*('OD Shares'!J10/'OD Efficiencies'!F10)/('OD Shares'!J$12/'OD Efficiencies'!F$12)</f>
        <v>#DIV/0!</v>
      </c>
      <c r="I10" s="242" t="e">
        <f>'OD Efficiencies'!G$54*'OD StructuralVars'!$R10*('OD Shares'!L10/'OD Efficiencies'!G10)/('OD Shares'!L$12/'OD Efficiencies'!G$12)</f>
        <v>#DIV/0!</v>
      </c>
      <c r="J10" s="242"/>
      <c r="K10" s="242" t="e">
        <f>'OD Efficiencies'!I$54*'OD StructuralVars'!$R10*('OD Shares'!P10/'OD Efficiencies'!I10)/('OD Shares'!P$12/'OD Efficiencies'!I$12)</f>
        <v>#DIV/0!</v>
      </c>
      <c r="L10" s="242" t="e">
        <f>'OD Efficiencies'!J$54*('OD Shares'!R10/'OD Efficiencies'!J10)/('OD Shares'!R$12/'OD Efficiencies'!J$12)</f>
        <v>#DIV/0!</v>
      </c>
      <c r="M10" s="242">
        <f>'OD Efficiencies'!K$54*('OD Shares'!T10/(1/'OD Efficiencies'!K10))/('OD Shares'!T$12/(1/'OD Efficiencies'!K$12))</f>
        <v>602.89689765505886</v>
      </c>
      <c r="N10" s="242">
        <f>'OD Efficiencies'!L$54*('OD Shares'!U10/(1/'OD Efficiencies'!L10))/('OD Shares'!U$12/(1/'OD Efficiencies'!L$12))</f>
        <v>769.53086663704994</v>
      </c>
      <c r="O10" s="242">
        <f>'OD Efficiencies'!M$54*('OD Shares'!W10/(1/'OD Efficiencies'!M10))/('OD Shares'!W$12/(1/'OD Efficiencies'!M$12))</f>
        <v>138.51555599466903</v>
      </c>
      <c r="P10" s="242"/>
      <c r="Q10" s="242"/>
      <c r="R10" s="242" t="e">
        <f>'OD Efficiencies'!P$54*('OD Shares'!AC10/(1/'OD Efficiencies'!P10))/('OD Shares'!AC$12/(1/'OD Efficiencies'!P$12))</f>
        <v>#DIV/0!</v>
      </c>
      <c r="S10" s="242" t="e">
        <f>'OD Efficiencies'!Q$54*('OD Shares'!AE10/(1/'OD Efficiencies'!Q10))/('OD Shares'!AE$12/(1/'OD Efficiencies'!Q$12))</f>
        <v>#DIV/0!</v>
      </c>
      <c r="T10" s="242" t="e">
        <f>'OD Efficiencies'!R$54*('OD Shares'!AG10/(1/'OD Efficiencies'!R10))/('OD Shares'!AG$12/(1/'OD Efficiencies'!R$12))</f>
        <v>#DIV/0!</v>
      </c>
      <c r="U10" s="242" t="e">
        <f>'OD Efficiencies'!S$54*('OD Shares'!AH10/(1/'OD Efficiencies'!S10))/('OD Shares'!AH$12/(1/'OD Efficiencies'!S$12))</f>
        <v>#DIV/0!</v>
      </c>
      <c r="V10" s="242">
        <f>'OD Efficiencies'!T$54*('OD Shares'!AI10/(1/'OD Efficiencies'!T10))/('OD Shares'!AI$12/(1/'OD Efficiencies'!T$12))</f>
        <v>2244.0870055588948</v>
      </c>
      <c r="W10" s="242">
        <f>'OD Efficiencies'!V$54*('OD Shares'!AJ10/(1/'OD Efficiencies'!X10))/('OD Shares'!AJ$12/(1/'OD Efficiencies'!X$12))</f>
        <v>2967.5790857163943</v>
      </c>
    </row>
    <row r="11" spans="1:25" x14ac:dyDescent="0.2">
      <c r="A11" s="240">
        <v>2004</v>
      </c>
      <c r="B11" s="241">
        <f t="shared" si="2"/>
        <v>0</v>
      </c>
      <c r="C11" s="241" t="e">
        <f t="shared" si="3"/>
        <v>#DIV/0!</v>
      </c>
      <c r="D11" s="242">
        <f>'OD Efficiencies'!B$54*'OD StructuralVars'!$Q11*('OD Shares'!B11/'OD Efficiencies'!B11)/('OD Shares'!B$12/'OD Efficiencies'!B$12)</f>
        <v>0</v>
      </c>
      <c r="E11" s="242">
        <f>'OD Efficiencies'!C$54*'OD StructuralVars'!$Q11*('OD Shares'!D11/'OD Efficiencies'!C11)/('OD Shares'!D$12/'OD Efficiencies'!C$12)</f>
        <v>0</v>
      </c>
      <c r="F11" s="242"/>
      <c r="G11" s="242">
        <f>'OD Efficiencies'!E$54*'OD StructuralVars'!$Q11*('OD Shares'!H11/(1/'OD Efficiencies'!E11))/('OD Shares'!H$12/(1/'OD Efficiencies'!E$12))</f>
        <v>0</v>
      </c>
      <c r="H11" s="242" t="e">
        <f>'OD Efficiencies'!F$54*'OD StructuralVars'!$R11*('OD Shares'!J11/'OD Efficiencies'!F11)/('OD Shares'!J$12/'OD Efficiencies'!F$12)</f>
        <v>#DIV/0!</v>
      </c>
      <c r="I11" s="242" t="e">
        <f>'OD Efficiencies'!G$54*'OD StructuralVars'!$R11*('OD Shares'!L11/'OD Efficiencies'!G11)/('OD Shares'!L$12/'OD Efficiencies'!G$12)</f>
        <v>#DIV/0!</v>
      </c>
      <c r="J11" s="242"/>
      <c r="K11" s="242" t="e">
        <f>'OD Efficiencies'!I$54*'OD StructuralVars'!$R11*('OD Shares'!P11/'OD Efficiencies'!I11)/('OD Shares'!P$12/'OD Efficiencies'!I$12)</f>
        <v>#DIV/0!</v>
      </c>
      <c r="L11" s="242" t="e">
        <f>'OD Efficiencies'!J$54*('OD Shares'!R11/'OD Efficiencies'!J11)/('OD Shares'!R$12/'OD Efficiencies'!J$12)</f>
        <v>#DIV/0!</v>
      </c>
      <c r="M11" s="242">
        <f>'OD Efficiencies'!K$54*('OD Shares'!T11/(1/'OD Efficiencies'!K11))/('OD Shares'!T$12/(1/'OD Efficiencies'!K$12))</f>
        <v>607.47806768418207</v>
      </c>
      <c r="N11" s="242">
        <f>'OD Efficiencies'!L$54*('OD Shares'!U11/(1/'OD Efficiencies'!L11))/('OD Shares'!U$12/(1/'OD Efficiencies'!L$12))</f>
        <v>755.91418316332761</v>
      </c>
      <c r="O11" s="242">
        <f>'OD Efficiencies'!M$54*('OD Shares'!W11/(1/'OD Efficiencies'!M11))/('OD Shares'!W$12/(1/'OD Efficiencies'!M$12))</f>
        <v>136.06455296939902</v>
      </c>
      <c r="P11" s="242"/>
      <c r="Q11" s="242"/>
      <c r="R11" s="242" t="e">
        <f>'OD Efficiencies'!P$54*('OD Shares'!AC11/(1/'OD Efficiencies'!P11))/('OD Shares'!AC$12/(1/'OD Efficiencies'!P$12))</f>
        <v>#DIV/0!</v>
      </c>
      <c r="S11" s="242" t="e">
        <f>'OD Efficiencies'!Q$54*('OD Shares'!AE11/(1/'OD Efficiencies'!Q11))/('OD Shares'!AE$12/(1/'OD Efficiencies'!Q$12))</f>
        <v>#DIV/0!</v>
      </c>
      <c r="T11" s="242" t="e">
        <f>'OD Efficiencies'!R$54*('OD Shares'!AG11/(1/'OD Efficiencies'!R11))/('OD Shares'!AG$12/(1/'OD Efficiencies'!R$12))</f>
        <v>#DIV/0!</v>
      </c>
      <c r="U11" s="242" t="e">
        <f>'OD Efficiencies'!S$54*('OD Shares'!AH11/(1/'OD Efficiencies'!S11))/('OD Shares'!AH$12/(1/'OD Efficiencies'!S$12))</f>
        <v>#DIV/0!</v>
      </c>
      <c r="V11" s="242">
        <f>'OD Efficiencies'!T$54*('OD Shares'!AI11/(1/'OD Efficiencies'!T11))/('OD Shares'!AI$12/(1/'OD Efficiencies'!T$12))</f>
        <v>2245.7603053852486</v>
      </c>
      <c r="W11" s="242">
        <f>'OD Efficiencies'!V$54*('OD Shares'!AJ11/(1/'OD Efficiencies'!X11))/('OD Shares'!AJ$12/(1/'OD Efficiencies'!X$12))</f>
        <v>3048.7284429658471</v>
      </c>
    </row>
    <row r="12" spans="1:25" x14ac:dyDescent="0.2">
      <c r="A12" s="240">
        <v>2005</v>
      </c>
      <c r="B12" s="241">
        <f t="shared" si="2"/>
        <v>0</v>
      </c>
      <c r="C12" s="241" t="e">
        <f t="shared" si="3"/>
        <v>#DIV/0!</v>
      </c>
      <c r="D12" s="242">
        <f>'OD Efficiencies'!B$54*'OD StructuralVars'!$Q12*('OD Shares'!B12/'OD Efficiencies'!B12)/('OD Shares'!B$12/'OD Efficiencies'!B$12)</f>
        <v>0</v>
      </c>
      <c r="E12" s="242">
        <f>'OD Efficiencies'!C$54*'OD StructuralVars'!$Q12*('OD Shares'!D12/'OD Efficiencies'!C12)/('OD Shares'!D$12/'OD Efficiencies'!C$12)</f>
        <v>0</v>
      </c>
      <c r="F12" s="242"/>
      <c r="G12" s="242">
        <f>'OD Efficiencies'!E$54*'OD StructuralVars'!$Q12*('OD Shares'!H12/(1/'OD Efficiencies'!E12))/('OD Shares'!H$12/(1/'OD Efficiencies'!E$12))</f>
        <v>0</v>
      </c>
      <c r="H12" s="242" t="e">
        <f>'OD Efficiencies'!F$54*'OD StructuralVars'!$R12*('OD Shares'!J12/'OD Efficiencies'!F12)/('OD Shares'!J$12/'OD Efficiencies'!F$12)</f>
        <v>#DIV/0!</v>
      </c>
      <c r="I12" s="242" t="e">
        <f>'OD Efficiencies'!G$54*'OD StructuralVars'!$R12*('OD Shares'!L12/'OD Efficiencies'!G12)/('OD Shares'!L$12/'OD Efficiencies'!G$12)</f>
        <v>#DIV/0!</v>
      </c>
      <c r="J12" s="242"/>
      <c r="K12" s="242" t="e">
        <f>'OD Efficiencies'!I$54*'OD StructuralVars'!$R12*('OD Shares'!P12/'OD Efficiencies'!I12)/('OD Shares'!P$12/'OD Efficiencies'!I$12)</f>
        <v>#DIV/0!</v>
      </c>
      <c r="L12" s="242" t="e">
        <f>'OD Efficiencies'!J$54*('OD Shares'!R12/'OD Efficiencies'!J12)/('OD Shares'!R$12/'OD Efficiencies'!J$12)</f>
        <v>#DIV/0!</v>
      </c>
      <c r="M12" s="242">
        <f>'OD Efficiencies'!K$54*('OD Shares'!T12/(1/'OD Efficiencies'!K12))/('OD Shares'!T$12/(1/'OD Efficiencies'!K$12))</f>
        <v>612.05672933029723</v>
      </c>
      <c r="N12" s="242">
        <f>'OD Efficiencies'!L$54*('OD Shares'!U12/(1/'OD Efficiencies'!L12))/('OD Shares'!U$12/(1/'OD Efficiencies'!L$12))</f>
        <v>742.29749968960505</v>
      </c>
      <c r="O12" s="242">
        <f>'OD Efficiencies'!M$54*('OD Shares'!W12/(1/'OD Efficiencies'!M12))/('OD Shares'!W$12/(1/'OD Efficiencies'!M$12))</f>
        <v>134.5559535674243</v>
      </c>
      <c r="P12" s="242"/>
      <c r="Q12" s="242"/>
      <c r="R12" s="242" t="e">
        <f>'OD Efficiencies'!P$54*('OD Shares'!AC12/(1/'OD Efficiencies'!P12))/('OD Shares'!AC$12/(1/'OD Efficiencies'!P$12))</f>
        <v>#DIV/0!</v>
      </c>
      <c r="S12" s="242" t="e">
        <f>'OD Efficiencies'!Q$54*('OD Shares'!AE12/(1/'OD Efficiencies'!Q12))/('OD Shares'!AE$12/(1/'OD Efficiencies'!Q$12))</f>
        <v>#DIV/0!</v>
      </c>
      <c r="T12" s="242" t="e">
        <f>'OD Efficiencies'!R$54*('OD Shares'!AG12/(1/'OD Efficiencies'!R12))/('OD Shares'!AG$12/(1/'OD Efficiencies'!R$12))</f>
        <v>#DIV/0!</v>
      </c>
      <c r="U12" s="242" t="e">
        <f>'OD Efficiencies'!S$54*('OD Shares'!AH12/(1/'OD Efficiencies'!S12))/('OD Shares'!AH$12/(1/'OD Efficiencies'!S$12))</f>
        <v>#DIV/0!</v>
      </c>
      <c r="V12" s="242">
        <f>'OD Efficiencies'!T$54*('OD Shares'!AI12/(1/'OD Efficiencies'!T12))/('OD Shares'!AI$12/(1/'OD Efficiencies'!T$12))</f>
        <v>2247.4336052116014</v>
      </c>
      <c r="W12" s="242">
        <f>'OD Efficiencies'!V$54*('OD Shares'!AJ12/(1/'OD Efficiencies'!X12))/('OD Shares'!AJ$12/(1/'OD Efficiencies'!X$12))</f>
        <v>3129.8778002153022</v>
      </c>
      <c r="Y12" s="243"/>
    </row>
    <row r="13" spans="1:25" x14ac:dyDescent="0.2">
      <c r="A13" s="240">
        <v>2006</v>
      </c>
      <c r="B13" s="241">
        <f t="shared" si="2"/>
        <v>0</v>
      </c>
      <c r="C13" s="241" t="e">
        <f t="shared" si="3"/>
        <v>#DIV/0!</v>
      </c>
      <c r="D13" s="242">
        <f>'OD Efficiencies'!B$54*'OD StructuralVars'!$Q13*('OD Shares'!B13/'OD Efficiencies'!B13)/('OD Shares'!B$12/'OD Efficiencies'!B$12)</f>
        <v>0</v>
      </c>
      <c r="E13" s="242">
        <f>'OD Efficiencies'!C$54*'OD StructuralVars'!$Q13*('OD Shares'!D13/'OD Efficiencies'!C13)/('OD Shares'!D$12/'OD Efficiencies'!C$12)</f>
        <v>0</v>
      </c>
      <c r="F13" s="242"/>
      <c r="G13" s="242">
        <f>'OD Efficiencies'!E$54*'OD StructuralVars'!$Q13*('OD Shares'!H13/(1/'OD Efficiencies'!E13))/('OD Shares'!H$12/(1/'OD Efficiencies'!E$12))</f>
        <v>0</v>
      </c>
      <c r="H13" s="242" t="e">
        <f>'OD Efficiencies'!F$54*'OD StructuralVars'!$R13*('OD Shares'!J13/'OD Efficiencies'!F13)/('OD Shares'!J$12/'OD Efficiencies'!F$12)</f>
        <v>#DIV/0!</v>
      </c>
      <c r="I13" s="242" t="e">
        <f>'OD Efficiencies'!G$54*'OD StructuralVars'!$R13*('OD Shares'!L13/'OD Efficiencies'!G13)/('OD Shares'!L$12/'OD Efficiencies'!G$12)</f>
        <v>#DIV/0!</v>
      </c>
      <c r="J13" s="242"/>
      <c r="K13" s="242" t="e">
        <f>'OD Efficiencies'!I$54*'OD StructuralVars'!$R13*('OD Shares'!P13/'OD Efficiencies'!I13)/('OD Shares'!P$12/'OD Efficiencies'!I$12)</f>
        <v>#DIV/0!</v>
      </c>
      <c r="L13" s="242" t="e">
        <f>'OD Efficiencies'!J$54*('OD Shares'!R13/'OD Efficiencies'!J13)/('OD Shares'!R$12/'OD Efficiencies'!J$12)</f>
        <v>#DIV/0!</v>
      </c>
      <c r="M13" s="242">
        <f>'OD Efficiencies'!K$54*('OD Shares'!T13/(1/'OD Efficiencies'!K13))/('OD Shares'!T$12/(1/'OD Efficiencies'!K$12))</f>
        <v>616.25410639934046</v>
      </c>
      <c r="N13" s="242">
        <f>'OD Efficiencies'!L$54*('OD Shares'!U13/(1/'OD Efficiencies'!L13))/('OD Shares'!U$12/(1/'OD Efficiencies'!L$12))</f>
        <v>724.16582599559592</v>
      </c>
      <c r="O13" s="242">
        <f>'OD Efficiencies'!M$54*('OD Shares'!W13/(1/'OD Efficiencies'!M13))/('OD Shares'!W$12/(1/'OD Efficiencies'!M$12))</f>
        <v>130.26756532889024</v>
      </c>
      <c r="P13" s="242"/>
      <c r="Q13" s="242"/>
      <c r="R13" s="242" t="e">
        <f>'OD Efficiencies'!P$54*('OD Shares'!AC13/(1/'OD Efficiencies'!P13))/('OD Shares'!AC$12/(1/'OD Efficiencies'!P$12))</f>
        <v>#DIV/0!</v>
      </c>
      <c r="S13" s="242" t="e">
        <f>'OD Efficiencies'!Q$54*('OD Shares'!AE13/(1/'OD Efficiencies'!Q13))/('OD Shares'!AE$12/(1/'OD Efficiencies'!Q$12))</f>
        <v>#DIV/0!</v>
      </c>
      <c r="T13" s="242" t="e">
        <f>'OD Efficiencies'!R$54*('OD Shares'!AG13/(1/'OD Efficiencies'!R13))/('OD Shares'!AG$12/(1/'OD Efficiencies'!R$12))</f>
        <v>#DIV/0!</v>
      </c>
      <c r="U13" s="242" t="e">
        <f>'OD Efficiencies'!S$54*('OD Shares'!AH13/(1/'OD Efficiencies'!S13))/('OD Shares'!AH$12/(1/'OD Efficiencies'!S$12))</f>
        <v>#DIV/0!</v>
      </c>
      <c r="V13" s="242">
        <f>'OD Efficiencies'!T$54*('OD Shares'!AI13/(1/'OD Efficiencies'!T13))/('OD Shares'!AI$12/(1/'OD Efficiencies'!T$12))</f>
        <v>2230.4376152611585</v>
      </c>
      <c r="W13" s="242">
        <f>'OD Efficiencies'!V$54*('OD Shares'!AJ13/(1/'OD Efficiencies'!X13))/('OD Shares'!AJ$12/(1/'OD Efficiencies'!X$12))</f>
        <v>3343.2870308110641</v>
      </c>
      <c r="Y13" s="243"/>
    </row>
    <row r="14" spans="1:25" x14ac:dyDescent="0.2">
      <c r="A14" s="240">
        <v>2007</v>
      </c>
      <c r="B14" s="241">
        <f t="shared" si="2"/>
        <v>0</v>
      </c>
      <c r="C14" s="241" t="e">
        <f t="shared" si="3"/>
        <v>#DIV/0!</v>
      </c>
      <c r="D14" s="242">
        <f>'OD Efficiencies'!B$54*'OD StructuralVars'!$Q14*('OD Shares'!B14/'OD Efficiencies'!B14)/('OD Shares'!B$12/'OD Efficiencies'!B$12)</f>
        <v>0</v>
      </c>
      <c r="E14" s="242">
        <f>'OD Efficiencies'!C$54*'OD StructuralVars'!$Q14*('OD Shares'!D14/'OD Efficiencies'!C14)/('OD Shares'!D$12/'OD Efficiencies'!C$12)</f>
        <v>0</v>
      </c>
      <c r="F14" s="242"/>
      <c r="G14" s="242">
        <f>'OD Efficiencies'!E$54*'OD StructuralVars'!$Q14*('OD Shares'!H14/(1/'OD Efficiencies'!E14))/('OD Shares'!H$12/(1/'OD Efficiencies'!E$12))</f>
        <v>0</v>
      </c>
      <c r="H14" s="242" t="e">
        <f>'OD Efficiencies'!F$54*'OD StructuralVars'!$R14*('OD Shares'!J14/'OD Efficiencies'!F14)/('OD Shares'!J$12/'OD Efficiencies'!F$12)</f>
        <v>#DIV/0!</v>
      </c>
      <c r="I14" s="242" t="e">
        <f>'OD Efficiencies'!G$54*'OD StructuralVars'!$R14*('OD Shares'!L14/'OD Efficiencies'!G14)/('OD Shares'!L$12/'OD Efficiencies'!G$12)</f>
        <v>#DIV/0!</v>
      </c>
      <c r="J14" s="242"/>
      <c r="K14" s="242" t="e">
        <f>'OD Efficiencies'!I$54*'OD StructuralVars'!$R14*('OD Shares'!P14/'OD Efficiencies'!I14)/('OD Shares'!P$12/'OD Efficiencies'!I$12)</f>
        <v>#DIV/0!</v>
      </c>
      <c r="L14" s="242" t="e">
        <f>'OD Efficiencies'!J$54*('OD Shares'!R14/'OD Efficiencies'!J14)/('OD Shares'!R$12/'OD Efficiencies'!J$12)</f>
        <v>#DIV/0!</v>
      </c>
      <c r="M14" s="242">
        <f>'OD Efficiencies'!K$54*('OD Shares'!T14/(1/'OD Efficiencies'!K14))/('OD Shares'!T$12/(1/'OD Efficiencies'!K$12))</f>
        <v>620.63205318160999</v>
      </c>
      <c r="N14" s="242">
        <f>'OD Efficiencies'!L$54*('OD Shares'!U14/(1/'OD Efficiencies'!L14))/('OD Shares'!U$12/(1/'OD Efficiencies'!L$12))</f>
        <v>706.47704425674408</v>
      </c>
      <c r="O14" s="242">
        <f>'OD Efficiencies'!M$54*('OD Shares'!W14/(1/'OD Efficiencies'!M14))/('OD Shares'!W$12/(1/'OD Efficiencies'!M$12))</f>
        <v>127.17245923085713</v>
      </c>
      <c r="P14" s="242"/>
      <c r="Q14" s="242"/>
      <c r="R14" s="242" t="e">
        <f>'OD Efficiencies'!P$54*('OD Shares'!AC14/(1/'OD Efficiencies'!P14))/('OD Shares'!AC$12/(1/'OD Efficiencies'!P$12))</f>
        <v>#DIV/0!</v>
      </c>
      <c r="S14" s="242" t="e">
        <f>'OD Efficiencies'!Q$54*('OD Shares'!AE14/(1/'OD Efficiencies'!Q14))/('OD Shares'!AE$12/(1/'OD Efficiencies'!Q$12))</f>
        <v>#DIV/0!</v>
      </c>
      <c r="T14" s="242" t="e">
        <f>'OD Efficiencies'!R$54*('OD Shares'!AG14/(1/'OD Efficiencies'!R14))/('OD Shares'!AG$12/(1/'OD Efficiencies'!R$12))</f>
        <v>#DIV/0!</v>
      </c>
      <c r="U14" s="242" t="e">
        <f>'OD Efficiencies'!S$54*('OD Shares'!AH14/(1/'OD Efficiencies'!S14))/('OD Shares'!AH$12/(1/'OD Efficiencies'!S$12))</f>
        <v>#DIV/0!</v>
      </c>
      <c r="V14" s="242">
        <f>'OD Efficiencies'!T$54*('OD Shares'!AI14/(1/'OD Efficiencies'!T14))/('OD Shares'!AI$12/(1/'OD Efficiencies'!T$12))</f>
        <v>2194.5467243056833</v>
      </c>
      <c r="W14" s="242">
        <f>'OD Efficiencies'!V$54*('OD Shares'!AJ14/(1/'OD Efficiencies'!X14))/('OD Shares'!AJ$12/(1/'OD Efficiencies'!X$12))</f>
        <v>3600.4007843526201</v>
      </c>
      <c r="Y14" s="243"/>
    </row>
    <row r="15" spans="1:25" x14ac:dyDescent="0.2">
      <c r="A15" s="240">
        <v>2008</v>
      </c>
      <c r="B15" s="241">
        <f t="shared" si="2"/>
        <v>0</v>
      </c>
      <c r="C15" s="241" t="e">
        <f t="shared" si="3"/>
        <v>#DIV/0!</v>
      </c>
      <c r="D15" s="242">
        <f>'OD Efficiencies'!B$54*'OD StructuralVars'!$Q15*('OD Shares'!B15/'OD Efficiencies'!B15)/('OD Shares'!B$12/'OD Efficiencies'!B$12)</f>
        <v>0</v>
      </c>
      <c r="E15" s="242">
        <f>'OD Efficiencies'!C$54*'OD StructuralVars'!$Q15*('OD Shares'!D15/'OD Efficiencies'!C15)/('OD Shares'!D$12/'OD Efficiencies'!C$12)</f>
        <v>0</v>
      </c>
      <c r="F15" s="242"/>
      <c r="G15" s="242">
        <f>'OD Efficiencies'!E$54*'OD StructuralVars'!$Q15*('OD Shares'!H15/(1/'OD Efficiencies'!E15))/('OD Shares'!H$12/(1/'OD Efficiencies'!E$12))</f>
        <v>0</v>
      </c>
      <c r="H15" s="242" t="e">
        <f>'OD Efficiencies'!F$54*'OD StructuralVars'!$R15*('OD Shares'!J15/'OD Efficiencies'!F15)/('OD Shares'!J$12/'OD Efficiencies'!F$12)</f>
        <v>#DIV/0!</v>
      </c>
      <c r="I15" s="242" t="e">
        <f>'OD Efficiencies'!G$54*'OD StructuralVars'!$R15*('OD Shares'!L15/'OD Efficiencies'!G15)/('OD Shares'!L$12/'OD Efficiencies'!G$12)</f>
        <v>#DIV/0!</v>
      </c>
      <c r="J15" s="242"/>
      <c r="K15" s="242" t="e">
        <f>'OD Efficiencies'!I$54*'OD StructuralVars'!$R15*('OD Shares'!P15/'OD Efficiencies'!I15)/('OD Shares'!P$12/'OD Efficiencies'!I$12)</f>
        <v>#DIV/0!</v>
      </c>
      <c r="L15" s="242" t="e">
        <f>'OD Efficiencies'!J$54*('OD Shares'!R15/'OD Efficiencies'!J15)/('OD Shares'!R$12/'OD Efficiencies'!J$12)</f>
        <v>#DIV/0!</v>
      </c>
      <c r="M15" s="242">
        <f>'OD Efficiencies'!K$54*('OD Shares'!T15/(1/'OD Efficiencies'!K15))/('OD Shares'!T$12/(1/'OD Efficiencies'!K$12))</f>
        <v>635.43669952031144</v>
      </c>
      <c r="N15" s="242">
        <f>'OD Efficiencies'!L$54*('OD Shares'!U15/(1/'OD Efficiencies'!L15))/('OD Shares'!U$12/(1/'OD Efficiencies'!L$12))</f>
        <v>691.10908601202959</v>
      </c>
      <c r="O15" s="242">
        <f>'OD Efficiencies'!M$54*('OD Shares'!W15/(1/'OD Efficiencies'!M15))/('OD Shares'!W$12/(1/'OD Efficiencies'!M$12))</f>
        <v>124.33006083089313</v>
      </c>
      <c r="P15" s="242"/>
      <c r="Q15" s="242"/>
      <c r="R15" s="242" t="e">
        <f>'OD Efficiencies'!P$54*('OD Shares'!AC15/(1/'OD Efficiencies'!P15))/('OD Shares'!AC$12/(1/'OD Efficiencies'!P$12))</f>
        <v>#DIV/0!</v>
      </c>
      <c r="S15" s="242" t="e">
        <f>'OD Efficiencies'!Q$54*('OD Shares'!AE15/(1/'OD Efficiencies'!Q15))/('OD Shares'!AE$12/(1/'OD Efficiencies'!Q$12))</f>
        <v>#DIV/0!</v>
      </c>
      <c r="T15" s="242" t="e">
        <f>'OD Efficiencies'!R$54*('OD Shares'!AG15/(1/'OD Efficiencies'!R15))/('OD Shares'!AG$12/(1/'OD Efficiencies'!R$12))</f>
        <v>#DIV/0!</v>
      </c>
      <c r="U15" s="242" t="e">
        <f>'OD Efficiencies'!S$54*('OD Shares'!AH15/(1/'OD Efficiencies'!S15))/('OD Shares'!AH$12/(1/'OD Efficiencies'!S$12))</f>
        <v>#DIV/0!</v>
      </c>
      <c r="V15" s="242">
        <f>'OD Efficiencies'!T$54*('OD Shares'!AI15/(1/'OD Efficiencies'!T15))/('OD Shares'!AI$12/(1/'OD Efficiencies'!T$12))</f>
        <v>2161.8452064310331</v>
      </c>
      <c r="W15" s="242">
        <f>'OD Efficiencies'!V$54*('OD Shares'!AJ15/(1/'OD Efficiencies'!X15))/('OD Shares'!AJ$12/(1/'OD Efficiencies'!X$12))</f>
        <v>3778.4797999284915</v>
      </c>
      <c r="Y15" s="243"/>
    </row>
    <row r="16" spans="1:25" x14ac:dyDescent="0.2">
      <c r="A16" s="240">
        <v>2009</v>
      </c>
      <c r="B16" s="241">
        <f t="shared" si="2"/>
        <v>1714.0068773894111</v>
      </c>
      <c r="C16" s="241" t="e">
        <f t="shared" si="3"/>
        <v>#DIV/0!</v>
      </c>
      <c r="D16" s="242">
        <f>'OD Efficiencies'!B$54*'OD StructuralVars'!$Q16*('OD Shares'!B16/'OD Efficiencies'!B16)/('OD Shares'!B$12/'OD Efficiencies'!B$12)</f>
        <v>1198.0206661429611</v>
      </c>
      <c r="E16" s="242">
        <f>'OD Efficiencies'!C$54*'OD StructuralVars'!$Q16*('OD Shares'!D16/'OD Efficiencies'!C16)/('OD Shares'!D$12/'OD Efficiencies'!C$12)</f>
        <v>426.9782815429636</v>
      </c>
      <c r="F16" s="242"/>
      <c r="G16" s="242">
        <f>'OD Efficiencies'!E$54*'OD StructuralVars'!$Q16*('OD Shares'!H16/(1/'OD Efficiencies'!E16))/('OD Shares'!H$12/(1/'OD Efficiencies'!E$12))</f>
        <v>89.00792970348661</v>
      </c>
      <c r="H16" s="242" t="e">
        <f>'OD Efficiencies'!F$54*'OD StructuralVars'!$R16*('OD Shares'!J16/'OD Efficiencies'!F16)/('OD Shares'!J$12/'OD Efficiencies'!F$12)</f>
        <v>#DIV/0!</v>
      </c>
      <c r="I16" s="242" t="e">
        <f>'OD Efficiencies'!G$54*'OD StructuralVars'!$R16*('OD Shares'!L16/'OD Efficiencies'!G16)/('OD Shares'!L$12/'OD Efficiencies'!G$12)</f>
        <v>#DIV/0!</v>
      </c>
      <c r="J16" s="242"/>
      <c r="K16" s="242" t="e">
        <f>'OD Efficiencies'!I$54*'OD StructuralVars'!$R16*('OD Shares'!P16/'OD Efficiencies'!I16)/('OD Shares'!P$12/'OD Efficiencies'!I$12)</f>
        <v>#DIV/0!</v>
      </c>
      <c r="L16" s="242" t="e">
        <f>'OD Efficiencies'!J$54*('OD Shares'!R16/'OD Efficiencies'!J16)/('OD Shares'!R$12/'OD Efficiencies'!J$12)</f>
        <v>#DIV/0!</v>
      </c>
      <c r="M16" s="242">
        <f>'OD Efficiencies'!K$54*('OD Shares'!T16/(1/'OD Efficiencies'!K16))/('OD Shares'!T$12/(1/'OD Efficiencies'!K$12))</f>
        <v>647.13864878487527</v>
      </c>
      <c r="N16" s="242">
        <f>'OD Efficiencies'!L$54*('OD Shares'!U16/(1/'OD Efficiencies'!L16))/('OD Shares'!U$12/(1/'OD Efficiencies'!L$12))</f>
        <v>676.11283932882964</v>
      </c>
      <c r="O16" s="242">
        <f>'OD Efficiencies'!M$54*('OD Shares'!W16/(1/'OD Efficiencies'!M16))/('OD Shares'!W$12/(1/'OD Efficiencies'!M$12))</f>
        <v>121.70477635154471</v>
      </c>
      <c r="P16" s="242">
        <f>'OD Efficiencies'!N$54*('OD Shares'!Y16/(1/'OD Efficiencies'!N16))/('OD Shares'!Y$12/(1/'OD Efficiencies'!N$12))</f>
        <v>333.61949180344533</v>
      </c>
      <c r="Q16" s="242">
        <f>'OD Efficiencies'!O$54*('OD Shares'!AA16/(1/'OD Efficiencies'!O16))/('OD Shares'!AA$12/(1/'OD Efficiencies'!O$12))</f>
        <v>181.65266979808203</v>
      </c>
      <c r="R16" s="242" t="e">
        <f>'OD Efficiencies'!P$54*('OD Shares'!AC16/(1/'OD Efficiencies'!P16))/('OD Shares'!AC$12/(1/'OD Efficiencies'!P$12))</f>
        <v>#DIV/0!</v>
      </c>
      <c r="S16" s="242" t="e">
        <f>'OD Efficiencies'!Q$54*('OD Shares'!AE16/(1/'OD Efficiencies'!Q16))/('OD Shares'!AE$12/(1/'OD Efficiencies'!Q$12))</f>
        <v>#DIV/0!</v>
      </c>
      <c r="T16" s="242" t="e">
        <f>'OD Efficiencies'!R$54*('OD Shares'!AG16/(1/'OD Efficiencies'!R16))/('OD Shares'!AG$12/(1/'OD Efficiencies'!R$12))</f>
        <v>#DIV/0!</v>
      </c>
      <c r="U16" s="242" t="e">
        <f>'OD Efficiencies'!S$54*('OD Shares'!AH16/(1/'OD Efficiencies'!S16))/('OD Shares'!AH$12/(1/'OD Efficiencies'!S$12))</f>
        <v>#DIV/0!</v>
      </c>
      <c r="V16" s="242">
        <f>'OD Efficiencies'!T$54*('OD Shares'!AI16/(1/'OD Efficiencies'!T16))/('OD Shares'!AI$12/(1/'OD Efficiencies'!T$12))</f>
        <v>2113.0082728942984</v>
      </c>
      <c r="W16" s="242">
        <f>'OD Efficiencies'!V$54*('OD Shares'!AJ16/(1/'OD Efficiencies'!X16))/('OD Shares'!AJ$12/(1/'OD Efficiencies'!X$12))</f>
        <v>3745.1521927746835</v>
      </c>
      <c r="Y16" s="243"/>
    </row>
    <row r="17" spans="1:25" x14ac:dyDescent="0.2">
      <c r="A17" s="240">
        <v>2010</v>
      </c>
      <c r="B17" s="241">
        <f t="shared" si="2"/>
        <v>1710.9571210801964</v>
      </c>
      <c r="C17" s="241" t="e">
        <f t="shared" si="3"/>
        <v>#DIV/0!</v>
      </c>
      <c r="D17" s="242">
        <f>'OD Efficiencies'!B$54*'OD StructuralVars'!$Q17*('OD Shares'!B17/'OD Efficiencies'!B17)/('OD Shares'!B$12/'OD Efficiencies'!B$12)</f>
        <v>1207.0714988900272</v>
      </c>
      <c r="E17" s="242">
        <f>'OD Efficiencies'!C$54*'OD StructuralVars'!$Q17*('OD Shares'!D17/'OD Efficiencies'!C17)/('OD Shares'!D$12/'OD Efficiencies'!C$12)</f>
        <v>423.88656252921123</v>
      </c>
      <c r="F17" s="242"/>
      <c r="G17" s="242">
        <f>'OD Efficiencies'!E$54*'OD StructuralVars'!$Q17*('OD Shares'!H17/(1/'OD Efficiencies'!E17))/('OD Shares'!H$12/(1/'OD Efficiencies'!E$12))</f>
        <v>79.999059660957869</v>
      </c>
      <c r="H17" s="242" t="e">
        <f>'OD Efficiencies'!F$54*'OD StructuralVars'!$R17*('OD Shares'!J17/'OD Efficiencies'!F17)/('OD Shares'!J$12/'OD Efficiencies'!F$12)</f>
        <v>#DIV/0!</v>
      </c>
      <c r="I17" s="242" t="e">
        <f>'OD Efficiencies'!G$54*'OD StructuralVars'!$R17*('OD Shares'!L17/'OD Efficiencies'!G17)/('OD Shares'!L$12/'OD Efficiencies'!G$12)</f>
        <v>#DIV/0!</v>
      </c>
      <c r="J17" s="242"/>
      <c r="K17" s="242" t="e">
        <f>'OD Efficiencies'!I$54*'OD StructuralVars'!$R17*('OD Shares'!P17/'OD Efficiencies'!I17)/('OD Shares'!P$12/'OD Efficiencies'!I$12)</f>
        <v>#DIV/0!</v>
      </c>
      <c r="L17" s="242" t="e">
        <f>'OD Efficiencies'!J$54*('OD Shares'!R17/'OD Efficiencies'!J17)/('OD Shares'!R$12/'OD Efficiencies'!J$12)</f>
        <v>#DIV/0!</v>
      </c>
      <c r="M17" s="242">
        <f>'OD Efficiencies'!K$54*('OD Shares'!T17/(1/'OD Efficiencies'!K17))/('OD Shares'!T$12/(1/'OD Efficiencies'!K$12))</f>
        <v>661.55399238120663</v>
      </c>
      <c r="N17" s="242">
        <f>'OD Efficiencies'!L$54*('OD Shares'!U17/(1/'OD Efficiencies'!L17))/('OD Shares'!U$12/(1/'OD Efficiencies'!L$12))</f>
        <v>661.96273202872919</v>
      </c>
      <c r="O17" s="242">
        <f>'OD Efficiencies'!M$54*('OD Shares'!W17/(1/'OD Efficiencies'!M17))/('OD Shares'!W$12/(1/'OD Efficiencies'!M$12))</f>
        <v>119.33204420475319</v>
      </c>
      <c r="P17" s="242">
        <f>'OD Efficiencies'!N$54*('OD Shares'!Y17/(1/'OD Efficiencies'!N17))/('OD Shares'!Y$12/(1/'OD Efficiencies'!N$12))</f>
        <v>316.16243901041599</v>
      </c>
      <c r="Q17" s="242">
        <f>'OD Efficiencies'!O$54*('OD Shares'!AA17/(1/'OD Efficiencies'!O17))/('OD Shares'!AA$12/(1/'OD Efficiencies'!O$12))</f>
        <v>180.27287213672437</v>
      </c>
      <c r="R17" s="242" t="e">
        <f>'OD Efficiencies'!P$54*('OD Shares'!AC17/(1/'OD Efficiencies'!P17))/('OD Shares'!AC$12/(1/'OD Efficiencies'!P$12))</f>
        <v>#DIV/0!</v>
      </c>
      <c r="S17" s="242" t="e">
        <f>'OD Efficiencies'!Q$54*('OD Shares'!AE17/(1/'OD Efficiencies'!Q17))/('OD Shares'!AE$12/(1/'OD Efficiencies'!Q$12))</f>
        <v>#DIV/0!</v>
      </c>
      <c r="T17" s="242" t="e">
        <f>'OD Efficiencies'!R$54*('OD Shares'!AG17/(1/'OD Efficiencies'!R17))/('OD Shares'!AG$12/(1/'OD Efficiencies'!R$12))</f>
        <v>#DIV/0!</v>
      </c>
      <c r="U17" s="242" t="e">
        <f>'OD Efficiencies'!S$54*('OD Shares'!AH17/(1/'OD Efficiencies'!S17))/('OD Shares'!AH$12/(1/'OD Efficiencies'!S$12))</f>
        <v>#DIV/0!</v>
      </c>
      <c r="V17" s="242">
        <f>'OD Efficiencies'!T$54*('OD Shares'!AI17/(1/'OD Efficiencies'!T17))/('OD Shares'!AI$12/(1/'OD Efficiencies'!T$12))</f>
        <v>2086.6852320912608</v>
      </c>
      <c r="W17" s="242">
        <f>'OD Efficiencies'!V$54*('OD Shares'!AJ17/(1/'OD Efficiencies'!X17))/('OD Shares'!AJ$12/(1/'OD Efficiencies'!X$12))</f>
        <v>3855.3260867928261</v>
      </c>
      <c r="Y17" s="243"/>
    </row>
    <row r="18" spans="1:25" x14ac:dyDescent="0.2">
      <c r="A18" s="240">
        <v>2011</v>
      </c>
      <c r="B18" s="241">
        <f t="shared" si="2"/>
        <v>1691.0066730298079</v>
      </c>
      <c r="C18" s="241" t="e">
        <f t="shared" si="3"/>
        <v>#DIV/0!</v>
      </c>
      <c r="D18" s="242">
        <f>'OD Efficiencies'!B$54*'OD StructuralVars'!$Q18*('OD Shares'!B18/'OD Efficiencies'!B18)/('OD Shares'!B$12/'OD Efficiencies'!B$12)</f>
        <v>1187.9876059687458</v>
      </c>
      <c r="E18" s="242">
        <f>'OD Efficiencies'!C$54*'OD StructuralVars'!$Q18*('OD Shares'!D18/'OD Efficiencies'!C18)/('OD Shares'!D$12/'OD Efficiencies'!C$12)</f>
        <v>429.88323828471897</v>
      </c>
      <c r="F18" s="242"/>
      <c r="G18" s="242">
        <f>'OD Efficiencies'!E$54*'OD StructuralVars'!$Q18*('OD Shares'!H18/(1/'OD Efficiencies'!E18))/('OD Shares'!H$12/(1/'OD Efficiencies'!E$12))</f>
        <v>73.13582877634299</v>
      </c>
      <c r="H18" s="242" t="e">
        <f>'OD Efficiencies'!F$54*'OD StructuralVars'!$R18*('OD Shares'!J18/'OD Efficiencies'!F18)/('OD Shares'!J$12/'OD Efficiencies'!F$12)</f>
        <v>#DIV/0!</v>
      </c>
      <c r="I18" s="242" t="e">
        <f>'OD Efficiencies'!G$54*'OD StructuralVars'!$R18*('OD Shares'!L18/'OD Efficiencies'!G18)/('OD Shares'!L$12/'OD Efficiencies'!G$12)</f>
        <v>#DIV/0!</v>
      </c>
      <c r="J18" s="242"/>
      <c r="K18" s="242" t="e">
        <f>'OD Efficiencies'!I$54*'OD StructuralVars'!$R18*('OD Shares'!P18/'OD Efficiencies'!I18)/('OD Shares'!P$12/'OD Efficiencies'!I$12)</f>
        <v>#DIV/0!</v>
      </c>
      <c r="L18" s="242" t="e">
        <f>'OD Efficiencies'!J$54*('OD Shares'!R18/'OD Efficiencies'!J18)/('OD Shares'!R$12/'OD Efficiencies'!J$12)</f>
        <v>#DIV/0!</v>
      </c>
      <c r="M18" s="242">
        <f>'OD Efficiencies'!K$54*('OD Shares'!T18/(1/'OD Efficiencies'!K18))/('OD Shares'!T$12/(1/'OD Efficiencies'!K$12))</f>
        <v>661.3486871459944</v>
      </c>
      <c r="N18" s="242">
        <f>'OD Efficiencies'!L$54*('OD Shares'!U18/(1/'OD Efficiencies'!L18))/('OD Shares'!U$12/(1/'OD Efficiencies'!L$12))</f>
        <v>649.95518920270786</v>
      </c>
      <c r="O18" s="242">
        <f>'OD Efficiencies'!M$54*('OD Shares'!W18/(1/'OD Efficiencies'!M18))/('OD Shares'!W$12/(1/'OD Efficiencies'!M$12))</f>
        <v>117.4017283516603</v>
      </c>
      <c r="P18" s="242">
        <f>'OD Efficiencies'!N$54*('OD Shares'!Y18/(1/'OD Efficiencies'!N18))/('OD Shares'!Y$12/(1/'OD Efficiencies'!N$12))</f>
        <v>312.24668997600389</v>
      </c>
      <c r="Q18" s="242">
        <f>'OD Efficiencies'!O$54*('OD Shares'!AA18/(1/'OD Efficiencies'!O18))/('OD Shares'!AA$12/(1/'OD Efficiencies'!O$12))</f>
        <v>179.47533901317013</v>
      </c>
      <c r="R18" s="242" t="e">
        <f>'OD Efficiencies'!P$54*('OD Shares'!AC18/(1/'OD Efficiencies'!P18))/('OD Shares'!AC$12/(1/'OD Efficiencies'!P$12))</f>
        <v>#DIV/0!</v>
      </c>
      <c r="S18" s="242" t="e">
        <f>'OD Efficiencies'!Q$54*('OD Shares'!AE18/(1/'OD Efficiencies'!Q18))/('OD Shares'!AE$12/(1/'OD Efficiencies'!Q$12))</f>
        <v>#DIV/0!</v>
      </c>
      <c r="T18" s="242" t="e">
        <f>'OD Efficiencies'!R$54*('OD Shares'!AG18/(1/'OD Efficiencies'!R18))/('OD Shares'!AG$12/(1/'OD Efficiencies'!R$12))</f>
        <v>#DIV/0!</v>
      </c>
      <c r="U18" s="242" t="e">
        <f>'OD Efficiencies'!S$54*('OD Shares'!AH18/(1/'OD Efficiencies'!S18))/('OD Shares'!AH$12/(1/'OD Efficiencies'!S$12))</f>
        <v>#DIV/0!</v>
      </c>
      <c r="V18" s="242">
        <f>'OD Efficiencies'!T$54*('OD Shares'!AI18/(1/'OD Efficiencies'!T18))/('OD Shares'!AI$12/(1/'OD Efficiencies'!T$12))</f>
        <v>2034.3229976017826</v>
      </c>
      <c r="W18" s="242">
        <f>'OD Efficiencies'!V$54*('OD Shares'!AJ18/(1/'OD Efficiencies'!X18))/('OD Shares'!AJ$12/(1/'OD Efficiencies'!X$12))</f>
        <v>3772.43681889153</v>
      </c>
      <c r="Y18" s="243"/>
    </row>
    <row r="19" spans="1:25" x14ac:dyDescent="0.2">
      <c r="A19" s="240">
        <v>2012</v>
      </c>
      <c r="B19" s="241">
        <f t="shared" si="2"/>
        <v>1671.657094938852</v>
      </c>
      <c r="C19" s="241" t="e">
        <f t="shared" si="3"/>
        <v>#DIV/0!</v>
      </c>
      <c r="D19" s="242">
        <f>'OD Efficiencies'!B$54*'OD StructuralVars'!$Q19*('OD Shares'!B19/'OD Efficiencies'!B19)/('OD Shares'!B$12/'OD Efficiencies'!B$12)</f>
        <v>1173.2255009856096</v>
      </c>
      <c r="E19" s="242">
        <f>'OD Efficiencies'!C$54*'OD StructuralVars'!$Q19*('OD Shares'!D19/'OD Efficiencies'!C19)/('OD Shares'!D$12/'OD Efficiencies'!C$12)</f>
        <v>431.47216925727543</v>
      </c>
      <c r="F19" s="242"/>
      <c r="G19" s="242">
        <f>'OD Efficiencies'!E$54*'OD StructuralVars'!$Q19*('OD Shares'!H19/(1/'OD Efficiencies'!E19))/('OD Shares'!H$12/(1/'OD Efficiencies'!E$12))</f>
        <v>66.959424695966945</v>
      </c>
      <c r="H19" s="242" t="e">
        <f>'OD Efficiencies'!F$54*'OD StructuralVars'!$R19*('OD Shares'!J19/'OD Efficiencies'!F19)/('OD Shares'!J$12/'OD Efficiencies'!F$12)</f>
        <v>#DIV/0!</v>
      </c>
      <c r="I19" s="242" t="e">
        <f>'OD Efficiencies'!G$54*'OD StructuralVars'!$R19*('OD Shares'!L19/'OD Efficiencies'!G19)/('OD Shares'!L$12/'OD Efficiencies'!G$12)</f>
        <v>#DIV/0!</v>
      </c>
      <c r="J19" s="242"/>
      <c r="K19" s="242" t="e">
        <f>'OD Efficiencies'!I$54*'OD StructuralVars'!$R19*('OD Shares'!P19/'OD Efficiencies'!I19)/('OD Shares'!P$12/'OD Efficiencies'!I$12)</f>
        <v>#DIV/0!</v>
      </c>
      <c r="L19" s="242" t="e">
        <f>'OD Efficiencies'!J$54*('OD Shares'!R19/'OD Efficiencies'!J19)/('OD Shares'!R$12/'OD Efficiencies'!J$12)</f>
        <v>#DIV/0!</v>
      </c>
      <c r="M19" s="242">
        <f>'OD Efficiencies'!K$54*('OD Shares'!T19/(1/'OD Efficiencies'!K19))/('OD Shares'!T$12/(1/'OD Efficiencies'!K$12))</f>
        <v>664.91930145515983</v>
      </c>
      <c r="N19" s="242">
        <f>'OD Efficiencies'!L$54*('OD Shares'!U19/(1/'OD Efficiencies'!L19))/('OD Shares'!U$12/(1/'OD Efficiencies'!L$12))</f>
        <v>639.76564380780144</v>
      </c>
      <c r="O19" s="242">
        <f>'OD Efficiencies'!M$54*('OD Shares'!W19/(1/'OD Efficiencies'!M19))/('OD Shares'!W$12/(1/'OD Efficiencies'!M$12))</f>
        <v>115.72388715087861</v>
      </c>
      <c r="P19" s="242">
        <f>'OD Efficiencies'!N$54*('OD Shares'!Y19/(1/'OD Efficiencies'!N19))/('OD Shares'!Y$12/(1/'OD Efficiencies'!N$12))</f>
        <v>309.03466015218231</v>
      </c>
      <c r="Q19" s="242">
        <f>'OD Efficiencies'!O$54*('OD Shares'!AA19/(1/'OD Efficiencies'!O19))/('OD Shares'!AA$12/(1/'OD Efficiencies'!O$12))</f>
        <v>178.96359462554065</v>
      </c>
      <c r="R19" s="242" t="e">
        <f>'OD Efficiencies'!P$54*('OD Shares'!AC19/(1/'OD Efficiencies'!P19))/('OD Shares'!AC$12/(1/'OD Efficiencies'!P$12))</f>
        <v>#DIV/0!</v>
      </c>
      <c r="S19" s="242" t="e">
        <f>'OD Efficiencies'!Q$54*('OD Shares'!AE19/(1/'OD Efficiencies'!Q19))/('OD Shares'!AE$12/(1/'OD Efficiencies'!Q$12))</f>
        <v>#DIV/0!</v>
      </c>
      <c r="T19" s="242" t="e">
        <f>'OD Efficiencies'!R$54*('OD Shares'!AG19/(1/'OD Efficiencies'!R19))/('OD Shares'!AG$12/(1/'OD Efficiencies'!R$12))</f>
        <v>#DIV/0!</v>
      </c>
      <c r="U19" s="242" t="e">
        <f>'OD Efficiencies'!S$54*('OD Shares'!AH19/(1/'OD Efficiencies'!S19))/('OD Shares'!AH$12/(1/'OD Efficiencies'!S$12))</f>
        <v>#DIV/0!</v>
      </c>
      <c r="V19" s="242">
        <f>'OD Efficiencies'!T$54*('OD Shares'!AI19/(1/'OD Efficiencies'!T19))/('OD Shares'!AI$12/(1/'OD Efficiencies'!T$12))</f>
        <v>2010.1792009962799</v>
      </c>
      <c r="W19" s="242">
        <f>'OD Efficiencies'!V$54*('OD Shares'!AJ19/(1/'OD Efficiencies'!X19))/('OD Shares'!AJ$12/(1/'OD Efficiencies'!X$12))</f>
        <v>3849.5032161331624</v>
      </c>
      <c r="Y19" s="243"/>
    </row>
    <row r="20" spans="1:25" x14ac:dyDescent="0.2">
      <c r="A20" s="240">
        <v>2013</v>
      </c>
      <c r="B20" s="241">
        <f>D20+E20+F20+G20</f>
        <v>1653.7801364370168</v>
      </c>
      <c r="C20" s="241" t="e">
        <f t="shared" si="3"/>
        <v>#DIV/0!</v>
      </c>
      <c r="D20" s="242">
        <f>'OD Efficiencies'!B$54*'OD StructuralVars'!$Q20*('OD Shares'!B20/'OD Efficiencies'!B20)/('OD Shares'!B$12/'OD Efficiencies'!B$12)</f>
        <v>1158.2546775299083</v>
      </c>
      <c r="E20" s="242">
        <f>'OD Efficiencies'!C$54*'OD StructuralVars'!$Q20*('OD Shares'!D20/'OD Efficiencies'!C20)/('OD Shares'!D$12/'OD Efficiencies'!C$12)</f>
        <v>433.21408785802885</v>
      </c>
      <c r="F20" s="242"/>
      <c r="G20" s="242">
        <f>'OD Efficiencies'!E$54*'OD StructuralVars'!$Q20*('OD Shares'!H20/(1/'OD Efficiencies'!E20))/('OD Shares'!H$12/(1/'OD Efficiencies'!E$12))</f>
        <v>62.311371049079611</v>
      </c>
      <c r="H20" s="242" t="e">
        <f>'OD Efficiencies'!F$54*'OD StructuralVars'!$R20*('OD Shares'!J20/'OD Efficiencies'!F20)/('OD Shares'!J$12/'OD Efficiencies'!F$12)</f>
        <v>#DIV/0!</v>
      </c>
      <c r="I20" s="242" t="e">
        <f>'OD Efficiencies'!G$54*'OD StructuralVars'!$R20*('OD Shares'!L20/'OD Efficiencies'!G20)/('OD Shares'!L$12/'OD Efficiencies'!G$12)</f>
        <v>#DIV/0!</v>
      </c>
      <c r="J20" s="242"/>
      <c r="K20" s="242" t="e">
        <f>'OD Efficiencies'!I$54*'OD StructuralVars'!$R20*('OD Shares'!P20/'OD Efficiencies'!I20)/('OD Shares'!P$12/'OD Efficiencies'!I$12)</f>
        <v>#DIV/0!</v>
      </c>
      <c r="L20" s="242" t="e">
        <f>'OD Efficiencies'!J$54*('OD Shares'!R20/'OD Efficiencies'!J20)/('OD Shares'!R$12/'OD Efficiencies'!J$12)</f>
        <v>#DIV/0!</v>
      </c>
      <c r="M20" s="242">
        <f>'OD Efficiencies'!K$54*('OD Shares'!T20/(1/'OD Efficiencies'!K20))/('OD Shares'!T$12/(1/'OD Efficiencies'!K$12))</f>
        <v>664.03577195781133</v>
      </c>
      <c r="N20" s="242">
        <f>'OD Efficiencies'!L$54*('OD Shares'!U20/(1/'OD Efficiencies'!L20))/('OD Shares'!U$12/(1/'OD Efficiencies'!L$12))</f>
        <v>630.71585938294584</v>
      </c>
      <c r="O20" s="242">
        <f>'OD Efficiencies'!M$54*('OD Shares'!W20/(1/'OD Efficiencies'!M20))/('OD Shares'!W$12/(1/'OD Efficiencies'!M$12))</f>
        <v>114.23465702598067</v>
      </c>
      <c r="P20" s="242">
        <f>'OD Efficiencies'!N$54*('OD Shares'!Y20/(1/'OD Efficiencies'!N20))/('OD Shares'!Y$12/(1/'OD Efficiencies'!N$12))</f>
        <v>306.05470515728359</v>
      </c>
      <c r="Q20" s="242">
        <f>'OD Efficiencies'!O$54*('OD Shares'!AA20/(1/'OD Efficiencies'!O20))/('OD Shares'!AA$12/(1/'OD Efficiencies'!O$12))</f>
        <v>177.04652596551537</v>
      </c>
      <c r="R20" s="242" t="e">
        <f>'OD Efficiencies'!P$54*('OD Shares'!AC20/(1/'OD Efficiencies'!P20))/('OD Shares'!AC$12/(1/'OD Efficiencies'!P$12))</f>
        <v>#DIV/0!</v>
      </c>
      <c r="S20" s="242" t="e">
        <f>'OD Efficiencies'!Q$54*('OD Shares'!AE20/(1/'OD Efficiencies'!Q20))/('OD Shares'!AE$12/(1/'OD Efficiencies'!Q$12))</f>
        <v>#DIV/0!</v>
      </c>
      <c r="T20" s="242" t="e">
        <f>'OD Efficiencies'!R$54*('OD Shares'!AG20/(1/'OD Efficiencies'!R20))/('OD Shares'!AG$12/(1/'OD Efficiencies'!R$12))</f>
        <v>#DIV/0!</v>
      </c>
      <c r="U20" s="242" t="e">
        <f>'OD Efficiencies'!S$54*('OD Shares'!AH20/(1/'OD Efficiencies'!S20))/('OD Shares'!AH$12/(1/'OD Efficiencies'!S$12))</f>
        <v>#DIV/0!</v>
      </c>
      <c r="V20" s="244">
        <f>'OD Efficiencies'!T$54*('OD Shares'!AI20/(1/'OD Efficiencies'!T20))/('OD Shares'!AI$12/(1/'OD Efficiencies'!T$12))</f>
        <v>2010.1792009962799</v>
      </c>
      <c r="W20" s="242">
        <f>'OD Efficiencies'!V$54*('OD Shares'!AJ20/(1/'OD Efficiencies'!X20))/('OD Shares'!AJ$12/(1/'OD Efficiencies'!X$12))</f>
        <v>3884.8273243078092</v>
      </c>
      <c r="Y20" s="243"/>
    </row>
    <row r="21" spans="1:25" x14ac:dyDescent="0.2">
      <c r="A21" s="240">
        <v>2014</v>
      </c>
      <c r="B21" s="241">
        <f t="shared" ref="B21:B49" si="4">D21+E21+F21+G21</f>
        <v>1637.1167791670712</v>
      </c>
      <c r="C21" s="241" t="e">
        <f t="shared" si="3"/>
        <v>#DIV/0!</v>
      </c>
      <c r="D21" s="242">
        <f>'OD Efficiencies'!B$54*'OD StructuralVars'!$Q21*('OD Shares'!B21/'OD Efficiencies'!B21)/('OD Shares'!B$12/'OD Efficiencies'!B$12)</f>
        <v>1144.3263729043756</v>
      </c>
      <c r="E21" s="242">
        <f>'OD Efficiencies'!C$54*'OD StructuralVars'!$Q21*('OD Shares'!D21/'OD Efficiencies'!C21)/('OD Shares'!D$12/'OD Efficiencies'!C$12)</f>
        <v>434.66181621623946</v>
      </c>
      <c r="F21" s="242"/>
      <c r="G21" s="242">
        <f>'OD Efficiencies'!E$54*'OD StructuralVars'!$Q21*('OD Shares'!H21/(1/'OD Efficiencies'!E21))/('OD Shares'!H$12/(1/'OD Efficiencies'!E$12))</f>
        <v>58.12859004645609</v>
      </c>
      <c r="H21" s="242" t="e">
        <f>'OD Efficiencies'!F$54*'OD StructuralVars'!$R21*('OD Shares'!J21/'OD Efficiencies'!F21)/('OD Shares'!J$12/'OD Efficiencies'!F$12)</f>
        <v>#DIV/0!</v>
      </c>
      <c r="I21" s="242" t="e">
        <f>'OD Efficiencies'!G$54*'OD StructuralVars'!$R21*('OD Shares'!L21/'OD Efficiencies'!G21)/('OD Shares'!L$12/'OD Efficiencies'!G$12)</f>
        <v>#DIV/0!</v>
      </c>
      <c r="J21" s="242"/>
      <c r="K21" s="242" t="e">
        <f>'OD Efficiencies'!I$54*'OD StructuralVars'!$R21*('OD Shares'!P21/'OD Efficiencies'!I21)/('OD Shares'!P$12/'OD Efficiencies'!I$12)</f>
        <v>#DIV/0!</v>
      </c>
      <c r="L21" s="242" t="e">
        <f>'OD Efficiencies'!J$54*('OD Shares'!R21/'OD Efficiencies'!J21)/('OD Shares'!R$12/'OD Efficiencies'!J$12)</f>
        <v>#DIV/0!</v>
      </c>
      <c r="M21" s="242">
        <f>'OD Efficiencies'!K$54*('OD Shares'!T21/(1/'OD Efficiencies'!K21))/('OD Shares'!T$12/(1/'OD Efficiencies'!K$12))</f>
        <v>664.6212829405307</v>
      </c>
      <c r="N21" s="242">
        <f>'OD Efficiencies'!L$54*('OD Shares'!U21/(1/'OD Efficiencies'!L21))/('OD Shares'!U$12/(1/'OD Efficiencies'!L$12))</f>
        <v>610.31361349796543</v>
      </c>
      <c r="O21" s="242">
        <f>'OD Efficiencies'!M$54*('OD Shares'!W21/(1/'OD Efficiencies'!M21))/('OD Shares'!W$12/(1/'OD Efficiencies'!M$12))</f>
        <v>110.64165820941437</v>
      </c>
      <c r="P21" s="242">
        <f>'OD Efficiencies'!N$54*('OD Shares'!Y21/(1/'OD Efficiencies'!N21))/('OD Shares'!Y$12/(1/'OD Efficiencies'!N$12))</f>
        <v>301.11838540654497</v>
      </c>
      <c r="Q21" s="242">
        <f>'OD Efficiencies'!O$54*('OD Shares'!AA21/(1/'OD Efficiencies'!O21))/('OD Shares'!AA$12/(1/'OD Efficiencies'!O$12))</f>
        <v>175.64512480625712</v>
      </c>
      <c r="R21" s="242" t="e">
        <f>'OD Efficiencies'!P$54*('OD Shares'!AC21/(1/'OD Efficiencies'!P21))/('OD Shares'!AC$12/(1/'OD Efficiencies'!P$12))</f>
        <v>#DIV/0!</v>
      </c>
      <c r="S21" s="242" t="e">
        <f>'OD Efficiencies'!Q$54*('OD Shares'!AE21/(1/'OD Efficiencies'!Q21))/('OD Shares'!AE$12/(1/'OD Efficiencies'!Q$12))</f>
        <v>#DIV/0!</v>
      </c>
      <c r="T21" s="242" t="e">
        <f>'OD Efficiencies'!R$54*('OD Shares'!AG21/(1/'OD Efficiencies'!R21))/('OD Shares'!AG$12/(1/'OD Efficiencies'!R$12))</f>
        <v>#DIV/0!</v>
      </c>
      <c r="U21" s="242" t="e">
        <f>'OD Efficiencies'!S$54*('OD Shares'!AH21/(1/'OD Efficiencies'!S21))/('OD Shares'!AH$12/(1/'OD Efficiencies'!S$12))</f>
        <v>#DIV/0!</v>
      </c>
      <c r="V21" s="242">
        <f>'OD Efficiencies'!T$54*('OD Shares'!AI21/(1/'OD Efficiencies'!T21))/('OD Shares'!AI$12/(1/'OD Efficiencies'!T$12))</f>
        <v>2010.1792009962799</v>
      </c>
      <c r="W21" s="242">
        <f>'OD Efficiencies'!V$54*('OD Shares'!AJ21/(1/'OD Efficiencies'!X21))/('OD Shares'!AJ$12/(1/'OD Efficiencies'!X$12))</f>
        <v>3960.3374473516642</v>
      </c>
      <c r="Y21" s="243"/>
    </row>
    <row r="22" spans="1:25" x14ac:dyDescent="0.2">
      <c r="A22" s="240">
        <v>2015</v>
      </c>
      <c r="B22" s="241">
        <f t="shared" si="4"/>
        <v>1615.602055980346</v>
      </c>
      <c r="C22" s="241" t="e">
        <f t="shared" si="3"/>
        <v>#DIV/0!</v>
      </c>
      <c r="D22" s="242">
        <f>'OD Efficiencies'!B$54*'OD StructuralVars'!$Q22*('OD Shares'!B22/'OD Efficiencies'!B22)/('OD Shares'!B$12/'OD Efficiencies'!B$12)</f>
        <v>1131.093798054945</v>
      </c>
      <c r="E22" s="242">
        <f>'OD Efficiencies'!C$54*'OD StructuralVars'!$Q22*('OD Shares'!D22/'OD Efficiencies'!C22)/('OD Shares'!D$12/'OD Efficiencies'!C$12)</f>
        <v>430.45548569891088</v>
      </c>
      <c r="F22" s="242"/>
      <c r="G22" s="242">
        <f>'OD Efficiencies'!E$54*'OD StructuralVars'!$Q22*('OD Shares'!H22/(1/'OD Efficiencies'!E22))/('OD Shares'!H$12/(1/'OD Efficiencies'!E$12))</f>
        <v>54.052772226490099</v>
      </c>
      <c r="H22" s="242" t="e">
        <f>'OD Efficiencies'!F$54*'OD StructuralVars'!$R22*('OD Shares'!J22/'OD Efficiencies'!F22)/('OD Shares'!J$12/'OD Efficiencies'!F$12)</f>
        <v>#DIV/0!</v>
      </c>
      <c r="I22" s="242" t="e">
        <f>'OD Efficiencies'!G$54*'OD StructuralVars'!$R22*('OD Shares'!L22/'OD Efficiencies'!G22)/('OD Shares'!L$12/'OD Efficiencies'!G$12)</f>
        <v>#DIV/0!</v>
      </c>
      <c r="J22" s="242"/>
      <c r="K22" s="242" t="e">
        <f>'OD Efficiencies'!I$54*'OD StructuralVars'!$R22*('OD Shares'!P22/'OD Efficiencies'!I22)/('OD Shares'!P$12/'OD Efficiencies'!I$12)</f>
        <v>#DIV/0!</v>
      </c>
      <c r="L22" s="242" t="e">
        <f>'OD Efficiencies'!J$54*('OD Shares'!R22/'OD Efficiencies'!J22)/('OD Shares'!R$12/'OD Efficiencies'!J$12)</f>
        <v>#DIV/0!</v>
      </c>
      <c r="M22" s="242">
        <f>'OD Efficiencies'!K$54*('OD Shares'!T22/(1/'OD Efficiencies'!K22))/('OD Shares'!T$12/(1/'OD Efficiencies'!K$12))</f>
        <v>665.2188541792558</v>
      </c>
      <c r="N22" s="242">
        <f>'OD Efficiencies'!L$54*('OD Shares'!U22/(1/'OD Efficiencies'!L22))/('OD Shares'!U$12/(1/'OD Efficiencies'!L$12))</f>
        <v>597.49720995584369</v>
      </c>
      <c r="O22" s="242">
        <f>'OD Efficiencies'!M$54*('OD Shares'!W22/(1/'OD Efficiencies'!M22))/('OD Shares'!W$12/(1/'OD Efficiencies'!M$12))</f>
        <v>108.37267951498815</v>
      </c>
      <c r="P22" s="242">
        <f>'OD Efficiencies'!N$54*('OD Shares'!Y22/(1/'OD Efficiencies'!N22))/('OD Shares'!Y$12/(1/'OD Efficiencies'!N$12))</f>
        <v>297.73355972772907</v>
      </c>
      <c r="Q22" s="242">
        <f>'OD Efficiencies'!O$54*('OD Shares'!AA22/(1/'OD Efficiencies'!O22))/('OD Shares'!AA$12/(1/'OD Efficiencies'!O$12))</f>
        <v>174.39588750110411</v>
      </c>
      <c r="R22" s="242" t="e">
        <f>'OD Efficiencies'!P$54*('OD Shares'!AC22/(1/'OD Efficiencies'!P22))/('OD Shares'!AC$12/(1/'OD Efficiencies'!P$12))</f>
        <v>#DIV/0!</v>
      </c>
      <c r="S22" s="242" t="e">
        <f>'OD Efficiencies'!Q$54*('OD Shares'!AE22/(1/'OD Efficiencies'!Q22))/('OD Shares'!AE$12/(1/'OD Efficiencies'!Q$12))</f>
        <v>#DIV/0!</v>
      </c>
      <c r="T22" s="242" t="e">
        <f>'OD Efficiencies'!R$54*('OD Shares'!AG22/(1/'OD Efficiencies'!R22))/('OD Shares'!AG$12/(1/'OD Efficiencies'!R$12))</f>
        <v>#DIV/0!</v>
      </c>
      <c r="U22" s="242" t="e">
        <f>'OD Efficiencies'!S$54*('OD Shares'!AH22/(1/'OD Efficiencies'!S22))/('OD Shares'!AH$12/(1/'OD Efficiencies'!S$12))</f>
        <v>#DIV/0!</v>
      </c>
      <c r="V22" s="242">
        <f>'OD Efficiencies'!T$54*('OD Shares'!AI22/(1/'OD Efficiencies'!T22))/('OD Shares'!AI$12/(1/'OD Efficiencies'!T$12))</f>
        <v>2010.1792009962799</v>
      </c>
      <c r="W22" s="242">
        <f>'OD Efficiencies'!V$54*('OD Shares'!AJ22/(1/'OD Efficiencies'!X22))/('OD Shares'!AJ$12/(1/'OD Efficiencies'!X$12))</f>
        <v>4028.6560016092408</v>
      </c>
      <c r="Y22" s="243"/>
    </row>
    <row r="23" spans="1:25" x14ac:dyDescent="0.2">
      <c r="A23" s="240">
        <v>2016</v>
      </c>
      <c r="B23" s="241">
        <f t="shared" si="4"/>
        <v>1599.0858331593038</v>
      </c>
      <c r="C23" s="241" t="e">
        <f t="shared" si="3"/>
        <v>#DIV/0!</v>
      </c>
      <c r="D23" s="242">
        <f>'OD Efficiencies'!B$54*'OD StructuralVars'!$Q23*('OD Shares'!B23/'OD Efficiencies'!B23)/('OD Shares'!B$12/'OD Efficiencies'!B$12)</f>
        <v>1119.5114260045566</v>
      </c>
      <c r="E23" s="242">
        <f>'OD Efficiencies'!C$54*'OD StructuralVars'!$Q23*('OD Shares'!D23/'OD Efficiencies'!C23)/('OD Shares'!D$12/'OD Efficiencies'!C$12)</f>
        <v>429.32389022033783</v>
      </c>
      <c r="F23" s="242"/>
      <c r="G23" s="242">
        <f>'OD Efficiencies'!E$54*'OD StructuralVars'!$Q23*('OD Shares'!H23/(1/'OD Efficiencies'!E23))/('OD Shares'!H$12/(1/'OD Efficiencies'!E$12))</f>
        <v>50.250516934409241</v>
      </c>
      <c r="H23" s="242" t="e">
        <f>'OD Efficiencies'!F$54*'OD StructuralVars'!$R23*('OD Shares'!J23/'OD Efficiencies'!F23)/('OD Shares'!J$12/'OD Efficiencies'!F$12)</f>
        <v>#DIV/0!</v>
      </c>
      <c r="I23" s="242" t="e">
        <f>'OD Efficiencies'!G$54*'OD StructuralVars'!$R23*('OD Shares'!L23/'OD Efficiencies'!G23)/('OD Shares'!L$12/'OD Efficiencies'!G$12)</f>
        <v>#DIV/0!</v>
      </c>
      <c r="J23" s="242"/>
      <c r="K23" s="242" t="e">
        <f>'OD Efficiencies'!I$54*'OD StructuralVars'!$R23*('OD Shares'!P23/'OD Efficiencies'!I23)/('OD Shares'!P$12/'OD Efficiencies'!I$12)</f>
        <v>#DIV/0!</v>
      </c>
      <c r="L23" s="242" t="e">
        <f>'OD Efficiencies'!J$54*('OD Shares'!R23/'OD Efficiencies'!J23)/('OD Shares'!R$12/'OD Efficiencies'!J$12)</f>
        <v>#DIV/0!</v>
      </c>
      <c r="M23" s="242">
        <f>'OD Efficiencies'!K$54*('OD Shares'!T23/(1/'OD Efficiencies'!K23))/('OD Shares'!T$12/(1/'OD Efficiencies'!K$12))</f>
        <v>667.52765741964822</v>
      </c>
      <c r="N23" s="242">
        <f>'OD Efficiencies'!L$54*('OD Shares'!U23/(1/'OD Efficiencies'!L23))/('OD Shares'!U$12/(1/'OD Efficiencies'!L$12))</f>
        <v>585.78949188753359</v>
      </c>
      <c r="O23" s="242">
        <f>'OD Efficiencies'!M$54*('OD Shares'!W23/(1/'OD Efficiencies'!M23))/('OD Shares'!W$12/(1/'OD Efficiencies'!M$12))</f>
        <v>106.24642001162144</v>
      </c>
      <c r="P23" s="242">
        <f>'OD Efficiencies'!N$54*('OD Shares'!Y23/(1/'OD Efficiencies'!N23))/('OD Shares'!Y$12/(1/'OD Efficiencies'!N$12))</f>
        <v>294.67334379858306</v>
      </c>
      <c r="Q23" s="242">
        <f>'OD Efficiencies'!O$54*('OD Shares'!AA23/(1/'OD Efficiencies'!O23))/('OD Shares'!AA$12/(1/'OD Efficiencies'!O$12))</f>
        <v>173.8711764444694</v>
      </c>
      <c r="R23" s="242" t="e">
        <f>'OD Efficiencies'!P$54*('OD Shares'!AC23/(1/'OD Efficiencies'!P23))/('OD Shares'!AC$12/(1/'OD Efficiencies'!P$12))</f>
        <v>#DIV/0!</v>
      </c>
      <c r="S23" s="242" t="e">
        <f>'OD Efficiencies'!Q$54*('OD Shares'!AE23/(1/'OD Efficiencies'!Q23))/('OD Shares'!AE$12/(1/'OD Efficiencies'!Q$12))</f>
        <v>#DIV/0!</v>
      </c>
      <c r="T23" s="242" t="e">
        <f>'OD Efficiencies'!R$54*('OD Shares'!AG23/(1/'OD Efficiencies'!R23))/('OD Shares'!AG$12/(1/'OD Efficiencies'!R$12))</f>
        <v>#DIV/0!</v>
      </c>
      <c r="U23" s="242" t="e">
        <f>'OD Efficiencies'!S$54*('OD Shares'!AH23/(1/'OD Efficiencies'!S23))/('OD Shares'!AH$12/(1/'OD Efficiencies'!S$12))</f>
        <v>#DIV/0!</v>
      </c>
      <c r="V23" s="242">
        <f>'OD Efficiencies'!T$54*('OD Shares'!AI23/(1/'OD Efficiencies'!T23))/('OD Shares'!AI$12/(1/'OD Efficiencies'!T$12))</f>
        <v>2010.1792009962799</v>
      </c>
      <c r="W23" s="242">
        <f>'OD Efficiencies'!V$54*('OD Shares'!AJ23/(1/'OD Efficiencies'!X23))/('OD Shares'!AJ$12/(1/'OD Efficiencies'!X$12))</f>
        <v>4122.2572392728616</v>
      </c>
      <c r="Y23" s="243"/>
    </row>
    <row r="24" spans="1:25" x14ac:dyDescent="0.2">
      <c r="A24" s="240">
        <v>2017</v>
      </c>
      <c r="B24" s="241">
        <f t="shared" si="4"/>
        <v>1583.4008194813853</v>
      </c>
      <c r="C24" s="241" t="e">
        <f t="shared" si="3"/>
        <v>#DIV/0!</v>
      </c>
      <c r="D24" s="242">
        <f>'OD Efficiencies'!B$54*'OD StructuralVars'!$Q24*('OD Shares'!B24/'OD Efficiencies'!B24)/('OD Shares'!B$12/'OD Efficiencies'!B$12)</f>
        <v>1108.9318061873096</v>
      </c>
      <c r="E24" s="242">
        <f>'OD Efficiencies'!C$54*'OD StructuralVars'!$Q24*('OD Shares'!D24/'OD Efficiencies'!C24)/('OD Shares'!D$12/'OD Efficiencies'!C$12)</f>
        <v>428.21296719336749</v>
      </c>
      <c r="F24" s="242"/>
      <c r="G24" s="242">
        <f>'OD Efficiencies'!E$54*'OD StructuralVars'!$Q24*('OD Shares'!H24/(1/'OD Efficiencies'!E24))/('OD Shares'!H$12/(1/'OD Efficiencies'!E$12))</f>
        <v>46.256046100708119</v>
      </c>
      <c r="H24" s="242" t="e">
        <f>'OD Efficiencies'!F$54*'OD StructuralVars'!$R24*('OD Shares'!J24/'OD Efficiencies'!F24)/('OD Shares'!J$12/'OD Efficiencies'!F$12)</f>
        <v>#DIV/0!</v>
      </c>
      <c r="I24" s="242" t="e">
        <f>'OD Efficiencies'!G$54*'OD StructuralVars'!$R24*('OD Shares'!L24/'OD Efficiencies'!G24)/('OD Shares'!L$12/'OD Efficiencies'!G$12)</f>
        <v>#DIV/0!</v>
      </c>
      <c r="J24" s="242"/>
      <c r="K24" s="242" t="e">
        <f>'OD Efficiencies'!I$54*'OD StructuralVars'!$R24*('OD Shares'!P24/'OD Efficiencies'!I24)/('OD Shares'!P$12/'OD Efficiencies'!I$12)</f>
        <v>#DIV/0!</v>
      </c>
      <c r="L24" s="242" t="e">
        <f>'OD Efficiencies'!J$54*('OD Shares'!R24/'OD Efficiencies'!J24)/('OD Shares'!R$12/'OD Efficiencies'!J$12)</f>
        <v>#DIV/0!</v>
      </c>
      <c r="M24" s="242">
        <f>'OD Efficiencies'!K$54*('OD Shares'!T24/(1/'OD Efficiencies'!K24))/('OD Shares'!T$12/(1/'OD Efficiencies'!K$12))</f>
        <v>665.69571653226444</v>
      </c>
      <c r="N24" s="242">
        <f>'OD Efficiencies'!L$54*('OD Shares'!U24/(1/'OD Efficiencies'!L24))/('OD Shares'!U$12/(1/'OD Efficiencies'!L$12))</f>
        <v>575.16076046834485</v>
      </c>
      <c r="O24" s="242">
        <f>'OD Efficiencies'!M$54*('OD Shares'!W24/(1/'OD Efficiencies'!M24))/('OD Shares'!W$12/(1/'OD Efficiencies'!M$12))</f>
        <v>104.28127431010333</v>
      </c>
      <c r="P24" s="242">
        <f>'OD Efficiencies'!N$54*('OD Shares'!Y24/(1/'OD Efficiencies'!N24))/('OD Shares'!Y$12/(1/'OD Efficiencies'!N$12))</f>
        <v>291.92285732565381</v>
      </c>
      <c r="Q24" s="242">
        <f>'OD Efficiencies'!O$54*('OD Shares'!AA24/(1/'OD Efficiencies'!O24))/('OD Shares'!AA$12/(1/'OD Efficiencies'!O$12))</f>
        <v>172.56111290228</v>
      </c>
      <c r="R24" s="242" t="e">
        <f>'OD Efficiencies'!P$54*('OD Shares'!AC24/(1/'OD Efficiencies'!P24))/('OD Shares'!AC$12/(1/'OD Efficiencies'!P$12))</f>
        <v>#DIV/0!</v>
      </c>
      <c r="S24" s="242" t="e">
        <f>'OD Efficiencies'!Q$54*('OD Shares'!AE24/(1/'OD Efficiencies'!Q24))/('OD Shares'!AE$12/(1/'OD Efficiencies'!Q$12))</f>
        <v>#DIV/0!</v>
      </c>
      <c r="T24" s="242" t="e">
        <f>'OD Efficiencies'!R$54*('OD Shares'!AG24/(1/'OD Efficiencies'!R24))/('OD Shares'!AG$12/(1/'OD Efficiencies'!R$12))</f>
        <v>#DIV/0!</v>
      </c>
      <c r="U24" s="242" t="e">
        <f>'OD Efficiencies'!S$54*('OD Shares'!AH24/(1/'OD Efficiencies'!S24))/('OD Shares'!AH$12/(1/'OD Efficiencies'!S$12))</f>
        <v>#DIV/0!</v>
      </c>
      <c r="V24" s="242">
        <f>'OD Efficiencies'!T$54*('OD Shares'!AI24/(1/'OD Efficiencies'!T24))/('OD Shares'!AI$12/(1/'OD Efficiencies'!T$12))</f>
        <v>2010.1792009962799</v>
      </c>
      <c r="W24" s="242">
        <f>'OD Efficiencies'!V$54*('OD Shares'!AJ24/(1/'OD Efficiencies'!X24))/('OD Shares'!AJ$12/(1/'OD Efficiencies'!X$12))</f>
        <v>4166.6782695119546</v>
      </c>
      <c r="Y24" s="243"/>
    </row>
    <row r="25" spans="1:25" x14ac:dyDescent="0.2">
      <c r="A25" s="240">
        <v>2018</v>
      </c>
      <c r="B25" s="241">
        <f t="shared" si="4"/>
        <v>1569.0984360726484</v>
      </c>
      <c r="C25" s="241" t="e">
        <f t="shared" si="3"/>
        <v>#DIV/0!</v>
      </c>
      <c r="D25" s="242">
        <f>'OD Efficiencies'!B$54*'OD StructuralVars'!$Q25*('OD Shares'!B25/'OD Efficiencies'!B25)/('OD Shares'!B$12/'OD Efficiencies'!B$12)</f>
        <v>1099.2175040015766</v>
      </c>
      <c r="E25" s="242">
        <f>'OD Efficiencies'!C$54*'OD StructuralVars'!$Q25*('OD Shares'!D25/'OD Efficiencies'!C25)/('OD Shares'!D$12/'OD Efficiencies'!C$12)</f>
        <v>427.26559522180048</v>
      </c>
      <c r="F25" s="242"/>
      <c r="G25" s="242">
        <f>'OD Efficiencies'!E$54*'OD StructuralVars'!$Q25*('OD Shares'!H25/(1/'OD Efficiencies'!E25))/('OD Shares'!H$12/(1/'OD Efficiencies'!E$12))</f>
        <v>42.615336849271443</v>
      </c>
      <c r="H25" s="242" t="e">
        <f>'OD Efficiencies'!F$54*'OD StructuralVars'!$R25*('OD Shares'!J25/'OD Efficiencies'!F25)/('OD Shares'!J$12/'OD Efficiencies'!F$12)</f>
        <v>#DIV/0!</v>
      </c>
      <c r="I25" s="242" t="e">
        <f>'OD Efficiencies'!G$54*'OD StructuralVars'!$R25*('OD Shares'!L25/'OD Efficiencies'!G25)/('OD Shares'!L$12/'OD Efficiencies'!G$12)</f>
        <v>#DIV/0!</v>
      </c>
      <c r="J25" s="242"/>
      <c r="K25" s="242" t="e">
        <f>'OD Efficiencies'!I$54*'OD StructuralVars'!$R25*('OD Shares'!P25/'OD Efficiencies'!I25)/('OD Shares'!P$12/'OD Efficiencies'!I$12)</f>
        <v>#DIV/0!</v>
      </c>
      <c r="L25" s="242" t="e">
        <f>'OD Efficiencies'!J$54*('OD Shares'!R25/'OD Efficiencies'!J25)/('OD Shares'!R$12/'OD Efficiencies'!J$12)</f>
        <v>#DIV/0!</v>
      </c>
      <c r="M25" s="242">
        <f>'OD Efficiencies'!K$54*('OD Shares'!T25/(1/'OD Efficiencies'!K25))/('OD Shares'!T$12/(1/'OD Efficiencies'!K$12))</f>
        <v>665.69489193592085</v>
      </c>
      <c r="N25" s="242">
        <f>'OD Efficiencies'!L$54*('OD Shares'!U25/(1/'OD Efficiencies'!L25))/('OD Shares'!U$12/(1/'OD Efficiencies'!L$12))</f>
        <v>565.33575781775198</v>
      </c>
      <c r="O25" s="242">
        <f>'OD Efficiencies'!M$54*('OD Shares'!W25/(1/'OD Efficiencies'!M25))/('OD Shares'!W$12/(1/'OD Efficiencies'!M$12))</f>
        <v>102.4482813479507</v>
      </c>
      <c r="P25" s="242">
        <f>'OD Efficiencies'!N$54*('OD Shares'!Y25/(1/'OD Efficiencies'!N25))/('OD Shares'!Y$12/(1/'OD Efficiencies'!N$12))</f>
        <v>289.4614131020839</v>
      </c>
      <c r="Q25" s="242">
        <f>'OD Efficiencies'!O$54*('OD Shares'!AA25/(1/'OD Efficiencies'!O25))/('OD Shares'!AA$12/(1/'OD Efficiencies'!O$12))</f>
        <v>172.10532183478566</v>
      </c>
      <c r="R25" s="242" t="e">
        <f>'OD Efficiencies'!P$54*('OD Shares'!AC25/(1/'OD Efficiencies'!P25))/('OD Shares'!AC$12/(1/'OD Efficiencies'!P$12))</f>
        <v>#DIV/0!</v>
      </c>
      <c r="S25" s="242" t="e">
        <f>'OD Efficiencies'!Q$54*('OD Shares'!AE25/(1/'OD Efficiencies'!Q25))/('OD Shares'!AE$12/(1/'OD Efficiencies'!Q$12))</f>
        <v>#DIV/0!</v>
      </c>
      <c r="T25" s="242" t="e">
        <f>'OD Efficiencies'!R$54*('OD Shares'!AG25/(1/'OD Efficiencies'!R25))/('OD Shares'!AG$12/(1/'OD Efficiencies'!R$12))</f>
        <v>#DIV/0!</v>
      </c>
      <c r="U25" s="242" t="e">
        <f>'OD Efficiencies'!S$54*('OD Shares'!AH25/(1/'OD Efficiencies'!S25))/('OD Shares'!AH$12/(1/'OD Efficiencies'!S$12))</f>
        <v>#DIV/0!</v>
      </c>
      <c r="V25" s="242">
        <f>'OD Efficiencies'!T$54*('OD Shares'!AI25/(1/'OD Efficiencies'!T25))/('OD Shares'!AI$12/(1/'OD Efficiencies'!T$12))</f>
        <v>2010.1792009962799</v>
      </c>
      <c r="W25" s="242">
        <f>'OD Efficiencies'!V$54*('OD Shares'!AJ25/(1/'OD Efficiencies'!X25))/('OD Shares'!AJ$12/(1/'OD Efficiencies'!X$12))</f>
        <v>4219.3455968830121</v>
      </c>
      <c r="Y25" s="243"/>
    </row>
    <row r="26" spans="1:25" x14ac:dyDescent="0.2">
      <c r="A26" s="240">
        <v>2019</v>
      </c>
      <c r="B26" s="241">
        <f t="shared" si="4"/>
        <v>1555.7398056880891</v>
      </c>
      <c r="C26" s="241" t="e">
        <f t="shared" si="3"/>
        <v>#DIV/0!</v>
      </c>
      <c r="D26" s="242">
        <f>'OD Efficiencies'!B$54*'OD StructuralVars'!$Q26*('OD Shares'!B26/'OD Efficiencies'!B26)/('OD Shares'!B$12/'OD Efficiencies'!B$12)</f>
        <v>1090.1610316725858</v>
      </c>
      <c r="E26" s="242">
        <f>'OD Efficiencies'!C$54*'OD StructuralVars'!$Q26*('OD Shares'!D26/'OD Efficiencies'!C26)/('OD Shares'!D$12/'OD Efficiencies'!C$12)</f>
        <v>426.41758787496906</v>
      </c>
      <c r="F26" s="242"/>
      <c r="G26" s="242">
        <f>'OD Efficiencies'!E$54*'OD StructuralVars'!$Q26*('OD Shares'!H26/(1/'OD Efficiencies'!E26))/('OD Shares'!H$12/(1/'OD Efficiencies'!E$12))</f>
        <v>39.161186140534312</v>
      </c>
      <c r="H26" s="242" t="e">
        <f>'OD Efficiencies'!F$54*'OD StructuralVars'!$R26*('OD Shares'!J26/'OD Efficiencies'!F26)/('OD Shares'!J$12/'OD Efficiencies'!F$12)</f>
        <v>#DIV/0!</v>
      </c>
      <c r="I26" s="242" t="e">
        <f>'OD Efficiencies'!G$54*'OD StructuralVars'!$R26*('OD Shares'!L26/'OD Efficiencies'!G26)/('OD Shares'!L$12/'OD Efficiencies'!G$12)</f>
        <v>#DIV/0!</v>
      </c>
      <c r="J26" s="242"/>
      <c r="K26" s="242" t="e">
        <f>'OD Efficiencies'!I$54*'OD StructuralVars'!$R26*('OD Shares'!P26/'OD Efficiencies'!I26)/('OD Shares'!P$12/'OD Efficiencies'!I$12)</f>
        <v>#DIV/0!</v>
      </c>
      <c r="L26" s="242" t="e">
        <f>'OD Efficiencies'!J$54*('OD Shares'!R26/'OD Efficiencies'!J26)/('OD Shares'!R$12/'OD Efficiencies'!J$12)</f>
        <v>#DIV/0!</v>
      </c>
      <c r="M26" s="242">
        <f>'OD Efficiencies'!K$54*('OD Shares'!T26/(1/'OD Efficiencies'!K26))/('OD Shares'!T$12/(1/'OD Efficiencies'!K$12))</f>
        <v>665.78530401857438</v>
      </c>
      <c r="N26" s="242">
        <f>'OD Efficiencies'!L$54*('OD Shares'!U26/(1/'OD Efficiencies'!L26))/('OD Shares'!U$12/(1/'OD Efficiencies'!L$12))</f>
        <v>556.25468484519808</v>
      </c>
      <c r="O26" s="242">
        <f>'OD Efficiencies'!M$54*('OD Shares'!W26/(1/'OD Efficiencies'!M26))/('OD Shares'!W$12/(1/'OD Efficiencies'!M$12))</f>
        <v>100.74958784086755</v>
      </c>
      <c r="P26" s="242">
        <f>'OD Efficiencies'!N$54*('OD Shares'!Y26/(1/'OD Efficiencies'!N26))/('OD Shares'!Y$12/(1/'OD Efficiencies'!N$12))</f>
        <v>287.21092238255085</v>
      </c>
      <c r="Q26" s="242">
        <f>'OD Efficiencies'!O$54*('OD Shares'!AA26/(1/'OD Efficiencies'!O26))/('OD Shares'!AA$12/(1/'OD Efficiencies'!O$12))</f>
        <v>172.03336479030628</v>
      </c>
      <c r="R26" s="242" t="e">
        <f>'OD Efficiencies'!P$54*('OD Shares'!AC26/(1/'OD Efficiencies'!P26))/('OD Shares'!AC$12/(1/'OD Efficiencies'!P$12))</f>
        <v>#DIV/0!</v>
      </c>
      <c r="S26" s="242" t="e">
        <f>'OD Efficiencies'!Q$54*('OD Shares'!AE26/(1/'OD Efficiencies'!Q26))/('OD Shares'!AE$12/(1/'OD Efficiencies'!Q$12))</f>
        <v>#DIV/0!</v>
      </c>
      <c r="T26" s="242" t="e">
        <f>'OD Efficiencies'!R$54*('OD Shares'!AG26/(1/'OD Efficiencies'!R26))/('OD Shares'!AG$12/(1/'OD Efficiencies'!R$12))</f>
        <v>#DIV/0!</v>
      </c>
      <c r="U26" s="242" t="e">
        <f>'OD Efficiencies'!S$54*('OD Shares'!AH26/(1/'OD Efficiencies'!S26))/('OD Shares'!AH$12/(1/'OD Efficiencies'!S$12))</f>
        <v>#DIV/0!</v>
      </c>
      <c r="V26" s="242">
        <f>'OD Efficiencies'!T$54*('OD Shares'!AI26/(1/'OD Efficiencies'!T26))/('OD Shares'!AI$12/(1/'OD Efficiencies'!T$12))</f>
        <v>2010.1792009962799</v>
      </c>
      <c r="W26" s="242">
        <f>'OD Efficiencies'!V$54*('OD Shares'!AJ26/(1/'OD Efficiencies'!X26))/('OD Shares'!AJ$12/(1/'OD Efficiencies'!X$12))</f>
        <v>4274.0423674132044</v>
      </c>
      <c r="Y26" s="243"/>
    </row>
    <row r="27" spans="1:25" x14ac:dyDescent="0.2">
      <c r="A27" s="240">
        <v>2020</v>
      </c>
      <c r="B27" s="241">
        <f t="shared" si="4"/>
        <v>1543.4939463100413</v>
      </c>
      <c r="C27" s="241" t="e">
        <f t="shared" si="3"/>
        <v>#DIV/0!</v>
      </c>
      <c r="D27" s="242">
        <f>'OD Efficiencies'!B$54*'OD StructuralVars'!$Q27*('OD Shares'!B27/'OD Efficiencies'!B27)/('OD Shares'!B$12/'OD Efficiencies'!B$12)</f>
        <v>1081.5116805920161</v>
      </c>
      <c r="E27" s="242">
        <f>'OD Efficiencies'!C$54*'OD StructuralVars'!$Q27*('OD Shares'!D27/'OD Efficiencies'!C27)/('OD Shares'!D$12/'OD Efficiencies'!C$12)</f>
        <v>425.95159014400201</v>
      </c>
      <c r="F27" s="242"/>
      <c r="G27" s="242">
        <f>'OD Efficiencies'!E$54*'OD StructuralVars'!$Q27*('OD Shares'!H27/(1/'OD Efficiencies'!E27))/('OD Shares'!H$12/(1/'OD Efficiencies'!E$12))</f>
        <v>36.030675574023256</v>
      </c>
      <c r="H27" s="242" t="e">
        <f>'OD Efficiencies'!F$54*'OD StructuralVars'!$R27*('OD Shares'!J27/'OD Efficiencies'!F27)/('OD Shares'!J$12/'OD Efficiencies'!F$12)</f>
        <v>#DIV/0!</v>
      </c>
      <c r="I27" s="242" t="e">
        <f>'OD Efficiencies'!G$54*'OD StructuralVars'!$R27*('OD Shares'!L27/'OD Efficiencies'!G27)/('OD Shares'!L$12/'OD Efficiencies'!G$12)</f>
        <v>#DIV/0!</v>
      </c>
      <c r="J27" s="242"/>
      <c r="K27" s="242" t="e">
        <f>'OD Efficiencies'!I$54*'OD StructuralVars'!$R27*('OD Shares'!P27/'OD Efficiencies'!I27)/('OD Shares'!P$12/'OD Efficiencies'!I$12)</f>
        <v>#DIV/0!</v>
      </c>
      <c r="L27" s="242" t="e">
        <f>'OD Efficiencies'!J$54*('OD Shares'!R27/'OD Efficiencies'!J27)/('OD Shares'!R$12/'OD Efficiencies'!J$12)</f>
        <v>#DIV/0!</v>
      </c>
      <c r="M27" s="242">
        <f>'OD Efficiencies'!K$54*('OD Shares'!T27/(1/'OD Efficiencies'!K27))/('OD Shares'!T$12/(1/'OD Efficiencies'!K$12))</f>
        <v>667.84117539371186</v>
      </c>
      <c r="N27" s="242">
        <f>'OD Efficiencies'!L$54*('OD Shares'!U27/(1/'OD Efficiencies'!L27))/('OD Shares'!U$12/(1/'OD Efficiencies'!L$12))</f>
        <v>547.67201282999065</v>
      </c>
      <c r="O27" s="242">
        <f>'OD Efficiencies'!M$54*('OD Shares'!W27/(1/'OD Efficiencies'!M27))/('OD Shares'!W$12/(1/'OD Efficiencies'!M$12))</f>
        <v>99.139004275447149</v>
      </c>
      <c r="P27" s="242">
        <f>'OD Efficiencies'!N$54*('OD Shares'!Y27/(1/'OD Efficiencies'!N27))/('OD Shares'!Y$12/(1/'OD Efficiencies'!N$12))</f>
        <v>285.18594659559989</v>
      </c>
      <c r="Q27" s="242">
        <f>'OD Efficiencies'!O$54*('OD Shares'!AA27/(1/'OD Efficiencies'!O27))/('OD Shares'!AA$12/(1/'OD Efficiencies'!O$12))</f>
        <v>172.73839476238791</v>
      </c>
      <c r="R27" s="242" t="e">
        <f>'OD Efficiencies'!P$54*('OD Shares'!AC27/(1/'OD Efficiencies'!P27))/('OD Shares'!AC$12/(1/'OD Efficiencies'!P$12))</f>
        <v>#DIV/0!</v>
      </c>
      <c r="S27" s="242" t="e">
        <f>'OD Efficiencies'!Q$54*('OD Shares'!AE27/(1/'OD Efficiencies'!Q27))/('OD Shares'!AE$12/(1/'OD Efficiencies'!Q$12))</f>
        <v>#DIV/0!</v>
      </c>
      <c r="T27" s="242" t="e">
        <f>'OD Efficiencies'!R$54*('OD Shares'!AG27/(1/'OD Efficiencies'!R27))/('OD Shares'!AG$12/(1/'OD Efficiencies'!R$12))</f>
        <v>#DIV/0!</v>
      </c>
      <c r="U27" s="242" t="e">
        <f>'OD Efficiencies'!S$54*('OD Shares'!AH27/(1/'OD Efficiencies'!S27))/('OD Shares'!AH$12/(1/'OD Efficiencies'!S$12))</f>
        <v>#DIV/0!</v>
      </c>
      <c r="V27" s="242">
        <f>'OD Efficiencies'!T$54*('OD Shares'!AI27/(1/'OD Efficiencies'!T27))/('OD Shares'!AI$12/(1/'OD Efficiencies'!T$12))</f>
        <v>2010.1792009962799</v>
      </c>
      <c r="W27" s="242">
        <f>'OD Efficiencies'!V$54*('OD Shares'!AJ27/(1/'OD Efficiencies'!X27))/('OD Shares'!AJ$12/(1/'OD Efficiencies'!X$12))</f>
        <v>4357.3862314316493</v>
      </c>
      <c r="Y27" s="243"/>
    </row>
    <row r="28" spans="1:25" x14ac:dyDescent="0.2">
      <c r="A28" s="208">
        <v>2021</v>
      </c>
      <c r="B28" s="241">
        <f t="shared" si="4"/>
        <v>1531.8945934377175</v>
      </c>
      <c r="C28" s="241" t="e">
        <f t="shared" si="3"/>
        <v>#DIV/0!</v>
      </c>
      <c r="D28" s="242">
        <f>'OD Efficiencies'!B$54*'OD StructuralVars'!$Q28*('OD Shares'!B28/'OD Efficiencies'!B28)/('OD Shares'!B$12/'OD Efficiencies'!B$12)</f>
        <v>1073.6593300310028</v>
      </c>
      <c r="E28" s="242">
        <f>'OD Efficiencies'!C$54*'OD StructuralVars'!$Q28*('OD Shares'!D28/'OD Efficiencies'!C28)/('OD Shares'!D$12/'OD Efficiencies'!C$12)</f>
        <v>425.34754458693254</v>
      </c>
      <c r="F28" s="242"/>
      <c r="G28" s="242">
        <f>'OD Efficiencies'!E$54*'OD StructuralVars'!$Q28*('OD Shares'!H28/(1/'OD Efficiencies'!E28))/('OD Shares'!H$12/(1/'OD Efficiencies'!E$12))</f>
        <v>32.887718819782002</v>
      </c>
      <c r="H28" s="242" t="e">
        <f>'OD Efficiencies'!F$54*'OD StructuralVars'!$R28*('OD Shares'!J28/'OD Efficiencies'!F28)/('OD Shares'!J$12/'OD Efficiencies'!F$12)</f>
        <v>#DIV/0!</v>
      </c>
      <c r="I28" s="242" t="e">
        <f>'OD Efficiencies'!G$54*'OD StructuralVars'!$R28*('OD Shares'!L28/'OD Efficiencies'!G28)/('OD Shares'!L$12/'OD Efficiencies'!G$12)</f>
        <v>#DIV/0!</v>
      </c>
      <c r="J28" s="242"/>
      <c r="K28" s="242" t="e">
        <f>'OD Efficiencies'!I$54*'OD StructuralVars'!$R28*('OD Shares'!P28/'OD Efficiencies'!I28)/('OD Shares'!P$12/'OD Efficiencies'!I$12)</f>
        <v>#DIV/0!</v>
      </c>
      <c r="L28" s="242" t="e">
        <f>'OD Efficiencies'!J$54*('OD Shares'!R28/'OD Efficiencies'!J28)/('OD Shares'!R$12/'OD Efficiencies'!J$12)</f>
        <v>#DIV/0!</v>
      </c>
      <c r="M28" s="242">
        <f>'OD Efficiencies'!K$54*('OD Shares'!T28/(1/'OD Efficiencies'!K28))/('OD Shares'!T$12/(1/'OD Efficiencies'!K$12))</f>
        <v>666.24273185689117</v>
      </c>
      <c r="N28" s="242">
        <f>'OD Efficiencies'!L$54*('OD Shares'!U28/(1/'OD Efficiencies'!L28))/('OD Shares'!U$12/(1/'OD Efficiencies'!L$12))</f>
        <v>539.63590273643638</v>
      </c>
      <c r="O28" s="242">
        <f>'OD Efficiencies'!M$54*('OD Shares'!W28/(1/'OD Efficiencies'!M28))/('OD Shares'!W$12/(1/'OD Efficiencies'!M$12))</f>
        <v>97.610288215918459</v>
      </c>
      <c r="P28" s="242">
        <f>'OD Efficiencies'!N$54*('OD Shares'!Y28/(1/'OD Efficiencies'!N28))/('OD Shares'!Y$12/(1/'OD Efficiencies'!N$12))</f>
        <v>283.25446708517012</v>
      </c>
      <c r="Q28" s="242">
        <f>'OD Efficiencies'!O$54*('OD Shares'!AA28/(1/'OD Efficiencies'!O28))/('OD Shares'!AA$12/(1/'OD Efficiencies'!O$12))</f>
        <v>172.76944757090325</v>
      </c>
      <c r="R28" s="242" t="e">
        <f>'OD Efficiencies'!P$54*('OD Shares'!AC28/(1/'OD Efficiencies'!P28))/('OD Shares'!AC$12/(1/'OD Efficiencies'!P$12))</f>
        <v>#DIV/0!</v>
      </c>
      <c r="S28" s="242" t="e">
        <f>'OD Efficiencies'!Q$54*('OD Shares'!AE28/(1/'OD Efficiencies'!Q28))/('OD Shares'!AE$12/(1/'OD Efficiencies'!Q$12))</f>
        <v>#DIV/0!</v>
      </c>
      <c r="T28" s="242" t="e">
        <f>'OD Efficiencies'!R$54*('OD Shares'!AG28/(1/'OD Efficiencies'!R28))/('OD Shares'!AG$12/(1/'OD Efficiencies'!R$12))</f>
        <v>#DIV/0!</v>
      </c>
      <c r="U28" s="242" t="e">
        <f>'OD Efficiencies'!S$54*('OD Shares'!AH28/(1/'OD Efficiencies'!S28))/('OD Shares'!AH$12/(1/'OD Efficiencies'!S$12))</f>
        <v>#DIV/0!</v>
      </c>
      <c r="V28" s="242">
        <f>'OD Efficiencies'!T$54*('OD Shares'!AI28/(1/'OD Efficiencies'!T28))/('OD Shares'!AI$12/(1/'OD Efficiencies'!T$12))</f>
        <v>2010.1792009962799</v>
      </c>
      <c r="W28" s="242">
        <f>'OD Efficiencies'!V$54*('OD Shares'!AJ28/(1/'OD Efficiencies'!X28))/('OD Shares'!AJ$12/(1/'OD Efficiencies'!X$12))</f>
        <v>4419.7784415372143</v>
      </c>
      <c r="Y28" s="243"/>
    </row>
    <row r="29" spans="1:25" x14ac:dyDescent="0.2">
      <c r="A29" s="208">
        <v>2022</v>
      </c>
      <c r="B29" s="241">
        <f t="shared" si="4"/>
        <v>1521.3385231275151</v>
      </c>
      <c r="C29" s="241" t="e">
        <f t="shared" si="3"/>
        <v>#DIV/0!</v>
      </c>
      <c r="D29" s="242">
        <f>'OD Efficiencies'!B$54*'OD StructuralVars'!$Q29*('OD Shares'!B29/'OD Efficiencies'!B29)/('OD Shares'!B$12/'OD Efficiencies'!B$12)</f>
        <v>1066.482086894255</v>
      </c>
      <c r="E29" s="242">
        <f>'OD Efficiencies'!C$54*'OD StructuralVars'!$Q29*('OD Shares'!D29/'OD Efficiencies'!C29)/('OD Shares'!D$12/'OD Efficiencies'!C$12)</f>
        <v>424.85200770827907</v>
      </c>
      <c r="F29" s="242"/>
      <c r="G29" s="242">
        <f>'OD Efficiencies'!E$54*'OD StructuralVars'!$Q29*('OD Shares'!H29/(1/'OD Efficiencies'!E29))/('OD Shares'!H$12/(1/'OD Efficiencies'!E$12))</f>
        <v>30.004428524981105</v>
      </c>
      <c r="H29" s="242" t="e">
        <f>'OD Efficiencies'!F$54*'OD StructuralVars'!$R29*('OD Shares'!J29/'OD Efficiencies'!F29)/('OD Shares'!J$12/'OD Efficiencies'!F$12)</f>
        <v>#DIV/0!</v>
      </c>
      <c r="I29" s="242" t="e">
        <f>'OD Efficiencies'!G$54*'OD StructuralVars'!$R29*('OD Shares'!L29/'OD Efficiencies'!G29)/('OD Shares'!L$12/'OD Efficiencies'!G$12)</f>
        <v>#DIV/0!</v>
      </c>
      <c r="J29" s="242"/>
      <c r="K29" s="242" t="e">
        <f>'OD Efficiencies'!I$54*'OD StructuralVars'!$R29*('OD Shares'!P29/'OD Efficiencies'!I29)/('OD Shares'!P$12/'OD Efficiencies'!I$12)</f>
        <v>#DIV/0!</v>
      </c>
      <c r="L29" s="242" t="e">
        <f>'OD Efficiencies'!J$54*('OD Shares'!R29/'OD Efficiencies'!J29)/('OD Shares'!R$12/'OD Efficiencies'!J$12)</f>
        <v>#DIV/0!</v>
      </c>
      <c r="M29" s="242">
        <f>'OD Efficiencies'!K$54*('OD Shares'!T29/(1/'OD Efficiencies'!K29))/('OD Shares'!T$12/(1/'OD Efficiencies'!K$12))</f>
        <v>666.5906385990819</v>
      </c>
      <c r="N29" s="242">
        <f>'OD Efficiencies'!L$54*('OD Shares'!U29/(1/'OD Efficiencies'!L29))/('OD Shares'!U$12/(1/'OD Efficiencies'!L$12))</f>
        <v>532.32951461427729</v>
      </c>
      <c r="O29" s="242">
        <f>'OD Efficiencies'!M$54*('OD Shares'!W29/(1/'OD Efficiencies'!M29))/('OD Shares'!W$12/(1/'OD Efficiencies'!M$12))</f>
        <v>96.199347803424558</v>
      </c>
      <c r="P29" s="242">
        <f>'OD Efficiencies'!N$54*('OD Shares'!Y29/(1/'OD Efficiencies'!N29))/('OD Shares'!Y$12/(1/'OD Efficiencies'!N$12))</f>
        <v>281.43786799712632</v>
      </c>
      <c r="Q29" s="242">
        <f>'OD Efficiencies'!O$54*('OD Shares'!AA29/(1/'OD Efficiencies'!O29))/('OD Shares'!AA$12/(1/'OD Efficiencies'!O$12))</f>
        <v>173.59323404139934</v>
      </c>
      <c r="R29" s="242" t="e">
        <f>'OD Efficiencies'!P$54*('OD Shares'!AC29/(1/'OD Efficiencies'!P29))/('OD Shares'!AC$12/(1/'OD Efficiencies'!P$12))</f>
        <v>#DIV/0!</v>
      </c>
      <c r="S29" s="242" t="e">
        <f>'OD Efficiencies'!Q$54*('OD Shares'!AE29/(1/'OD Efficiencies'!Q29))/('OD Shares'!AE$12/(1/'OD Efficiencies'!Q$12))</f>
        <v>#DIV/0!</v>
      </c>
      <c r="T29" s="242" t="e">
        <f>'OD Efficiencies'!R$54*('OD Shares'!AG29/(1/'OD Efficiencies'!R29))/('OD Shares'!AG$12/(1/'OD Efficiencies'!R$12))</f>
        <v>#DIV/0!</v>
      </c>
      <c r="U29" s="242" t="e">
        <f>'OD Efficiencies'!S$54*('OD Shares'!AH29/(1/'OD Efficiencies'!S29))/('OD Shares'!AH$12/(1/'OD Efficiencies'!S$12))</f>
        <v>#DIV/0!</v>
      </c>
      <c r="V29" s="242">
        <f>'OD Efficiencies'!T$54*('OD Shares'!AI29/(1/'OD Efficiencies'!T29))/('OD Shares'!AI$12/(1/'OD Efficiencies'!T$12))</f>
        <v>2010.1792009962799</v>
      </c>
      <c r="W29" s="242">
        <f>'OD Efficiencies'!V$54*('OD Shares'!AJ29/(1/'OD Efficiencies'!X29))/('OD Shares'!AJ$12/(1/'OD Efficiencies'!X$12))</f>
        <v>4507.5161361295432</v>
      </c>
    </row>
    <row r="30" spans="1:25" x14ac:dyDescent="0.2">
      <c r="A30" s="208">
        <v>2023</v>
      </c>
      <c r="B30" s="241">
        <f t="shared" si="4"/>
        <v>1511.3687298040081</v>
      </c>
      <c r="C30" s="241" t="e">
        <f t="shared" si="3"/>
        <v>#DIV/0!</v>
      </c>
      <c r="D30" s="242">
        <f>'OD Efficiencies'!B$54*'OD StructuralVars'!$Q30*('OD Shares'!B30/'OD Efficiencies'!B30)/('OD Shares'!B$12/'OD Efficiencies'!B$12)</f>
        <v>1059.5437189411305</v>
      </c>
      <c r="E30" s="242">
        <f>'OD Efficiencies'!C$54*'OD StructuralVars'!$Q30*('OD Shares'!D30/'OD Efficiencies'!C30)/('OD Shares'!D$12/'OD Efficiencies'!C$12)</f>
        <v>424.54938923721056</v>
      </c>
      <c r="F30" s="242"/>
      <c r="G30" s="242">
        <f>'OD Efficiencies'!E$54*'OD StructuralVars'!$Q30*('OD Shares'!H30/(1/'OD Efficiencies'!E30))/('OD Shares'!H$12/(1/'OD Efficiencies'!E$12))</f>
        <v>27.275621625667174</v>
      </c>
      <c r="H30" s="242" t="e">
        <f>'OD Efficiencies'!F$54*'OD StructuralVars'!$R30*('OD Shares'!J30/'OD Efficiencies'!F30)/('OD Shares'!J$12/'OD Efficiencies'!F$12)</f>
        <v>#DIV/0!</v>
      </c>
      <c r="I30" s="242" t="e">
        <f>'OD Efficiencies'!G$54*'OD StructuralVars'!$R30*('OD Shares'!L30/'OD Efficiencies'!G30)/('OD Shares'!L$12/'OD Efficiencies'!G$12)</f>
        <v>#DIV/0!</v>
      </c>
      <c r="J30" s="242"/>
      <c r="K30" s="242" t="e">
        <f>'OD Efficiencies'!I$54*'OD StructuralVars'!$R30*('OD Shares'!P30/'OD Efficiencies'!I30)/('OD Shares'!P$12/'OD Efficiencies'!I$12)</f>
        <v>#DIV/0!</v>
      </c>
      <c r="L30" s="242" t="e">
        <f>'OD Efficiencies'!J$54*('OD Shares'!R30/'OD Efficiencies'!J30)/('OD Shares'!R$12/'OD Efficiencies'!J$12)</f>
        <v>#DIV/0!</v>
      </c>
      <c r="M30" s="242">
        <f>'OD Efficiencies'!K$54*('OD Shares'!T30/(1/'OD Efficiencies'!K30))/('OD Shares'!T$12/(1/'OD Efficiencies'!K$12))</f>
        <v>667.04141884865192</v>
      </c>
      <c r="N30" s="242">
        <f>'OD Efficiencies'!L$54*('OD Shares'!U30/(1/'OD Efficiencies'!L30))/('OD Shares'!U$12/(1/'OD Efficiencies'!L$12))</f>
        <v>525.82991420751284</v>
      </c>
      <c r="O30" s="242">
        <f>'OD Efficiencies'!M$54*('OD Shares'!W30/(1/'OD Efficiencies'!M30))/('OD Shares'!W$12/(1/'OD Efficiencies'!M$12))</f>
        <v>94.937808855685162</v>
      </c>
      <c r="P30" s="242">
        <f>'OD Efficiencies'!N$54*('OD Shares'!Y30/(1/'OD Efficiencies'!N30))/('OD Shares'!Y$12/(1/'OD Efficiencies'!N$12))</f>
        <v>279.76431674267241</v>
      </c>
      <c r="Q30" s="242">
        <f>'OD Efficiencies'!O$54*('OD Shares'!AA30/(1/'OD Efficiencies'!O30))/('OD Shares'!AA$12/(1/'OD Efficiencies'!O$12))</f>
        <v>174.58015636299373</v>
      </c>
      <c r="R30" s="242" t="e">
        <f>'OD Efficiencies'!P$54*('OD Shares'!AC30/(1/'OD Efficiencies'!P30))/('OD Shares'!AC$12/(1/'OD Efficiencies'!P$12))</f>
        <v>#DIV/0!</v>
      </c>
      <c r="S30" s="242" t="e">
        <f>'OD Efficiencies'!Q$54*('OD Shares'!AE30/(1/'OD Efficiencies'!Q30))/('OD Shares'!AE$12/(1/'OD Efficiencies'!Q$12))</f>
        <v>#DIV/0!</v>
      </c>
      <c r="T30" s="242" t="e">
        <f>'OD Efficiencies'!R$54*('OD Shares'!AG30/(1/'OD Efficiencies'!R30))/('OD Shares'!AG$12/(1/'OD Efficiencies'!R$12))</f>
        <v>#DIV/0!</v>
      </c>
      <c r="U30" s="242" t="e">
        <f>'OD Efficiencies'!S$54*('OD Shares'!AH30/(1/'OD Efficiencies'!S30))/('OD Shares'!AH$12/(1/'OD Efficiencies'!S$12))</f>
        <v>#DIV/0!</v>
      </c>
      <c r="V30" s="242">
        <f>'OD Efficiencies'!T$54*('OD Shares'!AI30/(1/'OD Efficiencies'!T30))/('OD Shares'!AI$12/(1/'OD Efficiencies'!T$12))</f>
        <v>2010.1792009962799</v>
      </c>
      <c r="W30" s="242">
        <f>'OD Efficiencies'!V$54*('OD Shares'!AJ30/(1/'OD Efficiencies'!X30))/('OD Shares'!AJ$12/(1/'OD Efficiencies'!X$12))</f>
        <v>4595.4255753521002</v>
      </c>
    </row>
    <row r="31" spans="1:25" x14ac:dyDescent="0.2">
      <c r="A31" s="208">
        <v>2024</v>
      </c>
      <c r="B31" s="241">
        <f t="shared" si="4"/>
        <v>1502.0859997439245</v>
      </c>
      <c r="C31" s="241" t="e">
        <f t="shared" si="3"/>
        <v>#DIV/0!</v>
      </c>
      <c r="D31" s="242">
        <f>'OD Efficiencies'!B$54*'OD StructuralVars'!$Q31*('OD Shares'!B31/'OD Efficiencies'!B31)/('OD Shares'!B$12/'OD Efficiencies'!B$12)</f>
        <v>1052.8488001158873</v>
      </c>
      <c r="E31" s="242">
        <f>'OD Efficiencies'!C$54*'OD StructuralVars'!$Q31*('OD Shares'!D31/'OD Efficiencies'!C31)/('OD Shares'!D$12/'OD Efficiencies'!C$12)</f>
        <v>424.47792978117758</v>
      </c>
      <c r="F31" s="242"/>
      <c r="G31" s="242">
        <f>'OD Efficiencies'!E$54*'OD StructuralVars'!$Q31*('OD Shares'!H31/(1/'OD Efficiencies'!E31))/('OD Shares'!H$12/(1/'OD Efficiencies'!E$12))</f>
        <v>24.759269846859475</v>
      </c>
      <c r="H31" s="242" t="e">
        <f>'OD Efficiencies'!F$54*'OD StructuralVars'!$R31*('OD Shares'!J31/'OD Efficiencies'!F31)/('OD Shares'!J$12/'OD Efficiencies'!F$12)</f>
        <v>#DIV/0!</v>
      </c>
      <c r="I31" s="242" t="e">
        <f>'OD Efficiencies'!G$54*'OD StructuralVars'!$R31*('OD Shares'!L31/'OD Efficiencies'!G31)/('OD Shares'!L$12/'OD Efficiencies'!G$12)</f>
        <v>#DIV/0!</v>
      </c>
      <c r="J31" s="242"/>
      <c r="K31" s="242" t="e">
        <f>'OD Efficiencies'!I$54*'OD StructuralVars'!$R31*('OD Shares'!P31/'OD Efficiencies'!I31)/('OD Shares'!P$12/'OD Efficiencies'!I$12)</f>
        <v>#DIV/0!</v>
      </c>
      <c r="L31" s="242" t="e">
        <f>'OD Efficiencies'!J$54*('OD Shares'!R31/'OD Efficiencies'!J31)/('OD Shares'!R$12/'OD Efficiencies'!J$12)</f>
        <v>#DIV/0!</v>
      </c>
      <c r="M31" s="242">
        <f>'OD Efficiencies'!K$54*('OD Shares'!T31/(1/'OD Efficiencies'!K31))/('OD Shares'!T$12/(1/'OD Efficiencies'!K$12))</f>
        <v>669.33943806453783</v>
      </c>
      <c r="N31" s="242">
        <f>'OD Efficiencies'!L$54*('OD Shares'!U31/(1/'OD Efficiencies'!L31))/('OD Shares'!U$12/(1/'OD Efficiencies'!L$12))</f>
        <v>520.11738969779242</v>
      </c>
      <c r="O31" s="242">
        <f>'OD Efficiencies'!M$54*('OD Shares'!W31/(1/'OD Efficiencies'!M31))/('OD Shares'!W$12/(1/'OD Efficiencies'!M$12))</f>
        <v>93.826168695470514</v>
      </c>
      <c r="P31" s="242">
        <f>'OD Efficiencies'!N$54*('OD Shares'!Y31/(1/'OD Efficiencies'!N31))/('OD Shares'!Y$12/(1/'OD Efficiencies'!N$12))</f>
        <v>278.25241813077577</v>
      </c>
      <c r="Q31" s="242">
        <f>'OD Efficiencies'!O$54*('OD Shares'!AA31/(1/'OD Efficiencies'!O31))/('OD Shares'!AA$12/(1/'OD Efficiencies'!O$12))</f>
        <v>176.23584454830683</v>
      </c>
      <c r="R31" s="242" t="e">
        <f>'OD Efficiencies'!P$54*('OD Shares'!AC31/(1/'OD Efficiencies'!P31))/('OD Shares'!AC$12/(1/'OD Efficiencies'!P$12))</f>
        <v>#DIV/0!</v>
      </c>
      <c r="S31" s="242" t="e">
        <f>'OD Efficiencies'!Q$54*('OD Shares'!AE31/(1/'OD Efficiencies'!Q31))/('OD Shares'!AE$12/(1/'OD Efficiencies'!Q$12))</f>
        <v>#DIV/0!</v>
      </c>
      <c r="T31" s="242" t="e">
        <f>'OD Efficiencies'!R$54*('OD Shares'!AG31/(1/'OD Efficiencies'!R31))/('OD Shares'!AG$12/(1/'OD Efficiencies'!R$12))</f>
        <v>#DIV/0!</v>
      </c>
      <c r="U31" s="242" t="e">
        <f>'OD Efficiencies'!S$54*('OD Shares'!AH31/(1/'OD Efficiencies'!S31))/('OD Shares'!AH$12/(1/'OD Efficiencies'!S$12))</f>
        <v>#DIV/0!</v>
      </c>
      <c r="V31" s="242">
        <f>'OD Efficiencies'!T$54*('OD Shares'!AI31/(1/'OD Efficiencies'!T31))/('OD Shares'!AI$12/(1/'OD Efficiencies'!T$12))</f>
        <v>2010.1792009962799</v>
      </c>
      <c r="W31" s="242">
        <f>'OD Efficiencies'!V$54*('OD Shares'!AJ31/(1/'OD Efficiencies'!X31))/('OD Shares'!AJ$12/(1/'OD Efficiencies'!X$12))</f>
        <v>4699.6032344355999</v>
      </c>
    </row>
    <row r="32" spans="1:25" x14ac:dyDescent="0.2">
      <c r="A32" s="208">
        <v>2025</v>
      </c>
      <c r="B32" s="241">
        <f t="shared" si="4"/>
        <v>1493.0360021161423</v>
      </c>
      <c r="C32" s="241" t="e">
        <f t="shared" si="3"/>
        <v>#DIV/0!</v>
      </c>
      <c r="D32" s="242">
        <f>'OD Efficiencies'!B$54*'OD StructuralVars'!$Q32*('OD Shares'!B32/'OD Efficiencies'!B32)/('OD Shares'!B$12/'OD Efficiencies'!B$12)</f>
        <v>1046.215999495347</v>
      </c>
      <c r="E32" s="242">
        <f>'OD Efficiencies'!C$54*'OD StructuralVars'!$Q32*('OD Shares'!D32/'OD Efficiencies'!C32)/('OD Shares'!D$12/'OD Efficiencies'!C$12)</f>
        <v>424.63993491002287</v>
      </c>
      <c r="F32" s="242"/>
      <c r="G32" s="242">
        <f>'OD Efficiencies'!E$54*'OD StructuralVars'!$Q32*('OD Shares'!H32/(1/'OD Efficiencies'!E32))/('OD Shares'!H$12/(1/'OD Efficiencies'!E$12))</f>
        <v>22.180067710772484</v>
      </c>
      <c r="H32" s="242" t="e">
        <f>'OD Efficiencies'!F$54*'OD StructuralVars'!$R32*('OD Shares'!J32/'OD Efficiencies'!F32)/('OD Shares'!J$12/'OD Efficiencies'!F$12)</f>
        <v>#DIV/0!</v>
      </c>
      <c r="I32" s="242" t="e">
        <f>'OD Efficiencies'!G$54*'OD StructuralVars'!$R32*('OD Shares'!L32/'OD Efficiencies'!G32)/('OD Shares'!L$12/'OD Efficiencies'!G$12)</f>
        <v>#DIV/0!</v>
      </c>
      <c r="J32" s="242"/>
      <c r="K32" s="242" t="e">
        <f>'OD Efficiencies'!I$54*'OD StructuralVars'!$R32*('OD Shares'!P32/'OD Efficiencies'!I32)/('OD Shares'!P$12/'OD Efficiencies'!I$12)</f>
        <v>#DIV/0!</v>
      </c>
      <c r="L32" s="242" t="e">
        <f>'OD Efficiencies'!J$54*('OD Shares'!R32/'OD Efficiencies'!J32)/('OD Shares'!R$12/'OD Efficiencies'!J$12)</f>
        <v>#DIV/0!</v>
      </c>
      <c r="M32" s="242">
        <f>'OD Efficiencies'!K$54*('OD Shares'!T32/(1/'OD Efficiencies'!K32))/('OD Shares'!T$12/(1/'OD Efficiencies'!K$12))</f>
        <v>667.77905888073144</v>
      </c>
      <c r="N32" s="242">
        <f>'OD Efficiencies'!L$54*('OD Shares'!U32/(1/'OD Efficiencies'!L32))/('OD Shares'!U$12/(1/'OD Efficiencies'!L$12))</f>
        <v>515.15786160434038</v>
      </c>
      <c r="O32" s="242">
        <f>'OD Efficiencies'!M$54*('OD Shares'!W32/(1/'OD Efficiencies'!M32))/('OD Shares'!W$12/(1/'OD Efficiencies'!M$12))</f>
        <v>92.857213454804921</v>
      </c>
      <c r="P32" s="242">
        <f>'OD Efficiencies'!N$54*('OD Shares'!Y32/(1/'OD Efficiencies'!N32))/('OD Shares'!Y$12/(1/'OD Efficiencies'!N$12))</f>
        <v>276.77150900032944</v>
      </c>
      <c r="Q32" s="242">
        <f>'OD Efficiencies'!O$54*('OD Shares'!AA32/(1/'OD Efficiencies'!O32))/('OD Shares'!AA$12/(1/'OD Efficiencies'!O$12))</f>
        <v>177.05122654855006</v>
      </c>
      <c r="R32" s="242" t="e">
        <f>'OD Efficiencies'!P$54*('OD Shares'!AC32/(1/'OD Efficiencies'!P32))/('OD Shares'!AC$12/(1/'OD Efficiencies'!P$12))</f>
        <v>#DIV/0!</v>
      </c>
      <c r="S32" s="242" t="e">
        <f>'OD Efficiencies'!Q$54*('OD Shares'!AE32/(1/'OD Efficiencies'!Q32))/('OD Shares'!AE$12/(1/'OD Efficiencies'!Q$12))</f>
        <v>#DIV/0!</v>
      </c>
      <c r="T32" s="242" t="e">
        <f>'OD Efficiencies'!R$54*('OD Shares'!AG32/(1/'OD Efficiencies'!R32))/('OD Shares'!AG$12/(1/'OD Efficiencies'!R$12))</f>
        <v>#DIV/0!</v>
      </c>
      <c r="U32" s="242" t="e">
        <f>'OD Efficiencies'!S$54*('OD Shares'!AH32/(1/'OD Efficiencies'!S32))/('OD Shares'!AH$12/(1/'OD Efficiencies'!S$12))</f>
        <v>#DIV/0!</v>
      </c>
      <c r="V32" s="242">
        <f>'OD Efficiencies'!T$54*('OD Shares'!AI32/(1/'OD Efficiencies'!T32))/('OD Shares'!AI$12/(1/'OD Efficiencies'!T$12))</f>
        <v>2010.1792009962799</v>
      </c>
      <c r="W32" s="242">
        <f>'OD Efficiencies'!V$54*('OD Shares'!AJ32/(1/'OD Efficiencies'!X32))/('OD Shares'!AJ$12/(1/'OD Efficiencies'!X$12))</f>
        <v>4780.7324861579509</v>
      </c>
    </row>
    <row r="33" spans="1:23" x14ac:dyDescent="0.2">
      <c r="A33" s="208">
        <f t="shared" ref="A33:A49" si="5">A32+1</f>
        <v>2026</v>
      </c>
      <c r="B33" s="241">
        <f t="shared" si="4"/>
        <v>1484.7210402798235</v>
      </c>
      <c r="C33" s="241" t="e">
        <f t="shared" si="3"/>
        <v>#DIV/0!</v>
      </c>
      <c r="D33" s="242">
        <f>'OD Efficiencies'!B$54*'OD StructuralVars'!$Q33*('OD Shares'!B33/'OD Efficiencies'!B33)/('OD Shares'!B$12/'OD Efficiencies'!B$12)</f>
        <v>1039.9890259935548</v>
      </c>
      <c r="E33" s="242">
        <f>'OD Efficiencies'!C$54*'OD StructuralVars'!$Q33*('OD Shares'!D33/'OD Efficiencies'!C33)/('OD Shares'!D$12/'OD Efficiencies'!C$12)</f>
        <v>424.96223832927427</v>
      </c>
      <c r="F33" s="242"/>
      <c r="G33" s="242">
        <f>'OD Efficiencies'!E$54*'OD StructuralVars'!$Q33*('OD Shares'!H33/(1/'OD Efficiencies'!E33))/('OD Shares'!H$12/(1/'OD Efficiencies'!E$12))</f>
        <v>19.769775956994369</v>
      </c>
      <c r="H33" s="242" t="e">
        <f>'OD Efficiencies'!F$54*'OD StructuralVars'!$R33*('OD Shares'!J33/'OD Efficiencies'!F33)/('OD Shares'!J$12/'OD Efficiencies'!F$12)</f>
        <v>#DIV/0!</v>
      </c>
      <c r="I33" s="242" t="e">
        <f>'OD Efficiencies'!G$54*'OD StructuralVars'!$R33*('OD Shares'!L33/'OD Efficiencies'!G33)/('OD Shares'!L$12/'OD Efficiencies'!G$12)</f>
        <v>#DIV/0!</v>
      </c>
      <c r="J33" s="242"/>
      <c r="K33" s="242" t="e">
        <f>'OD Efficiencies'!I$54*'OD StructuralVars'!$R33*('OD Shares'!P33/'OD Efficiencies'!I33)/('OD Shares'!P$12/'OD Efficiencies'!I$12)</f>
        <v>#DIV/0!</v>
      </c>
      <c r="L33" s="242" t="e">
        <f>'OD Efficiencies'!J$54*('OD Shares'!R33/'OD Efficiencies'!J33)/('OD Shares'!R$12/'OD Efficiencies'!J$12)</f>
        <v>#DIV/0!</v>
      </c>
      <c r="M33" s="242">
        <f>'OD Efficiencies'!K$54*('OD Shares'!T33/(1/'OD Efficiencies'!K33))/('OD Shares'!T$12/(1/'OD Efficiencies'!K$12))</f>
        <v>667.80399236080052</v>
      </c>
      <c r="N33" s="242">
        <f>'OD Efficiencies'!L$54*('OD Shares'!U33/(1/'OD Efficiencies'!L33))/('OD Shares'!U$12/(1/'OD Efficiencies'!L$12))</f>
        <v>510.99537628550434</v>
      </c>
      <c r="O33" s="242">
        <f>'OD Efficiencies'!M$54*('OD Shares'!W33/(1/'OD Efficiencies'!M33))/('OD Shares'!W$12/(1/'OD Efficiencies'!M$12))</f>
        <v>92.025301577924949</v>
      </c>
      <c r="P33" s="242">
        <f>'OD Efficiencies'!N$54*('OD Shares'!Y33/(1/'OD Efficiencies'!N33))/('OD Shares'!Y$12/(1/'OD Efficiencies'!N$12))</f>
        <v>275.3979358366152</v>
      </c>
      <c r="Q33" s="242">
        <f>'OD Efficiencies'!O$54*('OD Shares'!AA33/(1/'OD Efficiencies'!O33))/('OD Shares'!AA$12/(1/'OD Efficiencies'!O$12))</f>
        <v>178.45404130377199</v>
      </c>
      <c r="R33" s="242" t="e">
        <f>'OD Efficiencies'!P$54*('OD Shares'!AC33/(1/'OD Efficiencies'!P33))/('OD Shares'!AC$12/(1/'OD Efficiencies'!P$12))</f>
        <v>#DIV/0!</v>
      </c>
      <c r="S33" s="242" t="e">
        <f>'OD Efficiencies'!Q$54*('OD Shares'!AE33/(1/'OD Efficiencies'!Q33))/('OD Shares'!AE$12/(1/'OD Efficiencies'!Q$12))</f>
        <v>#DIV/0!</v>
      </c>
      <c r="T33" s="242" t="e">
        <f>'OD Efficiencies'!R$54*('OD Shares'!AG33/(1/'OD Efficiencies'!R33))/('OD Shares'!AG$12/(1/'OD Efficiencies'!R$12))</f>
        <v>#DIV/0!</v>
      </c>
      <c r="U33" s="242" t="e">
        <f>'OD Efficiencies'!S$54*('OD Shares'!AH33/(1/'OD Efficiencies'!S33))/('OD Shares'!AH$12/(1/'OD Efficiencies'!S$12))</f>
        <v>#DIV/0!</v>
      </c>
      <c r="V33" s="242">
        <f>'OD Efficiencies'!T$54*('OD Shares'!AI33/(1/'OD Efficiencies'!T33))/('OD Shares'!AI$12/(1/'OD Efficiencies'!T$12))</f>
        <v>2010.1792009962799</v>
      </c>
      <c r="W33" s="242">
        <f>'OD Efficiencies'!V$54*('OD Shares'!AJ33/(1/'OD Efficiencies'!X33))/('OD Shares'!AJ$12/(1/'OD Efficiencies'!X$12))</f>
        <v>4860.741946223955</v>
      </c>
    </row>
    <row r="34" spans="1:23" x14ac:dyDescent="0.2">
      <c r="A34" s="208">
        <f t="shared" si="5"/>
        <v>2027</v>
      </c>
      <c r="B34" s="241">
        <f t="shared" si="4"/>
        <v>1477.5322430685037</v>
      </c>
      <c r="C34" s="241" t="e">
        <f t="shared" si="3"/>
        <v>#DIV/0!</v>
      </c>
      <c r="D34" s="242">
        <f>'OD Efficiencies'!B$54*'OD StructuralVars'!$Q34*('OD Shares'!B34/'OD Efficiencies'!B34)/('OD Shares'!B$12/'OD Efficiencies'!B$12)</f>
        <v>1034.6011086732969</v>
      </c>
      <c r="E34" s="242">
        <f>'OD Efficiencies'!C$54*'OD StructuralVars'!$Q34*('OD Shares'!D34/'OD Efficiencies'!C34)/('OD Shares'!D$12/'OD Efficiencies'!C$12)</f>
        <v>425.39554859565828</v>
      </c>
      <c r="F34" s="242"/>
      <c r="G34" s="242">
        <f>'OD Efficiencies'!E$54*'OD StructuralVars'!$Q34*('OD Shares'!H34/(1/'OD Efficiencies'!E34))/('OD Shares'!H$12/(1/'OD Efficiencies'!E$12))</f>
        <v>17.53558579954845</v>
      </c>
      <c r="H34" s="242" t="e">
        <f>'OD Efficiencies'!F$54*'OD StructuralVars'!$R34*('OD Shares'!J34/'OD Efficiencies'!F34)/('OD Shares'!J$12/'OD Efficiencies'!F$12)</f>
        <v>#DIV/0!</v>
      </c>
      <c r="I34" s="242" t="e">
        <f>'OD Efficiencies'!G$54*'OD StructuralVars'!$R34*('OD Shares'!L34/'OD Efficiencies'!G34)/('OD Shares'!L$12/'OD Efficiencies'!G$12)</f>
        <v>#DIV/0!</v>
      </c>
      <c r="J34" s="242"/>
      <c r="K34" s="242" t="e">
        <f>'OD Efficiencies'!I$54*'OD StructuralVars'!$R34*('OD Shares'!P34/'OD Efficiencies'!I34)/('OD Shares'!P$12/'OD Efficiencies'!I$12)</f>
        <v>#DIV/0!</v>
      </c>
      <c r="L34" s="242" t="e">
        <f>'OD Efficiencies'!J$54*('OD Shares'!R34/'OD Efficiencies'!J34)/('OD Shares'!R$12/'OD Efficiencies'!J$12)</f>
        <v>#DIV/0!</v>
      </c>
      <c r="M34" s="242">
        <f>'OD Efficiencies'!K$54*('OD Shares'!T34/(1/'OD Efficiencies'!K34))/('OD Shares'!T$12/(1/'OD Efficiencies'!K$12))</f>
        <v>667.75938551830063</v>
      </c>
      <c r="N34" s="242">
        <f>'OD Efficiencies'!L$54*('OD Shares'!U34/(1/'OD Efficiencies'!L34))/('OD Shares'!U$12/(1/'OD Efficiencies'!L$12))</f>
        <v>507.64510034570185</v>
      </c>
      <c r="O34" s="242">
        <f>'OD Efficiencies'!M$54*('OD Shares'!W34/(1/'OD Efficiencies'!M34))/('OD Shares'!W$12/(1/'OD Efficiencies'!M$12))</f>
        <v>91.324979597067738</v>
      </c>
      <c r="P34" s="242">
        <f>'OD Efficiencies'!N$54*('OD Shares'!Y34/(1/'OD Efficiencies'!N34))/('OD Shares'!Y$12/(1/'OD Efficiencies'!N$12))</f>
        <v>274.09552214510489</v>
      </c>
      <c r="Q34" s="242">
        <f>'OD Efficiencies'!O$54*('OD Shares'!AA34/(1/'OD Efficiencies'!O34))/('OD Shares'!AA$12/(1/'OD Efficiencies'!O$12))</f>
        <v>179.87377653190984</v>
      </c>
      <c r="R34" s="242" t="e">
        <f>'OD Efficiencies'!P$54*('OD Shares'!AC34/(1/'OD Efficiencies'!P34))/('OD Shares'!AC$12/(1/'OD Efficiencies'!P$12))</f>
        <v>#DIV/0!</v>
      </c>
      <c r="S34" s="242" t="e">
        <f>'OD Efficiencies'!Q$54*('OD Shares'!AE34/(1/'OD Efficiencies'!Q34))/('OD Shares'!AE$12/(1/'OD Efficiencies'!Q$12))</f>
        <v>#DIV/0!</v>
      </c>
      <c r="T34" s="242" t="e">
        <f>'OD Efficiencies'!R$54*('OD Shares'!AG34/(1/'OD Efficiencies'!R34))/('OD Shares'!AG$12/(1/'OD Efficiencies'!R$12))</f>
        <v>#DIV/0!</v>
      </c>
      <c r="U34" s="242" t="e">
        <f>'OD Efficiencies'!S$54*('OD Shares'!AH34/(1/'OD Efficiencies'!S34))/('OD Shares'!AH$12/(1/'OD Efficiencies'!S$12))</f>
        <v>#DIV/0!</v>
      </c>
      <c r="V34" s="242">
        <f>'OD Efficiencies'!T$54*('OD Shares'!AI34/(1/'OD Efficiencies'!T34))/('OD Shares'!AI$12/(1/'OD Efficiencies'!T$12))</f>
        <v>2010.1792009962799</v>
      </c>
      <c r="W34" s="242">
        <f>'OD Efficiencies'!V$54*('OD Shares'!AJ34/(1/'OD Efficiencies'!X34))/('OD Shares'!AJ$12/(1/'OD Efficiencies'!X$12))</f>
        <v>4942.9372854593857</v>
      </c>
    </row>
    <row r="35" spans="1:23" x14ac:dyDescent="0.2">
      <c r="A35" s="208">
        <f t="shared" si="5"/>
        <v>2028</v>
      </c>
      <c r="B35" s="241">
        <f t="shared" si="4"/>
        <v>1471.3235383355011</v>
      </c>
      <c r="C35" s="241" t="e">
        <f t="shared" si="3"/>
        <v>#DIV/0!</v>
      </c>
      <c r="D35" s="242">
        <f>'OD Efficiencies'!B$54*'OD StructuralVars'!$Q35*('OD Shares'!B35/'OD Efficiencies'!B35)/('OD Shares'!B$12/'OD Efficiencies'!B$12)</f>
        <v>1029.9687470740482</v>
      </c>
      <c r="E35" s="242">
        <f>'OD Efficiencies'!C$54*'OD StructuralVars'!$Q35*('OD Shares'!D35/'OD Efficiencies'!C35)/('OD Shares'!D$12/'OD Efficiencies'!C$12)</f>
        <v>425.83506712728837</v>
      </c>
      <c r="F35" s="242"/>
      <c r="G35" s="242">
        <f>'OD Efficiencies'!E$54*'OD StructuralVars'!$Q35*('OD Shares'!H35/(1/'OD Efficiencies'!E35))/('OD Shares'!H$12/(1/'OD Efficiencies'!E$12))</f>
        <v>15.519724134164484</v>
      </c>
      <c r="H35" s="242" t="e">
        <f>'OD Efficiencies'!F$54*'OD StructuralVars'!$R35*('OD Shares'!J35/'OD Efficiencies'!F35)/('OD Shares'!J$12/'OD Efficiencies'!F$12)</f>
        <v>#DIV/0!</v>
      </c>
      <c r="I35" s="242" t="e">
        <f>'OD Efficiencies'!G$54*'OD StructuralVars'!$R35*('OD Shares'!L35/'OD Efficiencies'!G35)/('OD Shares'!L$12/'OD Efficiencies'!G$12)</f>
        <v>#DIV/0!</v>
      </c>
      <c r="J35" s="242"/>
      <c r="K35" s="242" t="e">
        <f>'OD Efficiencies'!I$54*'OD StructuralVars'!$R35*('OD Shares'!P35/'OD Efficiencies'!I35)/('OD Shares'!P$12/'OD Efficiencies'!I$12)</f>
        <v>#DIV/0!</v>
      </c>
      <c r="L35" s="242" t="e">
        <f>'OD Efficiencies'!J$54*('OD Shares'!R35/'OD Efficiencies'!J35)/('OD Shares'!R$12/'OD Efficiencies'!J$12)</f>
        <v>#DIV/0!</v>
      </c>
      <c r="M35" s="242">
        <f>'OD Efficiencies'!K$54*('OD Shares'!T35/(1/'OD Efficiencies'!K35))/('OD Shares'!T$12/(1/'OD Efficiencies'!K$12))</f>
        <v>669.50466366765727</v>
      </c>
      <c r="N35" s="242">
        <f>'OD Efficiencies'!L$54*('OD Shares'!U35/(1/'OD Efficiencies'!L35))/('OD Shares'!U$12/(1/'OD Efficiencies'!L$12))</f>
        <v>504.73066394410944</v>
      </c>
      <c r="O35" s="242">
        <f>'OD Efficiencies'!M$54*('OD Shares'!W35/(1/'OD Efficiencies'!M35))/('OD Shares'!W$12/(1/'OD Efficiencies'!M$12))</f>
        <v>90.69114666380672</v>
      </c>
      <c r="P35" s="242">
        <f>'OD Efficiencies'!N$54*('OD Shares'!Y35/(1/'OD Efficiencies'!N35))/('OD Shares'!Y$12/(1/'OD Efficiencies'!N$12))</f>
        <v>272.83801779993837</v>
      </c>
      <c r="Q35" s="242">
        <f>'OD Efficiencies'!O$54*('OD Shares'!AA35/(1/'OD Efficiencies'!O35))/('OD Shares'!AA$12/(1/'OD Efficiencies'!O$12))</f>
        <v>181.78125026374772</v>
      </c>
      <c r="R35" s="242" t="e">
        <f>'OD Efficiencies'!P$54*('OD Shares'!AC35/(1/'OD Efficiencies'!P35))/('OD Shares'!AC$12/(1/'OD Efficiencies'!P$12))</f>
        <v>#DIV/0!</v>
      </c>
      <c r="S35" s="242" t="e">
        <f>'OD Efficiencies'!Q$54*('OD Shares'!AE35/(1/'OD Efficiencies'!Q35))/('OD Shares'!AE$12/(1/'OD Efficiencies'!Q$12))</f>
        <v>#DIV/0!</v>
      </c>
      <c r="T35" s="242" t="e">
        <f>'OD Efficiencies'!R$54*('OD Shares'!AG35/(1/'OD Efficiencies'!R35))/('OD Shares'!AG$12/(1/'OD Efficiencies'!R$12))</f>
        <v>#DIV/0!</v>
      </c>
      <c r="U35" s="242" t="e">
        <f>'OD Efficiencies'!S$54*('OD Shares'!AH35/(1/'OD Efficiencies'!S35))/('OD Shares'!AH$12/(1/'OD Efficiencies'!S$12))</f>
        <v>#DIV/0!</v>
      </c>
      <c r="V35" s="242">
        <f>'OD Efficiencies'!T$54*('OD Shares'!AI35/(1/'OD Efficiencies'!T35))/('OD Shares'!AI$12/(1/'OD Efficiencies'!T$12))</f>
        <v>2010.1792009962799</v>
      </c>
      <c r="W35" s="242">
        <f>'OD Efficiencies'!V$54*('OD Shares'!AJ35/(1/'OD Efficiencies'!X35))/('OD Shares'!AJ$12/(1/'OD Efficiencies'!X$12))</f>
        <v>5040.7167517456473</v>
      </c>
    </row>
    <row r="36" spans="1:23" x14ac:dyDescent="0.2">
      <c r="A36" s="208">
        <f t="shared" si="5"/>
        <v>2029</v>
      </c>
      <c r="B36" s="241">
        <f t="shared" si="4"/>
        <v>1465.5785926569929</v>
      </c>
      <c r="C36" s="241" t="e">
        <f t="shared" si="3"/>
        <v>#DIV/0!</v>
      </c>
      <c r="D36" s="242">
        <f>'OD Efficiencies'!B$54*'OD StructuralVars'!$Q36*('OD Shares'!B36/'OD Efficiencies'!B36)/('OD Shares'!B$12/'OD Efficiencies'!B$12)</f>
        <v>1025.6852145226007</v>
      </c>
      <c r="E36" s="242">
        <f>'OD Efficiencies'!C$54*'OD StructuralVars'!$Q36*('OD Shares'!D36/'OD Efficiencies'!C36)/('OD Shares'!D$12/'OD Efficiencies'!C$12)</f>
        <v>426.32947298261377</v>
      </c>
      <c r="F36" s="242"/>
      <c r="G36" s="242">
        <f>'OD Efficiencies'!E$54*'OD StructuralVars'!$Q36*('OD Shares'!H36/(1/'OD Efficiencies'!E36))/('OD Shares'!H$12/(1/'OD Efficiencies'!E$12))</f>
        <v>13.563905151778297</v>
      </c>
      <c r="H36" s="242" t="e">
        <f>'OD Efficiencies'!F$54*'OD StructuralVars'!$R36*('OD Shares'!J36/'OD Efficiencies'!F36)/('OD Shares'!J$12/'OD Efficiencies'!F$12)</f>
        <v>#DIV/0!</v>
      </c>
      <c r="I36" s="242" t="e">
        <f>'OD Efficiencies'!G$54*'OD StructuralVars'!$R36*('OD Shares'!L36/'OD Efficiencies'!G36)/('OD Shares'!L$12/'OD Efficiencies'!G$12)</f>
        <v>#DIV/0!</v>
      </c>
      <c r="J36" s="242"/>
      <c r="K36" s="242" t="e">
        <f>'OD Efficiencies'!I$54*'OD StructuralVars'!$R36*('OD Shares'!P36/'OD Efficiencies'!I36)/('OD Shares'!P$12/'OD Efficiencies'!I$12)</f>
        <v>#DIV/0!</v>
      </c>
      <c r="L36" s="242" t="e">
        <f>'OD Efficiencies'!J$54*('OD Shares'!R36/'OD Efficiencies'!J36)/('OD Shares'!R$12/'OD Efficiencies'!J$12)</f>
        <v>#DIV/0!</v>
      </c>
      <c r="M36" s="242">
        <f>'OD Efficiencies'!K$54*('OD Shares'!T36/(1/'OD Efficiencies'!K36))/('OD Shares'!T$12/(1/'OD Efficiencies'!K$12))</f>
        <v>667.59683813978313</v>
      </c>
      <c r="N36" s="242">
        <f>'OD Efficiencies'!L$54*('OD Shares'!U36/(1/'OD Efficiencies'!L36))/('OD Shares'!U$12/(1/'OD Efficiencies'!L$12))</f>
        <v>502.10324317205459</v>
      </c>
      <c r="O36" s="242">
        <f>'OD Efficiencies'!M$54*('OD Shares'!W36/(1/'OD Efficiencies'!M36))/('OD Shares'!W$12/(1/'OD Efficiencies'!M$12))</f>
        <v>90.110991964853923</v>
      </c>
      <c r="P36" s="242">
        <f>'OD Efficiencies'!N$54*('OD Shares'!Y36/(1/'OD Efficiencies'!N36))/('OD Shares'!Y$12/(1/'OD Efficiencies'!N$12))</f>
        <v>271.64896871908553</v>
      </c>
      <c r="Q36" s="242">
        <f>'OD Efficiencies'!O$54*('OD Shares'!AA36/(1/'OD Efficiencies'!O36))/('OD Shares'!AA$12/(1/'OD Efficiencies'!O$12))</f>
        <v>182.70814026112004</v>
      </c>
      <c r="R36" s="242" t="e">
        <f>'OD Efficiencies'!P$54*('OD Shares'!AC36/(1/'OD Efficiencies'!P36))/('OD Shares'!AC$12/(1/'OD Efficiencies'!P$12))</f>
        <v>#DIV/0!</v>
      </c>
      <c r="S36" s="242" t="e">
        <f>'OD Efficiencies'!Q$54*('OD Shares'!AE36/(1/'OD Efficiencies'!Q36))/('OD Shares'!AE$12/(1/'OD Efficiencies'!Q$12))</f>
        <v>#DIV/0!</v>
      </c>
      <c r="T36" s="242" t="e">
        <f>'OD Efficiencies'!R$54*('OD Shares'!AG36/(1/'OD Efficiencies'!R36))/('OD Shares'!AG$12/(1/'OD Efficiencies'!R$12))</f>
        <v>#DIV/0!</v>
      </c>
      <c r="U36" s="242" t="e">
        <f>'OD Efficiencies'!S$54*('OD Shares'!AH36/(1/'OD Efficiencies'!S36))/('OD Shares'!AH$12/(1/'OD Efficiencies'!S$12))</f>
        <v>#DIV/0!</v>
      </c>
      <c r="V36" s="242">
        <f>'OD Efficiencies'!T$54*('OD Shares'!AI36/(1/'OD Efficiencies'!T36))/('OD Shares'!AI$12/(1/'OD Efficiencies'!T$12))</f>
        <v>2010.1792009962799</v>
      </c>
      <c r="W36" s="242">
        <f>'OD Efficiencies'!V$54*('OD Shares'!AJ36/(1/'OD Efficiencies'!X36))/('OD Shares'!AJ$12/(1/'OD Efficiencies'!X$12))</f>
        <v>5104.0342908898765</v>
      </c>
    </row>
    <row r="37" spans="1:23" x14ac:dyDescent="0.2">
      <c r="A37" s="208">
        <f t="shared" si="5"/>
        <v>2030</v>
      </c>
      <c r="B37" s="241">
        <f t="shared" si="4"/>
        <v>1459.9107162419773</v>
      </c>
      <c r="C37" s="241" t="e">
        <f t="shared" si="3"/>
        <v>#DIV/0!</v>
      </c>
      <c r="D37" s="242">
        <f>'OD Efficiencies'!B$54*'OD StructuralVars'!$Q37*('OD Shares'!B37/'OD Efficiencies'!B37)/('OD Shares'!B$12/'OD Efficiencies'!B$12)</f>
        <v>1021.3089587841449</v>
      </c>
      <c r="E37" s="242">
        <f>'OD Efficiencies'!C$54*'OD StructuralVars'!$Q37*('OD Shares'!D37/'OD Efficiencies'!C37)/('OD Shares'!D$12/'OD Efficiencies'!C$12)</f>
        <v>426.84566264176834</v>
      </c>
      <c r="F37" s="242"/>
      <c r="G37" s="242">
        <f>'OD Efficiencies'!E$54*'OD StructuralVars'!$Q37*('OD Shares'!H37/(1/'OD Efficiencies'!E37))/('OD Shares'!H$12/(1/'OD Efficiencies'!E$12))</f>
        <v>11.756094816064028</v>
      </c>
      <c r="H37" s="242" t="e">
        <f>'OD Efficiencies'!F$54*'OD StructuralVars'!$R37*('OD Shares'!J37/'OD Efficiencies'!F37)/('OD Shares'!J$12/'OD Efficiencies'!F$12)</f>
        <v>#DIV/0!</v>
      </c>
      <c r="I37" s="242" t="e">
        <f>'OD Efficiencies'!G$54*'OD StructuralVars'!$R37*('OD Shares'!L37/'OD Efficiencies'!G37)/('OD Shares'!L$12/'OD Efficiencies'!G$12)</f>
        <v>#DIV/0!</v>
      </c>
      <c r="J37" s="242"/>
      <c r="K37" s="242" t="e">
        <f>'OD Efficiencies'!I$54*'OD StructuralVars'!$R37*('OD Shares'!P37/'OD Efficiencies'!I37)/('OD Shares'!P$12/'OD Efficiencies'!I$12)</f>
        <v>#DIV/0!</v>
      </c>
      <c r="L37" s="242" t="e">
        <f>'OD Efficiencies'!J$54*('OD Shares'!R37/'OD Efficiencies'!J37)/('OD Shares'!R$12/'OD Efficiencies'!J$12)</f>
        <v>#DIV/0!</v>
      </c>
      <c r="M37" s="242">
        <f>'OD Efficiencies'!K$54*('OD Shares'!T37/(1/'OD Efficiencies'!K37))/('OD Shares'!T$12/(1/'OD Efficiencies'!K$12))</f>
        <v>667.69405787010589</v>
      </c>
      <c r="N37" s="242">
        <f>'OD Efficiencies'!L$54*('OD Shares'!U37/(1/'OD Efficiencies'!L37))/('OD Shares'!U$12/(1/'OD Efficiencies'!L$12))</f>
        <v>499.74888463081169</v>
      </c>
      <c r="O37" s="242">
        <f>'OD Efficiencies'!M$54*('OD Shares'!W37/(1/'OD Efficiencies'!M37))/('OD Shares'!W$12/(1/'OD Efficiencies'!M$12))</f>
        <v>89.587513422183235</v>
      </c>
      <c r="P37" s="242">
        <f>'OD Efficiencies'!N$54*('OD Shares'!Y37/(1/'OD Efficiencies'!N37))/('OD Shares'!Y$12/(1/'OD Efficiencies'!N$12))</f>
        <v>270.54238962372409</v>
      </c>
      <c r="Q37" s="242">
        <f>'OD Efficiencies'!O$54*('OD Shares'!AA37/(1/'OD Efficiencies'!O37))/('OD Shares'!AA$12/(1/'OD Efficiencies'!O$12))</f>
        <v>184.1896358113531</v>
      </c>
      <c r="R37" s="242" t="e">
        <f>'OD Efficiencies'!P$54*('OD Shares'!AC37/(1/'OD Efficiencies'!P37))/('OD Shares'!AC$12/(1/'OD Efficiencies'!P$12))</f>
        <v>#DIV/0!</v>
      </c>
      <c r="S37" s="242" t="e">
        <f>'OD Efficiencies'!Q$54*('OD Shares'!AE37/(1/'OD Efficiencies'!Q37))/('OD Shares'!AE$12/(1/'OD Efficiencies'!Q$12))</f>
        <v>#DIV/0!</v>
      </c>
      <c r="T37" s="242" t="e">
        <f>'OD Efficiencies'!R$54*('OD Shares'!AG37/(1/'OD Efficiencies'!R37))/('OD Shares'!AG$12/(1/'OD Efficiencies'!R$12))</f>
        <v>#DIV/0!</v>
      </c>
      <c r="U37" s="242" t="e">
        <f>'OD Efficiencies'!S$54*('OD Shares'!AH37/(1/'OD Efficiencies'!S37))/('OD Shares'!AH$12/(1/'OD Efficiencies'!S$12))</f>
        <v>#DIV/0!</v>
      </c>
      <c r="V37" s="242">
        <f>'OD Efficiencies'!T$54*('OD Shares'!AI37/(1/'OD Efficiencies'!T37))/('OD Shares'!AI$12/(1/'OD Efficiencies'!T$12))</f>
        <v>2010.1792009962799</v>
      </c>
      <c r="W37" s="242">
        <f>'OD Efficiencies'!V$54*('OD Shares'!AJ37/(1/'OD Efficiencies'!X37))/('OD Shares'!AJ$12/(1/'OD Efficiencies'!X$12))</f>
        <v>5196.5954231553469</v>
      </c>
    </row>
    <row r="38" spans="1:23" x14ac:dyDescent="0.2">
      <c r="A38" s="208">
        <f t="shared" si="5"/>
        <v>2031</v>
      </c>
      <c r="B38" s="241">
        <f t="shared" si="4"/>
        <v>1454.5125361958608</v>
      </c>
      <c r="C38" s="241" t="e">
        <f t="shared" si="3"/>
        <v>#DIV/0!</v>
      </c>
      <c r="D38" s="242">
        <f>'OD Efficiencies'!B$54*'OD StructuralVars'!$Q38*('OD Shares'!B38/'OD Efficiencies'!B38)/('OD Shares'!B$12/'OD Efficiencies'!B$12)</f>
        <v>1017.1061952493943</v>
      </c>
      <c r="E38" s="242">
        <f>'OD Efficiencies'!C$54*'OD StructuralVars'!$Q38*('OD Shares'!D38/'OD Efficiencies'!C38)/('OD Shares'!D$12/'OD Efficiencies'!C$12)</f>
        <v>427.34823721348334</v>
      </c>
      <c r="F38" s="242"/>
      <c r="G38" s="242">
        <f>'OD Efficiencies'!E$54*'OD StructuralVars'!$Q38*('OD Shares'!H38/(1/'OD Efficiencies'!E38))/('OD Shares'!H$12/(1/'OD Efficiencies'!E$12))</f>
        <v>10.058103732982982</v>
      </c>
      <c r="H38" s="242" t="e">
        <f>'OD Efficiencies'!F$54*'OD StructuralVars'!$R38*('OD Shares'!J38/'OD Efficiencies'!F38)/('OD Shares'!J$12/'OD Efficiencies'!F$12)</f>
        <v>#DIV/0!</v>
      </c>
      <c r="I38" s="242" t="e">
        <f>'OD Efficiencies'!G$54*'OD StructuralVars'!$R38*('OD Shares'!L38/'OD Efficiencies'!G38)/('OD Shares'!L$12/'OD Efficiencies'!G$12)</f>
        <v>#DIV/0!</v>
      </c>
      <c r="J38" s="242"/>
      <c r="K38" s="242" t="e">
        <f>'OD Efficiencies'!I$54*'OD StructuralVars'!$R38*('OD Shares'!P38/'OD Efficiencies'!I38)/('OD Shares'!P$12/'OD Efficiencies'!I$12)</f>
        <v>#DIV/0!</v>
      </c>
      <c r="L38" s="242" t="e">
        <f>'OD Efficiencies'!J$54*('OD Shares'!R38/'OD Efficiencies'!J38)/('OD Shares'!R$12/'OD Efficiencies'!J$12)</f>
        <v>#DIV/0!</v>
      </c>
      <c r="M38" s="242">
        <f>'OD Efficiencies'!K$54*('OD Shares'!T38/(1/'OD Efficiencies'!K38))/('OD Shares'!T$12/(1/'OD Efficiencies'!K$12))</f>
        <v>667.71398670253166</v>
      </c>
      <c r="N38" s="242">
        <f>'OD Efficiencies'!L$54*('OD Shares'!U38/(1/'OD Efficiencies'!L38))/('OD Shares'!U$12/(1/'OD Efficiencies'!L$12))</f>
        <v>497.64002239468465</v>
      </c>
      <c r="O38" s="242">
        <f>'OD Efficiencies'!M$54*('OD Shares'!W38/(1/'OD Efficiencies'!M38))/('OD Shares'!W$12/(1/'OD Efficiencies'!M$12))</f>
        <v>89.110685790518559</v>
      </c>
      <c r="P38" s="242">
        <f>'OD Efficiencies'!N$54*('OD Shares'!Y38/(1/'OD Efficiencies'!N38))/('OD Shares'!Y$12/(1/'OD Efficiencies'!N$12))</f>
        <v>269.5325352484038</v>
      </c>
      <c r="Q38" s="242">
        <f>'OD Efficiencies'!O$54*('OD Shares'!AA38/(1/'OD Efficiencies'!O38))/('OD Shares'!AA$12/(1/'OD Efficiencies'!O$12))</f>
        <v>185.70754306149914</v>
      </c>
      <c r="R38" s="242" t="e">
        <f>'OD Efficiencies'!P$54*('OD Shares'!AC38/(1/'OD Efficiencies'!P38))/('OD Shares'!AC$12/(1/'OD Efficiencies'!P$12))</f>
        <v>#DIV/0!</v>
      </c>
      <c r="S38" s="242" t="e">
        <f>'OD Efficiencies'!Q$54*('OD Shares'!AE38/(1/'OD Efficiencies'!Q38))/('OD Shares'!AE$12/(1/'OD Efficiencies'!Q$12))</f>
        <v>#DIV/0!</v>
      </c>
      <c r="T38" s="242" t="e">
        <f>'OD Efficiencies'!R$54*('OD Shares'!AG38/(1/'OD Efficiencies'!R38))/('OD Shares'!AG$12/(1/'OD Efficiencies'!R$12))</f>
        <v>#DIV/0!</v>
      </c>
      <c r="U38" s="242" t="e">
        <f>'OD Efficiencies'!S$54*('OD Shares'!AH38/(1/'OD Efficiencies'!S38))/('OD Shares'!AH$12/(1/'OD Efficiencies'!S$12))</f>
        <v>#DIV/0!</v>
      </c>
      <c r="V38" s="242">
        <f>'OD Efficiencies'!T$54*('OD Shares'!AI38/(1/'OD Efficiencies'!T38))/('OD Shares'!AI$12/(1/'OD Efficiencies'!T$12))</f>
        <v>2010.1792009962799</v>
      </c>
      <c r="W38" s="242">
        <f>'OD Efficiencies'!V$54*('OD Shares'!AJ38/(1/'OD Efficiencies'!X38))/('OD Shares'!AJ$12/(1/'OD Efficiencies'!X$12))</f>
        <v>5275.0670240298059</v>
      </c>
    </row>
    <row r="39" spans="1:23" x14ac:dyDescent="0.2">
      <c r="A39" s="208">
        <f t="shared" si="5"/>
        <v>2032</v>
      </c>
      <c r="B39" s="241">
        <f t="shared" si="4"/>
        <v>1449.3892792005199</v>
      </c>
      <c r="C39" s="241" t="e">
        <f t="shared" si="3"/>
        <v>#DIV/0!</v>
      </c>
      <c r="D39" s="242">
        <f>'OD Efficiencies'!B$54*'OD StructuralVars'!$Q39*('OD Shares'!B39/'OD Efficiencies'!B39)/('OD Shares'!B$12/'OD Efficiencies'!B$12)</f>
        <v>1013.1725708350669</v>
      </c>
      <c r="E39" s="242">
        <f>'OD Efficiencies'!C$54*'OD StructuralVars'!$Q39*('OD Shares'!D39/'OD Efficiencies'!C39)/('OD Shares'!D$12/'OD Efficiencies'!C$12)</f>
        <v>427.69260960749733</v>
      </c>
      <c r="F39" s="242"/>
      <c r="G39" s="242">
        <f>'OD Efficiencies'!E$54*'OD StructuralVars'!$Q39*('OD Shares'!H39/(1/'OD Efficiencies'!E39))/('OD Shares'!H$12/(1/'OD Efficiencies'!E$12))</f>
        <v>8.5240987579557057</v>
      </c>
      <c r="H39" s="242" t="e">
        <f>'OD Efficiencies'!F$54*'OD StructuralVars'!$R39*('OD Shares'!J39/'OD Efficiencies'!F39)/('OD Shares'!J$12/'OD Efficiencies'!F$12)</f>
        <v>#DIV/0!</v>
      </c>
      <c r="I39" s="242" t="e">
        <f>'OD Efficiencies'!G$54*'OD StructuralVars'!$R39*('OD Shares'!L39/'OD Efficiencies'!G39)/('OD Shares'!L$12/'OD Efficiencies'!G$12)</f>
        <v>#DIV/0!</v>
      </c>
      <c r="J39" s="242"/>
      <c r="K39" s="242" t="e">
        <f>'OD Efficiencies'!I$54*'OD StructuralVars'!$R39*('OD Shares'!P39/'OD Efficiencies'!I39)/('OD Shares'!P$12/'OD Efficiencies'!I$12)</f>
        <v>#DIV/0!</v>
      </c>
      <c r="L39" s="242" t="e">
        <f>'OD Efficiencies'!J$54*('OD Shares'!R39/'OD Efficiencies'!J39)/('OD Shares'!R$12/'OD Efficiencies'!J$12)</f>
        <v>#DIV/0!</v>
      </c>
      <c r="M39" s="242">
        <f>'OD Efficiencies'!K$54*('OD Shares'!T39/(1/'OD Efficiencies'!K39))/('OD Shares'!T$12/(1/'OD Efficiencies'!K$12))</f>
        <v>669.63972612141481</v>
      </c>
      <c r="N39" s="242">
        <f>'OD Efficiencies'!L$54*('OD Shares'!U39/(1/'OD Efficiencies'!L39))/('OD Shares'!U$12/(1/'OD Efficiencies'!L$12))</f>
        <v>495.73707964493752</v>
      </c>
      <c r="O39" s="242">
        <f>'OD Efficiencies'!M$54*('OD Shares'!W39/(1/'OD Efficiencies'!M39))/('OD Shares'!W$12/(1/'OD Efficiencies'!M$12))</f>
        <v>88.664526186773301</v>
      </c>
      <c r="P39" s="242">
        <f>'OD Efficiencies'!N$54*('OD Shares'!Y39/(1/'OD Efficiencies'!N39))/('OD Shares'!Y$12/(1/'OD Efficiencies'!N$12))</f>
        <v>268.59474530809456</v>
      </c>
      <c r="Q39" s="242">
        <f>'OD Efficiencies'!O$54*('OD Shares'!AA39/(1/'OD Efficiencies'!O39))/('OD Shares'!AA$12/(1/'OD Efficiencies'!O$12))</f>
        <v>187.66983201992721</v>
      </c>
      <c r="R39" s="242" t="e">
        <f>'OD Efficiencies'!P$54*('OD Shares'!AC39/(1/'OD Efficiencies'!P39))/('OD Shares'!AC$12/(1/'OD Efficiencies'!P$12))</f>
        <v>#DIV/0!</v>
      </c>
      <c r="S39" s="242" t="e">
        <f>'OD Efficiencies'!Q$54*('OD Shares'!AE39/(1/'OD Efficiencies'!Q39))/('OD Shares'!AE$12/(1/'OD Efficiencies'!Q$12))</f>
        <v>#DIV/0!</v>
      </c>
      <c r="T39" s="242" t="e">
        <f>'OD Efficiencies'!R$54*('OD Shares'!AG39/(1/'OD Efficiencies'!R39))/('OD Shares'!AG$12/(1/'OD Efficiencies'!R$12))</f>
        <v>#DIV/0!</v>
      </c>
      <c r="U39" s="242" t="e">
        <f>'OD Efficiencies'!S$54*('OD Shares'!AH39/(1/'OD Efficiencies'!S39))/('OD Shares'!AH$12/(1/'OD Efficiencies'!S$12))</f>
        <v>#DIV/0!</v>
      </c>
      <c r="V39" s="242">
        <f>'OD Efficiencies'!T$54*('OD Shares'!AI39/(1/'OD Efficiencies'!T39))/('OD Shares'!AI$12/(1/'OD Efficiencies'!T$12))</f>
        <v>2010.1792009962799</v>
      </c>
      <c r="W39" s="242">
        <f>'OD Efficiencies'!V$54*('OD Shares'!AJ39/(1/'OD Efficiencies'!X39))/('OD Shares'!AJ$12/(1/'OD Efficiencies'!X$12))</f>
        <v>5371.6504381158193</v>
      </c>
    </row>
    <row r="40" spans="1:23" x14ac:dyDescent="0.2">
      <c r="A40" s="208">
        <f t="shared" si="5"/>
        <v>2033</v>
      </c>
      <c r="B40" s="241">
        <f t="shared" si="4"/>
        <v>1444.3131259375566</v>
      </c>
      <c r="C40" s="241" t="e">
        <f t="shared" si="3"/>
        <v>#DIV/0!</v>
      </c>
      <c r="D40" s="242">
        <f>'OD Efficiencies'!B$54*'OD StructuralVars'!$Q40*('OD Shares'!B40/'OD Efficiencies'!B40)/('OD Shares'!B$12/'OD Efficiencies'!B$12)</f>
        <v>1009.202298239627</v>
      </c>
      <c r="E40" s="242">
        <f>'OD Efficiencies'!C$54*'OD StructuralVars'!$Q40*('OD Shares'!D40/'OD Efficiencies'!C40)/('OD Shares'!D$12/'OD Efficiencies'!C$12)</f>
        <v>428.06451595355162</v>
      </c>
      <c r="F40" s="242"/>
      <c r="G40" s="242">
        <f>'OD Efficiencies'!E$54*'OD StructuralVars'!$Q40*('OD Shares'!H40/(1/'OD Efficiencies'!E40))/('OD Shares'!H$12/(1/'OD Efficiencies'!E$12))</f>
        <v>7.0463117443780288</v>
      </c>
      <c r="H40" s="242" t="e">
        <f>'OD Efficiencies'!F$54*'OD StructuralVars'!$R40*('OD Shares'!J40/'OD Efficiencies'!F40)/('OD Shares'!J$12/'OD Efficiencies'!F$12)</f>
        <v>#DIV/0!</v>
      </c>
      <c r="I40" s="242" t="e">
        <f>'OD Efficiencies'!G$54*'OD StructuralVars'!$R40*('OD Shares'!L40/'OD Efficiencies'!G40)/('OD Shares'!L$12/'OD Efficiencies'!G$12)</f>
        <v>#DIV/0!</v>
      </c>
      <c r="J40" s="242"/>
      <c r="K40" s="242" t="e">
        <f>'OD Efficiencies'!I$54*'OD StructuralVars'!$R40*('OD Shares'!P40/'OD Efficiencies'!I40)/('OD Shares'!P$12/'OD Efficiencies'!I$12)</f>
        <v>#DIV/0!</v>
      </c>
      <c r="L40" s="242" t="e">
        <f>'OD Efficiencies'!J$54*('OD Shares'!R40/'OD Efficiencies'!J40)/('OD Shares'!R$12/'OD Efficiencies'!J$12)</f>
        <v>#DIV/0!</v>
      </c>
      <c r="M40" s="242">
        <f>'OD Efficiencies'!K$54*('OD Shares'!T40/(1/'OD Efficiencies'!K40))/('OD Shares'!T$12/(1/'OD Efficiencies'!K$12))</f>
        <v>667.76239143465432</v>
      </c>
      <c r="N40" s="242">
        <f>'OD Efficiencies'!L$54*('OD Shares'!U40/(1/'OD Efficiencies'!L40))/('OD Shares'!U$12/(1/'OD Efficiencies'!L$12))</f>
        <v>494.05269818043212</v>
      </c>
      <c r="O40" s="242">
        <f>'OD Efficiencies'!M$54*('OD Shares'!W40/(1/'OD Efficiencies'!M40))/('OD Shares'!W$12/(1/'OD Efficiencies'!M$12))</f>
        <v>88.262194093954676</v>
      </c>
      <c r="P40" s="242">
        <f>'OD Efficiencies'!N$54*('OD Shares'!Y40/(1/'OD Efficiencies'!N40))/('OD Shares'!Y$12/(1/'OD Efficiencies'!N$12))</f>
        <v>267.70037195726201</v>
      </c>
      <c r="Q40" s="242">
        <f>'OD Efficiencies'!O$54*('OD Shares'!AA40/(1/'OD Efficiencies'!O40))/('OD Shares'!AA$12/(1/'OD Efficiencies'!O$12))</f>
        <v>188.56423191567583</v>
      </c>
      <c r="R40" s="242" t="e">
        <f>'OD Efficiencies'!P$54*('OD Shares'!AC40/(1/'OD Efficiencies'!P40))/('OD Shares'!AC$12/(1/'OD Efficiencies'!P$12))</f>
        <v>#DIV/0!</v>
      </c>
      <c r="S40" s="242" t="e">
        <f>'OD Efficiencies'!Q$54*('OD Shares'!AE40/(1/'OD Efficiencies'!Q40))/('OD Shares'!AE$12/(1/'OD Efficiencies'!Q$12))</f>
        <v>#DIV/0!</v>
      </c>
      <c r="T40" s="242" t="e">
        <f>'OD Efficiencies'!R$54*('OD Shares'!AG40/(1/'OD Efficiencies'!R40))/('OD Shares'!AG$12/(1/'OD Efficiencies'!R$12))</f>
        <v>#DIV/0!</v>
      </c>
      <c r="U40" s="242" t="e">
        <f>'OD Efficiencies'!S$54*('OD Shares'!AH40/(1/'OD Efficiencies'!S40))/('OD Shares'!AH$12/(1/'OD Efficiencies'!S$12))</f>
        <v>#DIV/0!</v>
      </c>
      <c r="V40" s="242">
        <f>'OD Efficiencies'!T$54*('OD Shares'!AI40/(1/'OD Efficiencies'!T40))/('OD Shares'!AI$12/(1/'OD Efficiencies'!T$12))</f>
        <v>2010.1792009962799</v>
      </c>
      <c r="W40" s="242">
        <f>'OD Efficiencies'!V$54*('OD Shares'!AJ40/(1/'OD Efficiencies'!X40))/('OD Shares'!AJ$12/(1/'OD Efficiencies'!X$12))</f>
        <v>5431.3426894214508</v>
      </c>
    </row>
    <row r="41" spans="1:23" x14ac:dyDescent="0.2">
      <c r="A41" s="208">
        <f t="shared" si="5"/>
        <v>2034</v>
      </c>
      <c r="B41" s="241">
        <f t="shared" si="4"/>
        <v>1439.2204646239879</v>
      </c>
      <c r="C41" s="241" t="e">
        <f t="shared" si="3"/>
        <v>#DIV/0!</v>
      </c>
      <c r="D41" s="242">
        <f>'OD Efficiencies'!B$54*'OD StructuralVars'!$Q41*('OD Shares'!B41/'OD Efficiencies'!B41)/('OD Shares'!B$12/'OD Efficiencies'!B$12)</f>
        <v>1005.0361365146879</v>
      </c>
      <c r="E41" s="242">
        <f>'OD Efficiencies'!C$54*'OD StructuralVars'!$Q41*('OD Shares'!D41/'OD Efficiencies'!C41)/('OD Shares'!D$12/'OD Efficiencies'!C$12)</f>
        <v>428.51508482826745</v>
      </c>
      <c r="F41" s="242"/>
      <c r="G41" s="242">
        <f>'OD Efficiencies'!E$54*'OD StructuralVars'!$Q41*('OD Shares'!H41/(1/'OD Efficiencies'!E41))/('OD Shares'!H$12/(1/'OD Efficiencies'!E$12))</f>
        <v>5.6692432810325428</v>
      </c>
      <c r="H41" s="242" t="e">
        <f>'OD Efficiencies'!F$54*'OD StructuralVars'!$R41*('OD Shares'!J41/'OD Efficiencies'!F41)/('OD Shares'!J$12/'OD Efficiencies'!F$12)</f>
        <v>#DIV/0!</v>
      </c>
      <c r="I41" s="242" t="e">
        <f>'OD Efficiencies'!G$54*'OD StructuralVars'!$R41*('OD Shares'!L41/'OD Efficiencies'!G41)/('OD Shares'!L$12/'OD Efficiencies'!G$12)</f>
        <v>#DIV/0!</v>
      </c>
      <c r="J41" s="242"/>
      <c r="K41" s="242" t="e">
        <f>'OD Efficiencies'!I$54*'OD StructuralVars'!$R41*('OD Shares'!P41/'OD Efficiencies'!I41)/('OD Shares'!P$12/'OD Efficiencies'!I$12)</f>
        <v>#DIV/0!</v>
      </c>
      <c r="L41" s="242" t="e">
        <f>'OD Efficiencies'!J$54*('OD Shares'!R41/'OD Efficiencies'!J41)/('OD Shares'!R$12/'OD Efficiencies'!J$12)</f>
        <v>#DIV/0!</v>
      </c>
      <c r="M41" s="242">
        <f>'OD Efficiencies'!K$54*('OD Shares'!T41/(1/'OD Efficiencies'!K41))/('OD Shares'!T$12/(1/'OD Efficiencies'!K$12))</f>
        <v>667.64453859269747</v>
      </c>
      <c r="N41" s="242">
        <f>'OD Efficiencies'!L$54*('OD Shares'!U41/(1/'OD Efficiencies'!L41))/('OD Shares'!U$12/(1/'OD Efficiencies'!L$12))</f>
        <v>492.61138972694954</v>
      </c>
      <c r="O41" s="242">
        <f>'OD Efficiencies'!M$54*('OD Shares'!W41/(1/'OD Efficiencies'!M41))/('OD Shares'!W$12/(1/'OD Efficiencies'!M$12))</f>
        <v>87.912994706373439</v>
      </c>
      <c r="P41" s="242">
        <f>'OD Efficiencies'!N$54*('OD Shares'!Y41/(1/'OD Efficiencies'!N41))/('OD Shares'!Y$12/(1/'OD Efficiencies'!N$12))</f>
        <v>266.87259278006292</v>
      </c>
      <c r="Q41" s="242">
        <f>'OD Efficiencies'!O$54*('OD Shares'!AA41/(1/'OD Efficiencies'!O41))/('OD Shares'!AA$12/(1/'OD Efficiencies'!O$12))</f>
        <v>189.94778337683235</v>
      </c>
      <c r="R41" s="242" t="e">
        <f>'OD Efficiencies'!P$54*('OD Shares'!AC41/(1/'OD Efficiencies'!P41))/('OD Shares'!AC$12/(1/'OD Efficiencies'!P$12))</f>
        <v>#DIV/0!</v>
      </c>
      <c r="S41" s="242" t="e">
        <f>'OD Efficiencies'!Q$54*('OD Shares'!AE41/(1/'OD Efficiencies'!Q41))/('OD Shares'!AE$12/(1/'OD Efficiencies'!Q$12))</f>
        <v>#DIV/0!</v>
      </c>
      <c r="T41" s="242" t="e">
        <f>'OD Efficiencies'!R$54*('OD Shares'!AG41/(1/'OD Efficiencies'!R41))/('OD Shares'!AG$12/(1/'OD Efficiencies'!R$12))</f>
        <v>#DIV/0!</v>
      </c>
      <c r="U41" s="242" t="e">
        <f>'OD Efficiencies'!S$54*('OD Shares'!AH41/(1/'OD Efficiencies'!S41))/('OD Shares'!AH$12/(1/'OD Efficiencies'!S$12))</f>
        <v>#DIV/0!</v>
      </c>
      <c r="V41" s="242">
        <f>'OD Efficiencies'!T$54*('OD Shares'!AI41/(1/'OD Efficiencies'!T41))/('OD Shares'!AI$12/(1/'OD Efficiencies'!T$12))</f>
        <v>2010.1792009962799</v>
      </c>
      <c r="W41" s="242">
        <f>'OD Efficiencies'!V$54*('OD Shares'!AJ41/(1/'OD Efficiencies'!X41))/('OD Shares'!AJ$12/(1/'OD Efficiencies'!X$12))</f>
        <v>5505.5849640206752</v>
      </c>
    </row>
    <row r="42" spans="1:23" x14ac:dyDescent="0.2">
      <c r="A42" s="208">
        <f t="shared" si="5"/>
        <v>2035</v>
      </c>
      <c r="B42" s="241">
        <f t="shared" si="4"/>
        <v>1434.1858358111147</v>
      </c>
      <c r="C42" s="241" t="e">
        <f t="shared" si="3"/>
        <v>#DIV/0!</v>
      </c>
      <c r="D42" s="242">
        <f>'OD Efficiencies'!B$54*'OD StructuralVars'!$Q42*('OD Shares'!B42/'OD Efficiencies'!B42)/('OD Shares'!B$12/'OD Efficiencies'!B$12)</f>
        <v>1000.7296666435692</v>
      </c>
      <c r="E42" s="242">
        <f>'OD Efficiencies'!C$54*'OD StructuralVars'!$Q42*('OD Shares'!D42/'OD Efficiencies'!C42)/('OD Shares'!D$12/'OD Efficiencies'!C$12)</f>
        <v>429.08318422853137</v>
      </c>
      <c r="F42" s="242"/>
      <c r="G42" s="242">
        <f>'OD Efficiencies'!E$54*'OD StructuralVars'!$Q42*('OD Shares'!H42/(1/'OD Efficiencies'!E42))/('OD Shares'!H$12/(1/'OD Efficiencies'!E$12))</f>
        <v>4.3729849390140343</v>
      </c>
      <c r="H42" s="242" t="e">
        <f>'OD Efficiencies'!F$54*'OD StructuralVars'!$R42*('OD Shares'!J42/'OD Efficiencies'!F42)/('OD Shares'!J$12/'OD Efficiencies'!F$12)</f>
        <v>#DIV/0!</v>
      </c>
      <c r="I42" s="242" t="e">
        <f>'OD Efficiencies'!G$54*'OD StructuralVars'!$R42*('OD Shares'!L42/'OD Efficiencies'!G42)/('OD Shares'!L$12/'OD Efficiencies'!G$12)</f>
        <v>#DIV/0!</v>
      </c>
      <c r="J42" s="242"/>
      <c r="K42" s="242" t="e">
        <f>'OD Efficiencies'!I$54*'OD StructuralVars'!$R42*('OD Shares'!P42/'OD Efficiencies'!I42)/('OD Shares'!P$12/'OD Efficiencies'!I$12)</f>
        <v>#DIV/0!</v>
      </c>
      <c r="L42" s="242" t="e">
        <f>'OD Efficiencies'!J$54*('OD Shares'!R42/'OD Efficiencies'!J42)/('OD Shares'!R$12/'OD Efficiencies'!J$12)</f>
        <v>#DIV/0!</v>
      </c>
      <c r="M42" s="242">
        <f>'OD Efficiencies'!K$54*('OD Shares'!T42/(1/'OD Efficiencies'!K42))/('OD Shares'!T$12/(1/'OD Efficiencies'!K$12))</f>
        <v>667.83054602473999</v>
      </c>
      <c r="N42" s="242">
        <f>'OD Efficiencies'!L$54*('OD Shares'!U42/(1/'OD Efficiencies'!L42))/('OD Shares'!U$12/(1/'OD Efficiencies'!L$12))</f>
        <v>491.39591125233784</v>
      </c>
      <c r="O42" s="242">
        <f>'OD Efficiencies'!M$54*('OD Shares'!W42/(1/'OD Efficiencies'!M42))/('OD Shares'!W$12/(1/'OD Efficiencies'!M$12))</f>
        <v>87.613450576373424</v>
      </c>
      <c r="P42" s="242">
        <f>'OD Efficiencies'!N$54*('OD Shares'!Y42/(1/'OD Efficiencies'!N42))/('OD Shares'!Y$12/(1/'OD Efficiencies'!N$12))</f>
        <v>266.11409118202749</v>
      </c>
      <c r="Q42" s="242">
        <f>'OD Efficiencies'!O$54*('OD Shares'!AA42/(1/'OD Efficiencies'!O42))/('OD Shares'!AA$12/(1/'OD Efficiencies'!O$12))</f>
        <v>191.31370882803665</v>
      </c>
      <c r="R42" s="242" t="e">
        <f>'OD Efficiencies'!P$54*('OD Shares'!AC42/(1/'OD Efficiencies'!P42))/('OD Shares'!AC$12/(1/'OD Efficiencies'!P$12))</f>
        <v>#DIV/0!</v>
      </c>
      <c r="S42" s="242" t="e">
        <f>'OD Efficiencies'!Q$54*('OD Shares'!AE42/(1/'OD Efficiencies'!Q42))/('OD Shares'!AE$12/(1/'OD Efficiencies'!Q$12))</f>
        <v>#DIV/0!</v>
      </c>
      <c r="T42" s="242" t="e">
        <f>'OD Efficiencies'!R$54*('OD Shares'!AG42/(1/'OD Efficiencies'!R42))/('OD Shares'!AG$12/(1/'OD Efficiencies'!R$12))</f>
        <v>#DIV/0!</v>
      </c>
      <c r="U42" s="242" t="e">
        <f>'OD Efficiencies'!S$54*('OD Shares'!AH42/(1/'OD Efficiencies'!S42))/('OD Shares'!AH$12/(1/'OD Efficiencies'!S$12))</f>
        <v>#DIV/0!</v>
      </c>
      <c r="V42" s="242">
        <f>'OD Efficiencies'!T$54*('OD Shares'!AI42/(1/'OD Efficiencies'!T42))/('OD Shares'!AI$12/(1/'OD Efficiencies'!T$12))</f>
        <v>2010.1792009962799</v>
      </c>
      <c r="W42" s="242">
        <f>'OD Efficiencies'!V$54*('OD Shares'!AJ42/(1/'OD Efficiencies'!X42))/('OD Shares'!AJ$12/(1/'OD Efficiencies'!X$12))</f>
        <v>5591.5633860146345</v>
      </c>
    </row>
    <row r="43" spans="1:23" x14ac:dyDescent="0.2">
      <c r="A43" s="208">
        <f t="shared" si="5"/>
        <v>2036</v>
      </c>
      <c r="B43" s="241">
        <f t="shared" si="4"/>
        <v>1431.7948804465627</v>
      </c>
      <c r="C43" s="241" t="e">
        <f t="shared" si="3"/>
        <v>#DIV/0!</v>
      </c>
      <c r="D43" s="242">
        <f>'OD Efficiencies'!B$54*'OD StructuralVars'!$Q43*('OD Shares'!B43/'OD Efficiencies'!B43)/('OD Shares'!B$12/'OD Efficiencies'!B$12)</f>
        <v>998.21845125320181</v>
      </c>
      <c r="E43" s="242">
        <f>'OD Efficiencies'!C$54*'OD StructuralVars'!$Q43*('OD Shares'!D43/'OD Efficiencies'!C43)/('OD Shares'!D$12/'OD Efficiencies'!C$12)</f>
        <v>430.41602972911056</v>
      </c>
      <c r="F43" s="242"/>
      <c r="G43" s="242">
        <f>'OD Efficiencies'!E$54*'OD StructuralVars'!$Q43*('OD Shares'!H43/(1/'OD Efficiencies'!E43))/('OD Shares'!H$12/(1/'OD Efficiencies'!E$12))</f>
        <v>3.1603994642502435</v>
      </c>
      <c r="H43" s="242" t="e">
        <f>'OD Efficiencies'!F$54*'OD StructuralVars'!$R43*('OD Shares'!J43/'OD Efficiencies'!F43)/('OD Shares'!J$12/'OD Efficiencies'!F$12)</f>
        <v>#DIV/0!</v>
      </c>
      <c r="I43" s="242" t="e">
        <f>'OD Efficiencies'!G$54*'OD StructuralVars'!$R43*('OD Shares'!L43/'OD Efficiencies'!G43)/('OD Shares'!L$12/'OD Efficiencies'!G$12)</f>
        <v>#DIV/0!</v>
      </c>
      <c r="J43" s="242"/>
      <c r="K43" s="242" t="e">
        <f>'OD Efficiencies'!I$54*'OD StructuralVars'!$R43*('OD Shares'!P43/'OD Efficiencies'!I43)/('OD Shares'!P$12/'OD Efficiencies'!I$12)</f>
        <v>#DIV/0!</v>
      </c>
      <c r="L43" s="242" t="e">
        <f>'OD Efficiencies'!J$54*('OD Shares'!R43/'OD Efficiencies'!J43)/('OD Shares'!R$12/'OD Efficiencies'!J$12)</f>
        <v>#DIV/0!</v>
      </c>
      <c r="M43" s="242">
        <f>'OD Efficiencies'!K$54*('OD Shares'!T43/(1/'OD Efficiencies'!K43))/('OD Shares'!T$12/(1/'OD Efficiencies'!K$12))</f>
        <v>668.01645234718239</v>
      </c>
      <c r="N43" s="242">
        <f t="shared" ref="N43:N49" si="6">N42</f>
        <v>491.39591125233784</v>
      </c>
      <c r="O43" s="242">
        <f>'OD Efficiencies'!M$54*('OD Shares'!W43/(1/'OD Efficiencies'!M43))/('OD Shares'!W$12/(1/'OD Efficiencies'!M$12))</f>
        <v>87.314328051199581</v>
      </c>
      <c r="P43" s="242">
        <f>'OD Efficiencies'!N$54*('OD Shares'!Y43/(1/'OD Efficiencies'!N43))/('OD Shares'!Y$12/(1/'OD Efficiencies'!N$12))</f>
        <v>265.3566230214804</v>
      </c>
      <c r="Q43" s="242">
        <f>'OD Efficiencies'!O$54*('OD Shares'!AA43/(1/'OD Efficiencies'!O43))/('OD Shares'!AA$12/(1/'OD Efficiencies'!O$12))</f>
        <v>192.67963689075503</v>
      </c>
      <c r="R43" s="242" t="e">
        <f>'OD Efficiencies'!P$54*('OD Shares'!AC43/(1/'OD Efficiencies'!P43))/('OD Shares'!AC$12/(1/'OD Efficiencies'!P$12))</f>
        <v>#DIV/0!</v>
      </c>
      <c r="S43" s="242" t="e">
        <f>'OD Efficiencies'!Q$54*('OD Shares'!AE43/(1/'OD Efficiencies'!Q43))/('OD Shares'!AE$12/(1/'OD Efficiencies'!Q$12))</f>
        <v>#DIV/0!</v>
      </c>
      <c r="T43" s="242" t="e">
        <f>'OD Efficiencies'!R$54*('OD Shares'!AG43/(1/'OD Efficiencies'!R43))/('OD Shares'!AG$12/(1/'OD Efficiencies'!R$12))</f>
        <v>#DIV/0!</v>
      </c>
      <c r="U43" s="242" t="e">
        <f>'OD Efficiencies'!S$54*('OD Shares'!AH43/(1/'OD Efficiencies'!S43))/('OD Shares'!AH$12/(1/'OD Efficiencies'!S$12))</f>
        <v>#DIV/0!</v>
      </c>
      <c r="V43" s="242">
        <f>'OD Efficiencies'!T$54*('OD Shares'!AI43/(1/'OD Efficiencies'!T43))/('OD Shares'!AI$12/(1/'OD Efficiencies'!T$12))</f>
        <v>2010.1792009962799</v>
      </c>
      <c r="W43" s="242">
        <f>'OD Efficiencies'!V$54*('OD Shares'!AJ43/(1/'OD Efficiencies'!X43))/('OD Shares'!AJ$12/(1/'OD Efficiencies'!X$12))</f>
        <v>5678.8844971318895</v>
      </c>
    </row>
    <row r="44" spans="1:23" x14ac:dyDescent="0.2">
      <c r="A44" s="208">
        <f t="shared" si="5"/>
        <v>2037</v>
      </c>
      <c r="B44" s="241">
        <f t="shared" si="4"/>
        <v>1429.4734782334308</v>
      </c>
      <c r="C44" s="241" t="e">
        <f t="shared" si="3"/>
        <v>#DIV/0!</v>
      </c>
      <c r="D44" s="242">
        <f>'OD Efficiencies'!B$54*'OD StructuralVars'!$Q44*('OD Shares'!B44/'OD Efficiencies'!B44)/('OD Shares'!B$12/'OD Efficiencies'!B$12)</f>
        <v>995.70723586283441</v>
      </c>
      <c r="E44" s="242">
        <f>'OD Efficiencies'!C$54*'OD StructuralVars'!$Q44*('OD Shares'!D44/'OD Efficiencies'!C44)/('OD Shares'!D$12/'OD Efficiencies'!C$12)</f>
        <v>431.74818309759212</v>
      </c>
      <c r="F44" s="242"/>
      <c r="G44" s="242">
        <f>'OD Efficiencies'!E$54*'OD StructuralVars'!$Q44*('OD Shares'!H44/(1/'OD Efficiencies'!E44))/('OD Shares'!H$12/(1/'OD Efficiencies'!E$12))</f>
        <v>2.0180592730043663</v>
      </c>
      <c r="H44" s="242" t="e">
        <f>'OD Efficiencies'!F$54*'OD StructuralVars'!$R44*('OD Shares'!J44/'OD Efficiencies'!F44)/('OD Shares'!J$12/'OD Efficiencies'!F$12)</f>
        <v>#DIV/0!</v>
      </c>
      <c r="I44" s="242" t="e">
        <f>'OD Efficiencies'!G$54*'OD StructuralVars'!$R44*('OD Shares'!L44/'OD Efficiencies'!G44)/('OD Shares'!L$12/'OD Efficiencies'!G$12)</f>
        <v>#DIV/0!</v>
      </c>
      <c r="J44" s="242"/>
      <c r="K44" s="242" t="e">
        <f>'OD Efficiencies'!I$54*'OD StructuralVars'!$R44*('OD Shares'!P44/'OD Efficiencies'!I44)/('OD Shares'!P$12/'OD Efficiencies'!I$12)</f>
        <v>#DIV/0!</v>
      </c>
      <c r="L44" s="242" t="e">
        <f>'OD Efficiencies'!J$54*('OD Shares'!R44/'OD Efficiencies'!J44)/('OD Shares'!R$12/'OD Efficiencies'!J$12)</f>
        <v>#DIV/0!</v>
      </c>
      <c r="M44" s="242">
        <f>'OD Efficiencies'!K$54*('OD Shares'!T44/(1/'OD Efficiencies'!K44))/('OD Shares'!T$12/(1/'OD Efficiencies'!K$12))</f>
        <v>668.20225759302843</v>
      </c>
      <c r="N44" s="242">
        <f t="shared" si="6"/>
        <v>491.39591125233784</v>
      </c>
      <c r="O44" s="242">
        <f>'OD Efficiencies'!M$54*('OD Shares'!W44/(1/'OD Efficiencies'!M44))/('OD Shares'!W$12/(1/'OD Efficiencies'!M$12))</f>
        <v>87.015627033258738</v>
      </c>
      <c r="P44" s="242">
        <f>'OD Efficiencies'!N$54*('OD Shares'!Y44/(1/'OD Efficiencies'!N44))/('OD Shares'!Y$12/(1/'OD Efficiencies'!N$12))</f>
        <v>264.60018829842176</v>
      </c>
      <c r="Q44" s="242">
        <f>'OD Efficiencies'!O$54*('OD Shares'!AA44/(1/'OD Efficiencies'!O44))/('OD Shares'!AA$12/(1/'OD Efficiencies'!O$12))</f>
        <v>194.04556756499122</v>
      </c>
      <c r="R44" s="242" t="e">
        <f>'OD Efficiencies'!P$54*('OD Shares'!AC44/(1/'OD Efficiencies'!P44))/('OD Shares'!AC$12/(1/'OD Efficiencies'!P$12))</f>
        <v>#DIV/0!</v>
      </c>
      <c r="S44" s="242" t="e">
        <f>'OD Efficiencies'!Q$54*('OD Shares'!AE44/(1/'OD Efficiencies'!Q44))/('OD Shares'!AE$12/(1/'OD Efficiencies'!Q$12))</f>
        <v>#DIV/0!</v>
      </c>
      <c r="T44" s="242" t="e">
        <f>'OD Efficiencies'!R$54*('OD Shares'!AG44/(1/'OD Efficiencies'!R44))/('OD Shares'!AG$12/(1/'OD Efficiencies'!R$12))</f>
        <v>#DIV/0!</v>
      </c>
      <c r="U44" s="242" t="e">
        <f>'OD Efficiencies'!S$54*('OD Shares'!AH44/(1/'OD Efficiencies'!S44))/('OD Shares'!AH$12/(1/'OD Efficiencies'!S$12))</f>
        <v>#DIV/0!</v>
      </c>
      <c r="V44" s="242">
        <f>'OD Efficiencies'!T$54*('OD Shares'!AI44/(1/'OD Efficiencies'!T44))/('OD Shares'!AI$12/(1/'OD Efficiencies'!T$12))</f>
        <v>2010.1792009962799</v>
      </c>
      <c r="W44" s="242">
        <f>'OD Efficiencies'!V$54*('OD Shares'!AJ44/(1/'OD Efficiencies'!X44))/('OD Shares'!AJ$12/(1/'OD Efficiencies'!X$12))</f>
        <v>5767.5692655879529</v>
      </c>
    </row>
    <row r="45" spans="1:23" x14ac:dyDescent="0.2">
      <c r="A45" s="208">
        <f t="shared" si="5"/>
        <v>2038</v>
      </c>
      <c r="B45" s="241">
        <f t="shared" si="4"/>
        <v>1428.2861437921977</v>
      </c>
      <c r="C45" s="241" t="e">
        <f t="shared" si="3"/>
        <v>#DIV/0!</v>
      </c>
      <c r="D45" s="242">
        <f>'OD Efficiencies'!B$54*'OD StructuralVars'!$Q45*('OD Shares'!B45/'OD Efficiencies'!B45)/('OD Shares'!B$12/'OD Efficiencies'!B$12)</f>
        <v>995.70723586283441</v>
      </c>
      <c r="E45" s="242">
        <f>'OD Efficiencies'!C$54*'OD StructuralVars'!$Q45*('OD Shares'!D45/'OD Efficiencies'!C45)/('OD Shares'!D$12/'OD Efficiencies'!C$12)</f>
        <v>431.63611114067004</v>
      </c>
      <c r="F45" s="242"/>
      <c r="G45" s="242">
        <f>'OD Efficiencies'!E$54*'OD StructuralVars'!$Q45*('OD Shares'!H45/(1/'OD Efficiencies'!E45))/('OD Shares'!H$12/(1/'OD Efficiencies'!E$12))</f>
        <v>0.94279678869309047</v>
      </c>
      <c r="H45" s="242" t="e">
        <f>'OD Efficiencies'!F$54*'OD StructuralVars'!$R45*('OD Shares'!J45/'OD Efficiencies'!F45)/('OD Shares'!J$12/'OD Efficiencies'!F$12)</f>
        <v>#DIV/0!</v>
      </c>
      <c r="I45" s="242" t="e">
        <f>'OD Efficiencies'!G$54*'OD StructuralVars'!$R45*('OD Shares'!L45/'OD Efficiencies'!G45)/('OD Shares'!L$12/'OD Efficiencies'!G$12)</f>
        <v>#DIV/0!</v>
      </c>
      <c r="J45" s="242"/>
      <c r="K45" s="242" t="e">
        <f>'OD Efficiencies'!I$54*'OD StructuralVars'!$R45*('OD Shares'!P45/'OD Efficiencies'!I45)/('OD Shares'!P$12/'OD Efficiencies'!I$12)</f>
        <v>#DIV/0!</v>
      </c>
      <c r="L45" s="242" t="e">
        <f>'OD Efficiencies'!J$54*('OD Shares'!R45/'OD Efficiencies'!J45)/('OD Shares'!R$12/'OD Efficiencies'!J$12)</f>
        <v>#DIV/0!</v>
      </c>
      <c r="M45" s="242">
        <f>'OD Efficiencies'!K$54*('OD Shares'!T45/(1/'OD Efficiencies'!K45))/('OD Shares'!T$12/(1/'OD Efficiencies'!K$12))</f>
        <v>668.38796179527276</v>
      </c>
      <c r="N45" s="242">
        <f t="shared" si="6"/>
        <v>491.39591125233784</v>
      </c>
      <c r="O45" s="242">
        <f>'OD Efficiencies'!M$54*('OD Shares'!W45/(1/'OD Efficiencies'!M45))/('OD Shares'!W$12/(1/'OD Efficiencies'!M$12))</f>
        <v>86.717347424977845</v>
      </c>
      <c r="P45" s="242">
        <f>'OD Efficiencies'!N$54*('OD Shares'!Y45/(1/'OD Efficiencies'!N45))/('OD Shares'!Y$12/(1/'OD Efficiencies'!N$12))</f>
        <v>263.84478701285138</v>
      </c>
      <c r="Q45" s="242">
        <f>'OD Efficiencies'!O$54*('OD Shares'!AA45/(1/'OD Efficiencies'!O45))/('OD Shares'!AA$12/(1/'OD Efficiencies'!O$12))</f>
        <v>195.41150085074895</v>
      </c>
      <c r="R45" s="242" t="e">
        <f>'OD Efficiencies'!P$54*('OD Shares'!AC45/(1/'OD Efficiencies'!P45))/('OD Shares'!AC$12/(1/'OD Efficiencies'!P$12))</f>
        <v>#DIV/0!</v>
      </c>
      <c r="S45" s="242" t="e">
        <f>'OD Efficiencies'!Q$54*('OD Shares'!AE45/(1/'OD Efficiencies'!Q45))/('OD Shares'!AE$12/(1/'OD Efficiencies'!Q$12))</f>
        <v>#DIV/0!</v>
      </c>
      <c r="T45" s="242" t="e">
        <f>'OD Efficiencies'!R$54*('OD Shares'!AG45/(1/'OD Efficiencies'!R45))/('OD Shares'!AG$12/(1/'OD Efficiencies'!R$12))</f>
        <v>#DIV/0!</v>
      </c>
      <c r="U45" s="242" t="e">
        <f>'OD Efficiencies'!S$54*('OD Shares'!AH45/(1/'OD Efficiencies'!S45))/('OD Shares'!AH$12/(1/'OD Efficiencies'!S$12))</f>
        <v>#DIV/0!</v>
      </c>
      <c r="V45" s="242">
        <f>'OD Efficiencies'!T$54*('OD Shares'!AI45/(1/'OD Efficiencies'!T45))/('OD Shares'!AI$12/(1/'OD Efficiencies'!T$12))</f>
        <v>2010.1792009962799</v>
      </c>
      <c r="W45" s="242">
        <f>'OD Efficiencies'!V$54*('OD Shares'!AJ45/(1/'OD Efficiencies'!X45))/('OD Shares'!AJ$12/(1/'OD Efficiencies'!X$12))</f>
        <v>5857.6389870502062</v>
      </c>
    </row>
    <row r="46" spans="1:23" x14ac:dyDescent="0.2">
      <c r="A46" s="208">
        <f t="shared" si="5"/>
        <v>2039</v>
      </c>
      <c r="B46" s="241">
        <f t="shared" si="4"/>
        <v>1427.1629058518661</v>
      </c>
      <c r="C46" s="241" t="e">
        <f t="shared" si="3"/>
        <v>#DIV/0!</v>
      </c>
      <c r="D46" s="242">
        <f>'OD Efficiencies'!B$54*'OD StructuralVars'!$Q46*('OD Shares'!B46/'OD Efficiencies'!B46)/('OD Shares'!B$12/'OD Efficiencies'!B$12)</f>
        <v>995.70723586283441</v>
      </c>
      <c r="E46" s="242">
        <f>'OD Efficiencies'!C$54*'OD StructuralVars'!$Q46*('OD Shares'!D46/'OD Efficiencies'!C46)/('OD Shares'!D$12/'OD Efficiencies'!C$12)</f>
        <v>431.52409735128418</v>
      </c>
      <c r="F46" s="242"/>
      <c r="G46" s="242">
        <f>'OD Efficiencies'!E$54*'OD StructuralVars'!$Q46*('OD Shares'!H46/(1/'OD Efficiencies'!E46))/('OD Shares'!H$12/(1/'OD Efficiencies'!E$12))</f>
        <v>-6.8427362252528129E-2</v>
      </c>
      <c r="H46" s="242" t="e">
        <f>'OD Efficiencies'!F$54*'OD StructuralVars'!$R46*('OD Shares'!J46/'OD Efficiencies'!F46)/('OD Shares'!J$12/'OD Efficiencies'!F$12)</f>
        <v>#DIV/0!</v>
      </c>
      <c r="I46" s="242" t="e">
        <f>'OD Efficiencies'!G$54*'OD StructuralVars'!$R46*('OD Shares'!L46/'OD Efficiencies'!G46)/('OD Shares'!L$12/'OD Efficiencies'!G$12)</f>
        <v>#DIV/0!</v>
      </c>
      <c r="J46" s="242"/>
      <c r="K46" s="242" t="e">
        <f>'OD Efficiencies'!I$54*'OD StructuralVars'!$R46*('OD Shares'!P46/'OD Efficiencies'!I46)/('OD Shares'!P$12/'OD Efficiencies'!I$12)</f>
        <v>#DIV/0!</v>
      </c>
      <c r="L46" s="242" t="e">
        <f>'OD Efficiencies'!J$54*('OD Shares'!R46/'OD Efficiencies'!J46)/('OD Shares'!R$12/'OD Efficiencies'!J$12)</f>
        <v>#DIV/0!</v>
      </c>
      <c r="M46" s="242">
        <f>'OD Efficiencies'!K$54*('OD Shares'!T46/(1/'OD Efficiencies'!K46))/('OD Shares'!T$12/(1/'OD Efficiencies'!K$12))</f>
        <v>668.57356498690046</v>
      </c>
      <c r="N46" s="242">
        <f t="shared" si="6"/>
        <v>491.39591125233784</v>
      </c>
      <c r="O46" s="242">
        <f>'OD Efficiencies'!M$54*('OD Shares'!W46/(1/'OD Efficiencies'!M46))/('OD Shares'!W$12/(1/'OD Efficiencies'!M$12))</f>
        <v>86.41948912880413</v>
      </c>
      <c r="P46" s="242">
        <f>'OD Efficiencies'!N$54*('OD Shares'!Y46/(1/'OD Efficiencies'!N46))/('OD Shares'!Y$12/(1/'OD Efficiencies'!N$12))</f>
        <v>263.0904191647694</v>
      </c>
      <c r="Q46" s="242">
        <f>'OD Efficiencies'!O$54*('OD Shares'!AA46/(1/'OD Efficiencies'!O46))/('OD Shares'!AA$12/(1/'OD Efficiencies'!O$12))</f>
        <v>196.77743674803204</v>
      </c>
      <c r="R46" s="242" t="e">
        <f>'OD Efficiencies'!P$54*('OD Shares'!AC46/(1/'OD Efficiencies'!P46))/('OD Shares'!AC$12/(1/'OD Efficiencies'!P$12))</f>
        <v>#DIV/0!</v>
      </c>
      <c r="S46" s="242" t="e">
        <f>'OD Efficiencies'!Q$54*('OD Shares'!AE46/(1/'OD Efficiencies'!Q46))/('OD Shares'!AE$12/(1/'OD Efficiencies'!Q$12))</f>
        <v>#DIV/0!</v>
      </c>
      <c r="T46" s="242" t="e">
        <f>'OD Efficiencies'!R$54*('OD Shares'!AG46/(1/'OD Efficiencies'!R46))/('OD Shares'!AG$12/(1/'OD Efficiencies'!R$12))</f>
        <v>#DIV/0!</v>
      </c>
      <c r="U46" s="242" t="e">
        <f>'OD Efficiencies'!S$54*('OD Shares'!AH46/(1/'OD Efficiencies'!S46))/('OD Shares'!AH$12/(1/'OD Efficiencies'!S$12))</f>
        <v>#DIV/0!</v>
      </c>
      <c r="V46" s="242">
        <f>'OD Efficiencies'!T$54*('OD Shares'!AI46/(1/'OD Efficiencies'!T46))/('OD Shares'!AI$12/(1/'OD Efficiencies'!T$12))</f>
        <v>2010.1792009962799</v>
      </c>
      <c r="W46" s="242">
        <f>'OD Efficiencies'!V$54*('OD Shares'!AJ46/(1/'OD Efficiencies'!X46))/('OD Shares'!AJ$12/(1/'OD Efficiencies'!X$12))</f>
        <v>5949.1152897515767</v>
      </c>
    </row>
    <row r="47" spans="1:23" x14ac:dyDescent="0.2">
      <c r="A47" s="208">
        <f t="shared" si="5"/>
        <v>2040</v>
      </c>
      <c r="B47" s="241">
        <f t="shared" si="4"/>
        <v>1426.100848312826</v>
      </c>
      <c r="C47" s="241" t="e">
        <f t="shared" si="3"/>
        <v>#DIV/0!</v>
      </c>
      <c r="D47" s="242">
        <f>'OD Efficiencies'!B$54*'OD StructuralVars'!$Q47*('OD Shares'!B47/'OD Efficiencies'!B47)/('OD Shares'!B$12/'OD Efficiencies'!B$12)</f>
        <v>995.70723586283441</v>
      </c>
      <c r="E47" s="242">
        <f>'OD Efficiencies'!C$54*'OD StructuralVars'!$Q47*('OD Shares'!D47/'OD Efficiencies'!C47)/('OD Shares'!D$12/'OD Efficiencies'!C$12)</f>
        <v>431.41214168416133</v>
      </c>
      <c r="F47" s="242"/>
      <c r="G47" s="242">
        <f>'OD Efficiencies'!E$54*'OD StructuralVars'!$Q47*('OD Shares'!H47/(1/'OD Efficiencies'!E47))/('OD Shares'!H$12/(1/'OD Efficiencies'!E$12))</f>
        <v>-1.0185292341699066</v>
      </c>
      <c r="H47" s="242" t="e">
        <f>'OD Efficiencies'!F$54*'OD StructuralVars'!$R47*('OD Shares'!J47/'OD Efficiencies'!F47)/('OD Shares'!J$12/'OD Efficiencies'!F$12)</f>
        <v>#DIV/0!</v>
      </c>
      <c r="I47" s="242" t="e">
        <f>'OD Efficiencies'!G$54*'OD StructuralVars'!$R47*('OD Shares'!L47/'OD Efficiencies'!G47)/('OD Shares'!L$12/'OD Efficiencies'!G$12)</f>
        <v>#DIV/0!</v>
      </c>
      <c r="J47" s="242"/>
      <c r="K47" s="242" t="e">
        <f>'OD Efficiencies'!I$54*'OD StructuralVars'!$R47*('OD Shares'!P47/'OD Efficiencies'!I47)/('OD Shares'!P$12/'OD Efficiencies'!I$12)</f>
        <v>#DIV/0!</v>
      </c>
      <c r="L47" s="242" t="e">
        <f>'OD Efficiencies'!J$54*('OD Shares'!R47/'OD Efficiencies'!J47)/('OD Shares'!R$12/'OD Efficiencies'!J$12)</f>
        <v>#DIV/0!</v>
      </c>
      <c r="M47" s="242">
        <f>'OD Efficiencies'!K$54*('OD Shares'!T47/(1/'OD Efficiencies'!K47))/('OD Shares'!T$12/(1/'OD Efficiencies'!K$12))</f>
        <v>668.75906720088813</v>
      </c>
      <c r="N47" s="242">
        <f t="shared" si="6"/>
        <v>491.39591125233784</v>
      </c>
      <c r="O47" s="242">
        <f>'OD Efficiencies'!M$54*('OD Shares'!W47/(1/'OD Efficiencies'!M47))/('OD Shares'!W$12/(1/'OD Efficiencies'!M$12))</f>
        <v>86.122052047204903</v>
      </c>
      <c r="P47" s="242">
        <f>'OD Efficiencies'!N$54*('OD Shares'!Y47/(1/'OD Efficiencies'!N47))/('OD Shares'!Y$12/(1/'OD Efficiencies'!N$12))</f>
        <v>262.33708475417575</v>
      </c>
      <c r="Q47" s="242">
        <f>'OD Efficiencies'!O$54*('OD Shares'!AA47/(1/'OD Efficiencies'!O47))/('OD Shares'!AA$12/(1/'OD Efficiencies'!O$12))</f>
        <v>198.14337525684414</v>
      </c>
      <c r="R47" s="242" t="e">
        <f>'OD Efficiencies'!P$54*('OD Shares'!AC47/(1/'OD Efficiencies'!P47))/('OD Shares'!AC$12/(1/'OD Efficiencies'!P$12))</f>
        <v>#DIV/0!</v>
      </c>
      <c r="S47" s="242" t="e">
        <f>'OD Efficiencies'!Q$54*('OD Shares'!AE47/(1/'OD Efficiencies'!Q47))/('OD Shares'!AE$12/(1/'OD Efficiencies'!Q$12))</f>
        <v>#DIV/0!</v>
      </c>
      <c r="T47" s="242" t="e">
        <f>'OD Efficiencies'!R$54*('OD Shares'!AG47/(1/'OD Efficiencies'!R47))/('OD Shares'!AG$12/(1/'OD Efficiencies'!R$12))</f>
        <v>#DIV/0!</v>
      </c>
      <c r="U47" s="242" t="e">
        <f>'OD Efficiencies'!S$54*('OD Shares'!AH47/(1/'OD Efficiencies'!S47))/('OD Shares'!AH$12/(1/'OD Efficiencies'!S$12))</f>
        <v>#DIV/0!</v>
      </c>
      <c r="V47" s="242">
        <f>'OD Efficiencies'!T$54*('OD Shares'!AI47/(1/'OD Efficiencies'!T47))/('OD Shares'!AI$12/(1/'OD Efficiencies'!T$12))</f>
        <v>2010.1792009962799</v>
      </c>
      <c r="W47" s="242">
        <f>'OD Efficiencies'!V$54*('OD Shares'!AJ47/(1/'OD Efficiencies'!X47))/('OD Shares'!AJ$12/(1/'OD Efficiencies'!X$12))</f>
        <v>6042.0201396840775</v>
      </c>
    </row>
    <row r="48" spans="1:23" x14ac:dyDescent="0.2">
      <c r="A48" s="208">
        <f t="shared" si="5"/>
        <v>2041</v>
      </c>
      <c r="B48" s="241">
        <f t="shared" si="4"/>
        <v>1425.0971736899198</v>
      </c>
      <c r="C48" s="241" t="e">
        <f t="shared" si="3"/>
        <v>#DIV/0!</v>
      </c>
      <c r="D48" s="242">
        <f>'OD Efficiencies'!B$54*'OD StructuralVars'!$Q48*('OD Shares'!B48/'OD Efficiencies'!B48)/('OD Shares'!B$12/'OD Efficiencies'!B$12)</f>
        <v>995.70723586283441</v>
      </c>
      <c r="E48" s="242">
        <f>'OD Efficiencies'!C$54*'OD StructuralVars'!$Q48*('OD Shares'!D48/'OD Efficiencies'!C48)/('OD Shares'!D$12/'OD Efficiencies'!C$12)</f>
        <v>431.30024409407491</v>
      </c>
      <c r="F48" s="242"/>
      <c r="G48" s="242">
        <f>'OD Efficiencies'!E$54*'OD StructuralVars'!$Q48*('OD Shares'!H48/(1/'OD Efficiencies'!E48))/('OD Shares'!H$12/(1/'OD Efficiencies'!E$12))</f>
        <v>-1.9103062669893431</v>
      </c>
      <c r="H48" s="242" t="e">
        <f>'OD Efficiencies'!F$54*'OD StructuralVars'!$R48*('OD Shares'!J48/'OD Efficiencies'!F48)/('OD Shares'!J$12/'OD Efficiencies'!F$12)</f>
        <v>#DIV/0!</v>
      </c>
      <c r="I48" s="242" t="e">
        <f>'OD Efficiencies'!G$54*'OD StructuralVars'!$R48*('OD Shares'!L48/'OD Efficiencies'!G48)/('OD Shares'!L$12/'OD Efficiencies'!G$12)</f>
        <v>#DIV/0!</v>
      </c>
      <c r="J48" s="242"/>
      <c r="K48" s="242" t="e">
        <f>'OD Efficiencies'!I$54*'OD StructuralVars'!$R48*('OD Shares'!P48/'OD Efficiencies'!I48)/('OD Shares'!P$12/'OD Efficiencies'!I$12)</f>
        <v>#DIV/0!</v>
      </c>
      <c r="L48" s="242" t="e">
        <f>'OD Efficiencies'!J$54*('OD Shares'!R48/'OD Efficiencies'!J48)/('OD Shares'!R$12/'OD Efficiencies'!J$12)</f>
        <v>#DIV/0!</v>
      </c>
      <c r="M48" s="242">
        <f>'OD Efficiencies'!K$54*('OD Shares'!T48/(1/'OD Efficiencies'!K48))/('OD Shares'!T$12/(1/'OD Efficiencies'!K$12))</f>
        <v>668.94446847020288</v>
      </c>
      <c r="N48" s="242">
        <f t="shared" si="6"/>
        <v>491.39591125233784</v>
      </c>
      <c r="O48" s="242">
        <f>'OD Efficiencies'!M$54*('OD Shares'!W48/(1/'OD Efficiencies'!M48))/('OD Shares'!W$12/(1/'OD Efficiencies'!M$12))</f>
        <v>85.82503608266768</v>
      </c>
      <c r="P48" s="242">
        <f>'OD Efficiencies'!N$54*('OD Shares'!Y48/(1/'OD Efficiencies'!N48))/('OD Shares'!Y$12/(1/'OD Efficiencies'!N$12))</f>
        <v>261.58478378107043</v>
      </c>
      <c r="Q48" s="242">
        <f>'OD Efficiencies'!O$54*('OD Shares'!AA48/(1/'OD Efficiencies'!O48))/('OD Shares'!AA$12/(1/'OD Efficiencies'!O$12))</f>
        <v>199.50931637718904</v>
      </c>
      <c r="R48" s="242" t="e">
        <f>'OD Efficiencies'!P$54*('OD Shares'!AC48/(1/'OD Efficiencies'!P48))/('OD Shares'!AC$12/(1/'OD Efficiencies'!P$12))</f>
        <v>#DIV/0!</v>
      </c>
      <c r="S48" s="242" t="e">
        <f>'OD Efficiencies'!Q$54*('OD Shares'!AE48/(1/'OD Efficiencies'!Q48))/('OD Shares'!AE$12/(1/'OD Efficiencies'!Q$12))</f>
        <v>#DIV/0!</v>
      </c>
      <c r="T48" s="242" t="e">
        <f>'OD Efficiencies'!R$54*('OD Shares'!AG48/(1/'OD Efficiencies'!R48))/('OD Shares'!AG$12/(1/'OD Efficiencies'!R$12))</f>
        <v>#DIV/0!</v>
      </c>
      <c r="U48" s="242" t="e">
        <f>'OD Efficiencies'!S$54*('OD Shares'!AH48/(1/'OD Efficiencies'!S48))/('OD Shares'!AH$12/(1/'OD Efficiencies'!S$12))</f>
        <v>#DIV/0!</v>
      </c>
      <c r="V48" s="242">
        <f>'OD Efficiencies'!T$54*('OD Shares'!AI48/(1/'OD Efficiencies'!T48))/('OD Shares'!AI$12/(1/'OD Efficiencies'!T$12))</f>
        <v>2010.1792009962799</v>
      </c>
      <c r="W48" s="242">
        <f>'OD Efficiencies'!V$54*('OD Shares'!AJ48/(1/'OD Efficiencies'!X48))/('OD Shares'!AJ$12/(1/'OD Efficiencies'!X$12))</f>
        <v>6136.3758458734501</v>
      </c>
    </row>
    <row r="49" spans="1:23" x14ac:dyDescent="0.2">
      <c r="A49" s="208">
        <f t="shared" si="5"/>
        <v>2042</v>
      </c>
      <c r="B49" s="241">
        <f t="shared" si="4"/>
        <v>1424.1491985801972</v>
      </c>
      <c r="C49" s="241" t="e">
        <f t="shared" si="3"/>
        <v>#DIV/0!</v>
      </c>
      <c r="D49" s="242">
        <f>'OD Efficiencies'!B$54*'OD StructuralVars'!$Q49*('OD Shares'!B49/'OD Efficiencies'!B49)/('OD Shares'!B$12/'OD Efficiencies'!B$12)</f>
        <v>995.70723586283441</v>
      </c>
      <c r="E49" s="242">
        <f>'OD Efficiencies'!C$54*'OD StructuralVars'!$Q49*('OD Shares'!D49/'OD Efficiencies'!C49)/('OD Shares'!D$12/'OD Efficiencies'!C$12)</f>
        <v>431.18840453584545</v>
      </c>
      <c r="F49" s="242"/>
      <c r="G49" s="242">
        <f>'OD Efficiencies'!E$54*'OD StructuralVars'!$Q49*('OD Shares'!H49/(1/'OD Efficiencies'!E49))/('OD Shares'!H$12/(1/'OD Efficiencies'!E$12))</f>
        <v>-2.7464418184828094</v>
      </c>
      <c r="H49" s="242" t="e">
        <f>'OD Efficiencies'!F$54*'OD StructuralVars'!$R49*('OD Shares'!J49/'OD Efficiencies'!F49)/('OD Shares'!J$12/'OD Efficiencies'!F$12)</f>
        <v>#DIV/0!</v>
      </c>
      <c r="I49" s="242" t="e">
        <f>'OD Efficiencies'!G$54*'OD StructuralVars'!$R49*('OD Shares'!L49/'OD Efficiencies'!G49)/('OD Shares'!L$12/'OD Efficiencies'!G$12)</f>
        <v>#DIV/0!</v>
      </c>
      <c r="J49" s="242"/>
      <c r="K49" s="242" t="e">
        <f>'OD Efficiencies'!I$54*'OD StructuralVars'!$R49*('OD Shares'!P49/'OD Efficiencies'!I49)/('OD Shares'!P$12/'OD Efficiencies'!I$12)</f>
        <v>#DIV/0!</v>
      </c>
      <c r="L49" s="242" t="e">
        <f>'OD Efficiencies'!J$54*('OD Shares'!R49/'OD Efficiencies'!J49)/('OD Shares'!R$12/'OD Efficiencies'!J$12)</f>
        <v>#DIV/0!</v>
      </c>
      <c r="M49" s="242">
        <f>'OD Efficiencies'!K$54*('OD Shares'!T49/(1/'OD Efficiencies'!K49))/('OD Shares'!T$12/(1/'OD Efficiencies'!K$12))</f>
        <v>669.1297688278022</v>
      </c>
      <c r="N49" s="242">
        <f t="shared" si="6"/>
        <v>491.39591125233784</v>
      </c>
      <c r="O49" s="242">
        <f>'OD Efficiencies'!M$54*('OD Shares'!W49/(1/'OD Efficiencies'!M49))/('OD Shares'!W$12/(1/'OD Efficiencies'!M$12))</f>
        <v>85.528441137700156</v>
      </c>
      <c r="P49" s="242">
        <f>'OD Efficiencies'!N$54*('OD Shares'!Y49/(1/'OD Efficiencies'!N49))/('OD Shares'!Y$12/(1/'OD Efficiencies'!N$12))</f>
        <v>260.83351624545355</v>
      </c>
      <c r="Q49" s="242">
        <f>'OD Efficiencies'!O$54*('OD Shares'!AA49/(1/'OD Efficiencies'!O49))/('OD Shares'!AA$12/(1/'OD Efficiencies'!O$12))</f>
        <v>200.8752601090705</v>
      </c>
      <c r="R49" s="242" t="e">
        <f>'OD Efficiencies'!P$54*('OD Shares'!AC49/(1/'OD Efficiencies'!P49))/('OD Shares'!AC$12/(1/'OD Efficiencies'!P$12))</f>
        <v>#DIV/0!</v>
      </c>
      <c r="S49" s="242" t="e">
        <f>'OD Efficiencies'!Q$54*('OD Shares'!AE49/(1/'OD Efficiencies'!Q49))/('OD Shares'!AE$12/(1/'OD Efficiencies'!Q$12))</f>
        <v>#DIV/0!</v>
      </c>
      <c r="T49" s="242" t="e">
        <f>'OD Efficiencies'!R$54*('OD Shares'!AG49/(1/'OD Efficiencies'!R49))/('OD Shares'!AG$12/(1/'OD Efficiencies'!R$12))</f>
        <v>#DIV/0!</v>
      </c>
      <c r="U49" s="242" t="e">
        <f>'OD Efficiencies'!S$54*('OD Shares'!AH49/(1/'OD Efficiencies'!S49))/('OD Shares'!AH$12/(1/'OD Efficiencies'!S$12))</f>
        <v>#DIV/0!</v>
      </c>
      <c r="V49" s="242">
        <f>'OD Efficiencies'!T$54*('OD Shares'!AI49/(1/'OD Efficiencies'!T49))/('OD Shares'!AI$12/(1/'OD Efficiencies'!T$12))</f>
        <v>2010.1792009962799</v>
      </c>
      <c r="W49" s="242">
        <f>'OD Efficiencies'!V$54*('OD Shares'!AJ49/(1/'OD Efficiencies'!X49))/('OD Shares'!AJ$12/(1/'OD Efficiencies'!X$12))</f>
        <v>6232.205065736176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9"/>
  <sheetViews>
    <sheetView view="pageBreakPreview" zoomScale="60" zoomScaleNormal="100" workbookViewId="0">
      <pane xSplit="1" ySplit="1" topLeftCell="T2" activePane="bottomRight" state="frozen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8.85546875" defaultRowHeight="12.75" x14ac:dyDescent="0.2"/>
  <cols>
    <col min="1" max="1" width="5.140625" style="177" bestFit="1" customWidth="1"/>
    <col min="2" max="2" width="7.28515625" style="177" bestFit="1" customWidth="1"/>
    <col min="3" max="3" width="12.28515625" style="177" bestFit="1" customWidth="1"/>
    <col min="4" max="4" width="7.7109375" style="177" bestFit="1" customWidth="1"/>
    <col min="5" max="5" width="12.85546875" style="177" bestFit="1" customWidth="1"/>
    <col min="6" max="6" width="9.140625" style="177" hidden="1" customWidth="1"/>
    <col min="7" max="7" width="11.42578125" style="177" bestFit="1" customWidth="1"/>
    <col min="8" max="8" width="7.7109375" style="177" customWidth="1"/>
    <col min="9" max="9" width="10" style="177" bestFit="1" customWidth="1"/>
    <col min="10" max="10" width="6.28515625" style="177" customWidth="1"/>
    <col min="11" max="11" width="12.85546875" style="177" bestFit="1" customWidth="1"/>
    <col min="12" max="12" width="7.7109375" style="177" customWidth="1"/>
    <col min="13" max="13" width="12.85546875" style="177" hidden="1" customWidth="1"/>
    <col min="14" max="14" width="9.140625" style="177" hidden="1" customWidth="1"/>
    <col min="15" max="15" width="9.42578125" style="177" customWidth="1"/>
    <col min="16" max="16" width="7.42578125" style="177" customWidth="1"/>
    <col min="17" max="17" width="12" style="177" bestFit="1" customWidth="1"/>
    <col min="18" max="18" width="8.140625" style="177" customWidth="1"/>
    <col min="19" max="19" width="10.28515625" style="177" bestFit="1" customWidth="1"/>
    <col min="20" max="20" width="7.28515625" style="177" customWidth="1"/>
    <col min="21" max="21" width="7.28515625" style="177" bestFit="1" customWidth="1"/>
    <col min="22" max="22" width="9.28515625" style="177" bestFit="1" customWidth="1"/>
    <col min="23" max="23" width="7.28515625" style="177" customWidth="1"/>
    <col min="24" max="24" width="8.28515625" style="177" bestFit="1" customWidth="1"/>
    <col min="25" max="25" width="6.28515625" style="177" customWidth="1"/>
    <col min="26" max="26" width="9.28515625" style="177" bestFit="1" customWidth="1"/>
    <col min="27" max="27" width="6.28515625" style="177" customWidth="1"/>
    <col min="28" max="28" width="7.28515625" style="177" bestFit="1" customWidth="1"/>
    <col min="29" max="29" width="7.28515625" style="177" customWidth="1"/>
    <col min="30" max="30" width="6.28515625" style="177" bestFit="1" customWidth="1"/>
    <col min="31" max="31" width="6.28515625" style="177" customWidth="1"/>
    <col min="32" max="32" width="7.28515625" style="177" bestFit="1" customWidth="1"/>
    <col min="33" max="33" width="7.28515625" style="177" customWidth="1"/>
    <col min="34" max="34" width="8.5703125" style="177" bestFit="1" customWidth="1"/>
    <col min="35" max="36" width="7.28515625" style="177" bestFit="1" customWidth="1"/>
    <col min="37" max="37" width="8.140625" style="209" bestFit="1" customWidth="1"/>
    <col min="38" max="38" width="10.28515625" style="177" customWidth="1"/>
    <col min="39" max="40" width="8.85546875" style="177" customWidth="1"/>
    <col min="41" max="41" width="9.28515625" style="177" customWidth="1"/>
    <col min="42" max="43" width="8.85546875" style="177" customWidth="1"/>
    <col min="44" max="44" width="9.28515625" style="177" customWidth="1"/>
    <col min="45" max="47" width="8.85546875" style="177" customWidth="1"/>
    <col min="48" max="48" width="9" style="177" customWidth="1"/>
    <col min="49" max="56" width="8.85546875" style="177" customWidth="1"/>
    <col min="57" max="16384" width="8.85546875" style="177"/>
  </cols>
  <sheetData>
    <row r="1" spans="1:65" x14ac:dyDescent="0.2">
      <c r="A1" s="192"/>
      <c r="B1" s="193" t="s">
        <v>0</v>
      </c>
      <c r="C1" s="193" t="s">
        <v>194</v>
      </c>
      <c r="D1" s="193" t="s">
        <v>1</v>
      </c>
      <c r="E1" s="193" t="s">
        <v>195</v>
      </c>
      <c r="F1" s="193"/>
      <c r="G1" s="193" t="s">
        <v>196</v>
      </c>
      <c r="H1" s="193" t="s">
        <v>145</v>
      </c>
      <c r="I1" s="193" t="s">
        <v>197</v>
      </c>
      <c r="J1" s="193" t="s">
        <v>2</v>
      </c>
      <c r="K1" s="193" t="s">
        <v>198</v>
      </c>
      <c r="L1" s="193" t="s">
        <v>3</v>
      </c>
      <c r="M1" s="193"/>
      <c r="N1" s="193" t="s">
        <v>165</v>
      </c>
      <c r="O1" s="193" t="s">
        <v>200</v>
      </c>
      <c r="P1" s="193"/>
      <c r="Q1" s="193"/>
      <c r="R1" s="193" t="s">
        <v>5</v>
      </c>
      <c r="S1" s="193" t="s">
        <v>202</v>
      </c>
      <c r="T1" s="193" t="s">
        <v>6</v>
      </c>
      <c r="U1" s="193" t="s">
        <v>7</v>
      </c>
      <c r="V1" s="193" t="s">
        <v>204</v>
      </c>
      <c r="W1" s="193" t="s">
        <v>8</v>
      </c>
      <c r="X1" s="193" t="s">
        <v>205</v>
      </c>
      <c r="Y1" s="193" t="s">
        <v>9</v>
      </c>
      <c r="Z1" s="193" t="s">
        <v>206</v>
      </c>
      <c r="AA1" s="193" t="s">
        <v>10</v>
      </c>
      <c r="AB1" s="193" t="s">
        <v>207</v>
      </c>
      <c r="AC1" s="193" t="s">
        <v>11</v>
      </c>
      <c r="AD1" s="193" t="s">
        <v>208</v>
      </c>
      <c r="AE1" s="193" t="s">
        <v>12</v>
      </c>
      <c r="AF1" s="194" t="s">
        <v>215</v>
      </c>
      <c r="AG1" s="194" t="s">
        <v>100</v>
      </c>
      <c r="AH1" s="194" t="s">
        <v>173</v>
      </c>
      <c r="AI1" s="193" t="s">
        <v>13</v>
      </c>
      <c r="AJ1" s="193" t="s">
        <v>14</v>
      </c>
      <c r="AK1" s="194"/>
      <c r="AL1" s="194" t="s">
        <v>192</v>
      </c>
      <c r="AM1" s="194"/>
      <c r="AN1" s="194" t="s">
        <v>193</v>
      </c>
      <c r="AO1" s="194" t="s">
        <v>1</v>
      </c>
      <c r="AP1" s="194" t="s">
        <v>145</v>
      </c>
      <c r="AQ1" s="195" t="s">
        <v>265</v>
      </c>
      <c r="AR1" s="194" t="s">
        <v>2</v>
      </c>
      <c r="AT1" s="194" t="s">
        <v>3</v>
      </c>
      <c r="AV1" s="195" t="s">
        <v>4</v>
      </c>
      <c r="AX1" s="195" t="s">
        <v>5</v>
      </c>
      <c r="AY1" s="195"/>
      <c r="AZ1" s="193" t="s">
        <v>6</v>
      </c>
      <c r="BA1" s="195"/>
      <c r="BB1" s="195" t="s">
        <v>203</v>
      </c>
      <c r="BC1" s="195"/>
      <c r="BD1" s="193" t="s">
        <v>9</v>
      </c>
      <c r="BE1" s="193"/>
      <c r="BF1" s="193" t="s">
        <v>10</v>
      </c>
      <c r="BG1" s="193"/>
      <c r="BH1" s="193" t="s">
        <v>11</v>
      </c>
      <c r="BI1" s="193"/>
      <c r="BJ1" s="193" t="s">
        <v>12</v>
      </c>
      <c r="BK1" s="195"/>
      <c r="BL1" s="195"/>
      <c r="BM1" s="195"/>
    </row>
    <row r="2" spans="1:65" x14ac:dyDescent="0.2">
      <c r="A2" s="196">
        <v>1995</v>
      </c>
      <c r="B2" s="197">
        <f>AN2</f>
        <v>0.13799999999999998</v>
      </c>
      <c r="C2" s="198">
        <v>0.13799999999999998</v>
      </c>
      <c r="D2" s="199">
        <f t="shared" ref="D2:D17" si="0">AO2</f>
        <v>0.49400000000000005</v>
      </c>
      <c r="E2" s="198">
        <v>0.64400000000000002</v>
      </c>
      <c r="F2" s="200"/>
      <c r="G2" s="198">
        <v>0.14347257439869704</v>
      </c>
      <c r="H2" s="197">
        <f t="shared" ref="H2:H16" si="1">AP2</f>
        <v>0.1</v>
      </c>
      <c r="I2" s="198">
        <v>0.15599999999999997</v>
      </c>
      <c r="J2" s="254">
        <f t="shared" ref="J2:J12" si="2">I2</f>
        <v>0.15599999999999997</v>
      </c>
      <c r="K2" s="198">
        <v>0.58899999999999997</v>
      </c>
      <c r="L2" s="206">
        <f t="shared" ref="L2:L12" si="3">L3-0.05%</f>
        <v>0.60800000000000065</v>
      </c>
      <c r="M2" s="200"/>
      <c r="N2" s="197">
        <f>F2</f>
        <v>0</v>
      </c>
      <c r="O2" s="200">
        <v>0.28600000000000003</v>
      </c>
      <c r="P2" s="197"/>
      <c r="Q2" s="200"/>
      <c r="R2" s="197">
        <f>Q2</f>
        <v>0</v>
      </c>
      <c r="S2" s="200">
        <v>0.96599999999999997</v>
      </c>
      <c r="T2" s="212">
        <f t="shared" ref="T2:T12" si="4">T3-1.4%</f>
        <v>1.6679999999999997</v>
      </c>
      <c r="U2" s="200">
        <v>1</v>
      </c>
      <c r="V2" s="200">
        <v>0.21480000000000013</v>
      </c>
      <c r="W2" s="200">
        <v>0.2</v>
      </c>
      <c r="X2" s="200">
        <v>6.5000000000000002E-2</v>
      </c>
      <c r="Y2" s="200">
        <v>0.35</v>
      </c>
      <c r="Z2" s="200">
        <v>0.99</v>
      </c>
      <c r="AA2" s="200">
        <v>0.64</v>
      </c>
      <c r="AB2" s="200">
        <v>0.99</v>
      </c>
      <c r="AC2" s="200">
        <v>0.84</v>
      </c>
      <c r="AD2" s="200">
        <v>0.96699999999999997</v>
      </c>
      <c r="AE2" s="212">
        <f>AD2</f>
        <v>0.96699999999999997</v>
      </c>
      <c r="AF2" s="200">
        <v>2.0296122627882225</v>
      </c>
      <c r="AG2" s="203">
        <v>3.0720000000000001</v>
      </c>
      <c r="AH2" s="200">
        <v>0.4790597755265889</v>
      </c>
      <c r="AI2" s="200">
        <v>1</v>
      </c>
      <c r="AJ2" s="200">
        <v>1</v>
      </c>
      <c r="AK2" s="201"/>
      <c r="AL2" s="202">
        <v>0.65</v>
      </c>
      <c r="AM2" s="202"/>
      <c r="AN2" s="341">
        <f>C2</f>
        <v>0.13799999999999998</v>
      </c>
      <c r="AO2" s="203">
        <f>76%*AL2</f>
        <v>0.49400000000000005</v>
      </c>
      <c r="AP2" s="203">
        <v>0.1</v>
      </c>
      <c r="AR2" s="203">
        <v>0.184</v>
      </c>
      <c r="AT2" s="211">
        <v>0.36</v>
      </c>
      <c r="AV2" s="203">
        <v>0.3</v>
      </c>
    </row>
    <row r="3" spans="1:65" x14ac:dyDescent="0.2">
      <c r="A3" s="196">
        <v>1996</v>
      </c>
      <c r="B3" s="197">
        <f t="shared" ref="B3:B17" si="5">AN3</f>
        <v>0.13899999999999998</v>
      </c>
      <c r="C3" s="198">
        <v>0.13899999999999998</v>
      </c>
      <c r="D3" s="199">
        <f t="shared" si="0"/>
        <v>0.49780000000000002</v>
      </c>
      <c r="E3" s="198">
        <v>0.64700000000000002</v>
      </c>
      <c r="F3" s="200"/>
      <c r="G3" s="198">
        <v>0.14219922430887486</v>
      </c>
      <c r="H3" s="197">
        <f t="shared" si="1"/>
        <v>0.1</v>
      </c>
      <c r="I3" s="198">
        <v>0.15799999999999997</v>
      </c>
      <c r="J3" s="254">
        <f t="shared" si="2"/>
        <v>0.15799999999999997</v>
      </c>
      <c r="K3" s="198">
        <v>0.59199999999999997</v>
      </c>
      <c r="L3" s="206">
        <f t="shared" si="3"/>
        <v>0.6085000000000006</v>
      </c>
      <c r="M3" s="200"/>
      <c r="N3" s="197">
        <f t="shared" ref="N3:N42" si="6">F3</f>
        <v>0</v>
      </c>
      <c r="O3" s="200">
        <v>0.28300000000000003</v>
      </c>
      <c r="P3" s="197"/>
      <c r="Q3" s="200"/>
      <c r="R3" s="197">
        <f t="shared" ref="R3:R13" si="7">Q3</f>
        <v>0</v>
      </c>
      <c r="S3" s="200">
        <v>0.96599999999999997</v>
      </c>
      <c r="T3" s="212">
        <f t="shared" si="4"/>
        <v>1.6819999999999997</v>
      </c>
      <c r="U3" s="200">
        <f t="shared" ref="U3:AH11" si="8">U2+((U$12-U$2)/10)</f>
        <v>1</v>
      </c>
      <c r="V3" s="200">
        <v>0.21490000000000012</v>
      </c>
      <c r="W3" s="197">
        <f>W2</f>
        <v>0.2</v>
      </c>
      <c r="X3" s="200">
        <v>6.5000000000000002E-2</v>
      </c>
      <c r="Y3" s="197">
        <f>Y2</f>
        <v>0.35</v>
      </c>
      <c r="Z3" s="200">
        <v>0.99</v>
      </c>
      <c r="AA3" s="213">
        <f>AA2+3%/12</f>
        <v>0.64249999999999996</v>
      </c>
      <c r="AB3" s="200">
        <v>0.99</v>
      </c>
      <c r="AC3" s="213">
        <f>AC2+4%/12</f>
        <v>0.84333333333333327</v>
      </c>
      <c r="AD3" s="200">
        <v>0.96699999999999997</v>
      </c>
      <c r="AE3" s="212">
        <f t="shared" ref="AE3:AE13" si="9">AD3</f>
        <v>0.96699999999999997</v>
      </c>
      <c r="AF3" s="200">
        <v>2.0734332018352153</v>
      </c>
      <c r="AG3" s="203">
        <v>3.0859999999999999</v>
      </c>
      <c r="AH3" s="200">
        <f t="shared" si="8"/>
        <v>0.47833042722836155</v>
      </c>
      <c r="AI3" s="200">
        <v>1</v>
      </c>
      <c r="AJ3" s="200">
        <v>1</v>
      </c>
      <c r="AK3" s="201"/>
      <c r="AL3" s="202">
        <v>0.65500000000000003</v>
      </c>
      <c r="AM3" s="202"/>
      <c r="AN3" s="341">
        <f t="shared" ref="AN3:AN14" si="10">C3</f>
        <v>0.13899999999999998</v>
      </c>
      <c r="AO3" s="203">
        <f t="shared" ref="AO3:AO17" si="11">76%*AL3</f>
        <v>0.49780000000000002</v>
      </c>
      <c r="AP3" s="203">
        <v>0.1</v>
      </c>
      <c r="AR3" s="203">
        <v>0.184</v>
      </c>
      <c r="AT3" s="211">
        <v>0.37</v>
      </c>
      <c r="AV3" s="204">
        <f>AV2+$AW$6/4</f>
        <v>0.3</v>
      </c>
    </row>
    <row r="4" spans="1:65" s="205" customFormat="1" x14ac:dyDescent="0.2">
      <c r="A4" s="196">
        <v>1997</v>
      </c>
      <c r="B4" s="197">
        <f t="shared" si="5"/>
        <v>0.13999999999999999</v>
      </c>
      <c r="C4" s="198">
        <v>0.13999999999999999</v>
      </c>
      <c r="D4" s="199">
        <f t="shared" si="0"/>
        <v>0.50236000000000003</v>
      </c>
      <c r="E4" s="198">
        <v>0.65</v>
      </c>
      <c r="F4" s="200"/>
      <c r="G4" s="198">
        <v>0.14093717547616083</v>
      </c>
      <c r="H4" s="197">
        <f t="shared" si="1"/>
        <v>0.1</v>
      </c>
      <c r="I4" s="198">
        <v>0.15999999999999998</v>
      </c>
      <c r="J4" s="254">
        <f t="shared" si="2"/>
        <v>0.15999999999999998</v>
      </c>
      <c r="K4" s="198">
        <v>0.59499999999999997</v>
      </c>
      <c r="L4" s="206">
        <f t="shared" si="3"/>
        <v>0.60900000000000054</v>
      </c>
      <c r="M4" s="200"/>
      <c r="N4" s="197">
        <f t="shared" si="6"/>
        <v>0</v>
      </c>
      <c r="O4" s="200">
        <v>0.28000000000000003</v>
      </c>
      <c r="P4" s="197"/>
      <c r="Q4" s="200"/>
      <c r="R4" s="197">
        <f t="shared" si="7"/>
        <v>0</v>
      </c>
      <c r="S4" s="200">
        <v>0.96599999999999997</v>
      </c>
      <c r="T4" s="212">
        <f t="shared" si="4"/>
        <v>1.6959999999999997</v>
      </c>
      <c r="U4" s="200">
        <f t="shared" si="8"/>
        <v>1</v>
      </c>
      <c r="V4" s="200">
        <v>0.215</v>
      </c>
      <c r="W4" s="197">
        <f t="shared" ref="W4:Y13" si="12">W3</f>
        <v>0.2</v>
      </c>
      <c r="X4" s="200">
        <v>6.5000000000000002E-2</v>
      </c>
      <c r="Y4" s="197">
        <f t="shared" si="12"/>
        <v>0.35</v>
      </c>
      <c r="Z4" s="200">
        <v>0.99</v>
      </c>
      <c r="AA4" s="213">
        <f t="shared" ref="AA4:AA13" si="13">AA3+3%/12</f>
        <v>0.64499999999999991</v>
      </c>
      <c r="AB4" s="200">
        <v>0.99</v>
      </c>
      <c r="AC4" s="213">
        <f t="shared" ref="AC4:AC13" si="14">AC3+4%/12</f>
        <v>0.84666666666666657</v>
      </c>
      <c r="AD4" s="200">
        <v>0.96699999999999997</v>
      </c>
      <c r="AE4" s="212">
        <f t="shared" si="9"/>
        <v>0.96699999999999997</v>
      </c>
      <c r="AF4" s="200">
        <v>2.1058214536112612</v>
      </c>
      <c r="AG4" s="203">
        <v>3.1</v>
      </c>
      <c r="AH4" s="200">
        <f t="shared" si="8"/>
        <v>0.4776010789301342</v>
      </c>
      <c r="AI4" s="200">
        <v>1</v>
      </c>
      <c r="AJ4" s="200">
        <v>1</v>
      </c>
      <c r="AK4" s="201"/>
      <c r="AL4" s="202">
        <v>0.66100000000000003</v>
      </c>
      <c r="AM4" s="202"/>
      <c r="AN4" s="341">
        <f t="shared" si="10"/>
        <v>0.13999999999999999</v>
      </c>
      <c r="AO4" s="203">
        <f t="shared" si="11"/>
        <v>0.50236000000000003</v>
      </c>
      <c r="AP4" s="203">
        <v>0.1</v>
      </c>
      <c r="AR4" s="203">
        <v>0.184</v>
      </c>
      <c r="AT4" s="203">
        <v>0.38200000000000001</v>
      </c>
      <c r="AV4" s="204">
        <v>0.29199999999999998</v>
      </c>
    </row>
    <row r="5" spans="1:65" x14ac:dyDescent="0.2">
      <c r="A5" s="196">
        <v>1998</v>
      </c>
      <c r="B5" s="197">
        <f t="shared" si="5"/>
        <v>0.14099999999999999</v>
      </c>
      <c r="C5" s="198">
        <v>0.14099999999999999</v>
      </c>
      <c r="D5" s="199">
        <f t="shared" si="0"/>
        <v>0.52173999999999998</v>
      </c>
      <c r="E5" s="198">
        <v>0.65300000000000002</v>
      </c>
      <c r="F5" s="200"/>
      <c r="G5" s="198">
        <v>0.1396863275994569</v>
      </c>
      <c r="H5" s="197">
        <f t="shared" si="1"/>
        <v>0.1</v>
      </c>
      <c r="I5" s="198">
        <v>0.16199999999999998</v>
      </c>
      <c r="J5" s="254">
        <f t="shared" si="2"/>
        <v>0.16199999999999998</v>
      </c>
      <c r="K5" s="198">
        <v>0.59799999999999998</v>
      </c>
      <c r="L5" s="206">
        <f t="shared" si="3"/>
        <v>0.60950000000000049</v>
      </c>
      <c r="M5" s="200"/>
      <c r="N5" s="197">
        <f t="shared" si="6"/>
        <v>0</v>
      </c>
      <c r="O5" s="200">
        <v>0.27700000000000002</v>
      </c>
      <c r="P5" s="197"/>
      <c r="Q5" s="200"/>
      <c r="R5" s="197">
        <f t="shared" si="7"/>
        <v>0</v>
      </c>
      <c r="S5" s="200">
        <v>0.96599999999999997</v>
      </c>
      <c r="T5" s="212">
        <f t="shared" si="4"/>
        <v>1.7099999999999997</v>
      </c>
      <c r="U5" s="200">
        <f t="shared" si="8"/>
        <v>1</v>
      </c>
      <c r="V5" s="200">
        <v>0.2151000000000001</v>
      </c>
      <c r="W5" s="197">
        <f t="shared" si="12"/>
        <v>0.2</v>
      </c>
      <c r="X5" s="200">
        <v>6.5000000000000002E-2</v>
      </c>
      <c r="Y5" s="197">
        <f t="shared" si="12"/>
        <v>0.35</v>
      </c>
      <c r="Z5" s="200">
        <v>0.99</v>
      </c>
      <c r="AA5" s="213">
        <f t="shared" si="13"/>
        <v>0.64749999999999985</v>
      </c>
      <c r="AB5" s="200">
        <v>0.99</v>
      </c>
      <c r="AC5" s="213">
        <f t="shared" si="14"/>
        <v>0.84999999999999987</v>
      </c>
      <c r="AD5" s="200">
        <v>0.96699999999999997</v>
      </c>
      <c r="AE5" s="212">
        <f t="shared" si="9"/>
        <v>0.96699999999999997</v>
      </c>
      <c r="AF5" s="200">
        <v>2.138209705387307</v>
      </c>
      <c r="AG5" s="203">
        <v>3.1139999999999999</v>
      </c>
      <c r="AH5" s="200">
        <f t="shared" si="8"/>
        <v>0.47687173063190685</v>
      </c>
      <c r="AI5" s="200">
        <v>1</v>
      </c>
      <c r="AJ5" s="200">
        <v>1</v>
      </c>
      <c r="AK5" s="201"/>
      <c r="AL5" s="202">
        <f>AL4+$AM$10/6</f>
        <v>0.6865</v>
      </c>
      <c r="AM5" s="202"/>
      <c r="AN5" s="341">
        <f t="shared" si="10"/>
        <v>0.14099999999999999</v>
      </c>
      <c r="AO5" s="203">
        <f t="shared" si="11"/>
        <v>0.52173999999999998</v>
      </c>
      <c r="AP5" s="203">
        <v>0.1</v>
      </c>
      <c r="AR5" s="203">
        <v>0.184</v>
      </c>
      <c r="AT5" s="203">
        <f t="shared" ref="AT5:AT8" si="15">AT4+$AU$10/6</f>
        <v>0.41599999999999998</v>
      </c>
      <c r="AV5" s="204">
        <f t="shared" ref="AV5" si="16">AV4+$AW$6/4</f>
        <v>0.29199999999999998</v>
      </c>
    </row>
    <row r="6" spans="1:65" x14ac:dyDescent="0.2">
      <c r="A6" s="196">
        <v>1999</v>
      </c>
      <c r="B6" s="197">
        <f t="shared" si="5"/>
        <v>0.14199999999999999</v>
      </c>
      <c r="C6" s="198">
        <v>0.14199999999999999</v>
      </c>
      <c r="D6" s="199">
        <f t="shared" si="0"/>
        <v>0.54111999999999993</v>
      </c>
      <c r="E6" s="198">
        <v>0.65600000000000003</v>
      </c>
      <c r="F6" s="200"/>
      <c r="G6" s="198">
        <v>0.13844658126785894</v>
      </c>
      <c r="H6" s="197">
        <f t="shared" si="1"/>
        <v>0.1</v>
      </c>
      <c r="I6" s="198">
        <v>0.16399999999999998</v>
      </c>
      <c r="J6" s="254">
        <f t="shared" si="2"/>
        <v>0.16399999999999998</v>
      </c>
      <c r="K6" s="198">
        <v>0.60099999999999998</v>
      </c>
      <c r="L6" s="206">
        <f t="shared" si="3"/>
        <v>0.61000000000000043</v>
      </c>
      <c r="M6" s="200"/>
      <c r="N6" s="197">
        <f t="shared" si="6"/>
        <v>0</v>
      </c>
      <c r="O6" s="200">
        <v>0.27400000000000002</v>
      </c>
      <c r="P6" s="197"/>
      <c r="Q6" s="200"/>
      <c r="R6" s="197">
        <f t="shared" si="7"/>
        <v>0</v>
      </c>
      <c r="S6" s="200">
        <v>0.96599999999999997</v>
      </c>
      <c r="T6" s="212">
        <f t="shared" si="4"/>
        <v>1.7239999999999998</v>
      </c>
      <c r="U6" s="200">
        <f t="shared" si="8"/>
        <v>1</v>
      </c>
      <c r="V6" s="200">
        <v>0.21520000000000009</v>
      </c>
      <c r="W6" s="197">
        <f t="shared" si="12"/>
        <v>0.2</v>
      </c>
      <c r="X6" s="200">
        <v>6.5000000000000002E-2</v>
      </c>
      <c r="Y6" s="197">
        <f t="shared" si="12"/>
        <v>0.35</v>
      </c>
      <c r="Z6" s="200">
        <v>0.99</v>
      </c>
      <c r="AA6" s="213">
        <f t="shared" si="13"/>
        <v>0.6499999999999998</v>
      </c>
      <c r="AB6" s="200">
        <v>0.99</v>
      </c>
      <c r="AC6" s="213">
        <f t="shared" si="14"/>
        <v>0.85333333333333317</v>
      </c>
      <c r="AD6" s="200">
        <v>0.96699999999999997</v>
      </c>
      <c r="AE6" s="212">
        <f t="shared" si="9"/>
        <v>0.96699999999999997</v>
      </c>
      <c r="AF6" s="200">
        <v>2.1705979571633529</v>
      </c>
      <c r="AG6" s="203">
        <v>3.1280000000000001</v>
      </c>
      <c r="AH6" s="200">
        <f t="shared" si="8"/>
        <v>0.4761423823336795</v>
      </c>
      <c r="AI6" s="200">
        <v>1</v>
      </c>
      <c r="AJ6" s="200">
        <v>1</v>
      </c>
      <c r="AK6" s="201"/>
      <c r="AL6" s="202">
        <f t="shared" ref="AL6:AL9" si="17">AL5+$AM$10/6</f>
        <v>0.71199999999999997</v>
      </c>
      <c r="AM6" s="202"/>
      <c r="AN6" s="341">
        <f t="shared" si="10"/>
        <v>0.14199999999999999</v>
      </c>
      <c r="AO6" s="203">
        <f t="shared" si="11"/>
        <v>0.54111999999999993</v>
      </c>
      <c r="AP6" s="203">
        <v>0.1</v>
      </c>
      <c r="AR6" s="203">
        <v>0.184</v>
      </c>
      <c r="AS6" s="203">
        <f>AR6-$AR$2</f>
        <v>0</v>
      </c>
      <c r="AT6" s="203">
        <f t="shared" si="15"/>
        <v>0.44999999999999996</v>
      </c>
      <c r="AV6" s="204">
        <f>AV5+$AW$10/4</f>
        <v>0.27074999999999999</v>
      </c>
      <c r="AW6" s="203"/>
    </row>
    <row r="7" spans="1:65" x14ac:dyDescent="0.2">
      <c r="A7" s="196">
        <v>2000</v>
      </c>
      <c r="B7" s="197">
        <f t="shared" si="5"/>
        <v>0.14299999999999999</v>
      </c>
      <c r="C7" s="198">
        <v>0.14299999999999999</v>
      </c>
      <c r="D7" s="199">
        <f t="shared" si="0"/>
        <v>0.5605</v>
      </c>
      <c r="E7" s="198">
        <v>0.65900000000000003</v>
      </c>
      <c r="F7" s="200"/>
      <c r="G7" s="198">
        <v>0.13721783795275602</v>
      </c>
      <c r="H7" s="197">
        <f t="shared" si="1"/>
        <v>0.1</v>
      </c>
      <c r="I7" s="198">
        <v>0.16599999999999998</v>
      </c>
      <c r="J7" s="254">
        <f t="shared" si="2"/>
        <v>0.16599999999999998</v>
      </c>
      <c r="K7" s="198">
        <v>0.60399999999999998</v>
      </c>
      <c r="L7" s="206">
        <f t="shared" si="3"/>
        <v>0.61050000000000038</v>
      </c>
      <c r="M7" s="200"/>
      <c r="N7" s="197">
        <f t="shared" si="6"/>
        <v>0</v>
      </c>
      <c r="O7" s="200">
        <v>0.27100000000000002</v>
      </c>
      <c r="P7" s="197"/>
      <c r="Q7" s="200"/>
      <c r="R7" s="197">
        <f t="shared" si="7"/>
        <v>0</v>
      </c>
      <c r="S7" s="200">
        <v>0.96599999999999997</v>
      </c>
      <c r="T7" s="212">
        <f t="shared" si="4"/>
        <v>1.7379999999999998</v>
      </c>
      <c r="U7" s="200">
        <f t="shared" si="8"/>
        <v>1</v>
      </c>
      <c r="V7" s="200">
        <v>0.21530000000000007</v>
      </c>
      <c r="W7" s="197">
        <f t="shared" si="12"/>
        <v>0.2</v>
      </c>
      <c r="X7" s="200">
        <v>6.5000000000000002E-2</v>
      </c>
      <c r="Y7" s="197">
        <f t="shared" si="12"/>
        <v>0.35</v>
      </c>
      <c r="Z7" s="200">
        <v>0.99</v>
      </c>
      <c r="AA7" s="213">
        <f t="shared" si="13"/>
        <v>0.65249999999999975</v>
      </c>
      <c r="AB7" s="200">
        <v>0.99</v>
      </c>
      <c r="AC7" s="213">
        <f t="shared" si="14"/>
        <v>0.85666666666666647</v>
      </c>
      <c r="AD7" s="200">
        <v>0.96699999999999997</v>
      </c>
      <c r="AE7" s="212">
        <f t="shared" si="9"/>
        <v>0.96699999999999997</v>
      </c>
      <c r="AF7" s="200">
        <v>2.2029862089393988</v>
      </c>
      <c r="AG7" s="203">
        <v>3.1419999999999999</v>
      </c>
      <c r="AH7" s="200">
        <f t="shared" si="8"/>
        <v>0.47541303403545215</v>
      </c>
      <c r="AI7" s="200">
        <v>1</v>
      </c>
      <c r="AJ7" s="200">
        <v>1</v>
      </c>
      <c r="AK7" s="201"/>
      <c r="AL7" s="202">
        <f t="shared" si="17"/>
        <v>0.73749999999999993</v>
      </c>
      <c r="AM7" s="202"/>
      <c r="AN7" s="341">
        <f t="shared" si="10"/>
        <v>0.14299999999999999</v>
      </c>
      <c r="AO7" s="203">
        <f t="shared" si="11"/>
        <v>0.5605</v>
      </c>
      <c r="AP7" s="203">
        <v>0.1</v>
      </c>
      <c r="AR7" s="203">
        <v>0.184</v>
      </c>
      <c r="AT7" s="203">
        <f t="shared" si="15"/>
        <v>0.48399999999999993</v>
      </c>
      <c r="AV7" s="204">
        <f>AV6+$AW$10/4</f>
        <v>0.2495</v>
      </c>
    </row>
    <row r="8" spans="1:65" x14ac:dyDescent="0.2">
      <c r="A8" s="196">
        <v>2001</v>
      </c>
      <c r="B8" s="197">
        <f t="shared" si="5"/>
        <v>0.14399999999999999</v>
      </c>
      <c r="C8" s="198">
        <v>0.14399999999999999</v>
      </c>
      <c r="D8" s="199">
        <f t="shared" si="0"/>
        <v>0.57987999999999995</v>
      </c>
      <c r="E8" s="198">
        <v>0.66200000000000003</v>
      </c>
      <c r="F8" s="200"/>
      <c r="G8" s="198">
        <v>0.13600000000000001</v>
      </c>
      <c r="H8" s="197">
        <f t="shared" si="1"/>
        <v>0.1</v>
      </c>
      <c r="I8" s="198">
        <v>0.16799999999999998</v>
      </c>
      <c r="J8" s="254">
        <f t="shared" si="2"/>
        <v>0.16799999999999998</v>
      </c>
      <c r="K8" s="198">
        <v>0.60699999999999998</v>
      </c>
      <c r="L8" s="206">
        <f t="shared" si="3"/>
        <v>0.61100000000000032</v>
      </c>
      <c r="M8" s="200"/>
      <c r="N8" s="197">
        <f t="shared" si="6"/>
        <v>0</v>
      </c>
      <c r="O8" s="200">
        <v>0.26800000000000002</v>
      </c>
      <c r="P8" s="197"/>
      <c r="Q8" s="200"/>
      <c r="R8" s="197">
        <f t="shared" si="7"/>
        <v>0</v>
      </c>
      <c r="S8" s="200">
        <v>0.96599999999999997</v>
      </c>
      <c r="T8" s="212">
        <f t="shared" si="4"/>
        <v>1.7519999999999998</v>
      </c>
      <c r="U8" s="200">
        <f t="shared" si="8"/>
        <v>1</v>
      </c>
      <c r="V8" s="200">
        <v>0.21540000000000006</v>
      </c>
      <c r="W8" s="197">
        <f t="shared" si="12"/>
        <v>0.2</v>
      </c>
      <c r="X8" s="200">
        <v>6.5000000000000002E-2</v>
      </c>
      <c r="Y8" s="197">
        <f t="shared" si="12"/>
        <v>0.35</v>
      </c>
      <c r="Z8" s="200">
        <v>0.99</v>
      </c>
      <c r="AA8" s="213">
        <f t="shared" si="13"/>
        <v>0.65499999999999969</v>
      </c>
      <c r="AB8" s="200">
        <v>0.99</v>
      </c>
      <c r="AC8" s="213">
        <f t="shared" si="14"/>
        <v>0.85999999999999976</v>
      </c>
      <c r="AD8" s="200">
        <v>0.96699999999999997</v>
      </c>
      <c r="AE8" s="212">
        <f t="shared" si="9"/>
        <v>0.96699999999999997</v>
      </c>
      <c r="AF8" s="200">
        <v>2.2353744607154451</v>
      </c>
      <c r="AG8" s="203">
        <v>3.157</v>
      </c>
      <c r="AH8" s="200">
        <f t="shared" si="8"/>
        <v>0.4746836857372248</v>
      </c>
      <c r="AI8" s="200">
        <v>1</v>
      </c>
      <c r="AJ8" s="200">
        <v>1</v>
      </c>
      <c r="AK8" s="201"/>
      <c r="AL8" s="202">
        <f t="shared" si="17"/>
        <v>0.7629999999999999</v>
      </c>
      <c r="AM8" s="202"/>
      <c r="AN8" s="341">
        <f t="shared" si="10"/>
        <v>0.14399999999999999</v>
      </c>
      <c r="AO8" s="203">
        <f t="shared" si="11"/>
        <v>0.57987999999999995</v>
      </c>
      <c r="AP8" s="203">
        <v>0.1</v>
      </c>
      <c r="AR8" s="203">
        <v>0.184</v>
      </c>
      <c r="AT8" s="203">
        <f t="shared" si="15"/>
        <v>0.5179999999999999</v>
      </c>
      <c r="AV8" s="204">
        <f t="shared" ref="AV8:AV9" si="18">AV7+$AW$10/4</f>
        <v>0.22825000000000001</v>
      </c>
    </row>
    <row r="9" spans="1:65" x14ac:dyDescent="0.2">
      <c r="A9" s="196">
        <v>2002</v>
      </c>
      <c r="B9" s="197">
        <f t="shared" si="5"/>
        <v>0.14499999999999999</v>
      </c>
      <c r="C9" s="198">
        <v>0.14499999999999999</v>
      </c>
      <c r="D9" s="199">
        <f t="shared" si="0"/>
        <v>0.5992599999999999</v>
      </c>
      <c r="E9" s="198">
        <v>0.66500000000000004</v>
      </c>
      <c r="F9" s="200"/>
      <c r="G9" s="198">
        <v>0.13534699069913084</v>
      </c>
      <c r="H9" s="197">
        <f t="shared" si="1"/>
        <v>0.1</v>
      </c>
      <c r="I9" s="198">
        <v>0.16999999999999998</v>
      </c>
      <c r="J9" s="254">
        <f t="shared" si="2"/>
        <v>0.16999999999999998</v>
      </c>
      <c r="K9" s="198">
        <v>0.61</v>
      </c>
      <c r="L9" s="206">
        <f t="shared" si="3"/>
        <v>0.61150000000000027</v>
      </c>
      <c r="M9" s="200"/>
      <c r="N9" s="197">
        <f t="shared" si="6"/>
        <v>0</v>
      </c>
      <c r="O9" s="200">
        <v>0.26500000000000001</v>
      </c>
      <c r="P9" s="197"/>
      <c r="Q9" s="200"/>
      <c r="R9" s="197">
        <f t="shared" si="7"/>
        <v>0</v>
      </c>
      <c r="S9" s="200">
        <v>0.96599999999999997</v>
      </c>
      <c r="T9" s="212">
        <f t="shared" si="4"/>
        <v>1.7659999999999998</v>
      </c>
      <c r="U9" s="200">
        <f t="shared" si="8"/>
        <v>1</v>
      </c>
      <c r="V9" s="200">
        <v>0.21550000000000005</v>
      </c>
      <c r="W9" s="197">
        <f t="shared" si="12"/>
        <v>0.2</v>
      </c>
      <c r="X9" s="200">
        <v>6.5000000000000002E-2</v>
      </c>
      <c r="Y9" s="197">
        <f t="shared" si="12"/>
        <v>0.35</v>
      </c>
      <c r="Z9" s="200">
        <v>0.99</v>
      </c>
      <c r="AA9" s="213">
        <f t="shared" si="13"/>
        <v>0.65749999999999964</v>
      </c>
      <c r="AB9" s="200">
        <v>0.99</v>
      </c>
      <c r="AC9" s="213">
        <f t="shared" si="14"/>
        <v>0.86333333333333306</v>
      </c>
      <c r="AD9" s="200">
        <v>0.96699999999999997</v>
      </c>
      <c r="AE9" s="212">
        <f t="shared" si="9"/>
        <v>0.96699999999999997</v>
      </c>
      <c r="AF9" s="200">
        <v>2.2799818691099363</v>
      </c>
      <c r="AG9" s="203">
        <v>3.1709999999999998</v>
      </c>
      <c r="AH9" s="200">
        <f t="shared" si="8"/>
        <v>0.47395433743899745</v>
      </c>
      <c r="AI9" s="200">
        <v>1</v>
      </c>
      <c r="AJ9" s="200">
        <v>1</v>
      </c>
      <c r="AK9" s="201"/>
      <c r="AL9" s="202">
        <f t="shared" si="17"/>
        <v>0.78849999999999987</v>
      </c>
      <c r="AM9" s="202"/>
      <c r="AN9" s="341">
        <f t="shared" si="10"/>
        <v>0.14499999999999999</v>
      </c>
      <c r="AO9" s="203">
        <f t="shared" si="11"/>
        <v>0.5992599999999999</v>
      </c>
      <c r="AP9" s="203">
        <v>0.1</v>
      </c>
      <c r="AR9" s="203">
        <v>0.184</v>
      </c>
      <c r="AT9" s="203">
        <f>AT8+$AU$10/6</f>
        <v>0.55199999999999994</v>
      </c>
      <c r="AV9" s="204">
        <f t="shared" si="18"/>
        <v>0.20700000000000002</v>
      </c>
    </row>
    <row r="10" spans="1:65" x14ac:dyDescent="0.2">
      <c r="A10" s="196">
        <v>2003</v>
      </c>
      <c r="B10" s="197">
        <f t="shared" si="5"/>
        <v>0.14599999999999999</v>
      </c>
      <c r="C10" s="198">
        <v>0.14599999999999999</v>
      </c>
      <c r="D10" s="199">
        <f t="shared" si="0"/>
        <v>0.61863999999999997</v>
      </c>
      <c r="E10" s="198">
        <v>0.66800000000000004</v>
      </c>
      <c r="F10" s="200"/>
      <c r="G10" s="198">
        <v>0.13359890668108435</v>
      </c>
      <c r="H10" s="197">
        <f t="shared" si="1"/>
        <v>0.1</v>
      </c>
      <c r="I10" s="198">
        <v>0.17199999999999999</v>
      </c>
      <c r="J10" s="254">
        <f t="shared" si="2"/>
        <v>0.17199999999999999</v>
      </c>
      <c r="K10" s="198">
        <v>0.61199999999999999</v>
      </c>
      <c r="L10" s="206">
        <f t="shared" si="3"/>
        <v>0.61200000000000021</v>
      </c>
      <c r="M10" s="200"/>
      <c r="N10" s="197">
        <f t="shared" si="6"/>
        <v>0</v>
      </c>
      <c r="O10" s="200">
        <v>0.26200000000000001</v>
      </c>
      <c r="P10" s="197"/>
      <c r="Q10" s="200"/>
      <c r="R10" s="197">
        <f t="shared" si="7"/>
        <v>0</v>
      </c>
      <c r="S10" s="200">
        <v>0.96599999999999997</v>
      </c>
      <c r="T10" s="212">
        <f t="shared" si="4"/>
        <v>1.7799999999999998</v>
      </c>
      <c r="U10" s="200">
        <f t="shared" si="8"/>
        <v>1</v>
      </c>
      <c r="V10" s="200">
        <v>0.21560000000000004</v>
      </c>
      <c r="W10" s="197">
        <f t="shared" si="12"/>
        <v>0.2</v>
      </c>
      <c r="X10" s="200">
        <v>6.5000000000000002E-2</v>
      </c>
      <c r="Y10" s="197">
        <f t="shared" si="12"/>
        <v>0.35</v>
      </c>
      <c r="Z10" s="200">
        <v>0.99</v>
      </c>
      <c r="AA10" s="213">
        <f t="shared" si="13"/>
        <v>0.65999999999999959</v>
      </c>
      <c r="AB10" s="200">
        <v>0.99</v>
      </c>
      <c r="AC10" s="213">
        <f t="shared" si="14"/>
        <v>0.86666666666666636</v>
      </c>
      <c r="AD10" s="200">
        <v>0.96699999999999997</v>
      </c>
      <c r="AE10" s="212">
        <f t="shared" si="9"/>
        <v>0.96699999999999997</v>
      </c>
      <c r="AF10" s="200">
        <v>2.3345669825758248</v>
      </c>
      <c r="AG10" s="203">
        <v>3.1850000000000001</v>
      </c>
      <c r="AH10" s="200">
        <f t="shared" si="8"/>
        <v>0.4732249891407701</v>
      </c>
      <c r="AI10" s="200">
        <v>1</v>
      </c>
      <c r="AJ10" s="200">
        <v>1</v>
      </c>
      <c r="AK10" s="201"/>
      <c r="AL10" s="203">
        <v>0.81399999999999995</v>
      </c>
      <c r="AM10" s="202">
        <f>AL10-AL4</f>
        <v>0.15299999999999991</v>
      </c>
      <c r="AN10" s="341">
        <f t="shared" si="10"/>
        <v>0.14599999999999999</v>
      </c>
      <c r="AO10" s="203">
        <f t="shared" si="11"/>
        <v>0.61863999999999997</v>
      </c>
      <c r="AP10" s="203">
        <v>0.1</v>
      </c>
      <c r="AR10" s="203">
        <v>0.184</v>
      </c>
      <c r="AT10" s="203">
        <v>0.58599999999999997</v>
      </c>
      <c r="AU10" s="203">
        <f>AT10-AT4</f>
        <v>0.20399999999999996</v>
      </c>
      <c r="AV10" s="203">
        <v>0.20699999999999999</v>
      </c>
      <c r="AW10" s="203">
        <f>AV10-AV4</f>
        <v>-8.4999999999999992E-2</v>
      </c>
    </row>
    <row r="11" spans="1:65" x14ac:dyDescent="0.2">
      <c r="A11" s="196">
        <v>2004</v>
      </c>
      <c r="B11" s="197">
        <f t="shared" si="5"/>
        <v>0.14699999999999999</v>
      </c>
      <c r="C11" s="198">
        <v>0.14699999999999999</v>
      </c>
      <c r="D11" s="199">
        <f t="shared" si="0"/>
        <v>0.61939999999999995</v>
      </c>
      <c r="E11" s="198">
        <v>0.67100000000000004</v>
      </c>
      <c r="F11" s="200"/>
      <c r="G11" s="198">
        <v>0.13185150222044939</v>
      </c>
      <c r="H11" s="197">
        <f t="shared" si="1"/>
        <v>0.1</v>
      </c>
      <c r="I11" s="198">
        <v>0.17399999999999999</v>
      </c>
      <c r="J11" s="254">
        <f t="shared" si="2"/>
        <v>0.17399999999999999</v>
      </c>
      <c r="K11" s="198">
        <v>0.61399999999999999</v>
      </c>
      <c r="L11" s="206">
        <f t="shared" si="3"/>
        <v>0.61250000000000016</v>
      </c>
      <c r="M11" s="200"/>
      <c r="N11" s="197">
        <f t="shared" si="6"/>
        <v>0</v>
      </c>
      <c r="O11" s="200">
        <v>0.25900000000000001</v>
      </c>
      <c r="P11" s="197"/>
      <c r="Q11" s="200"/>
      <c r="R11" s="197">
        <f t="shared" si="7"/>
        <v>0</v>
      </c>
      <c r="S11" s="200">
        <v>0.96599999999999997</v>
      </c>
      <c r="T11" s="212">
        <f t="shared" si="4"/>
        <v>1.7939999999999998</v>
      </c>
      <c r="U11" s="200">
        <f t="shared" si="8"/>
        <v>1</v>
      </c>
      <c r="V11" s="200">
        <v>0.21570000000000003</v>
      </c>
      <c r="W11" s="197">
        <f t="shared" si="12"/>
        <v>0.2</v>
      </c>
      <c r="X11" s="200">
        <v>6.5000000000000002E-2</v>
      </c>
      <c r="Y11" s="197">
        <f t="shared" si="12"/>
        <v>0.35</v>
      </c>
      <c r="Z11" s="200">
        <v>0.99</v>
      </c>
      <c r="AA11" s="213">
        <f t="shared" si="13"/>
        <v>0.66249999999999953</v>
      </c>
      <c r="AB11" s="200">
        <v>0.99</v>
      </c>
      <c r="AC11" s="213">
        <f t="shared" si="14"/>
        <v>0.86999999999999966</v>
      </c>
      <c r="AD11" s="200">
        <v>0.96699999999999997</v>
      </c>
      <c r="AE11" s="212">
        <f t="shared" si="9"/>
        <v>0.96699999999999997</v>
      </c>
      <c r="AF11" s="200">
        <v>2.3905871407560904</v>
      </c>
      <c r="AG11" s="203">
        <v>3.1989999999999998</v>
      </c>
      <c r="AH11" s="200">
        <f t="shared" si="8"/>
        <v>0.47249564084254275</v>
      </c>
      <c r="AI11" s="200">
        <v>1</v>
      </c>
      <c r="AJ11" s="200">
        <v>1</v>
      </c>
      <c r="AK11" s="201"/>
      <c r="AL11" s="203">
        <f>AL10+$AM$14/4</f>
        <v>0.81499999999999995</v>
      </c>
      <c r="AN11" s="341">
        <f t="shared" si="10"/>
        <v>0.14699999999999999</v>
      </c>
      <c r="AO11" s="203">
        <f t="shared" si="11"/>
        <v>0.61939999999999995</v>
      </c>
      <c r="AP11" s="203">
        <v>0.1</v>
      </c>
      <c r="AR11" s="203">
        <v>0.184</v>
      </c>
      <c r="AT11" s="203">
        <f>AT10+$AU$14/6</f>
        <v>0.59066666666666667</v>
      </c>
      <c r="AV11" s="203">
        <f>AV10+$AW$14/4</f>
        <v>0.216</v>
      </c>
    </row>
    <row r="12" spans="1:65" x14ac:dyDescent="0.2">
      <c r="A12" s="196">
        <v>2005</v>
      </c>
      <c r="B12" s="197">
        <f t="shared" si="5"/>
        <v>0.14799999999999999</v>
      </c>
      <c r="C12" s="198">
        <v>0.14799999999999999</v>
      </c>
      <c r="D12" s="199">
        <f t="shared" si="0"/>
        <v>0.62015999999999993</v>
      </c>
      <c r="E12" s="198">
        <v>0.67400000000000004</v>
      </c>
      <c r="F12" s="206"/>
      <c r="G12" s="198">
        <v>0.1301589121501944</v>
      </c>
      <c r="H12" s="197">
        <f t="shared" si="1"/>
        <v>0.1</v>
      </c>
      <c r="I12" s="198">
        <v>0.17599999999999999</v>
      </c>
      <c r="J12" s="254">
        <f t="shared" si="2"/>
        <v>0.17599999999999999</v>
      </c>
      <c r="K12" s="198">
        <v>0.61599999999999999</v>
      </c>
      <c r="L12" s="206">
        <f t="shared" si="3"/>
        <v>0.6130000000000001</v>
      </c>
      <c r="M12" s="200"/>
      <c r="N12" s="197">
        <f t="shared" si="6"/>
        <v>0</v>
      </c>
      <c r="O12" s="200">
        <v>0.25600000000000001</v>
      </c>
      <c r="P12" s="197"/>
      <c r="Q12" s="200"/>
      <c r="R12" s="197">
        <f t="shared" si="7"/>
        <v>0</v>
      </c>
      <c r="S12" s="200">
        <v>0.96599999999999997</v>
      </c>
      <c r="T12" s="212">
        <f t="shared" si="4"/>
        <v>1.8079999999999998</v>
      </c>
      <c r="U12" s="206">
        <v>1</v>
      </c>
      <c r="V12" s="200">
        <v>0.21580000000000002</v>
      </c>
      <c r="W12" s="213">
        <f>'OD EIAData'!AU6-'OD Shares'!U12</f>
        <v>0.20141064079756799</v>
      </c>
      <c r="X12" s="200">
        <v>6.5000000000000002E-2</v>
      </c>
      <c r="Y12" s="197">
        <f t="shared" si="12"/>
        <v>0.35</v>
      </c>
      <c r="Z12" s="200">
        <v>0.99</v>
      </c>
      <c r="AA12" s="213">
        <f t="shared" si="13"/>
        <v>0.66499999999999948</v>
      </c>
      <c r="AB12" s="200">
        <v>0.99</v>
      </c>
      <c r="AC12" s="213">
        <f t="shared" si="14"/>
        <v>0.87333333333333296</v>
      </c>
      <c r="AD12" s="200">
        <v>0.96699999999999997</v>
      </c>
      <c r="AE12" s="212">
        <f t="shared" si="9"/>
        <v>0.96699999999999997</v>
      </c>
      <c r="AF12" s="200">
        <v>2.4478643451466082</v>
      </c>
      <c r="AG12" s="197">
        <f>'OD EIAData'!AY6</f>
        <v>3.2130096330146123</v>
      </c>
      <c r="AH12" s="206">
        <f>'OD EIAData'!BA6</f>
        <v>0.4717662925443154</v>
      </c>
      <c r="AI12" s="200">
        <v>1</v>
      </c>
      <c r="AJ12" s="200">
        <v>1</v>
      </c>
      <c r="AK12" s="201"/>
      <c r="AL12" s="203">
        <f t="shared" ref="AL12:AL13" si="19">AL11+$AM$14/4</f>
        <v>0.81599999999999995</v>
      </c>
      <c r="AN12" s="341">
        <f t="shared" si="10"/>
        <v>0.14799999999999999</v>
      </c>
      <c r="AO12" s="203">
        <f t="shared" si="11"/>
        <v>0.62015999999999993</v>
      </c>
      <c r="AP12" s="203">
        <v>0.1</v>
      </c>
      <c r="AR12" s="203">
        <v>0.184</v>
      </c>
      <c r="AS12" s="203">
        <f>AR12-AR6</f>
        <v>0</v>
      </c>
      <c r="AT12" s="203">
        <f t="shared" ref="AT12:AT13" si="20">AT11+$AU$14/6</f>
        <v>0.59533333333333338</v>
      </c>
      <c r="AV12" s="203">
        <f t="shared" ref="AV12:AV13" si="21">AV11+$AW$14/4</f>
        <v>0.22500000000000001</v>
      </c>
    </row>
    <row r="13" spans="1:65" x14ac:dyDescent="0.2">
      <c r="A13" s="196">
        <v>2006</v>
      </c>
      <c r="B13" s="197">
        <f t="shared" si="5"/>
        <v>0.14899999999999999</v>
      </c>
      <c r="C13" s="198">
        <v>0.14899999999999999</v>
      </c>
      <c r="D13" s="199">
        <f t="shared" si="0"/>
        <v>0.62091999999999992</v>
      </c>
      <c r="E13" s="198">
        <v>0.67700000000000005</v>
      </c>
      <c r="F13" s="206"/>
      <c r="G13" s="198">
        <v>0.12847029197091125</v>
      </c>
      <c r="H13" s="197">
        <f t="shared" si="1"/>
        <v>0.1</v>
      </c>
      <c r="I13" s="198">
        <v>0.17799999999999999</v>
      </c>
      <c r="J13" s="254">
        <f>I13</f>
        <v>0.17799999999999999</v>
      </c>
      <c r="K13" s="198">
        <v>0.61799999999999999</v>
      </c>
      <c r="L13" s="206">
        <f>L14-0.05%</f>
        <v>0.61350000000000005</v>
      </c>
      <c r="M13" s="200"/>
      <c r="N13" s="197">
        <f t="shared" si="6"/>
        <v>0</v>
      </c>
      <c r="O13" s="200">
        <v>0.253</v>
      </c>
      <c r="P13" s="197"/>
      <c r="Q13" s="200"/>
      <c r="R13" s="197">
        <f t="shared" si="7"/>
        <v>0</v>
      </c>
      <c r="S13" s="200">
        <v>0.96599999999999997</v>
      </c>
      <c r="T13" s="212">
        <f>T14-1.4%</f>
        <v>1.8219999999999998</v>
      </c>
      <c r="U13" s="206">
        <v>1</v>
      </c>
      <c r="V13" s="200">
        <v>0.21590000000000001</v>
      </c>
      <c r="W13" s="213">
        <f>'OD EIAData'!AU7-'OD Shares'!U13</f>
        <v>0.19987374998720631</v>
      </c>
      <c r="X13" s="200">
        <v>6.5000000000000002E-2</v>
      </c>
      <c r="Y13" s="197">
        <f t="shared" si="12"/>
        <v>0.35</v>
      </c>
      <c r="Z13" s="200">
        <v>0.99</v>
      </c>
      <c r="AA13" s="213">
        <f t="shared" si="13"/>
        <v>0.66749999999999943</v>
      </c>
      <c r="AB13" s="200">
        <v>0.99</v>
      </c>
      <c r="AC13" s="213">
        <f t="shared" si="14"/>
        <v>0.87666666666666626</v>
      </c>
      <c r="AD13" s="200">
        <v>0.96699999999999997</v>
      </c>
      <c r="AE13" s="212">
        <f t="shared" si="9"/>
        <v>0.96699999999999997</v>
      </c>
      <c r="AF13" s="200">
        <v>2.4818021786091178</v>
      </c>
      <c r="AG13" s="197">
        <f>'OD EIAData'!AY7</f>
        <v>3.2430221929301433</v>
      </c>
      <c r="AH13" s="206">
        <f>'OD EIAData'!BA7</f>
        <v>0.46978973275158575</v>
      </c>
      <c r="AI13" s="200">
        <v>1</v>
      </c>
      <c r="AJ13" s="200">
        <v>1</v>
      </c>
      <c r="AK13" s="201"/>
      <c r="AL13" s="203">
        <f t="shared" si="19"/>
        <v>0.81699999999999995</v>
      </c>
      <c r="AN13" s="341">
        <f t="shared" si="10"/>
        <v>0.14899999999999999</v>
      </c>
      <c r="AO13" s="203">
        <f t="shared" si="11"/>
        <v>0.62091999999999992</v>
      </c>
      <c r="AP13" s="203">
        <v>0.1</v>
      </c>
      <c r="AR13" s="203">
        <v>0.184</v>
      </c>
      <c r="AS13" s="203"/>
      <c r="AT13" s="203">
        <f t="shared" si="20"/>
        <v>0.60000000000000009</v>
      </c>
      <c r="AV13" s="203">
        <f t="shared" si="21"/>
        <v>0.23400000000000001</v>
      </c>
      <c r="BD13" s="211"/>
      <c r="BE13" s="211"/>
      <c r="BF13" s="211"/>
      <c r="BG13" s="211"/>
      <c r="BH13" s="211"/>
      <c r="BI13" s="211"/>
    </row>
    <row r="14" spans="1:65" x14ac:dyDescent="0.2">
      <c r="A14" s="196">
        <v>2007</v>
      </c>
      <c r="B14" s="197">
        <f t="shared" si="5"/>
        <v>0.15</v>
      </c>
      <c r="C14" s="198">
        <v>0.15</v>
      </c>
      <c r="D14" s="199">
        <f t="shared" si="0"/>
        <v>0.62168000000000001</v>
      </c>
      <c r="E14" s="198">
        <v>0.68</v>
      </c>
      <c r="F14" s="206"/>
      <c r="G14" s="198">
        <v>0.12690371201440123</v>
      </c>
      <c r="H14" s="197">
        <f t="shared" si="1"/>
        <v>0.1</v>
      </c>
      <c r="I14" s="198">
        <v>0.18</v>
      </c>
      <c r="J14" s="197">
        <f t="shared" ref="J14:J17" si="22">AR14</f>
        <v>0.184</v>
      </c>
      <c r="K14" s="198">
        <v>0.62</v>
      </c>
      <c r="L14" s="197">
        <f>AT14</f>
        <v>0.61399999999999999</v>
      </c>
      <c r="M14" s="200"/>
      <c r="N14" s="197">
        <f t="shared" si="6"/>
        <v>0</v>
      </c>
      <c r="O14" s="200">
        <v>0.25</v>
      </c>
      <c r="P14" s="197"/>
      <c r="Q14" s="200"/>
      <c r="R14" s="245">
        <f>AX14</f>
        <v>0.98099999999999998</v>
      </c>
      <c r="S14" s="200">
        <v>0.96599999999999997</v>
      </c>
      <c r="T14" s="197">
        <f>AZ14+BB14</f>
        <v>1.8359999999999999</v>
      </c>
      <c r="U14" s="206">
        <v>1</v>
      </c>
      <c r="V14" s="200">
        <v>0.216</v>
      </c>
      <c r="W14" s="213">
        <f>'OD EIAData'!AU8-'OD Shares'!U14</f>
        <v>0.20001036640530767</v>
      </c>
      <c r="X14" s="200">
        <v>6.5000000000000002E-2</v>
      </c>
      <c r="Y14" s="197">
        <f>BD14</f>
        <v>0.5</v>
      </c>
      <c r="Z14" s="200">
        <v>0.99</v>
      </c>
      <c r="AA14" s="197">
        <f>BF14</f>
        <v>0.45</v>
      </c>
      <c r="AB14" s="200">
        <v>0.99</v>
      </c>
      <c r="AC14" s="197">
        <f>BH14</f>
        <v>0.84</v>
      </c>
      <c r="AD14" s="200">
        <v>0.96699999999999997</v>
      </c>
      <c r="AE14" s="197">
        <f>BJ14</f>
        <v>0.93400000000000005</v>
      </c>
      <c r="AF14" s="200">
        <v>2.5160189803562911</v>
      </c>
      <c r="AG14" s="197">
        <f>'OD EIAData'!AY8</f>
        <v>3.4330023223032495</v>
      </c>
      <c r="AH14" s="206">
        <f>'OD EIAData'!BA8</f>
        <v>0.46735524728588662</v>
      </c>
      <c r="AI14" s="200">
        <v>1</v>
      </c>
      <c r="AJ14" s="200">
        <v>1</v>
      </c>
      <c r="AK14" s="201"/>
      <c r="AL14" s="203">
        <v>0.81799999999999995</v>
      </c>
      <c r="AM14" s="203">
        <f>AL14-AL10</f>
        <v>4.0000000000000036E-3</v>
      </c>
      <c r="AN14" s="341">
        <f t="shared" si="10"/>
        <v>0.15</v>
      </c>
      <c r="AO14" s="203">
        <f t="shared" si="11"/>
        <v>0.62168000000000001</v>
      </c>
      <c r="AP14" s="203">
        <v>0.1</v>
      </c>
      <c r="AQ14" s="211">
        <v>0.89</v>
      </c>
      <c r="AR14" s="203">
        <v>0.184</v>
      </c>
      <c r="AS14" s="203"/>
      <c r="AT14" s="203">
        <v>0.61399999999999999</v>
      </c>
      <c r="AU14" s="203">
        <f>AT14-AT10</f>
        <v>2.8000000000000025E-2</v>
      </c>
      <c r="AV14" s="203">
        <v>0.24299999999999999</v>
      </c>
      <c r="AW14" s="203">
        <f>AV14-AV10</f>
        <v>3.6000000000000004E-2</v>
      </c>
      <c r="AX14" s="203">
        <v>0.98099999999999998</v>
      </c>
      <c r="AZ14" s="203">
        <v>0.96599999999999997</v>
      </c>
      <c r="BB14" s="211">
        <v>0.87</v>
      </c>
      <c r="BC14" s="211"/>
      <c r="BD14" s="203">
        <v>0.5</v>
      </c>
      <c r="BE14" s="211"/>
      <c r="BF14" s="203">
        <v>0.45</v>
      </c>
      <c r="BG14" s="211"/>
      <c r="BH14" s="203">
        <v>0.84</v>
      </c>
      <c r="BJ14" s="203">
        <v>0.93400000000000005</v>
      </c>
    </row>
    <row r="15" spans="1:65" x14ac:dyDescent="0.2">
      <c r="A15" s="196">
        <v>2008</v>
      </c>
      <c r="B15" s="197">
        <f t="shared" si="5"/>
        <v>0.18228320000000001</v>
      </c>
      <c r="C15" s="198">
        <v>0.15</v>
      </c>
      <c r="D15" s="199">
        <f t="shared" si="0"/>
        <v>0.62970559999999998</v>
      </c>
      <c r="E15" s="198">
        <v>0.68100000000000005</v>
      </c>
      <c r="F15" s="206"/>
      <c r="G15" s="198">
        <v>0.12547646885374325</v>
      </c>
      <c r="H15" s="197">
        <f t="shared" si="1"/>
        <v>9.2999999999999999E-2</v>
      </c>
      <c r="I15" s="198">
        <v>0.18049999999999999</v>
      </c>
      <c r="J15" s="197">
        <f t="shared" si="22"/>
        <v>0.1784</v>
      </c>
      <c r="K15" s="198">
        <v>0.62049999999999994</v>
      </c>
      <c r="L15" s="197">
        <f t="shared" ref="L15:L17" si="23">AT15</f>
        <v>0.61933333333333329</v>
      </c>
      <c r="M15" s="200"/>
      <c r="N15" s="197">
        <f t="shared" si="6"/>
        <v>0</v>
      </c>
      <c r="O15" s="200">
        <v>0.248</v>
      </c>
      <c r="P15" s="197"/>
      <c r="Q15" s="200"/>
      <c r="R15" s="245">
        <f>AX15</f>
        <v>0.98233333333333328</v>
      </c>
      <c r="S15" s="200">
        <v>0.96599999999999997</v>
      </c>
      <c r="T15" s="197">
        <f t="shared" ref="T15:T17" si="24">AZ15+BB15</f>
        <v>1.8776666666666666</v>
      </c>
      <c r="U15" s="206">
        <v>1</v>
      </c>
      <c r="V15" s="200">
        <v>0.21609999999999999</v>
      </c>
      <c r="W15" s="213">
        <f>'OD EIAData'!AU9-'OD Shares'!U15</f>
        <v>0.19988814331970906</v>
      </c>
      <c r="X15" s="200">
        <v>6.5000000000000002E-2</v>
      </c>
      <c r="Y15" s="197">
        <f t="shared" ref="Y15:Y17" si="25">BD15</f>
        <v>0.48333333333333334</v>
      </c>
      <c r="Z15" s="200">
        <v>0.99</v>
      </c>
      <c r="AA15" s="197">
        <f t="shared" ref="AA15:AA17" si="26">BF15</f>
        <v>0.45666666666666667</v>
      </c>
      <c r="AB15" s="200">
        <v>0.99</v>
      </c>
      <c r="AC15" s="197">
        <f t="shared" ref="AC15:AC17" si="27">BH15</f>
        <v>0.87333333333333329</v>
      </c>
      <c r="AD15" s="200">
        <v>0.96699999999999997</v>
      </c>
      <c r="AE15" s="197">
        <f t="shared" ref="AE15:AE17" si="28">BJ15</f>
        <v>0.93533333333333335</v>
      </c>
      <c r="AF15" s="200">
        <v>2.5506104301129255</v>
      </c>
      <c r="AG15" s="197">
        <f>'OD EIAData'!AY9</f>
        <v>3.6187536331052601</v>
      </c>
      <c r="AH15" s="206">
        <f>'OD EIAData'!BA9</f>
        <v>0.46494331255122562</v>
      </c>
      <c r="AI15" s="200">
        <v>1</v>
      </c>
      <c r="AJ15" s="200">
        <v>1</v>
      </c>
      <c r="AK15" s="201"/>
      <c r="AL15" s="203">
        <f>AL14+$AM$17*0.33</f>
        <v>0.82855999999999996</v>
      </c>
      <c r="AN15" s="178">
        <f t="shared" ref="AN15:AN16" si="29">AL15*(0.14+8%)</f>
        <v>0.18228320000000001</v>
      </c>
      <c r="AO15" s="203">
        <f t="shared" si="11"/>
        <v>0.62970559999999998</v>
      </c>
      <c r="AP15" s="203">
        <v>9.2999999999999999E-2</v>
      </c>
      <c r="AR15" s="203">
        <f t="shared" ref="AR15:AR16" si="30">AR14+$AS$17/5</f>
        <v>0.1784</v>
      </c>
      <c r="AT15" s="210">
        <f>AT14+$AU$17/3</f>
        <v>0.61933333333333329</v>
      </c>
      <c r="AV15" s="210">
        <f>AV14+AW$17/3</f>
        <v>0.24833333333333332</v>
      </c>
      <c r="AX15" s="203">
        <f>AX14+$AY$17/3</f>
        <v>0.98233333333333328</v>
      </c>
      <c r="AZ15" s="203">
        <f>AZ14+BA$17/3</f>
        <v>0.97099999999999997</v>
      </c>
      <c r="BB15" s="203">
        <f>BB14+BC$17/3</f>
        <v>0.90666666666666662</v>
      </c>
      <c r="BD15" s="203">
        <f>BD14+BE$17/3</f>
        <v>0.48333333333333334</v>
      </c>
      <c r="BF15" s="203">
        <f>BF14+BG$17/3</f>
        <v>0.45666666666666667</v>
      </c>
      <c r="BH15" s="203">
        <f>BH14+BI$17/3</f>
        <v>0.87333333333333329</v>
      </c>
      <c r="BJ15" s="203">
        <f>BJ14+BK$17/3</f>
        <v>0.93533333333333335</v>
      </c>
    </row>
    <row r="16" spans="1:65" x14ac:dyDescent="0.2">
      <c r="A16" s="196">
        <v>2009</v>
      </c>
      <c r="B16" s="197">
        <f t="shared" si="5"/>
        <v>0.18460640000000003</v>
      </c>
      <c r="C16" s="198">
        <v>0.15</v>
      </c>
      <c r="D16" s="199">
        <f t="shared" si="0"/>
        <v>0.63773119999999994</v>
      </c>
      <c r="E16" s="198">
        <v>0.68200000000000005</v>
      </c>
      <c r="F16" s="206"/>
      <c r="G16" s="198">
        <v>0.12411841039029452</v>
      </c>
      <c r="H16" s="197">
        <f t="shared" si="1"/>
        <v>9.6500000000000002E-2</v>
      </c>
      <c r="I16" s="198">
        <v>0.18099999999999999</v>
      </c>
      <c r="J16" s="197">
        <f t="shared" si="22"/>
        <v>0.17280000000000001</v>
      </c>
      <c r="K16" s="198">
        <v>0.62099999999999989</v>
      </c>
      <c r="L16" s="197">
        <f t="shared" si="23"/>
        <v>0.62466666666666659</v>
      </c>
      <c r="M16" s="200"/>
      <c r="N16" s="197">
        <f t="shared" si="6"/>
        <v>0</v>
      </c>
      <c r="O16" s="200">
        <v>0.246</v>
      </c>
      <c r="P16" s="197">
        <f t="shared" ref="P16:P17" si="31">AV16</f>
        <v>0.25366666666666665</v>
      </c>
      <c r="Q16" s="200">
        <v>0.98</v>
      </c>
      <c r="R16" s="245">
        <f>AX16</f>
        <v>0.98366666666666658</v>
      </c>
      <c r="S16" s="200">
        <v>0.96599999999999997</v>
      </c>
      <c r="T16" s="197">
        <f t="shared" si="24"/>
        <v>1.9193333333333333</v>
      </c>
      <c r="U16" s="206">
        <v>1</v>
      </c>
      <c r="V16" s="200">
        <v>0.21619999999999998</v>
      </c>
      <c r="W16" s="213">
        <f>'OD EIAData'!AU10-'OD Shares'!U16</f>
        <v>0.20000733814452198</v>
      </c>
      <c r="X16" s="200">
        <v>6.5000000000000002E-2</v>
      </c>
      <c r="Y16" s="197">
        <f t="shared" si="25"/>
        <v>0.46666666666666667</v>
      </c>
      <c r="Z16" s="200">
        <v>0.99</v>
      </c>
      <c r="AA16" s="197">
        <f t="shared" si="26"/>
        <v>0.46333333333333332</v>
      </c>
      <c r="AB16" s="200">
        <v>0.99</v>
      </c>
      <c r="AC16" s="197">
        <f t="shared" si="27"/>
        <v>0.90666666666666662</v>
      </c>
      <c r="AD16" s="200">
        <v>0.96699999999999997</v>
      </c>
      <c r="AE16" s="197">
        <f t="shared" si="28"/>
        <v>0.93666666666666665</v>
      </c>
      <c r="AF16" s="200">
        <v>2.5855979656604848</v>
      </c>
      <c r="AG16" s="197">
        <f>'OD EIAData'!AY10</f>
        <v>3.7181906957972188</v>
      </c>
      <c r="AH16" s="206">
        <f>'OD EIAData'!BA10</f>
        <v>0.4624161405311123</v>
      </c>
      <c r="AI16" s="200">
        <v>1</v>
      </c>
      <c r="AJ16" s="200">
        <v>1</v>
      </c>
      <c r="AK16" s="201"/>
      <c r="AL16" s="203">
        <f>AL15+$AM$17*0.33</f>
        <v>0.83911999999999998</v>
      </c>
      <c r="AN16" s="178">
        <f t="shared" si="29"/>
        <v>0.18460640000000003</v>
      </c>
      <c r="AO16" s="203">
        <f t="shared" si="11"/>
        <v>0.63773119999999994</v>
      </c>
      <c r="AP16" s="203">
        <v>9.6500000000000002E-2</v>
      </c>
      <c r="AR16" s="203">
        <f t="shared" si="30"/>
        <v>0.17280000000000001</v>
      </c>
      <c r="AT16" s="210">
        <f>AT15+$AU$17/3</f>
        <v>0.62466666666666659</v>
      </c>
      <c r="AV16" s="210">
        <f>AV15+AW$17/3</f>
        <v>0.25366666666666665</v>
      </c>
      <c r="AX16" s="203">
        <f>AX15+$AY$17/3</f>
        <v>0.98366666666666658</v>
      </c>
      <c r="AZ16" s="203">
        <f>AZ15+BA$17/3</f>
        <v>0.97599999999999998</v>
      </c>
      <c r="BB16" s="203">
        <f>BB15+BC$17/3</f>
        <v>0.94333333333333325</v>
      </c>
      <c r="BD16" s="203">
        <f>BD15+BE$17/3</f>
        <v>0.46666666666666667</v>
      </c>
      <c r="BF16" s="203">
        <f>BF15+BG$17/3</f>
        <v>0.46333333333333332</v>
      </c>
      <c r="BH16" s="203">
        <f>BH15+BI$17/3</f>
        <v>0.90666666666666662</v>
      </c>
      <c r="BJ16" s="203">
        <f>BJ15+BK$17/3</f>
        <v>0.93666666666666665</v>
      </c>
    </row>
    <row r="17" spans="1:63" x14ac:dyDescent="0.2">
      <c r="A17" s="196">
        <v>2010</v>
      </c>
      <c r="B17" s="197">
        <f t="shared" si="5"/>
        <v>0.18700000000000003</v>
      </c>
      <c r="C17" s="198">
        <v>0.15</v>
      </c>
      <c r="D17" s="199">
        <f t="shared" si="0"/>
        <v>0.64600000000000002</v>
      </c>
      <c r="E17" s="198">
        <v>0.68300000000000005</v>
      </c>
      <c r="F17" s="206"/>
      <c r="G17" s="198">
        <v>0.12278490285457273</v>
      </c>
      <c r="H17" s="197">
        <f>AP17</f>
        <v>0.09</v>
      </c>
      <c r="I17" s="198">
        <v>0.18149999999999999</v>
      </c>
      <c r="J17" s="197">
        <f t="shared" si="22"/>
        <v>0.156</v>
      </c>
      <c r="K17" s="198">
        <v>0.62149999999999983</v>
      </c>
      <c r="L17" s="197">
        <f t="shared" si="23"/>
        <v>0.63</v>
      </c>
      <c r="M17" s="200"/>
      <c r="N17" s="197">
        <f t="shared" si="6"/>
        <v>0</v>
      </c>
      <c r="O17" s="200">
        <v>0.24399999999999999</v>
      </c>
      <c r="P17" s="197">
        <f t="shared" si="31"/>
        <v>0.25900000000000001</v>
      </c>
      <c r="Q17" s="200">
        <v>0.98</v>
      </c>
      <c r="R17" s="245">
        <f>AX17</f>
        <v>0.98499999999999999</v>
      </c>
      <c r="S17" s="200">
        <v>0.96599999999999997</v>
      </c>
      <c r="T17" s="197">
        <f t="shared" si="24"/>
        <v>1.9609999999999999</v>
      </c>
      <c r="U17" s="206">
        <v>1</v>
      </c>
      <c r="V17" s="200">
        <v>0.21629999999999996</v>
      </c>
      <c r="W17" s="213">
        <f>'OD EIAData'!AU11-'OD Shares'!U17</f>
        <v>0.20030003776972305</v>
      </c>
      <c r="X17" s="200">
        <v>6.5000000000000002E-2</v>
      </c>
      <c r="Y17" s="197">
        <f t="shared" si="25"/>
        <v>0.45</v>
      </c>
      <c r="Z17" s="200">
        <v>0.99</v>
      </c>
      <c r="AA17" s="197">
        <f t="shared" si="26"/>
        <v>0.47</v>
      </c>
      <c r="AB17" s="200">
        <v>0.99</v>
      </c>
      <c r="AC17" s="197">
        <f t="shared" si="27"/>
        <v>0.94</v>
      </c>
      <c r="AD17" s="200">
        <v>0.96699999999999997</v>
      </c>
      <c r="AE17" s="197">
        <f t="shared" si="28"/>
        <v>0.93799999999999994</v>
      </c>
      <c r="AF17" s="200">
        <v>2.6210351706170574</v>
      </c>
      <c r="AG17" s="197">
        <f>'OD EIAData'!AY11</f>
        <v>3.7724349085967126</v>
      </c>
      <c r="AH17" s="206">
        <f>'OD EIAData'!BA11</f>
        <v>0.45888428126783531</v>
      </c>
      <c r="AI17" s="200">
        <v>1</v>
      </c>
      <c r="AJ17" s="200">
        <v>1</v>
      </c>
      <c r="AK17" s="201"/>
      <c r="AL17" s="203">
        <v>0.85</v>
      </c>
      <c r="AM17" s="203">
        <f>AL17-AL14</f>
        <v>3.2000000000000028E-2</v>
      </c>
      <c r="AN17" s="178">
        <f>AL17*(0.14+8%)</f>
        <v>0.18700000000000003</v>
      </c>
      <c r="AO17" s="203">
        <f t="shared" si="11"/>
        <v>0.64600000000000002</v>
      </c>
      <c r="AP17" s="203">
        <v>0.09</v>
      </c>
      <c r="AQ17" s="179">
        <v>0.92800000000000005</v>
      </c>
      <c r="AR17" s="203">
        <v>0.156</v>
      </c>
      <c r="AS17" s="203">
        <f>AR17-AR14</f>
        <v>-2.7999999999999997E-2</v>
      </c>
      <c r="AT17" s="203">
        <v>0.63</v>
      </c>
      <c r="AU17" s="203">
        <f>AT17-AT14</f>
        <v>1.6000000000000014E-2</v>
      </c>
      <c r="AV17" s="203">
        <v>0.25900000000000001</v>
      </c>
      <c r="AW17" s="203">
        <f>AV17-AV14</f>
        <v>1.6000000000000014E-2</v>
      </c>
      <c r="AX17" s="203">
        <v>0.98499999999999999</v>
      </c>
      <c r="AY17" s="203">
        <f>AX17-AX14</f>
        <v>4.0000000000000036E-3</v>
      </c>
      <c r="AZ17" s="203">
        <v>0.98099999999999998</v>
      </c>
      <c r="BA17" s="203">
        <f>AZ17-AZ14</f>
        <v>1.5000000000000013E-2</v>
      </c>
      <c r="BB17" s="203">
        <v>0.98</v>
      </c>
      <c r="BC17" s="203">
        <f>BB17-BB14</f>
        <v>0.10999999999999999</v>
      </c>
      <c r="BD17" s="203">
        <v>0.45</v>
      </c>
      <c r="BE17" s="203">
        <f>BD17-BD14</f>
        <v>-4.9999999999999989E-2</v>
      </c>
      <c r="BF17" s="203">
        <v>0.47</v>
      </c>
      <c r="BG17" s="203">
        <f>BF17-BF14</f>
        <v>1.9999999999999962E-2</v>
      </c>
      <c r="BH17" s="203">
        <v>0.94</v>
      </c>
      <c r="BI17" s="203">
        <f>BH17-BH14</f>
        <v>9.9999999999999978E-2</v>
      </c>
      <c r="BJ17" s="203">
        <v>0.93799999999999994</v>
      </c>
      <c r="BK17" s="203">
        <f>BJ17-BJ14</f>
        <v>3.9999999999998925E-3</v>
      </c>
    </row>
    <row r="18" spans="1:63" x14ac:dyDescent="0.2">
      <c r="A18" s="196">
        <v>2011</v>
      </c>
      <c r="B18" s="206">
        <f>(B17+'OD EIAData'!W12/3)</f>
        <v>0.18398148884110338</v>
      </c>
      <c r="C18" s="198">
        <v>0.15</v>
      </c>
      <c r="D18" s="206">
        <f>(D17+'OD EIAData'!Y12/3)</f>
        <v>0.65608509193720033</v>
      </c>
      <c r="E18" s="198">
        <v>0.68400000000000005</v>
      </c>
      <c r="F18" s="206"/>
      <c r="G18" s="198">
        <v>0.12147403950865435</v>
      </c>
      <c r="H18" s="206">
        <f>(H17+'OD EIAData'!AC12/3)</f>
        <v>8.4981175716020915E-2</v>
      </c>
      <c r="I18" s="198">
        <v>0.182</v>
      </c>
      <c r="J18" s="206">
        <f>(J17+'OD EIAData'!AG12)</f>
        <v>0.15600837447182445</v>
      </c>
      <c r="K18" s="198">
        <v>0.62199999999999978</v>
      </c>
      <c r="L18" s="206">
        <f>(L17+'OD EIAData'!AI12/3)</f>
        <v>0.64008509193720031</v>
      </c>
      <c r="M18" s="200"/>
      <c r="N18" s="197">
        <f t="shared" si="6"/>
        <v>0</v>
      </c>
      <c r="O18" s="200">
        <v>0.24199999999999999</v>
      </c>
      <c r="P18" s="213">
        <f>P17-0.05%</f>
        <v>0.25850000000000001</v>
      </c>
      <c r="Q18" s="200">
        <v>0.98</v>
      </c>
      <c r="R18" s="206">
        <f>(R17+'OD EIAData'!AP12/3)</f>
        <v>0.98631516526359042</v>
      </c>
      <c r="S18" s="200">
        <v>0.96599999999999997</v>
      </c>
      <c r="T18" s="206">
        <f>(T17+'OD EIAData'!AR12)</f>
        <v>1.9628236686424538</v>
      </c>
      <c r="U18" s="206">
        <v>1</v>
      </c>
      <c r="V18" s="200">
        <v>0.21639999999999995</v>
      </c>
      <c r="W18" s="213">
        <f>'OD EIAData'!AU12-'OD Shares'!U18</f>
        <v>0.20070055136446419</v>
      </c>
      <c r="X18" s="200">
        <v>6.5000000000000002E-2</v>
      </c>
      <c r="Y18" s="206">
        <f>(Y17+'OD EIAData'!AX12)</f>
        <v>0.45078802797375178</v>
      </c>
      <c r="Z18" s="200">
        <v>0.99</v>
      </c>
      <c r="AA18" s="206">
        <f>(AA17+'OD EIAData'!AN12)</f>
        <v>0.47752509676667887</v>
      </c>
      <c r="AB18" s="200">
        <v>0.99</v>
      </c>
      <c r="AC18" s="206">
        <f>(AC17+'OD EIAData'!AL12)</f>
        <v>0.94129849211501382</v>
      </c>
      <c r="AD18" s="200">
        <v>0.96699999999999997</v>
      </c>
      <c r="AE18" s="206">
        <f>(AE17+'OD EIAData'!AT12)</f>
        <v>0.94097283943768906</v>
      </c>
      <c r="AF18" s="200">
        <v>2.6438468624927269</v>
      </c>
      <c r="AG18" s="197">
        <f>'OD EIAData'!AY12</f>
        <v>3.7540896849627461</v>
      </c>
      <c r="AH18" s="206">
        <f>'OD EIAData'!BA12</f>
        <v>0.45539876728207929</v>
      </c>
      <c r="AI18" s="200">
        <v>1</v>
      </c>
      <c r="AJ18" s="200">
        <v>1</v>
      </c>
      <c r="AK18" s="201"/>
    </row>
    <row r="19" spans="1:63" x14ac:dyDescent="0.2">
      <c r="A19" s="196">
        <v>2012</v>
      </c>
      <c r="B19" s="206">
        <f>(B18+'OD EIAData'!W13/3)</f>
        <v>0.18183015574274788</v>
      </c>
      <c r="C19" s="198">
        <v>0.15</v>
      </c>
      <c r="D19" s="206">
        <f>(D18+'OD EIAData'!Y13/3)</f>
        <v>0.66304077671988859</v>
      </c>
      <c r="E19" s="198">
        <v>0.68500000000000005</v>
      </c>
      <c r="F19" s="206"/>
      <c r="G19" s="198">
        <v>0.12016355341179324</v>
      </c>
      <c r="H19" s="206">
        <f>(H18+'OD EIAData'!AC13/3)</f>
        <v>8.1312046192241361E-2</v>
      </c>
      <c r="I19" s="198">
        <v>0.1825</v>
      </c>
      <c r="J19" s="206">
        <f>(J18+'OD EIAData'!AG13)</f>
        <v>0.15762364556369776</v>
      </c>
      <c r="K19" s="198">
        <v>0.62249999999999972</v>
      </c>
      <c r="L19" s="206">
        <f>(L18+'OD EIAData'!AI13/3)</f>
        <v>0.64704077671988858</v>
      </c>
      <c r="M19" s="200"/>
      <c r="N19" s="197">
        <f t="shared" si="6"/>
        <v>0</v>
      </c>
      <c r="O19" s="200">
        <v>0.24</v>
      </c>
      <c r="P19" s="213">
        <f t="shared" ref="P19:P49" si="32">P18-0.05%</f>
        <v>0.25800000000000001</v>
      </c>
      <c r="Q19" s="200">
        <v>0.98</v>
      </c>
      <c r="R19" s="206">
        <f>(R18+'OD EIAData'!AP13/3)</f>
        <v>0.98744493923844423</v>
      </c>
      <c r="S19" s="200">
        <v>0.96599999999999997</v>
      </c>
      <c r="T19" s="206">
        <f>(T18+'OD EIAData'!AR13)</f>
        <v>1.9644277265979959</v>
      </c>
      <c r="U19" s="206">
        <v>1</v>
      </c>
      <c r="V19" s="200">
        <v>0.21649999999999994</v>
      </c>
      <c r="W19" s="213">
        <f>'OD EIAData'!AU13-'OD Shares'!U19</f>
        <v>0.20098312261503404</v>
      </c>
      <c r="X19" s="200">
        <v>6.5000000000000002E-2</v>
      </c>
      <c r="Y19" s="206">
        <f>(Y18+'OD EIAData'!AX13)</f>
        <v>0.45143943942887282</v>
      </c>
      <c r="Z19" s="200">
        <v>0.99</v>
      </c>
      <c r="AA19" s="206">
        <f>(AA18+'OD EIAData'!AN13)</f>
        <v>0.48364190924231498</v>
      </c>
      <c r="AB19" s="200">
        <v>0.99</v>
      </c>
      <c r="AC19" s="206">
        <f>(AC18+'OD EIAData'!AL13)</f>
        <v>0.9422154676665353</v>
      </c>
      <c r="AD19" s="200">
        <v>0.96699999999999997</v>
      </c>
      <c r="AE19" s="206">
        <f>(AE18+'OD EIAData'!AT13)</f>
        <v>0.94334235231208319</v>
      </c>
      <c r="AF19" s="200">
        <v>2.6668302857397279</v>
      </c>
      <c r="AG19" s="197">
        <f>'OD EIAData'!AY13</f>
        <v>3.7108112717206874</v>
      </c>
      <c r="AH19" s="206">
        <f>'OD EIAData'!BA13</f>
        <v>0.45288641151082759</v>
      </c>
      <c r="AI19" s="200">
        <v>1</v>
      </c>
      <c r="AJ19" s="200">
        <v>1</v>
      </c>
      <c r="AK19" s="201"/>
    </row>
    <row r="20" spans="1:63" x14ac:dyDescent="0.2">
      <c r="A20" s="196">
        <v>2013</v>
      </c>
      <c r="B20" s="206">
        <f>(B19+'OD EIAData'!W14/3)</f>
        <v>0.17960224944712877</v>
      </c>
      <c r="C20" s="198">
        <v>0.15</v>
      </c>
      <c r="D20" s="206">
        <f>(D19+'OD EIAData'!Y14/3)</f>
        <v>0.67022063981646529</v>
      </c>
      <c r="E20" s="198">
        <v>0.68600000000000005</v>
      </c>
      <c r="F20" s="206"/>
      <c r="G20" s="198">
        <v>0.11886615691393025</v>
      </c>
      <c r="H20" s="206">
        <f>(H19+'OD EIAData'!AC14/3)</f>
        <v>7.7402680150591249E-2</v>
      </c>
      <c r="I20" s="198">
        <v>0.183</v>
      </c>
      <c r="J20" s="206">
        <f>(J19+'OD EIAData'!AG14)</f>
        <v>0.1589059006187766</v>
      </c>
      <c r="K20" s="198">
        <v>0.62299999999999967</v>
      </c>
      <c r="L20" s="206">
        <f>(L19+'OD EIAData'!AI14/3)</f>
        <v>0.65422063981646528</v>
      </c>
      <c r="M20" s="200"/>
      <c r="N20" s="197">
        <f t="shared" si="6"/>
        <v>0</v>
      </c>
      <c r="O20" s="200">
        <v>0.23799999999999999</v>
      </c>
      <c r="P20" s="213">
        <f t="shared" si="32"/>
        <v>0.25750000000000001</v>
      </c>
      <c r="Q20" s="200">
        <v>0.98</v>
      </c>
      <c r="R20" s="206">
        <f>(R19+'OD EIAData'!AP14/3)</f>
        <v>0.98854416997486294</v>
      </c>
      <c r="S20" s="200">
        <v>0.96599999999999997</v>
      </c>
      <c r="T20" s="206">
        <f>(T19+'OD EIAData'!AR14)</f>
        <v>1.9660548887134681</v>
      </c>
      <c r="U20" s="206">
        <v>1</v>
      </c>
      <c r="V20" s="200">
        <v>0.21659999999999993</v>
      </c>
      <c r="W20" s="213">
        <f>'OD EIAData'!AU14-'OD Shares'!U20</f>
        <v>0.20124338845658984</v>
      </c>
      <c r="X20" s="200">
        <v>6.5000000000000002E-2</v>
      </c>
      <c r="Y20" s="206">
        <f>(Y19+'OD EIAData'!AX14)</f>
        <v>0.4520411188952867</v>
      </c>
      <c r="Z20" s="200">
        <v>0.99</v>
      </c>
      <c r="AA20" s="206">
        <f>(AA19+'OD EIAData'!AN14)</f>
        <v>0.49002658774026919</v>
      </c>
      <c r="AB20" s="200">
        <v>0.99</v>
      </c>
      <c r="AC20" s="206">
        <f>(AC19+'OD EIAData'!AL14)</f>
        <v>0.94320550043099516</v>
      </c>
      <c r="AD20" s="200">
        <v>0.96699999999999997</v>
      </c>
      <c r="AE20" s="206">
        <f>(AE19+'OD EIAData'!AT14)</f>
        <v>0.94573872861512487</v>
      </c>
      <c r="AF20" s="200">
        <v>2.6899885368410881</v>
      </c>
      <c r="AG20" s="197">
        <f>'OD EIAData'!AY14</f>
        <v>3.6523192892257792</v>
      </c>
      <c r="AH20" s="206">
        <f>'OD EIAData'!BA14</f>
        <v>0.45022114069521663</v>
      </c>
      <c r="AI20" s="200">
        <v>1</v>
      </c>
      <c r="AJ20" s="200">
        <v>1</v>
      </c>
      <c r="AK20" s="201"/>
    </row>
    <row r="21" spans="1:63" x14ac:dyDescent="0.2">
      <c r="A21" s="196">
        <v>2014</v>
      </c>
      <c r="B21" s="206">
        <f>(B20+'OD EIAData'!W15/3)</f>
        <v>0.17762127678804626</v>
      </c>
      <c r="C21" s="198">
        <v>0.15</v>
      </c>
      <c r="D21" s="206">
        <f>(D20+'OD EIAData'!Y15/3)</f>
        <v>0.67669079265771082</v>
      </c>
      <c r="E21" s="198">
        <v>0.68700000000000006</v>
      </c>
      <c r="F21" s="206"/>
      <c r="G21" s="198">
        <v>0.11759383100621768</v>
      </c>
      <c r="H21" s="206">
        <f>(H20+'OD EIAData'!AC15/3)</f>
        <v>7.3751195851301063E-2</v>
      </c>
      <c r="I21" s="198">
        <v>0.1835</v>
      </c>
      <c r="J21" s="206">
        <f>(J20+'OD EIAData'!AG15)</f>
        <v>0.16046545265931375</v>
      </c>
      <c r="K21" s="198">
        <v>0.62349999999999961</v>
      </c>
      <c r="L21" s="206">
        <f>(L20+'OD EIAData'!AI15/3)</f>
        <v>0.6606907926577108</v>
      </c>
      <c r="M21" s="200"/>
      <c r="N21" s="197">
        <f t="shared" si="6"/>
        <v>0</v>
      </c>
      <c r="O21" s="200">
        <v>0.23599999999999999</v>
      </c>
      <c r="P21" s="213">
        <f t="shared" si="32"/>
        <v>0.25700000000000001</v>
      </c>
      <c r="Q21" s="200">
        <v>0.98</v>
      </c>
      <c r="R21" s="206">
        <f>(R20+'OD EIAData'!AP15/3)</f>
        <v>0.98958301230824131</v>
      </c>
      <c r="S21" s="200">
        <v>0.96599999999999997</v>
      </c>
      <c r="T21" s="206">
        <f>(T20+'OD EIAData'!AR15)</f>
        <v>1.9676384736330197</v>
      </c>
      <c r="U21" s="206">
        <v>1</v>
      </c>
      <c r="V21" s="200">
        <v>0.21669999999999992</v>
      </c>
      <c r="W21" s="213">
        <f>'OD EIAData'!AU15-'OD Shares'!U21</f>
        <v>0.20142951602151671</v>
      </c>
      <c r="X21" s="200">
        <v>6.5000000000000002E-2</v>
      </c>
      <c r="Y21" s="206">
        <f>(Y20+'OD EIAData'!AX15)</f>
        <v>0.45249638085724692</v>
      </c>
      <c r="Z21" s="200">
        <v>0.99</v>
      </c>
      <c r="AA21" s="206">
        <f>(AA20+'OD EIAData'!AN15)</f>
        <v>0.49611426615745713</v>
      </c>
      <c r="AB21" s="200">
        <v>0.99</v>
      </c>
      <c r="AC21" s="206">
        <f>(AC20+'OD EIAData'!AL15)</f>
        <v>0.94412326233275978</v>
      </c>
      <c r="AD21" s="200">
        <v>0.96699999999999997</v>
      </c>
      <c r="AE21" s="206">
        <f>(AE20+'OD EIAData'!AT15)</f>
        <v>0.94794935062101104</v>
      </c>
      <c r="AF21" s="200">
        <v>2.7133309051619166</v>
      </c>
      <c r="AG21" s="197">
        <f>'OD EIAData'!AY15</f>
        <v>3.5923687844607062</v>
      </c>
      <c r="AH21" s="206">
        <f>'OD EIAData'!BA15</f>
        <v>0.44771376316124029</v>
      </c>
      <c r="AI21" s="200">
        <v>1</v>
      </c>
      <c r="AJ21" s="200">
        <v>1</v>
      </c>
      <c r="AK21" s="201"/>
    </row>
    <row r="22" spans="1:63" x14ac:dyDescent="0.2">
      <c r="A22" s="196">
        <v>2015</v>
      </c>
      <c r="B22" s="206">
        <f>(B21+'OD EIAData'!W16/3)</f>
        <v>0.17581775936191346</v>
      </c>
      <c r="C22" s="198">
        <v>0.15</v>
      </c>
      <c r="D22" s="206">
        <f>(D21+'OD EIAData'!Y16/3)</f>
        <v>0.68266639128480711</v>
      </c>
      <c r="E22" s="198">
        <v>0.68800000000000006</v>
      </c>
      <c r="F22" s="206"/>
      <c r="G22" s="198">
        <v>0.1163444391863751</v>
      </c>
      <c r="H22" s="206">
        <f>(H21+'OD EIAData'!AC16/3)</f>
        <v>7.0077288338123017E-2</v>
      </c>
      <c r="I22" s="198">
        <v>0.184</v>
      </c>
      <c r="J22" s="206">
        <f>(J21+'OD EIAData'!AG16)</f>
        <v>0.16221733993897333</v>
      </c>
      <c r="K22" s="198">
        <v>0.62399999999999956</v>
      </c>
      <c r="L22" s="206">
        <f>(L21+'OD EIAData'!AI16/3)</f>
        <v>0.66666639128480709</v>
      </c>
      <c r="M22" s="200"/>
      <c r="N22" s="197">
        <f t="shared" si="6"/>
        <v>0</v>
      </c>
      <c r="O22" s="200">
        <v>0.23399999999999999</v>
      </c>
      <c r="P22" s="213">
        <f t="shared" si="32"/>
        <v>0.25650000000000001</v>
      </c>
      <c r="Q22" s="200">
        <v>0.98</v>
      </c>
      <c r="R22" s="206">
        <f>(R21+'OD EIAData'!AP16/3)</f>
        <v>0.99051394572818752</v>
      </c>
      <c r="S22" s="200">
        <v>0.96599999999999997</v>
      </c>
      <c r="T22" s="206">
        <f>(T21+'OD EIAData'!AR16)</f>
        <v>1.9691805043074637</v>
      </c>
      <c r="U22" s="206">
        <v>1</v>
      </c>
      <c r="V22" s="200">
        <v>0.21679999999999991</v>
      </c>
      <c r="W22" s="213">
        <f>'OD EIAData'!AU16-'OD Shares'!U22</f>
        <v>0.20153079603314916</v>
      </c>
      <c r="X22" s="200">
        <v>6.5000000000000002E-2</v>
      </c>
      <c r="Y22" s="206">
        <f>(Y21+'OD EIAData'!AX16)</f>
        <v>0.45295424545601032</v>
      </c>
      <c r="Z22" s="200">
        <v>0.99</v>
      </c>
      <c r="AA22" s="206">
        <f>(AA21+'OD EIAData'!AN16)</f>
        <v>0.5023247077647035</v>
      </c>
      <c r="AB22" s="200">
        <v>0.99</v>
      </c>
      <c r="AC22" s="206">
        <f>(AC21+'OD EIAData'!AL16)</f>
        <v>0.94508636722603767</v>
      </c>
      <c r="AD22" s="200">
        <v>0.96699999999999997</v>
      </c>
      <c r="AE22" s="206">
        <f>(AE21+'OD EIAData'!AT16)</f>
        <v>0.95017695459883234</v>
      </c>
      <c r="AF22" s="200">
        <v>2.7368456432640906</v>
      </c>
      <c r="AG22" s="197">
        <f>'OD EIAData'!AY16</f>
        <v>3.5405423867385979</v>
      </c>
      <c r="AH22" s="206">
        <f>'OD EIAData'!BA16</f>
        <v>0.44520818068244222</v>
      </c>
      <c r="AI22" s="200">
        <v>1</v>
      </c>
      <c r="AJ22" s="200">
        <v>1</v>
      </c>
      <c r="AK22" s="201"/>
    </row>
    <row r="23" spans="1:63" x14ac:dyDescent="0.2">
      <c r="A23" s="196">
        <v>2016</v>
      </c>
      <c r="B23" s="206">
        <f>(B22+'OD EIAData'!W17/3)</f>
        <v>0.17424785516685423</v>
      </c>
      <c r="C23" s="198">
        <v>0.15</v>
      </c>
      <c r="D23" s="206">
        <f>(D22+'OD EIAData'!Y17/3)</f>
        <v>0.68818069554607875</v>
      </c>
      <c r="E23" s="198">
        <v>0.68900000000000006</v>
      </c>
      <c r="F23" s="206"/>
      <c r="G23" s="198">
        <v>0.11511821404904395</v>
      </c>
      <c r="H23" s="206">
        <f>(H22+'OD EIAData'!AC17/3)</f>
        <v>6.6423804325507346E-2</v>
      </c>
      <c r="I23" s="198">
        <v>0.1845</v>
      </c>
      <c r="J23" s="206">
        <f>(J22+'OD EIAData'!AG17)</f>
        <v>0.16418868047117949</v>
      </c>
      <c r="K23" s="198">
        <v>0.6244999999999995</v>
      </c>
      <c r="L23" s="206">
        <f>(L22+'OD EIAData'!AI17/3)</f>
        <v>0.67218069554607873</v>
      </c>
      <c r="M23" s="200"/>
      <c r="N23" s="197">
        <f t="shared" si="6"/>
        <v>0</v>
      </c>
      <c r="O23" s="200">
        <v>0.23199999999999998</v>
      </c>
      <c r="P23" s="213">
        <f t="shared" si="32"/>
        <v>0.25600000000000001</v>
      </c>
      <c r="Q23" s="200">
        <v>0.98</v>
      </c>
      <c r="R23" s="206">
        <f>(R22+'OD EIAData'!AP17/3)</f>
        <v>0.99140192380405912</v>
      </c>
      <c r="S23" s="200">
        <v>0.96599999999999997</v>
      </c>
      <c r="T23" s="206">
        <f>(T22+'OD EIAData'!AR17)</f>
        <v>1.9698781801398235</v>
      </c>
      <c r="U23" s="206">
        <v>1</v>
      </c>
      <c r="V23" s="200">
        <v>0.2168999999999999</v>
      </c>
      <c r="W23" s="213">
        <f>'OD EIAData'!AU17-'OD Shares'!U23</f>
        <v>0.2015255982320614</v>
      </c>
      <c r="X23" s="200">
        <v>6.5000000000000002E-2</v>
      </c>
      <c r="Y23" s="206">
        <f>(Y22+'OD EIAData'!AX17)</f>
        <v>0.45335148707862688</v>
      </c>
      <c r="Z23" s="200">
        <v>0.99</v>
      </c>
      <c r="AA23" s="206">
        <f>(AA22+'OD EIAData'!AN17)</f>
        <v>0.50858668391784656</v>
      </c>
      <c r="AB23" s="200">
        <v>0.99</v>
      </c>
      <c r="AC23" s="206">
        <f>(AC22+'OD EIAData'!AL17)</f>
        <v>0.94608080427565322</v>
      </c>
      <c r="AD23" s="200">
        <v>0.96699999999999997</v>
      </c>
      <c r="AE23" s="206">
        <f>(AE22+'OD EIAData'!AT17)</f>
        <v>0.95237147981336889</v>
      </c>
      <c r="AF23" s="200">
        <v>2.7468118327668245</v>
      </c>
      <c r="AG23" s="197">
        <f>'OD EIAData'!AY17</f>
        <v>3.502217197825948</v>
      </c>
      <c r="AH23" s="206">
        <f>'OD EIAData'!BA17</f>
        <v>0.44269185777978121</v>
      </c>
      <c r="AI23" s="200">
        <v>1</v>
      </c>
      <c r="AJ23" s="200">
        <v>1</v>
      </c>
      <c r="AK23" s="201"/>
    </row>
    <row r="24" spans="1:63" x14ac:dyDescent="0.2">
      <c r="A24" s="196">
        <v>2017</v>
      </c>
      <c r="B24" s="206">
        <f>(B23+'OD EIAData'!W18/3)</f>
        <v>0.17288059079156087</v>
      </c>
      <c r="C24" s="198">
        <v>0.15</v>
      </c>
      <c r="D24" s="206">
        <f>(D23+'OD EIAData'!Y18/3)</f>
        <v>0.69337190365924639</v>
      </c>
      <c r="E24" s="198">
        <v>0.69000000000000006</v>
      </c>
      <c r="F24" s="206"/>
      <c r="G24" s="198">
        <v>0.11390777829782768</v>
      </c>
      <c r="H24" s="206">
        <f>(H23+'OD EIAData'!AC18/3)</f>
        <v>6.2856843735891052E-2</v>
      </c>
      <c r="I24" s="198">
        <v>0.185</v>
      </c>
      <c r="J24" s="206">
        <f>(J23+'OD EIAData'!AG18)</f>
        <v>0.16645567007497006</v>
      </c>
      <c r="K24" s="198">
        <v>0.62499999999999944</v>
      </c>
      <c r="L24" s="206">
        <f>(L23+'OD EIAData'!AI18/3)</f>
        <v>0.67737190365924638</v>
      </c>
      <c r="M24" s="200"/>
      <c r="N24" s="197">
        <f t="shared" si="6"/>
        <v>0</v>
      </c>
      <c r="O24" s="200">
        <v>0.22999999999999998</v>
      </c>
      <c r="P24" s="213">
        <f t="shared" si="32"/>
        <v>0.2555</v>
      </c>
      <c r="Q24" s="200">
        <v>0.98</v>
      </c>
      <c r="R24" s="206">
        <f>(R23+'OD EIAData'!AP18/3)</f>
        <v>0.99225884502946649</v>
      </c>
      <c r="S24" s="200">
        <v>0.96599999999999997</v>
      </c>
      <c r="T24" s="206">
        <f>(T23+'OD EIAData'!AR18)</f>
        <v>1.9705364058482531</v>
      </c>
      <c r="U24" s="206">
        <v>1</v>
      </c>
      <c r="V24" s="200">
        <v>0.21699999999999989</v>
      </c>
      <c r="W24" s="213">
        <f>'OD EIAData'!AU18-'OD Shares'!U24</f>
        <v>0.20145338578457928</v>
      </c>
      <c r="X24" s="200">
        <v>6.5000000000000002E-2</v>
      </c>
      <c r="Y24" s="206">
        <f>(Y23+'OD EIAData'!AX18)</f>
        <v>0.45364173684912729</v>
      </c>
      <c r="Z24" s="200">
        <v>0.99</v>
      </c>
      <c r="AA24" s="206">
        <f>(AA23+'OD EIAData'!AN18)</f>
        <v>0.51476624207166566</v>
      </c>
      <c r="AB24" s="200">
        <v>0.99</v>
      </c>
      <c r="AC24" s="206">
        <f>(AC23+'OD EIAData'!AL18)</f>
        <v>0.94706655408987261</v>
      </c>
      <c r="AD24" s="200">
        <v>0.96699999999999997</v>
      </c>
      <c r="AE24" s="206">
        <f>(AE23+'OD EIAData'!AT18)</f>
        <v>0.95447374675734786</v>
      </c>
      <c r="AF24" s="200">
        <v>2.7567854743232942</v>
      </c>
      <c r="AG24" s="197">
        <f>'OD EIAData'!AY18</f>
        <v>3.4787727593963673</v>
      </c>
      <c r="AH24" s="206">
        <f>'OD EIAData'!BA18</f>
        <v>0.44011586589865115</v>
      </c>
      <c r="AI24" s="200">
        <v>1</v>
      </c>
      <c r="AJ24" s="200">
        <v>1</v>
      </c>
      <c r="AK24" s="201"/>
    </row>
    <row r="25" spans="1:63" x14ac:dyDescent="0.2">
      <c r="A25" s="196">
        <v>2018</v>
      </c>
      <c r="B25" s="206">
        <f>(B24+'OD EIAData'!W19/3)</f>
        <v>0.17165058786835588</v>
      </c>
      <c r="C25" s="198">
        <v>0.15</v>
      </c>
      <c r="D25" s="206">
        <f>(D24+'OD EIAData'!Y19/3)</f>
        <v>0.69826971906489477</v>
      </c>
      <c r="E25" s="198">
        <v>0.69100000000000006</v>
      </c>
      <c r="F25" s="206"/>
      <c r="G25" s="198">
        <v>0.11270727450804939</v>
      </c>
      <c r="H25" s="206">
        <f>(H24+'OD EIAData'!AC19/3)</f>
        <v>5.9370160230471689E-2</v>
      </c>
      <c r="I25" s="198">
        <v>0.1855</v>
      </c>
      <c r="J25" s="206">
        <f>(J24+'OD EIAData'!AG19)</f>
        <v>0.16892749737466226</v>
      </c>
      <c r="K25" s="198">
        <v>0.62549999999999939</v>
      </c>
      <c r="L25" s="206">
        <f>(L24+'OD EIAData'!AI19/3)</f>
        <v>0.68226971906489475</v>
      </c>
      <c r="M25" s="200"/>
      <c r="N25" s="197">
        <f t="shared" si="6"/>
        <v>0</v>
      </c>
      <c r="O25" s="200">
        <v>0.22799999999999998</v>
      </c>
      <c r="P25" s="213">
        <f t="shared" si="32"/>
        <v>0.255</v>
      </c>
      <c r="Q25" s="200">
        <v>0.98</v>
      </c>
      <c r="R25" s="206">
        <f>(R24+'OD EIAData'!AP19/3)</f>
        <v>0.99303482120952258</v>
      </c>
      <c r="S25" s="200">
        <v>0.96599999999999997</v>
      </c>
      <c r="T25" s="206">
        <f>(T24+'OD EIAData'!AR19)</f>
        <v>1.9712081056299375</v>
      </c>
      <c r="U25" s="206">
        <v>1</v>
      </c>
      <c r="V25" s="200">
        <v>0.21709999999999988</v>
      </c>
      <c r="W25" s="213">
        <f>'OD EIAData'!AU19-'OD Shares'!U25</f>
        <v>0.2013518907053482</v>
      </c>
      <c r="X25" s="200">
        <v>6.5000000000000002E-2</v>
      </c>
      <c r="Y25" s="206">
        <f>(Y24+'OD EIAData'!AX19)</f>
        <v>0.4538659248066173</v>
      </c>
      <c r="Z25" s="200">
        <v>0.99</v>
      </c>
      <c r="AA25" s="206">
        <f>(AA24+'OD EIAData'!AN19)</f>
        <v>0.52087287654714154</v>
      </c>
      <c r="AB25" s="200">
        <v>0.99</v>
      </c>
      <c r="AC25" s="206">
        <f>(AC24+'OD EIAData'!AL19)</f>
        <v>0.94803998890493868</v>
      </c>
      <c r="AD25" s="200">
        <v>0.96699999999999997</v>
      </c>
      <c r="AE25" s="206">
        <f>(AE24+'OD EIAData'!AT19)</f>
        <v>0.95649912885768873</v>
      </c>
      <c r="AF25" s="200">
        <v>2.7667795772352863</v>
      </c>
      <c r="AG25" s="197">
        <f>'OD EIAData'!AY19</f>
        <v>3.4687113224618007</v>
      </c>
      <c r="AH25" s="206">
        <f>'OD EIAData'!BA19</f>
        <v>0.43762337634807702</v>
      </c>
      <c r="AI25" s="200">
        <v>1</v>
      </c>
      <c r="AJ25" s="200">
        <v>1</v>
      </c>
      <c r="AK25" s="201"/>
    </row>
    <row r="26" spans="1:63" x14ac:dyDescent="0.2">
      <c r="A26" s="196">
        <v>2019</v>
      </c>
      <c r="B26" s="206">
        <f>(B25+'OD EIAData'!W20/3)</f>
        <v>0.17049989891709763</v>
      </c>
      <c r="C26" s="198">
        <v>0.15</v>
      </c>
      <c r="D26" s="206">
        <f>(D25+'OD EIAData'!Y20/3)</f>
        <v>0.70293044602486743</v>
      </c>
      <c r="E26" s="198">
        <v>0.69200000000000006</v>
      </c>
      <c r="F26" s="206"/>
      <c r="G26" s="198">
        <v>0.11151652306138114</v>
      </c>
      <c r="H26" s="206">
        <f>(H25+'OD EIAData'!AC20/3)</f>
        <v>5.5937884019388803E-2</v>
      </c>
      <c r="I26" s="198">
        <v>0.186</v>
      </c>
      <c r="J26" s="206">
        <f>(J25+'OD EIAData'!AG20)</f>
        <v>0.17150887578817361</v>
      </c>
      <c r="K26" s="198">
        <v>0.62599999999999933</v>
      </c>
      <c r="L26" s="206">
        <f>(L25+'OD EIAData'!AI20/3)</f>
        <v>0.68693044602486741</v>
      </c>
      <c r="M26" s="200"/>
      <c r="N26" s="197">
        <f t="shared" si="6"/>
        <v>0</v>
      </c>
      <c r="O26" s="200">
        <v>0.22599999999999998</v>
      </c>
      <c r="P26" s="213">
        <f t="shared" si="32"/>
        <v>0.2545</v>
      </c>
      <c r="Q26" s="200">
        <v>0.98</v>
      </c>
      <c r="R26" s="206">
        <f>(R25+'OD EIAData'!AP20/3)</f>
        <v>0.99373316841933601</v>
      </c>
      <c r="S26" s="200">
        <v>0.96599999999999997</v>
      </c>
      <c r="T26" s="206">
        <f>(T25+'OD EIAData'!AR20)</f>
        <v>1.9717970732051016</v>
      </c>
      <c r="U26" s="206">
        <v>1</v>
      </c>
      <c r="V26" s="200">
        <v>0.21719999999999987</v>
      </c>
      <c r="W26" s="213">
        <f>'OD EIAData'!AU20-'OD Shares'!U26</f>
        <v>0.20124592122942042</v>
      </c>
      <c r="X26" s="200">
        <v>6.5000000000000002E-2</v>
      </c>
      <c r="Y26" s="206">
        <f>(Y25+'OD EIAData'!AX20)</f>
        <v>0.45403373341520609</v>
      </c>
      <c r="Z26" s="200">
        <v>0.99</v>
      </c>
      <c r="AA26" s="206">
        <f>(AA25+'OD EIAData'!AN20)</f>
        <v>0.52691966784694766</v>
      </c>
      <c r="AB26" s="200">
        <v>0.99</v>
      </c>
      <c r="AC26" s="206">
        <f>(AC25+'OD EIAData'!AL20)</f>
        <v>0.94899921076527738</v>
      </c>
      <c r="AD26" s="200">
        <v>0.96699999999999997</v>
      </c>
      <c r="AE26" s="206">
        <f>(AE25+'OD EIAData'!AT20)</f>
        <v>0.95845363224548175</v>
      </c>
      <c r="AF26" s="200">
        <v>2.7768228863589357</v>
      </c>
      <c r="AG26" s="197">
        <f>'OD EIAData'!AY20</f>
        <v>3.4685626371199598</v>
      </c>
      <c r="AH26" s="206">
        <f>'OD EIAData'!BA20</f>
        <v>0.43537625304166383</v>
      </c>
      <c r="AI26" s="200">
        <v>1</v>
      </c>
      <c r="AJ26" s="200">
        <v>1</v>
      </c>
      <c r="AK26" s="201"/>
    </row>
    <row r="27" spans="1:63" x14ac:dyDescent="0.2">
      <c r="A27" s="196">
        <v>2020</v>
      </c>
      <c r="B27" s="206">
        <f>(B26+'OD EIAData'!W21/3)</f>
        <v>0.16943083621792401</v>
      </c>
      <c r="C27" s="198">
        <v>0.15</v>
      </c>
      <c r="D27" s="206">
        <f>(D26+'OD EIAData'!Y21/3)</f>
        <v>0.70736004744796599</v>
      </c>
      <c r="E27" s="198">
        <v>0.69300000000000006</v>
      </c>
      <c r="F27" s="206"/>
      <c r="G27" s="198">
        <v>0.11033817869660122</v>
      </c>
      <c r="H27" s="206">
        <f>(H26+'OD EIAData'!AC21/3)</f>
        <v>5.2598975848601799E-2</v>
      </c>
      <c r="I27" s="198">
        <v>0.1865</v>
      </c>
      <c r="J27" s="206">
        <f>(J26+'OD EIAData'!AG21)</f>
        <v>0.17414688427777389</v>
      </c>
      <c r="K27" s="198">
        <v>0.62649999999999928</v>
      </c>
      <c r="L27" s="206">
        <f>(L26+'OD EIAData'!AI21/3)</f>
        <v>0.69136004744796598</v>
      </c>
      <c r="M27" s="200"/>
      <c r="N27" s="197">
        <f t="shared" si="6"/>
        <v>0</v>
      </c>
      <c r="O27" s="200">
        <v>0.22399999999999998</v>
      </c>
      <c r="P27" s="213">
        <f t="shared" si="32"/>
        <v>0.254</v>
      </c>
      <c r="Q27" s="200">
        <v>0.98</v>
      </c>
      <c r="R27" s="206">
        <f>(R26+'OD EIAData'!AP21/3)</f>
        <v>0.99437313396667737</v>
      </c>
      <c r="S27" s="200">
        <v>0.96599999999999997</v>
      </c>
      <c r="T27" s="206">
        <f>(T26+'OD EIAData'!AR21)</f>
        <v>1.9723650397940999</v>
      </c>
      <c r="U27" s="206">
        <v>1</v>
      </c>
      <c r="V27" s="200">
        <v>0.21729999999999985</v>
      </c>
      <c r="W27" s="213">
        <f>'OD EIAData'!AU21-'OD Shares'!U27</f>
        <v>0.20113214956108338</v>
      </c>
      <c r="X27" s="200">
        <v>6.5000000000000002E-2</v>
      </c>
      <c r="Y27" s="206">
        <f>(Y26+'OD EIAData'!AX21)</f>
        <v>0.45412816094112102</v>
      </c>
      <c r="Z27" s="200">
        <v>0.99</v>
      </c>
      <c r="AA27" s="206">
        <f>(AA26+'OD EIAData'!AN21)</f>
        <v>0.53285227697155069</v>
      </c>
      <c r="AB27" s="200">
        <v>0.99</v>
      </c>
      <c r="AC27" s="206">
        <f>(AC26+'OD EIAData'!AL21)</f>
        <v>0.94993558703072822</v>
      </c>
      <c r="AD27" s="200">
        <v>0.96699999999999997</v>
      </c>
      <c r="AE27" s="206">
        <f>(AE26+'OD EIAData'!AT21)</f>
        <v>0.96032215733063708</v>
      </c>
      <c r="AF27" s="200">
        <v>2.7869025971400103</v>
      </c>
      <c r="AG27" s="197">
        <f>'OD EIAData'!AY21</f>
        <v>3.4751111658340057</v>
      </c>
      <c r="AH27" s="206">
        <f>'OD EIAData'!BA21</f>
        <v>0.43321679404671792</v>
      </c>
      <c r="AI27" s="200">
        <v>1</v>
      </c>
      <c r="AJ27" s="200">
        <v>1</v>
      </c>
      <c r="AK27" s="201"/>
    </row>
    <row r="28" spans="1:63" x14ac:dyDescent="0.2">
      <c r="A28" s="207">
        <v>2021</v>
      </c>
      <c r="B28" s="206">
        <f>(B27+'OD EIAData'!W22/3)</f>
        <v>0.16848544504125312</v>
      </c>
      <c r="C28" s="198">
        <v>0.15</v>
      </c>
      <c r="D28" s="206">
        <f>(D27+'OD EIAData'!Y22/3)</f>
        <v>0.71156519875819091</v>
      </c>
      <c r="E28" s="198">
        <v>0.69400000000000006</v>
      </c>
      <c r="F28" s="206"/>
      <c r="G28" s="198">
        <v>0.10917162601633612</v>
      </c>
      <c r="H28" s="206">
        <f>(H27+'OD EIAData'!AC22/3)</f>
        <v>4.9356423833120208E-2</v>
      </c>
      <c r="I28" s="198">
        <v>0.187</v>
      </c>
      <c r="J28" s="206">
        <f>(J27+'OD EIAData'!AG22)</f>
        <v>0.17684964942444012</v>
      </c>
      <c r="K28" s="198">
        <v>0.62699999999999922</v>
      </c>
      <c r="L28" s="206">
        <f>(L27+'OD EIAData'!AI22/3)</f>
        <v>0.69556519875819089</v>
      </c>
      <c r="M28" s="200"/>
      <c r="N28" s="197">
        <f t="shared" si="6"/>
        <v>0</v>
      </c>
      <c r="O28" s="200">
        <v>0.22199999999999998</v>
      </c>
      <c r="P28" s="213">
        <f t="shared" si="32"/>
        <v>0.2535</v>
      </c>
      <c r="Q28" s="200">
        <v>0.98</v>
      </c>
      <c r="R28" s="206">
        <f>(R27+'OD EIAData'!AP22/3)</f>
        <v>0.99500457820823074</v>
      </c>
      <c r="S28" s="200">
        <v>0.96599999999999997</v>
      </c>
      <c r="T28" s="206">
        <f>(T27+'OD EIAData'!AR22)</f>
        <v>1.9734705508712937</v>
      </c>
      <c r="U28" s="206">
        <v>1</v>
      </c>
      <c r="V28" s="200">
        <v>0.21739999999999984</v>
      </c>
      <c r="W28" s="213">
        <f>'OD EIAData'!AU22-'OD Shares'!U28</f>
        <v>0.20097972585867008</v>
      </c>
      <c r="X28" s="200">
        <v>6.5000000000000002E-2</v>
      </c>
      <c r="Y28" s="206">
        <f>(Y27+'OD EIAData'!AX22)</f>
        <v>0.45409283709346898</v>
      </c>
      <c r="Z28" s="200">
        <v>0.99</v>
      </c>
      <c r="AA28" s="206">
        <f>(AA27+'OD EIAData'!AN22)</f>
        <v>0.53864353378899721</v>
      </c>
      <c r="AB28" s="200">
        <v>0.99</v>
      </c>
      <c r="AC28" s="206">
        <f>(AC27+'OD EIAData'!AL22)</f>
        <v>0.95085053484778648</v>
      </c>
      <c r="AD28" s="200">
        <v>0.96699999999999997</v>
      </c>
      <c r="AE28" s="206">
        <f>(AE27+'OD EIAData'!AT22)</f>
        <v>0.96209804602922655</v>
      </c>
      <c r="AF28" s="200">
        <v>2.797001884645224</v>
      </c>
      <c r="AG28" s="197">
        <f>'OD EIAData'!AY22</f>
        <v>3.482806779168389</v>
      </c>
      <c r="AH28" s="206">
        <f>'OD EIAData'!BA22</f>
        <v>0.43104164914676046</v>
      </c>
      <c r="AI28" s="200">
        <v>1</v>
      </c>
      <c r="AJ28" s="200">
        <v>1</v>
      </c>
      <c r="AK28" s="201"/>
    </row>
    <row r="29" spans="1:63" x14ac:dyDescent="0.2">
      <c r="A29" s="207">
        <v>2022</v>
      </c>
      <c r="B29" s="206">
        <f>(B28+'OD EIAData'!W23/3)</f>
        <v>0.16763697372790068</v>
      </c>
      <c r="C29" s="198">
        <v>0.15</v>
      </c>
      <c r="D29" s="206">
        <f>(D28+'OD EIAData'!Y23/3)</f>
        <v>0.71563951711760221</v>
      </c>
      <c r="E29" s="198">
        <v>0.69500000000000006</v>
      </c>
      <c r="F29" s="206"/>
      <c r="G29" s="198">
        <v>0.1080113183612387</v>
      </c>
      <c r="H29" s="206">
        <f>(H28+'OD EIAData'!AC23/3)</f>
        <v>4.6142608053385235E-2</v>
      </c>
      <c r="I29" s="198">
        <v>0.1875</v>
      </c>
      <c r="J29" s="206">
        <f>(J28+'OD EIAData'!AG23)</f>
        <v>0.17956260520673969</v>
      </c>
      <c r="K29" s="198">
        <v>0.62749999999999917</v>
      </c>
      <c r="L29" s="206">
        <f>(L28+'OD EIAData'!AI23/3)</f>
        <v>0.69963951711760219</v>
      </c>
      <c r="M29" s="200"/>
      <c r="N29" s="197">
        <f t="shared" si="6"/>
        <v>0</v>
      </c>
      <c r="O29" s="200">
        <v>0.21999999999999997</v>
      </c>
      <c r="P29" s="213">
        <f t="shared" si="32"/>
        <v>0.253</v>
      </c>
      <c r="Q29" s="200">
        <v>0.98</v>
      </c>
      <c r="R29" s="206">
        <f>(R28+'OD EIAData'!AP23/3)</f>
        <v>0.99562828499484413</v>
      </c>
      <c r="S29" s="200">
        <v>0.96599999999999997</v>
      </c>
      <c r="T29" s="206">
        <f>(T28+'OD EIAData'!AR23)</f>
        <v>1.9745076383344289</v>
      </c>
      <c r="U29" s="206">
        <v>1</v>
      </c>
      <c r="V29" s="200">
        <v>0.2175</v>
      </c>
      <c r="W29" s="213">
        <f>'OD EIAData'!AU23-'OD Shares'!U29</f>
        <v>0.20079323293482565</v>
      </c>
      <c r="X29" s="200">
        <v>6.5000000000000002E-2</v>
      </c>
      <c r="Y29" s="206">
        <f>(Y28+'OD EIAData'!AX23)</f>
        <v>0.45401388590784214</v>
      </c>
      <c r="Z29" s="200">
        <v>0.99</v>
      </c>
      <c r="AA29" s="206">
        <f>(AA28+'OD EIAData'!AN23)</f>
        <v>0.54444764399603351</v>
      </c>
      <c r="AB29" s="200">
        <v>0.99</v>
      </c>
      <c r="AC29" s="206">
        <f>(AC28+'OD EIAData'!AL23)</f>
        <v>0.95175886180224323</v>
      </c>
      <c r="AD29" s="200">
        <v>0.96699999999999997</v>
      </c>
      <c r="AE29" s="206">
        <f>(AE28+'OD EIAData'!AT23)</f>
        <v>0.96384221669784997</v>
      </c>
      <c r="AF29" s="200">
        <v>2.8071254664738596</v>
      </c>
      <c r="AG29" s="197">
        <f>'OD EIAData'!AY23</f>
        <v>3.4977545491497799</v>
      </c>
      <c r="AH29" s="206">
        <f>'OD EIAData'!BA23</f>
        <v>0.42887707789306356</v>
      </c>
      <c r="AI29" s="200">
        <v>1</v>
      </c>
      <c r="AJ29" s="200">
        <v>1</v>
      </c>
      <c r="AK29" s="201"/>
    </row>
    <row r="30" spans="1:63" x14ac:dyDescent="0.2">
      <c r="A30" s="207">
        <v>2023</v>
      </c>
      <c r="B30" s="206">
        <f>(B29+'OD EIAData'!W24/3)</f>
        <v>0.16683478508767302</v>
      </c>
      <c r="C30" s="198">
        <v>0.15</v>
      </c>
      <c r="D30" s="206">
        <f>(D29+'OD EIAData'!Y24/3)</f>
        <v>0.71954954722416353</v>
      </c>
      <c r="E30" s="198">
        <v>0.69500000000000006</v>
      </c>
      <c r="F30" s="206"/>
      <c r="G30" s="198">
        <v>0.10685538189416195</v>
      </c>
      <c r="H30" s="206">
        <f>(H29+'OD EIAData'!AC24/3)</f>
        <v>4.2995371562386919E-2</v>
      </c>
      <c r="I30" s="198">
        <v>0.18770000000000001</v>
      </c>
      <c r="J30" s="206">
        <f>(J29+'OD EIAData'!AG24)</f>
        <v>0.18225810040509369</v>
      </c>
      <c r="K30" s="198">
        <v>0.62799999999999911</v>
      </c>
      <c r="L30" s="206">
        <f>(L29+'OD EIAData'!AI24/3)</f>
        <v>0.70354954722416352</v>
      </c>
      <c r="M30" s="200"/>
      <c r="N30" s="197">
        <f t="shared" si="6"/>
        <v>0</v>
      </c>
      <c r="O30" s="200">
        <v>0.21799999999999997</v>
      </c>
      <c r="P30" s="213">
        <f t="shared" si="32"/>
        <v>0.2525</v>
      </c>
      <c r="Q30" s="200">
        <v>0.98</v>
      </c>
      <c r="R30" s="206">
        <f>(R29+'OD EIAData'!AP24/3)</f>
        <v>0.99624741175673515</v>
      </c>
      <c r="S30" s="200">
        <v>0.96599999999999997</v>
      </c>
      <c r="T30" s="206">
        <f>(T29+'OD EIAData'!AR24)</f>
        <v>1.9755275354390966</v>
      </c>
      <c r="U30" s="206">
        <v>1</v>
      </c>
      <c r="V30" s="200">
        <v>0.21759999999999982</v>
      </c>
      <c r="W30" s="213">
        <f>'OD EIAData'!AU24-'OD Shares'!U30</f>
        <v>0.20060945837034594</v>
      </c>
      <c r="X30" s="200">
        <v>6.5000000000000002E-2</v>
      </c>
      <c r="Y30" s="206">
        <f>(Y29+'OD EIAData'!AX24)</f>
        <v>0.45387993961859358</v>
      </c>
      <c r="Z30" s="200">
        <v>0.99</v>
      </c>
      <c r="AA30" s="206">
        <f>(AA29+'OD EIAData'!AN24)</f>
        <v>0.55016920717259166</v>
      </c>
      <c r="AB30" s="200">
        <v>0.99</v>
      </c>
      <c r="AC30" s="206">
        <f>(AC29+'OD EIAData'!AL24)</f>
        <v>0.95262958399052211</v>
      </c>
      <c r="AD30" s="200">
        <v>0.96699999999999997</v>
      </c>
      <c r="AE30" s="206">
        <f>(AE29+'OD EIAData'!AT24)</f>
        <v>0.96552298935853464</v>
      </c>
      <c r="AF30" s="200">
        <v>2.8172717489246715</v>
      </c>
      <c r="AG30" s="197">
        <f>'OD EIAData'!AY24</f>
        <v>3.5133328718879504</v>
      </c>
      <c r="AH30" s="206">
        <f>'OD EIAData'!BA24</f>
        <v>0.42684528191079441</v>
      </c>
      <c r="AI30" s="200">
        <v>1</v>
      </c>
      <c r="AJ30" s="200">
        <v>1</v>
      </c>
      <c r="AK30" s="201"/>
    </row>
    <row r="31" spans="1:63" x14ac:dyDescent="0.2">
      <c r="A31" s="207">
        <v>2024</v>
      </c>
      <c r="B31" s="206">
        <f>(B30+'OD EIAData'!W25/3)</f>
        <v>0.16605270057785118</v>
      </c>
      <c r="C31" s="198">
        <v>0.15</v>
      </c>
      <c r="D31" s="206">
        <f>(D30+'OD EIAData'!Y25/3)</f>
        <v>0.72333358652154167</v>
      </c>
      <c r="E31" s="198">
        <v>0.69500000000000006</v>
      </c>
      <c r="F31" s="206"/>
      <c r="G31" s="198">
        <v>0.1057095969109746</v>
      </c>
      <c r="H31" s="206">
        <f>(H30+'OD EIAData'!AC25/3)</f>
        <v>3.9893223098401244E-2</v>
      </c>
      <c r="I31" s="198">
        <v>0.18790000000000001</v>
      </c>
      <c r="J31" s="206">
        <f>(J30+'OD EIAData'!AG25)</f>
        <v>0.18490357064075988</v>
      </c>
      <c r="K31" s="198">
        <v>0.62849999999999906</v>
      </c>
      <c r="L31" s="206">
        <f>(L30+'OD EIAData'!AI25/3)</f>
        <v>0.70733358652154166</v>
      </c>
      <c r="M31" s="200"/>
      <c r="N31" s="197">
        <f t="shared" si="6"/>
        <v>0</v>
      </c>
      <c r="O31" s="200">
        <v>0.21599999999999997</v>
      </c>
      <c r="P31" s="213">
        <f t="shared" si="32"/>
        <v>0.252</v>
      </c>
      <c r="Q31" s="200">
        <v>0.98</v>
      </c>
      <c r="R31" s="206">
        <f>(R30+'OD EIAData'!AP25/3)</f>
        <v>0.99685045028693553</v>
      </c>
      <c r="S31" s="200">
        <v>0.96599999999999997</v>
      </c>
      <c r="T31" s="206">
        <f>(T30+'OD EIAData'!AR25)</f>
        <v>1.9765861193153644</v>
      </c>
      <c r="U31" s="206">
        <v>1</v>
      </c>
      <c r="V31" s="200">
        <v>0.21769999999999981</v>
      </c>
      <c r="W31" s="213">
        <f>'OD EIAData'!AU25-'OD Shares'!U31</f>
        <v>0.20043801767731062</v>
      </c>
      <c r="X31" s="200">
        <v>6.5000000000000002E-2</v>
      </c>
      <c r="Y31" s="206">
        <f>(Y30+'OD EIAData'!AX25)</f>
        <v>0.45371470716677526</v>
      </c>
      <c r="Z31" s="200">
        <v>0.99</v>
      </c>
      <c r="AA31" s="206">
        <f>(AA30+'OD EIAData'!AN25)</f>
        <v>0.55584355241599415</v>
      </c>
      <c r="AB31" s="200">
        <v>0.99</v>
      </c>
      <c r="AC31" s="206">
        <f>(AC30+'OD EIAData'!AL25)</f>
        <v>0.95347056674575881</v>
      </c>
      <c r="AD31" s="200">
        <v>0.96699999999999997</v>
      </c>
      <c r="AE31" s="206">
        <f>(AE30+'OD EIAData'!AT25)</f>
        <v>0.96715639250983165</v>
      </c>
      <c r="AF31" s="200">
        <v>2.827431523151712</v>
      </c>
      <c r="AG31" s="197">
        <f>'OD EIAData'!AY25</f>
        <v>3.5289343724186826</v>
      </c>
      <c r="AH31" s="206">
        <f>'OD EIAData'!BA25</f>
        <v>0.42486931681323187</v>
      </c>
      <c r="AI31" s="200">
        <v>1</v>
      </c>
      <c r="AJ31" s="200">
        <v>1</v>
      </c>
      <c r="AK31" s="201"/>
    </row>
    <row r="32" spans="1:63" x14ac:dyDescent="0.2">
      <c r="A32" s="207">
        <v>2025</v>
      </c>
      <c r="B32" s="206">
        <f>(B31+'OD EIAData'!W26/3)</f>
        <v>0.16526805161116059</v>
      </c>
      <c r="C32" s="198">
        <v>0.15</v>
      </c>
      <c r="D32" s="206">
        <f>(D31+'OD EIAData'!Y26/3)</f>
        <v>0.72707380357526952</v>
      </c>
      <c r="E32" s="198">
        <v>0.69500000000000006</v>
      </c>
      <c r="F32" s="206"/>
      <c r="G32" s="198">
        <v>0.10457624145705723</v>
      </c>
      <c r="H32" s="206">
        <f>(H31+'OD EIAData'!AC26/3)</f>
        <v>3.6770940723748848E-2</v>
      </c>
      <c r="I32" s="198">
        <v>0.18810000000000002</v>
      </c>
      <c r="J32" s="206">
        <f>(J31+'OD EIAData'!AG26)</f>
        <v>0.18745403923272561</v>
      </c>
      <c r="K32" s="198">
        <v>0.628999999999999</v>
      </c>
      <c r="L32" s="206">
        <f>(L31+'OD EIAData'!AI26/3)</f>
        <v>0.7110738035752695</v>
      </c>
      <c r="M32" s="200"/>
      <c r="N32" s="197">
        <f t="shared" si="6"/>
        <v>0</v>
      </c>
      <c r="O32" s="200">
        <v>0.21399999999999997</v>
      </c>
      <c r="P32" s="213">
        <f t="shared" si="32"/>
        <v>0.2515</v>
      </c>
      <c r="Q32" s="200">
        <v>0.98</v>
      </c>
      <c r="R32" s="206">
        <f>(R31+'OD EIAData'!AP26/3)</f>
        <v>0.99742520788487543</v>
      </c>
      <c r="S32" s="200">
        <v>0.96599999999999997</v>
      </c>
      <c r="T32" s="206">
        <f>(T31+'OD EIAData'!AR26)</f>
        <v>1.97758510593226</v>
      </c>
      <c r="U32" s="206">
        <v>1</v>
      </c>
      <c r="V32" s="200">
        <v>0.2177999999999998</v>
      </c>
      <c r="W32" s="213">
        <f>'OD EIAData'!AU26-'OD Shares'!U32</f>
        <v>0.20027779697496251</v>
      </c>
      <c r="X32" s="200">
        <v>6.5000000000000002E-2</v>
      </c>
      <c r="Y32" s="206">
        <f>(Y31+'OD EIAData'!AX26)</f>
        <v>0.45355478327413029</v>
      </c>
      <c r="Z32" s="200">
        <v>0.99</v>
      </c>
      <c r="AA32" s="206">
        <f>(AA31+'OD EIAData'!AN26)</f>
        <v>0.56158678828272013</v>
      </c>
      <c r="AB32" s="200">
        <v>0.99</v>
      </c>
      <c r="AC32" s="206">
        <f>(AC31+'OD EIAData'!AL26)</f>
        <v>0.95430818334534573</v>
      </c>
      <c r="AD32" s="200">
        <v>0.96699999999999997</v>
      </c>
      <c r="AE32" s="206">
        <f>(AE31+'OD EIAData'!AT26)</f>
        <v>0.96878446482430536</v>
      </c>
      <c r="AF32" s="200">
        <v>2.8376092015137693</v>
      </c>
      <c r="AG32" s="197">
        <f>'OD EIAData'!AY26</f>
        <v>3.5445559937998579</v>
      </c>
      <c r="AH32" s="206">
        <f>'OD EIAData'!BA26</f>
        <v>0.42293558960587629</v>
      </c>
      <c r="AI32" s="200">
        <v>1</v>
      </c>
      <c r="AJ32" s="200">
        <v>1</v>
      </c>
      <c r="AK32" s="201"/>
    </row>
    <row r="33" spans="1:37" x14ac:dyDescent="0.2">
      <c r="A33" s="208">
        <f t="shared" ref="A33:A49" si="33">A32+1</f>
        <v>2026</v>
      </c>
      <c r="B33" s="206">
        <f>(B32+'OD EIAData'!W27/3)</f>
        <v>0.16454750991632747</v>
      </c>
      <c r="C33" s="198">
        <v>0.15</v>
      </c>
      <c r="D33" s="206">
        <f>(D32+'OD EIAData'!Y27/3)</f>
        <v>0.73070003210464607</v>
      </c>
      <c r="E33" s="198">
        <v>0.69500000000000006</v>
      </c>
      <c r="F33" s="206"/>
      <c r="G33" s="198">
        <v>0.10346087918760237</v>
      </c>
      <c r="H33" s="206">
        <f>(H32+'OD EIAData'!AC27/3)</f>
        <v>3.3684891811250506E-2</v>
      </c>
      <c r="I33" s="198">
        <v>0.18830000000000002</v>
      </c>
      <c r="J33" s="206">
        <f>(J32+'OD EIAData'!AG27)</f>
        <v>0.1899782235112398</v>
      </c>
      <c r="K33" s="198">
        <v>0.62949999999999895</v>
      </c>
      <c r="L33" s="206">
        <f>(L32+'OD EIAData'!AI27/3)</f>
        <v>0.71470003210464605</v>
      </c>
      <c r="M33" s="200"/>
      <c r="N33" s="197">
        <f t="shared" si="6"/>
        <v>0</v>
      </c>
      <c r="O33" s="200">
        <v>0.21199999999999997</v>
      </c>
      <c r="P33" s="213">
        <f t="shared" si="32"/>
        <v>0.251</v>
      </c>
      <c r="Q33" s="200">
        <v>0.98</v>
      </c>
      <c r="R33" s="206">
        <f>(R32+'OD EIAData'!AP27/3)</f>
        <v>0.99797988487170475</v>
      </c>
      <c r="S33" s="200">
        <v>0.96599999999999997</v>
      </c>
      <c r="T33" s="206">
        <f>(T32+'OD EIAData'!AR27)</f>
        <v>1.9785702534094687</v>
      </c>
      <c r="U33" s="206">
        <v>1</v>
      </c>
      <c r="V33" s="200">
        <v>0.21789999999999979</v>
      </c>
      <c r="W33" s="213">
        <f>'OD EIAData'!AU27-'OD Shares'!U33</f>
        <v>0.20010031368552683</v>
      </c>
      <c r="X33" s="200">
        <v>6.5000000000000002E-2</v>
      </c>
      <c r="Y33" s="206">
        <f>(Y32+'OD EIAData'!AX27)</f>
        <v>0.45337833448152093</v>
      </c>
      <c r="Z33" s="200">
        <v>0.99</v>
      </c>
      <c r="AA33" s="206">
        <f>(AA32+'OD EIAData'!AN27)</f>
        <v>0.56734025230227259</v>
      </c>
      <c r="AB33" s="200">
        <v>0.99</v>
      </c>
      <c r="AC33" s="206">
        <f>(AC32+'OD EIAData'!AL27)</f>
        <v>0.95513092224070761</v>
      </c>
      <c r="AD33" s="200">
        <v>0.96699999999999997</v>
      </c>
      <c r="AE33" s="206">
        <f>(AE32+'OD EIAData'!AT27)</f>
        <v>0.97038875014544113</v>
      </c>
      <c r="AF33" s="200">
        <v>2.8376092015137693</v>
      </c>
      <c r="AG33" s="197">
        <f>'OD EIAData'!AY27</f>
        <v>3.5604498405838338</v>
      </c>
      <c r="AH33" s="206">
        <f>'OD EIAData'!BA27</f>
        <v>0.42101124429899411</v>
      </c>
      <c r="AI33" s="200">
        <v>1</v>
      </c>
      <c r="AJ33" s="200">
        <v>1</v>
      </c>
      <c r="AK33" s="201"/>
    </row>
    <row r="34" spans="1:37" x14ac:dyDescent="0.2">
      <c r="A34" s="208">
        <f t="shared" si="33"/>
        <v>2027</v>
      </c>
      <c r="B34" s="206">
        <f>(B33+'OD EIAData'!W28/3)</f>
        <v>0.16394895365067236</v>
      </c>
      <c r="C34" s="198">
        <v>0.15</v>
      </c>
      <c r="D34" s="206">
        <f>(D33+'OD EIAData'!Y28/3)</f>
        <v>0.73411398724004973</v>
      </c>
      <c r="E34" s="198">
        <v>0.69500000000000006</v>
      </c>
      <c r="F34" s="206"/>
      <c r="G34" s="198">
        <v>0.10236010562965715</v>
      </c>
      <c r="H34" s="206">
        <f>(H33+'OD EIAData'!AC28/3)</f>
        <v>3.0717816666046987E-2</v>
      </c>
      <c r="I34" s="198">
        <v>0.18850000000000003</v>
      </c>
      <c r="J34" s="206">
        <f>(J33+'OD EIAData'!AG28)</f>
        <v>0.19255467873521645</v>
      </c>
      <c r="K34" s="198">
        <v>0.62999999999999889</v>
      </c>
      <c r="L34" s="206">
        <f>(L33+'OD EIAData'!AI28/3)</f>
        <v>0.71811398724004971</v>
      </c>
      <c r="M34" s="200"/>
      <c r="N34" s="197">
        <f t="shared" si="6"/>
        <v>0</v>
      </c>
      <c r="O34" s="200">
        <v>0.20999999999999996</v>
      </c>
      <c r="P34" s="213">
        <f t="shared" si="32"/>
        <v>0.2505</v>
      </c>
      <c r="Q34" s="200">
        <v>0.98</v>
      </c>
      <c r="R34" s="206">
        <f>(R33+'OD EIAData'!AP28/3)</f>
        <v>0.99853243141919068</v>
      </c>
      <c r="S34" s="200">
        <v>0.96599999999999997</v>
      </c>
      <c r="T34" s="206">
        <f>(T33+'OD EIAData'!AR28)</f>
        <v>1.9795877360764287</v>
      </c>
      <c r="U34" s="206">
        <v>1</v>
      </c>
      <c r="V34" s="200">
        <v>0.21799999999999978</v>
      </c>
      <c r="W34" s="213">
        <f>'OD EIAData'!AU28-'OD Shares'!U34</f>
        <v>0.19988807039247658</v>
      </c>
      <c r="X34" s="200">
        <v>6.5000000000000002E-2</v>
      </c>
      <c r="Y34" s="206">
        <f>(Y33+'OD EIAData'!AX28)</f>
        <v>0.4531547761305687</v>
      </c>
      <c r="Z34" s="200">
        <v>0.99</v>
      </c>
      <c r="AA34" s="206">
        <f>(AA33+'OD EIAData'!AN28)</f>
        <v>0.57288549266770428</v>
      </c>
      <c r="AB34" s="200">
        <v>0.99</v>
      </c>
      <c r="AC34" s="206">
        <f>(AC33+'OD EIAData'!AL28)</f>
        <v>0.9559214967804206</v>
      </c>
      <c r="AD34" s="200">
        <v>0.96699999999999997</v>
      </c>
      <c r="AE34" s="206">
        <f>(AE33+'OD EIAData'!AT28)</f>
        <v>0.97193547782374723</v>
      </c>
      <c r="AF34" s="200">
        <v>2.8376092015137693</v>
      </c>
      <c r="AG34" s="197">
        <f>'OD EIAData'!AY28</f>
        <v>3.5762501585344864</v>
      </c>
      <c r="AH34" s="206">
        <f>'OD EIAData'!BA28</f>
        <v>0.4191200258815917</v>
      </c>
      <c r="AI34" s="200">
        <v>1</v>
      </c>
      <c r="AJ34" s="200">
        <v>1</v>
      </c>
      <c r="AK34" s="201"/>
    </row>
    <row r="35" spans="1:37" x14ac:dyDescent="0.2">
      <c r="A35" s="208">
        <f t="shared" si="33"/>
        <v>2028</v>
      </c>
      <c r="B35" s="206">
        <f>(B34+'OD EIAData'!W29/3)</f>
        <v>0.16346015307869619</v>
      </c>
      <c r="C35" s="198">
        <v>0.15</v>
      </c>
      <c r="D35" s="206">
        <f>(D34+'OD EIAData'!Y29/3)</f>
        <v>0.73730628141377086</v>
      </c>
      <c r="E35" s="198">
        <v>0.69500000000000006</v>
      </c>
      <c r="F35" s="206"/>
      <c r="G35" s="198">
        <v>0.10126686985927078</v>
      </c>
      <c r="H35" s="206">
        <f>(H34+'OD EIAData'!AC29/3)</f>
        <v>2.7889393719501703E-2</v>
      </c>
      <c r="I35" s="198">
        <v>0.18870000000000003</v>
      </c>
      <c r="J35" s="206">
        <f>(J34+'OD EIAData'!AG29)</f>
        <v>0.19518147856065857</v>
      </c>
      <c r="K35" s="198">
        <v>0.63049999999999884</v>
      </c>
      <c r="L35" s="206">
        <f>(L34+'OD EIAData'!AI29/3)</f>
        <v>0.72130628141377084</v>
      </c>
      <c r="M35" s="200"/>
      <c r="N35" s="197">
        <f t="shared" si="6"/>
        <v>0</v>
      </c>
      <c r="O35" s="200">
        <v>0.20799999999999996</v>
      </c>
      <c r="P35" s="213">
        <f t="shared" si="32"/>
        <v>0.25</v>
      </c>
      <c r="Q35" s="200">
        <v>0.98</v>
      </c>
      <c r="R35" s="206">
        <f>(R34+'OD EIAData'!AP29/3)</f>
        <v>0.99907856683682339</v>
      </c>
      <c r="S35" s="200">
        <v>0.96599999999999997</v>
      </c>
      <c r="T35" s="206">
        <f>(T34+'OD EIAData'!AR29)</f>
        <v>1.9805514145181777</v>
      </c>
      <c r="U35" s="206">
        <v>1</v>
      </c>
      <c r="V35" s="200">
        <v>0.21809999999999977</v>
      </c>
      <c r="W35" s="213">
        <f>'OD EIAData'!AU29-'OD Shares'!U35</f>
        <v>0.19964695616100192</v>
      </c>
      <c r="X35" s="200">
        <v>6.5000000000000002E-2</v>
      </c>
      <c r="Y35" s="206">
        <f>(Y34+'OD EIAData'!AX29)</f>
        <v>0.45284247601359257</v>
      </c>
      <c r="Z35" s="200">
        <v>0.99</v>
      </c>
      <c r="AA35" s="206">
        <f>(AA34+'OD EIAData'!AN29)</f>
        <v>0.57815500539262876</v>
      </c>
      <c r="AB35" s="200">
        <v>0.99</v>
      </c>
      <c r="AC35" s="206">
        <f>(AC34+'OD EIAData'!AL29)</f>
        <v>0.95666419761724386</v>
      </c>
      <c r="AD35" s="200">
        <v>0.96699999999999997</v>
      </c>
      <c r="AE35" s="206">
        <f>(AE34+'OD EIAData'!AT29)</f>
        <v>0.97339773785474515</v>
      </c>
      <c r="AF35" s="200">
        <v>2.8376092015137693</v>
      </c>
      <c r="AG35" s="197">
        <f>'OD EIAData'!AY29</f>
        <v>3.5919593328330164</v>
      </c>
      <c r="AH35" s="206">
        <f>'OD EIAData'!BA29</f>
        <v>0.41726794382502863</v>
      </c>
      <c r="AI35" s="200">
        <v>1</v>
      </c>
      <c r="AJ35" s="200">
        <v>1</v>
      </c>
      <c r="AK35" s="201"/>
    </row>
    <row r="36" spans="1:37" x14ac:dyDescent="0.2">
      <c r="A36" s="208">
        <f t="shared" si="33"/>
        <v>2029</v>
      </c>
      <c r="B36" s="206">
        <f>(B35+'OD EIAData'!W30/3)</f>
        <v>0.16301618425528241</v>
      </c>
      <c r="C36" s="198">
        <v>0.15</v>
      </c>
      <c r="D36" s="206">
        <f>(D35+'OD EIAData'!Y30/3)</f>
        <v>0.74033358362330637</v>
      </c>
      <c r="E36" s="198">
        <v>0.69500000000000006</v>
      </c>
      <c r="F36" s="206"/>
      <c r="G36" s="198">
        <v>0.10018263437835348</v>
      </c>
      <c r="H36" s="206">
        <f>(H35+'OD EIAData'!AC30/3)</f>
        <v>2.5159744830758946E-2</v>
      </c>
      <c r="I36" s="198">
        <v>0.18890000000000004</v>
      </c>
      <c r="J36" s="206">
        <f>(J35+'OD EIAData'!AG30)</f>
        <v>0.19780219383718642</v>
      </c>
      <c r="K36" s="198">
        <v>0.63099999999999878</v>
      </c>
      <c r="L36" s="206">
        <f>(L35+'OD EIAData'!AI30/3)</f>
        <v>0.72433358362330635</v>
      </c>
      <c r="M36" s="200"/>
      <c r="N36" s="197">
        <f t="shared" si="6"/>
        <v>0</v>
      </c>
      <c r="O36" s="200">
        <v>0.20599999999999996</v>
      </c>
      <c r="P36" s="213">
        <f t="shared" si="32"/>
        <v>0.2495</v>
      </c>
      <c r="Q36" s="200">
        <v>0.98</v>
      </c>
      <c r="R36" s="206">
        <f>(R35+'OD EIAData'!AP30/3)</f>
        <v>0.99961154613458292</v>
      </c>
      <c r="S36" s="200">
        <v>0.96599999999999997</v>
      </c>
      <c r="T36" s="206">
        <f>(T35+'OD EIAData'!AR30)</f>
        <v>1.9815606540709143</v>
      </c>
      <c r="U36" s="206">
        <v>1</v>
      </c>
      <c r="V36" s="200">
        <v>0.21819999999999976</v>
      </c>
      <c r="W36" s="213">
        <f>'OD EIAData'!AU30-'OD Shares'!U36</f>
        <v>0.19940784244463483</v>
      </c>
      <c r="X36" s="200">
        <v>6.5000000000000002E-2</v>
      </c>
      <c r="Y36" s="206">
        <f>(Y35+'OD EIAData'!AX30)</f>
        <v>0.4524835755391427</v>
      </c>
      <c r="Z36" s="200">
        <v>0.99</v>
      </c>
      <c r="AA36" s="206">
        <f>(AA35+'OD EIAData'!AN30)</f>
        <v>0.58321192651732168</v>
      </c>
      <c r="AB36" s="200">
        <v>0.99</v>
      </c>
      <c r="AC36" s="206">
        <f>(AC35+'OD EIAData'!AL30)</f>
        <v>0.95736471624442077</v>
      </c>
      <c r="AD36" s="200">
        <v>0.96699999999999997</v>
      </c>
      <c r="AE36" s="206">
        <f>(AE35+'OD EIAData'!AT30)</f>
        <v>0.97479088268071412</v>
      </c>
      <c r="AF36" s="200">
        <v>2.8376092015137693</v>
      </c>
      <c r="AG36" s="197">
        <f>'OD EIAData'!AY30</f>
        <v>3.6079874181548255</v>
      </c>
      <c r="AH36" s="206">
        <f>'OD EIAData'!BA30</f>
        <v>0.41546996584622009</v>
      </c>
      <c r="AI36" s="200">
        <v>1</v>
      </c>
      <c r="AJ36" s="200">
        <v>1</v>
      </c>
      <c r="AK36" s="201"/>
    </row>
    <row r="37" spans="1:37" x14ac:dyDescent="0.2">
      <c r="A37" s="208">
        <f t="shared" si="33"/>
        <v>2030</v>
      </c>
      <c r="B37" s="206">
        <f>(B36+'OD EIAData'!W31/3)</f>
        <v>0.16256014433778601</v>
      </c>
      <c r="C37" s="198">
        <v>0.15</v>
      </c>
      <c r="D37" s="206">
        <f>(D36+'OD EIAData'!Y31/3)</f>
        <v>0.74330889220571295</v>
      </c>
      <c r="E37" s="198">
        <v>0.69500000000000006</v>
      </c>
      <c r="F37" s="206"/>
      <c r="G37" s="198">
        <v>9.9105781170130788E-2</v>
      </c>
      <c r="H37" s="206">
        <f>(H36+'OD EIAData'!AC31/3)</f>
        <v>2.2440540667519788E-2</v>
      </c>
      <c r="I37" s="198">
        <v>0.18910000000000005</v>
      </c>
      <c r="J37" s="206">
        <f>(J36+'OD EIAData'!AG31)</f>
        <v>0.20033511386551703</v>
      </c>
      <c r="K37" s="198">
        <v>0.63149999999999873</v>
      </c>
      <c r="L37" s="206">
        <f>(L36+'OD EIAData'!AI31/3)</f>
        <v>0.72730889220571293</v>
      </c>
      <c r="M37" s="200"/>
      <c r="N37" s="197">
        <f t="shared" si="6"/>
        <v>0</v>
      </c>
      <c r="O37" s="200">
        <v>0.20399999999999996</v>
      </c>
      <c r="P37" s="213">
        <f t="shared" si="32"/>
        <v>0.249</v>
      </c>
      <c r="Q37" s="200">
        <v>0.98</v>
      </c>
      <c r="R37" s="206">
        <f>(R36+'OD EIAData'!AP31/3)</f>
        <v>1.0000920575197985</v>
      </c>
      <c r="S37" s="200">
        <v>0.96599999999999997</v>
      </c>
      <c r="T37" s="206">
        <f>(T36+'OD EIAData'!AR31)</f>
        <v>1.98251916819209</v>
      </c>
      <c r="U37" s="206">
        <v>1</v>
      </c>
      <c r="V37" s="200">
        <v>0.21829999999999974</v>
      </c>
      <c r="W37" s="213">
        <f>'OD EIAData'!AU31-'OD Shares'!U37</f>
        <v>0.19918339918605277</v>
      </c>
      <c r="X37" s="200">
        <v>6.5000000000000002E-2</v>
      </c>
      <c r="Y37" s="206">
        <f>(Y36+'OD EIAData'!AX31)</f>
        <v>0.45211449759084227</v>
      </c>
      <c r="Z37" s="200">
        <v>0.99</v>
      </c>
      <c r="AA37" s="206">
        <f>(AA36+'OD EIAData'!AN31)</f>
        <v>0.58819059617610581</v>
      </c>
      <c r="AB37" s="200">
        <v>0.99</v>
      </c>
      <c r="AC37" s="206">
        <f>(AC36+'OD EIAData'!AL31)</f>
        <v>0.95804946921216305</v>
      </c>
      <c r="AD37" s="200">
        <v>0.96699999999999997</v>
      </c>
      <c r="AE37" s="206">
        <f>(AE36+'OD EIAData'!AT31)</f>
        <v>0.97615759555740489</v>
      </c>
      <c r="AF37" s="200">
        <v>2.8376092015137693</v>
      </c>
      <c r="AG37" s="197">
        <f>'OD EIAData'!AY31</f>
        <v>3.624044960258872</v>
      </c>
      <c r="AH37" s="206">
        <f>'OD EIAData'!BA31</f>
        <v>0.41369823421638452</v>
      </c>
      <c r="AI37" s="200">
        <v>1</v>
      </c>
      <c r="AJ37" s="200">
        <v>1</v>
      </c>
      <c r="AK37" s="201"/>
    </row>
    <row r="38" spans="1:37" x14ac:dyDescent="0.2">
      <c r="A38" s="208">
        <f t="shared" si="33"/>
        <v>2031</v>
      </c>
      <c r="B38" s="206">
        <f>(B37+'OD EIAData'!W32/3)</f>
        <v>0.16212993632274791</v>
      </c>
      <c r="C38" s="198">
        <v>0.15</v>
      </c>
      <c r="D38" s="206">
        <f>(D37+'OD EIAData'!Y32/3)</f>
        <v>0.74618109427117918</v>
      </c>
      <c r="E38" s="198">
        <v>0.69500000000000006</v>
      </c>
      <c r="F38" s="206"/>
      <c r="G38" s="198">
        <v>9.8605781170130788E-2</v>
      </c>
      <c r="H38" s="206">
        <f>(H37+'OD EIAData'!AC32/3)</f>
        <v>1.977558762841556E-2</v>
      </c>
      <c r="I38" s="198">
        <v>0.18930000000000005</v>
      </c>
      <c r="J38" s="206">
        <f>(J37+'OD EIAData'!AG32)</f>
        <v>0.20283025933579676</v>
      </c>
      <c r="K38" s="198">
        <v>0.63199999999999867</v>
      </c>
      <c r="L38" s="206">
        <f>(L37+'OD EIAData'!AI32/3)</f>
        <v>0.73018109427117917</v>
      </c>
      <c r="M38" s="200"/>
      <c r="N38" s="197">
        <f t="shared" si="6"/>
        <v>0</v>
      </c>
      <c r="O38" s="200">
        <v>0.20199999999999996</v>
      </c>
      <c r="P38" s="213">
        <f t="shared" si="32"/>
        <v>0.2485</v>
      </c>
      <c r="Q38" s="200">
        <v>0.98</v>
      </c>
      <c r="R38" s="206">
        <f>(R37+'OD EIAData'!AP32/3)</f>
        <v>1.0005678954664186</v>
      </c>
      <c r="S38" s="200">
        <v>0.96599999999999997</v>
      </c>
      <c r="T38" s="206">
        <f>(T37+'OD EIAData'!AR32)</f>
        <v>1.9832747780975837</v>
      </c>
      <c r="U38" s="206">
        <v>1</v>
      </c>
      <c r="V38" s="200">
        <v>0.21839999999999973</v>
      </c>
      <c r="W38" s="213">
        <f>'OD EIAData'!AU32-'OD Shares'!U38</f>
        <v>0.19896284190351676</v>
      </c>
      <c r="X38" s="200">
        <v>6.5000000000000002E-2</v>
      </c>
      <c r="Y38" s="206">
        <f>(Y37+'OD EIAData'!AX32)</f>
        <v>0.45172241792536499</v>
      </c>
      <c r="Z38" s="200">
        <v>0.99</v>
      </c>
      <c r="AA38" s="206">
        <f>(AA37+'OD EIAData'!AN32)</f>
        <v>0.5930371966215493</v>
      </c>
      <c r="AB38" s="200">
        <v>0.99</v>
      </c>
      <c r="AC38" s="206">
        <f>(AC37+'OD EIAData'!AL32)</f>
        <v>0.95870927187296839</v>
      </c>
      <c r="AD38" s="200">
        <v>0.96699999999999997</v>
      </c>
      <c r="AE38" s="206">
        <f>(AE37+'OD EIAData'!AT32)</f>
        <v>0.9774857795851728</v>
      </c>
      <c r="AF38" s="200">
        <v>2.8376092015137693</v>
      </c>
      <c r="AG38" s="197">
        <f>'OD EIAData'!AY32</f>
        <v>3.6401037633529945</v>
      </c>
      <c r="AH38" s="206">
        <f>'OD EIAData'!BA32</f>
        <v>0.41196772995379383</v>
      </c>
      <c r="AI38" s="200">
        <v>1</v>
      </c>
      <c r="AJ38" s="200">
        <v>1</v>
      </c>
      <c r="AK38" s="201"/>
    </row>
    <row r="39" spans="1:37" x14ac:dyDescent="0.2">
      <c r="A39" s="208">
        <f t="shared" si="33"/>
        <v>2032</v>
      </c>
      <c r="B39" s="206">
        <f>(B38+'OD EIAData'!W33/3)</f>
        <v>0.16177836111329238</v>
      </c>
      <c r="C39" s="198">
        <v>0.15</v>
      </c>
      <c r="D39" s="206">
        <f>(D38+'OD EIAData'!Y33/3)</f>
        <v>0.74887061731014071</v>
      </c>
      <c r="E39" s="198">
        <v>0.69500000000000006</v>
      </c>
      <c r="F39" s="206"/>
      <c r="G39" s="198">
        <v>9.8105781170130787E-2</v>
      </c>
      <c r="H39" s="206">
        <f>(H38+'OD EIAData'!AC33/3)</f>
        <v>1.7236100953920676E-2</v>
      </c>
      <c r="I39" s="198">
        <v>0.18950000000000006</v>
      </c>
      <c r="J39" s="206">
        <f>(J38+'OD EIAData'!AG33)</f>
        <v>0.20535795182091418</v>
      </c>
      <c r="K39" s="198">
        <v>0.63249999999999862</v>
      </c>
      <c r="L39" s="206">
        <f>(L38+'OD EIAData'!AI33/3)</f>
        <v>0.73287061731014069</v>
      </c>
      <c r="M39" s="200"/>
      <c r="N39" s="197">
        <f t="shared" si="6"/>
        <v>0</v>
      </c>
      <c r="O39" s="200">
        <v>0.19999999999999996</v>
      </c>
      <c r="P39" s="213">
        <f t="shared" si="32"/>
        <v>0.248</v>
      </c>
      <c r="Q39" s="200">
        <v>0.98</v>
      </c>
      <c r="R39" s="206">
        <f>(R38+'OD EIAData'!AP33/3)</f>
        <v>1.0010478353747816</v>
      </c>
      <c r="S39" s="200">
        <v>0.96599999999999997</v>
      </c>
      <c r="T39" s="206">
        <f>(T38+'OD EIAData'!AR33)</f>
        <v>1.9842249783056596</v>
      </c>
      <c r="U39" s="206">
        <v>1</v>
      </c>
      <c r="V39" s="200">
        <v>0.21849999999999972</v>
      </c>
      <c r="W39" s="213">
        <f>'OD EIAData'!AU33-'OD Shares'!U39</f>
        <v>0.19872659168058648</v>
      </c>
      <c r="X39" s="200">
        <v>6.5000000000000002E-2</v>
      </c>
      <c r="Y39" s="206">
        <f>(Y38+'OD EIAData'!AX33)</f>
        <v>0.45127436911284718</v>
      </c>
      <c r="Z39" s="200">
        <v>0.99</v>
      </c>
      <c r="AA39" s="206">
        <f>(AA38+'OD EIAData'!AN33)</f>
        <v>0.59766558535937864</v>
      </c>
      <c r="AB39" s="200">
        <v>0.99</v>
      </c>
      <c r="AC39" s="206">
        <f>(AC38+'OD EIAData'!AL33)</f>
        <v>0.95932701171595691</v>
      </c>
      <c r="AD39" s="200">
        <v>0.96699999999999997</v>
      </c>
      <c r="AE39" s="206">
        <f>(AE38+'OD EIAData'!AT33)</f>
        <v>0.97875006673501797</v>
      </c>
      <c r="AF39" s="200">
        <v>2.8376092015137693</v>
      </c>
      <c r="AG39" s="197">
        <f>'OD EIAData'!AY33</f>
        <v>3.6564327895074826</v>
      </c>
      <c r="AH39" s="206">
        <f>'OD EIAData'!BA33</f>
        <v>0.41044491370357666</v>
      </c>
      <c r="AI39" s="200">
        <v>1</v>
      </c>
      <c r="AJ39" s="200">
        <v>1</v>
      </c>
      <c r="AK39" s="201"/>
    </row>
    <row r="40" spans="1:37" x14ac:dyDescent="0.2">
      <c r="A40" s="208">
        <f t="shared" si="33"/>
        <v>2033</v>
      </c>
      <c r="B40" s="206">
        <f>(B39+'OD EIAData'!W34/3)</f>
        <v>0.16143441439087763</v>
      </c>
      <c r="C40" s="198">
        <v>0.15</v>
      </c>
      <c r="D40" s="206">
        <f>(D39+'OD EIAData'!Y34/3)</f>
        <v>0.75147184861353</v>
      </c>
      <c r="E40" s="198">
        <v>0.69500000000000006</v>
      </c>
      <c r="F40" s="206"/>
      <c r="G40" s="198">
        <v>9.7605781170130787E-2</v>
      </c>
      <c r="H40" s="206">
        <f>(H39+'OD EIAData'!AC34/3)</f>
        <v>1.4748486815223725E-2</v>
      </c>
      <c r="I40" s="198">
        <v>0.18970000000000006</v>
      </c>
      <c r="J40" s="206">
        <f>(J39+'OD EIAData'!AG34)</f>
        <v>0.2078372577851649</v>
      </c>
      <c r="K40" s="198">
        <v>0.63299999999999856</v>
      </c>
      <c r="L40" s="206">
        <f>(L39+'OD EIAData'!AI34/3)</f>
        <v>0.73547184861352999</v>
      </c>
      <c r="M40" s="200"/>
      <c r="N40" s="197">
        <f t="shared" si="6"/>
        <v>0</v>
      </c>
      <c r="O40" s="200">
        <v>0.19799999999999995</v>
      </c>
      <c r="P40" s="213">
        <f t="shared" si="32"/>
        <v>0.2475</v>
      </c>
      <c r="Q40" s="200">
        <v>0.98</v>
      </c>
      <c r="R40" s="206">
        <f>(R39+'OD EIAData'!AP34/3)</f>
        <v>1.0015169914322648</v>
      </c>
      <c r="S40" s="200">
        <v>0.96599999999999997</v>
      </c>
      <c r="T40" s="206">
        <f>(T39+'OD EIAData'!AR34)</f>
        <v>1.9851721724525091</v>
      </c>
      <c r="U40" s="206">
        <v>1</v>
      </c>
      <c r="V40" s="200">
        <v>0.21859999999999971</v>
      </c>
      <c r="W40" s="213">
        <f>'OD EIAData'!AU34-'OD Shares'!U40</f>
        <v>0.19849927934817768</v>
      </c>
      <c r="X40" s="200">
        <v>6.5000000000000002E-2</v>
      </c>
      <c r="Y40" s="206">
        <f>(Y39+'OD EIAData'!AX34)</f>
        <v>0.45078981531740964</v>
      </c>
      <c r="Z40" s="200">
        <v>0.99</v>
      </c>
      <c r="AA40" s="206">
        <f>(AA39+'OD EIAData'!AN34)</f>
        <v>0.60215862685565225</v>
      </c>
      <c r="AB40" s="200">
        <v>0.99</v>
      </c>
      <c r="AC40" s="206">
        <f>(AC39+'OD EIAData'!AL34)</f>
        <v>0.95991658637545263</v>
      </c>
      <c r="AD40" s="200">
        <v>0.96699999999999997</v>
      </c>
      <c r="AE40" s="206">
        <f>(AE39+'OD EIAData'!AT34)</f>
        <v>0.97997077583353831</v>
      </c>
      <c r="AF40" s="200">
        <v>2.8376092015137693</v>
      </c>
      <c r="AG40" s="197">
        <f>'OD EIAData'!AY34</f>
        <v>3.6730932729358474</v>
      </c>
      <c r="AH40" s="206">
        <f>'OD EIAData'!BA34</f>
        <v>0.40899926464099773</v>
      </c>
      <c r="AI40" s="200">
        <v>1</v>
      </c>
      <c r="AJ40" s="200">
        <v>1</v>
      </c>
      <c r="AK40" s="201"/>
    </row>
    <row r="41" spans="1:37" x14ac:dyDescent="0.2">
      <c r="A41" s="208">
        <f t="shared" si="33"/>
        <v>2034</v>
      </c>
      <c r="B41" s="206">
        <f>(B40+'OD EIAData'!W35/3)</f>
        <v>0.16106123828358937</v>
      </c>
      <c r="C41" s="198">
        <v>0.15</v>
      </c>
      <c r="D41" s="206">
        <f>(D40+'OD EIAData'!Y35/3)</f>
        <v>0.75404379820537326</v>
      </c>
      <c r="E41" s="198">
        <v>0.69500000000000006</v>
      </c>
      <c r="F41" s="206"/>
      <c r="G41" s="198">
        <v>9.7105781170130787E-2</v>
      </c>
      <c r="H41" s="206">
        <f>(H40+'OD EIAData'!AC35/3)</f>
        <v>1.2262607509489282E-2</v>
      </c>
      <c r="I41" s="198">
        <v>0.18990000000000007</v>
      </c>
      <c r="J41" s="206">
        <f>(J40+'OD EIAData'!AG35)</f>
        <v>0.21022168374627767</v>
      </c>
      <c r="K41" s="198">
        <v>0.63349999999999851</v>
      </c>
      <c r="L41" s="206">
        <f>(L40+'OD EIAData'!AI35/3)</f>
        <v>0.73804379820537325</v>
      </c>
      <c r="M41" s="200"/>
      <c r="N41" s="197">
        <f t="shared" si="6"/>
        <v>0</v>
      </c>
      <c r="O41" s="200">
        <v>0.19599999999999995</v>
      </c>
      <c r="P41" s="213">
        <f t="shared" si="32"/>
        <v>0.247</v>
      </c>
      <c r="Q41" s="200">
        <v>0.98</v>
      </c>
      <c r="R41" s="206">
        <f>(R40+'OD EIAData'!AP35/3)</f>
        <v>1.0019768272641021</v>
      </c>
      <c r="S41" s="200">
        <v>0.96599999999999997</v>
      </c>
      <c r="T41" s="206">
        <f>(T40+'OD EIAData'!AR35)</f>
        <v>1.9861222235864784</v>
      </c>
      <c r="U41" s="206">
        <v>1</v>
      </c>
      <c r="V41" s="200">
        <v>0.2186999999999997</v>
      </c>
      <c r="W41" s="213">
        <f>'OD EIAData'!AU35-'OD Shares'!U41</f>
        <v>0.19829242130078972</v>
      </c>
      <c r="X41" s="200">
        <v>6.5000000000000002E-2</v>
      </c>
      <c r="Y41" s="206">
        <f>(Y40+'OD EIAData'!AX35)</f>
        <v>0.45029080185109066</v>
      </c>
      <c r="Z41" s="200">
        <v>0.99</v>
      </c>
      <c r="AA41" s="206">
        <f>(AA40+'OD EIAData'!AN35)</f>
        <v>0.60657609161974357</v>
      </c>
      <c r="AB41" s="200">
        <v>0.99</v>
      </c>
      <c r="AC41" s="206">
        <f>(AC40+'OD EIAData'!AL35)</f>
        <v>0.96049189319374451</v>
      </c>
      <c r="AD41" s="200">
        <v>0.96699999999999997</v>
      </c>
      <c r="AE41" s="206">
        <f>(AE40+'OD EIAData'!AT35)</f>
        <v>0.98117122735532525</v>
      </c>
      <c r="AF41" s="200">
        <v>2.8376092015137693</v>
      </c>
      <c r="AG41" s="197">
        <f>'OD EIAData'!AY35</f>
        <v>3.6897892451603829</v>
      </c>
      <c r="AH41" s="206">
        <f>'OD EIAData'!BA35</f>
        <v>0.40748550682128709</v>
      </c>
      <c r="AI41" s="200">
        <v>1</v>
      </c>
      <c r="AJ41" s="200">
        <v>1</v>
      </c>
      <c r="AK41" s="201"/>
    </row>
    <row r="42" spans="1:37" x14ac:dyDescent="0.2">
      <c r="A42" s="208">
        <f t="shared" si="33"/>
        <v>2035</v>
      </c>
      <c r="B42" s="206">
        <f>(B41+'OD EIAData'!W36/3)</f>
        <v>0.1606580853941762</v>
      </c>
      <c r="C42" s="198">
        <v>0.15</v>
      </c>
      <c r="D42" s="206">
        <f>(D41+'OD EIAData'!Y36/3)</f>
        <v>0.75659112706728604</v>
      </c>
      <c r="E42" s="198">
        <v>0.69500000000000006</v>
      </c>
      <c r="F42" s="206"/>
      <c r="G42" s="198">
        <v>9.6605781170130786E-2</v>
      </c>
      <c r="H42" s="206">
        <f>(H41+'OD EIAData'!AC36/3)</f>
        <v>9.775435178669984E-3</v>
      </c>
      <c r="I42" s="198">
        <v>0.19010000000000007</v>
      </c>
      <c r="J42" s="206">
        <f>(J41+'OD EIAData'!AG36)</f>
        <v>0.21251049703847466</v>
      </c>
      <c r="K42" s="198">
        <v>0.63399999999999845</v>
      </c>
      <c r="L42" s="206">
        <f>(L41+'OD EIAData'!AI36/3)</f>
        <v>0.74059112706728603</v>
      </c>
      <c r="M42" s="200"/>
      <c r="N42" s="197">
        <f t="shared" si="6"/>
        <v>0</v>
      </c>
      <c r="O42" s="200">
        <v>0.19399999999999995</v>
      </c>
      <c r="P42" s="213">
        <f t="shared" si="32"/>
        <v>0.2465</v>
      </c>
      <c r="Q42" s="200">
        <v>0.98</v>
      </c>
      <c r="R42" s="206">
        <f>(R41+'OD EIAData'!AP36/3)</f>
        <v>1.0024368244173087</v>
      </c>
      <c r="S42" s="200">
        <v>0.96599999999999997</v>
      </c>
      <c r="T42" s="206">
        <f>(T41+'OD EIAData'!AR36)</f>
        <v>1.9870729794123183</v>
      </c>
      <c r="U42" s="206">
        <v>1</v>
      </c>
      <c r="V42" s="200">
        <v>0.21879999999999969</v>
      </c>
      <c r="W42" s="213">
        <f>'OD EIAData'!AU36-'OD Shares'!U42</f>
        <v>0.1981055930443083</v>
      </c>
      <c r="X42" s="200">
        <v>6.5000000000000002E-2</v>
      </c>
      <c r="Y42" s="206">
        <f>(Y41+'OD EIAData'!AX36)</f>
        <v>0.44978255642855364</v>
      </c>
      <c r="Z42" s="200">
        <v>0.99</v>
      </c>
      <c r="AA42" s="206">
        <f>(AA41+'OD EIAData'!AN36)</f>
        <v>0.61093743116847143</v>
      </c>
      <c r="AB42" s="200">
        <v>0.99</v>
      </c>
      <c r="AC42" s="206">
        <f>(AC41+'OD EIAData'!AL36)</f>
        <v>0.96105266763704433</v>
      </c>
      <c r="AD42" s="200">
        <v>0.96699999999999997</v>
      </c>
      <c r="AE42" s="206">
        <f>(AE41+'OD EIAData'!AT36)</f>
        <v>0.98235540728427195</v>
      </c>
      <c r="AF42" s="200">
        <v>2.8376092015137693</v>
      </c>
      <c r="AG42" s="197">
        <f>'OD EIAData'!AY36</f>
        <v>3.7065297244685431</v>
      </c>
      <c r="AH42" s="206">
        <f>'OD EIAData'!BA36</f>
        <v>0.40601138988903784</v>
      </c>
      <c r="AI42" s="200">
        <v>1</v>
      </c>
      <c r="AJ42" s="200">
        <v>1</v>
      </c>
      <c r="AK42" s="201"/>
    </row>
    <row r="43" spans="1:37" x14ac:dyDescent="0.2">
      <c r="A43" s="208">
        <f t="shared" si="33"/>
        <v>2036</v>
      </c>
      <c r="B43" s="206">
        <f>(B42+'OD EIAData'!W42/3)</f>
        <v>0.16025493250476303</v>
      </c>
      <c r="C43" s="198">
        <v>0.15</v>
      </c>
      <c r="D43" s="206">
        <f>(D42+'OD EIAData'!Y42/3)</f>
        <v>0.75913845592919882</v>
      </c>
      <c r="E43" s="198">
        <v>0.69500000000000006</v>
      </c>
      <c r="F43" s="206"/>
      <c r="G43" s="198">
        <v>9.6105781170130786E-2</v>
      </c>
      <c r="H43" s="206">
        <f>(H42+'OD EIAData'!AC37/3)</f>
        <v>7.2882628478506857E-3</v>
      </c>
      <c r="I43" s="198">
        <v>0.19030000000000008</v>
      </c>
      <c r="J43" s="206">
        <f>(J42+'OD EIAData'!AG37)</f>
        <v>0.21479931033067165</v>
      </c>
      <c r="K43" s="198">
        <v>0.6344999999999984</v>
      </c>
      <c r="L43" s="206">
        <f>(L42+'OD EIAData'!AI37/3)</f>
        <v>0.7431384559291988</v>
      </c>
      <c r="M43" s="200"/>
      <c r="N43" s="222">
        <f>N42</f>
        <v>0</v>
      </c>
      <c r="O43" s="200">
        <v>0.19199999999999995</v>
      </c>
      <c r="P43" s="213">
        <f t="shared" si="32"/>
        <v>0.246</v>
      </c>
      <c r="Q43" s="200">
        <v>0.98</v>
      </c>
      <c r="R43" s="206">
        <f>(R42+'OD EIAData'!AP37/3)</f>
        <v>1.0028968215705154</v>
      </c>
      <c r="S43" s="200">
        <v>0.96599999999999997</v>
      </c>
      <c r="T43" s="206">
        <f>(T42+'OD EIAData'!AR37)</f>
        <v>1.9880237352381582</v>
      </c>
      <c r="U43" s="206">
        <v>1</v>
      </c>
      <c r="V43" s="200">
        <v>0.21889999999999968</v>
      </c>
      <c r="W43" s="213">
        <f>'OD EIAData'!AU37-'OD Shares'!U43</f>
        <v>0.19791879391660783</v>
      </c>
      <c r="X43" s="200">
        <v>6.5000000000000002E-2</v>
      </c>
      <c r="Y43" s="206">
        <f>(Y42+'OD EIAData'!AX37)</f>
        <v>0.44927431100601661</v>
      </c>
      <c r="Z43" s="200">
        <v>0.99</v>
      </c>
      <c r="AA43" s="206">
        <f>(AA42+'OD EIAData'!AN37)</f>
        <v>0.61529877071719929</v>
      </c>
      <c r="AB43" s="200">
        <v>0.99</v>
      </c>
      <c r="AC43" s="206">
        <f>(AC42+'OD EIAData'!AL37)</f>
        <v>0.96161344208034416</v>
      </c>
      <c r="AD43" s="200">
        <v>0.96699999999999997</v>
      </c>
      <c r="AE43" s="206">
        <f>(AE42+'OD EIAData'!AT37)</f>
        <v>0.98353958721321866</v>
      </c>
      <c r="AF43" s="200">
        <v>2.8376092015137693</v>
      </c>
      <c r="AG43" s="197">
        <f>'OD EIAData'!AY37</f>
        <v>3.7233461549025932</v>
      </c>
      <c r="AH43" s="206">
        <f>'OD EIAData'!BA37</f>
        <v>0.40454260571266226</v>
      </c>
      <c r="AI43" s="222">
        <f t="shared" ref="AI43:AJ49" si="34">AI42</f>
        <v>1</v>
      </c>
      <c r="AJ43" s="222">
        <f t="shared" si="34"/>
        <v>1</v>
      </c>
    </row>
    <row r="44" spans="1:37" x14ac:dyDescent="0.2">
      <c r="A44" s="208">
        <f t="shared" si="33"/>
        <v>2037</v>
      </c>
      <c r="B44" s="206">
        <f>(B43+'OD EIAData'!W43/3)</f>
        <v>0.15985177961534988</v>
      </c>
      <c r="C44" s="198">
        <v>0.15</v>
      </c>
      <c r="D44" s="206">
        <f>(D43+'OD EIAData'!Y43/3)</f>
        <v>0.7616857847911116</v>
      </c>
      <c r="E44" s="198">
        <v>0.69500000000000006</v>
      </c>
      <c r="F44" s="206"/>
      <c r="G44" s="198">
        <v>9.5605781170130785E-2</v>
      </c>
      <c r="H44" s="206">
        <f>(H43+'OD EIAData'!AC38/3)</f>
        <v>4.8010905170313874E-3</v>
      </c>
      <c r="I44" s="198">
        <v>0.19050000000000009</v>
      </c>
      <c r="J44" s="206">
        <f>(J43+'OD EIAData'!AG38)</f>
        <v>0.21708812362286864</v>
      </c>
      <c r="K44" s="198">
        <v>0.63499999999999834</v>
      </c>
      <c r="L44" s="206">
        <f>(L43+'OD EIAData'!AI38/3)</f>
        <v>0.74568578479111158</v>
      </c>
      <c r="M44" s="200"/>
      <c r="N44" s="222">
        <f t="shared" ref="N44:N48" si="35">N43</f>
        <v>0</v>
      </c>
      <c r="O44" s="200">
        <v>0.18999999999999995</v>
      </c>
      <c r="P44" s="213">
        <f t="shared" si="32"/>
        <v>0.2455</v>
      </c>
      <c r="Q44" s="200">
        <v>0.98</v>
      </c>
      <c r="R44" s="206">
        <f>(R43+'OD EIAData'!AP38/3)</f>
        <v>1.0033568187237221</v>
      </c>
      <c r="S44" s="200">
        <v>0.96599999999999997</v>
      </c>
      <c r="T44" s="206">
        <f>(T43+'OD EIAData'!AR38)</f>
        <v>1.9889744910639982</v>
      </c>
      <c r="U44" s="206">
        <v>1</v>
      </c>
      <c r="V44" s="200">
        <v>0.21899999999999967</v>
      </c>
      <c r="W44" s="213">
        <f>'OD EIAData'!AU38-'OD Shares'!U44</f>
        <v>0.19773202391314681</v>
      </c>
      <c r="X44" s="200">
        <v>6.5000000000000002E-2</v>
      </c>
      <c r="Y44" s="206">
        <f>(Y43+'OD EIAData'!AX38)</f>
        <v>0.44876606558347959</v>
      </c>
      <c r="Z44" s="200">
        <v>0.99</v>
      </c>
      <c r="AA44" s="206">
        <f>(AA43+'OD EIAData'!AN38)</f>
        <v>0.61966011026592716</v>
      </c>
      <c r="AB44" s="200">
        <v>0.99</v>
      </c>
      <c r="AC44" s="206">
        <f>(AC43+'OD EIAData'!AL38)</f>
        <v>0.96217421652364399</v>
      </c>
      <c r="AD44" s="200">
        <v>0.96699999999999997</v>
      </c>
      <c r="AE44" s="206">
        <f>(AE43+'OD EIAData'!AT38)</f>
        <v>0.98472376714216536</v>
      </c>
      <c r="AF44" s="200">
        <v>2.8376092015137693</v>
      </c>
      <c r="AG44" s="197">
        <f>'OD EIAData'!AY38</f>
        <v>3.7402388810508467</v>
      </c>
      <c r="AH44" s="206">
        <f>'OD EIAData'!BA38</f>
        <v>0.4030791350004172</v>
      </c>
      <c r="AI44" s="222">
        <f t="shared" si="34"/>
        <v>1</v>
      </c>
      <c r="AJ44" s="222">
        <f t="shared" si="34"/>
        <v>1</v>
      </c>
    </row>
    <row r="45" spans="1:37" x14ac:dyDescent="0.2">
      <c r="A45" s="208">
        <f t="shared" si="33"/>
        <v>2038</v>
      </c>
      <c r="B45" s="206">
        <f>(B44+'OD EIAData'!W44/3)</f>
        <v>0.15985177961534988</v>
      </c>
      <c r="C45" s="198">
        <v>0.15</v>
      </c>
      <c r="D45" s="206">
        <f>(D44+'OD EIAData'!Y44/3)</f>
        <v>0.7616857847911116</v>
      </c>
      <c r="E45" s="198">
        <v>0.69500000000000006</v>
      </c>
      <c r="F45" s="206"/>
      <c r="G45" s="198">
        <v>9.5605781170130785E-2</v>
      </c>
      <c r="H45" s="206">
        <f>(H44+'OD EIAData'!AC39/3)</f>
        <v>2.313918186212089E-3</v>
      </c>
      <c r="I45" s="198">
        <v>0.19070000000000009</v>
      </c>
      <c r="J45" s="206">
        <f>(J44+'OD EIAData'!AG39)</f>
        <v>0.21937693691506563</v>
      </c>
      <c r="K45" s="198">
        <v>0.63549999999999829</v>
      </c>
      <c r="L45" s="206">
        <f>(L44+'OD EIAData'!AI39/3)</f>
        <v>0.74823311365302436</v>
      </c>
      <c r="M45" s="200"/>
      <c r="N45" s="222">
        <f t="shared" si="35"/>
        <v>0</v>
      </c>
      <c r="O45" s="200">
        <v>0.18799999999999994</v>
      </c>
      <c r="P45" s="213">
        <f t="shared" si="32"/>
        <v>0.245</v>
      </c>
      <c r="Q45" s="200">
        <v>0.98</v>
      </c>
      <c r="R45" s="206">
        <f>(R44+'OD EIAData'!AP39/3)</f>
        <v>1.0038168158769287</v>
      </c>
      <c r="S45" s="200">
        <v>0.96599999999999997</v>
      </c>
      <c r="T45" s="206">
        <f>(T44+'OD EIAData'!AR39)</f>
        <v>1.9899252468898381</v>
      </c>
      <c r="U45" s="206">
        <v>1</v>
      </c>
      <c r="V45" s="200">
        <v>0.21899999999999967</v>
      </c>
      <c r="W45" s="213">
        <f>'OD EIAData'!AU39-'OD Shares'!U45</f>
        <v>0.19754528302938423</v>
      </c>
      <c r="X45" s="200">
        <v>6.5000000000000002E-2</v>
      </c>
      <c r="Y45" s="206">
        <f>(Y44+'OD EIAData'!AX39)</f>
        <v>0.44825782016094257</v>
      </c>
      <c r="Z45" s="200">
        <v>0.99</v>
      </c>
      <c r="AA45" s="206">
        <f>(AA44+'OD EIAData'!AN39)</f>
        <v>0.62402144981465502</v>
      </c>
      <c r="AB45" s="200">
        <v>0.99</v>
      </c>
      <c r="AC45" s="206">
        <f>(AC44+'OD EIAData'!AL39)</f>
        <v>0.96273499096694382</v>
      </c>
      <c r="AD45" s="200">
        <v>0.96699999999999997</v>
      </c>
      <c r="AE45" s="206">
        <f>(AE44+'OD EIAData'!AT39)</f>
        <v>0.98590794707111207</v>
      </c>
      <c r="AF45" s="200">
        <v>2.8376092015137693</v>
      </c>
      <c r="AG45" s="197">
        <f>'OD EIAData'!AY39</f>
        <v>3.7572082490650045</v>
      </c>
      <c r="AH45" s="206">
        <f>'OD EIAData'!BA39</f>
        <v>0.40162095853034924</v>
      </c>
      <c r="AI45" s="222">
        <f t="shared" si="34"/>
        <v>1</v>
      </c>
      <c r="AJ45" s="222">
        <f t="shared" si="34"/>
        <v>1</v>
      </c>
    </row>
    <row r="46" spans="1:37" x14ac:dyDescent="0.2">
      <c r="A46" s="208">
        <f t="shared" si="33"/>
        <v>2039</v>
      </c>
      <c r="B46" s="206">
        <f>(B45+'OD EIAData'!W45/3)</f>
        <v>0.15985177961534988</v>
      </c>
      <c r="C46" s="198">
        <v>0.15</v>
      </c>
      <c r="D46" s="206">
        <f>(D45+'OD EIAData'!Y45/3)</f>
        <v>0.7616857847911116</v>
      </c>
      <c r="E46" s="198">
        <v>0.69500000000000006</v>
      </c>
      <c r="F46" s="206"/>
      <c r="G46" s="198">
        <v>9.5605781170130785E-2</v>
      </c>
      <c r="H46" s="206">
        <f>(H45+'OD EIAData'!AC40/3)</f>
        <v>-1.7325414460720931E-4</v>
      </c>
      <c r="I46" s="198">
        <v>0.1909000000000001</v>
      </c>
      <c r="J46" s="206">
        <f>(J45+'OD EIAData'!AG40)</f>
        <v>0.22166575020726262</v>
      </c>
      <c r="K46" s="198">
        <v>0.63599999999999823</v>
      </c>
      <c r="L46" s="206">
        <f>(L45+'OD EIAData'!AI40/3)</f>
        <v>0.75078044251493714</v>
      </c>
      <c r="M46" s="200"/>
      <c r="N46" s="222">
        <f t="shared" si="35"/>
        <v>0</v>
      </c>
      <c r="O46" s="200">
        <v>0.18599999999999994</v>
      </c>
      <c r="P46" s="213">
        <f t="shared" si="32"/>
        <v>0.2445</v>
      </c>
      <c r="Q46" s="200">
        <v>0.98</v>
      </c>
      <c r="R46" s="206">
        <f>(R45+'OD EIAData'!AP40/3)</f>
        <v>1.0042768130301354</v>
      </c>
      <c r="S46" s="200">
        <v>0.96599999999999997</v>
      </c>
      <c r="T46" s="206">
        <f>(T45+'OD EIAData'!AR40)</f>
        <v>1.990876002715678</v>
      </c>
      <c r="U46" s="206">
        <v>1</v>
      </c>
      <c r="V46" s="200">
        <v>0.21899999999999967</v>
      </c>
      <c r="W46" s="213">
        <f>'OD EIAData'!AU40-'OD Shares'!U46</f>
        <v>0.19735857126078016</v>
      </c>
      <c r="X46" s="200">
        <v>6.5000000000000002E-2</v>
      </c>
      <c r="Y46" s="206">
        <f>(Y45+'OD EIAData'!AX40)</f>
        <v>0.44774957473840554</v>
      </c>
      <c r="Z46" s="200">
        <v>0.99</v>
      </c>
      <c r="AA46" s="206">
        <f>(AA45+'OD EIAData'!AN40)</f>
        <v>0.62838278936338288</v>
      </c>
      <c r="AB46" s="200">
        <v>0.99</v>
      </c>
      <c r="AC46" s="206">
        <f>(AC45+'OD EIAData'!AL40)</f>
        <v>0.96329576541024364</v>
      </c>
      <c r="AD46" s="200">
        <v>0.96699999999999997</v>
      </c>
      <c r="AE46" s="206">
        <f>(AE45+'OD EIAData'!AT40)</f>
        <v>0.98709212700005877</v>
      </c>
      <c r="AF46" s="200">
        <v>2.8376092015137693</v>
      </c>
      <c r="AG46" s="197">
        <f>'OD EIAData'!AY40</f>
        <v>3.7742546066672493</v>
      </c>
      <c r="AH46" s="206">
        <f>'OD EIAData'!BA40</f>
        <v>0.40016805715004217</v>
      </c>
      <c r="AI46" s="222">
        <f t="shared" si="34"/>
        <v>1</v>
      </c>
      <c r="AJ46" s="222">
        <f t="shared" si="34"/>
        <v>1</v>
      </c>
    </row>
    <row r="47" spans="1:37" x14ac:dyDescent="0.2">
      <c r="A47" s="208">
        <f t="shared" si="33"/>
        <v>2040</v>
      </c>
      <c r="B47" s="206">
        <f>(B46+'OD EIAData'!W46/3)</f>
        <v>0.15985177961534988</v>
      </c>
      <c r="C47" s="198">
        <v>0.15</v>
      </c>
      <c r="D47" s="206">
        <f>(D46+'OD EIAData'!Y46/3)</f>
        <v>0.7616857847911116</v>
      </c>
      <c r="E47" s="198">
        <v>0.69500000000000006</v>
      </c>
      <c r="F47" s="206"/>
      <c r="G47" s="198">
        <v>9.5605781170130785E-2</v>
      </c>
      <c r="H47" s="206">
        <f>(H46+'OD EIAData'!AC41/3)</f>
        <v>-2.6604264754265076E-3</v>
      </c>
      <c r="I47" s="198">
        <v>0.1911000000000001</v>
      </c>
      <c r="J47" s="206">
        <f>(J46+'OD EIAData'!AG41)</f>
        <v>0.22395456349945961</v>
      </c>
      <c r="K47" s="198">
        <v>0.63649999999999818</v>
      </c>
      <c r="L47" s="206">
        <f>(L46+'OD EIAData'!AI41/3)</f>
        <v>0.75332777137684992</v>
      </c>
      <c r="M47" s="200"/>
      <c r="N47" s="222">
        <f t="shared" si="35"/>
        <v>0</v>
      </c>
      <c r="O47" s="200">
        <v>0.18399999999999994</v>
      </c>
      <c r="P47" s="213">
        <f t="shared" si="32"/>
        <v>0.24399999999999999</v>
      </c>
      <c r="Q47" s="200">
        <v>0.98</v>
      </c>
      <c r="R47" s="206">
        <f>(R46+'OD EIAData'!AP41/3)</f>
        <v>1.004736810183342</v>
      </c>
      <c r="S47" s="200">
        <v>0.96599999999999997</v>
      </c>
      <c r="T47" s="206">
        <f>(T46+'OD EIAData'!AR41)</f>
        <v>1.9918267585415179</v>
      </c>
      <c r="U47" s="206">
        <v>1</v>
      </c>
      <c r="V47" s="200">
        <v>0.21899999999999967</v>
      </c>
      <c r="W47" s="213">
        <f>'OD EIAData'!AU41-'OD Shares'!U47</f>
        <v>0.19717188860279511</v>
      </c>
      <c r="X47" s="200">
        <v>6.5000000000000002E-2</v>
      </c>
      <c r="Y47" s="206">
        <f>(Y46+'OD EIAData'!AX41)</f>
        <v>0.44724132931586852</v>
      </c>
      <c r="Z47" s="200">
        <v>0.99</v>
      </c>
      <c r="AA47" s="206">
        <f>(AA46+'OD EIAData'!AN41)</f>
        <v>0.63274412891211074</v>
      </c>
      <c r="AB47" s="200">
        <v>0.99</v>
      </c>
      <c r="AC47" s="206">
        <f>(AC46+'OD EIAData'!AL41)</f>
        <v>0.96385653985354347</v>
      </c>
      <c r="AD47" s="200">
        <v>0.96699999999999997</v>
      </c>
      <c r="AE47" s="206">
        <f>(AE46+'OD EIAData'!AT41)</f>
        <v>0.98827630692900548</v>
      </c>
      <c r="AF47" s="200">
        <v>2.8376092015137693</v>
      </c>
      <c r="AG47" s="197">
        <f>'OD EIAData'!AY41</f>
        <v>3.7913783031573707</v>
      </c>
      <c r="AH47" s="206">
        <f>'OD EIAData'!BA41</f>
        <v>0.39872041177636536</v>
      </c>
      <c r="AI47" s="222">
        <f t="shared" si="34"/>
        <v>1</v>
      </c>
      <c r="AJ47" s="222">
        <f t="shared" si="34"/>
        <v>1</v>
      </c>
    </row>
    <row r="48" spans="1:37" x14ac:dyDescent="0.2">
      <c r="A48" s="208">
        <f t="shared" si="33"/>
        <v>2041</v>
      </c>
      <c r="B48" s="206">
        <f>(B47+'OD EIAData'!W47/3)</f>
        <v>0.15985177961534988</v>
      </c>
      <c r="C48" s="198">
        <v>0.15</v>
      </c>
      <c r="D48" s="206">
        <f>(D47+'OD EIAData'!Y47/3)</f>
        <v>0.7616857847911116</v>
      </c>
      <c r="E48" s="198">
        <v>0.69500000000000006</v>
      </c>
      <c r="F48" s="206"/>
      <c r="G48" s="198">
        <v>9.5605781170130785E-2</v>
      </c>
      <c r="H48" s="206">
        <f>(H47+'OD EIAData'!AC42/3)</f>
        <v>-5.147598806245806E-3</v>
      </c>
      <c r="I48" s="198">
        <v>0.19130000000000011</v>
      </c>
      <c r="J48" s="206">
        <f>(J47+'OD EIAData'!AG42)</f>
        <v>0.2262433767916566</v>
      </c>
      <c r="K48" s="198">
        <v>0.63699999999999812</v>
      </c>
      <c r="L48" s="206">
        <f>(L47+'OD EIAData'!AI42/3)</f>
        <v>0.7558751002387627</v>
      </c>
      <c r="M48" s="200"/>
      <c r="N48" s="222">
        <f t="shared" si="35"/>
        <v>0</v>
      </c>
      <c r="O48" s="200">
        <v>0.18199999999999994</v>
      </c>
      <c r="P48" s="213">
        <f t="shared" si="32"/>
        <v>0.24349999999999999</v>
      </c>
      <c r="Q48" s="200">
        <v>0.98</v>
      </c>
      <c r="R48" s="206">
        <f>(R47+'OD EIAData'!AP42/3)</f>
        <v>1.0051968073365487</v>
      </c>
      <c r="S48" s="200">
        <v>0.96599999999999997</v>
      </c>
      <c r="T48" s="206">
        <f>(T47+'OD EIAData'!AR42)</f>
        <v>1.9927775143673578</v>
      </c>
      <c r="U48" s="206">
        <v>1</v>
      </c>
      <c r="V48" s="200">
        <v>0.21899999999999967</v>
      </c>
      <c r="W48" s="213">
        <f>'OD EIAData'!AU42-'OD Shares'!U48</f>
        <v>0.19698523505089027</v>
      </c>
      <c r="X48" s="200">
        <v>6.5000000000000002E-2</v>
      </c>
      <c r="Y48" s="206">
        <f>(Y47+'OD EIAData'!AX42)</f>
        <v>0.4467330838933315</v>
      </c>
      <c r="Z48" s="200">
        <v>0.99</v>
      </c>
      <c r="AA48" s="206">
        <f>(AA47+'OD EIAData'!AN42)</f>
        <v>0.6371054684608386</v>
      </c>
      <c r="AB48" s="200">
        <v>0.99</v>
      </c>
      <c r="AC48" s="206">
        <f>(AC47+'OD EIAData'!AL42)</f>
        <v>0.9644173142968433</v>
      </c>
      <c r="AD48" s="200">
        <v>0.96699999999999997</v>
      </c>
      <c r="AE48" s="206">
        <f>(AE47+'OD EIAData'!AT42)</f>
        <v>0.98946048685795218</v>
      </c>
      <c r="AF48" s="200">
        <v>2.8376092015137693</v>
      </c>
      <c r="AG48" s="197">
        <f>'OD EIAData'!AY42</f>
        <v>3.8085796894199224</v>
      </c>
      <c r="AH48" s="206">
        <f>'OD EIAData'!BA42</f>
        <v>0.39727800339522329</v>
      </c>
      <c r="AI48" s="222">
        <f t="shared" si="34"/>
        <v>1</v>
      </c>
      <c r="AJ48" s="222">
        <f t="shared" si="34"/>
        <v>1</v>
      </c>
    </row>
    <row r="49" spans="1:36" x14ac:dyDescent="0.2">
      <c r="A49" s="208">
        <f t="shared" si="33"/>
        <v>2042</v>
      </c>
      <c r="B49" s="206">
        <f>(B48+'OD EIAData'!W48/3)</f>
        <v>0.15985177961534988</v>
      </c>
      <c r="C49" s="198"/>
      <c r="D49" s="206">
        <f>(D48+'OD EIAData'!Y48/3)</f>
        <v>0.7616857847911116</v>
      </c>
      <c r="F49" s="206"/>
      <c r="H49" s="206">
        <f>(H48+'OD EIAData'!AC43/3)</f>
        <v>-7.6347711370651408E-3</v>
      </c>
      <c r="J49" s="206">
        <f>(J48+'OD EIAData'!AG43)</f>
        <v>0.22853219008385359</v>
      </c>
      <c r="L49" s="206">
        <f>(L48+'OD EIAData'!AI43/3)</f>
        <v>0.75842242910067548</v>
      </c>
      <c r="N49" s="222">
        <f>N48</f>
        <v>0</v>
      </c>
      <c r="P49" s="213">
        <f t="shared" si="32"/>
        <v>0.24299999999999999</v>
      </c>
      <c r="R49" s="206">
        <f>(R48+'OD EIAData'!AP43/3)</f>
        <v>1.0056568044897554</v>
      </c>
      <c r="T49" s="206">
        <f>(T48+'OD EIAData'!AR43)</f>
        <v>1.9937282701931978</v>
      </c>
      <c r="U49" s="206">
        <v>1</v>
      </c>
      <c r="W49" s="213">
        <f>'OD EIAData'!AU43-'OD Shares'!U49</f>
        <v>0.19679861060052772</v>
      </c>
      <c r="X49" s="200">
        <v>0</v>
      </c>
      <c r="Y49" s="206">
        <f>(Y48+'OD EIAData'!AX43)</f>
        <v>0.44622483847079447</v>
      </c>
      <c r="Z49" s="200">
        <v>0</v>
      </c>
      <c r="AA49" s="206">
        <f>(AA48+'OD EIAData'!AN43)</f>
        <v>0.64146680800956646</v>
      </c>
      <c r="AB49" s="200">
        <v>0</v>
      </c>
      <c r="AC49" s="206">
        <f>(AC48+'OD EIAData'!AL43)</f>
        <v>0.96497808874014313</v>
      </c>
      <c r="AD49" s="200">
        <v>0</v>
      </c>
      <c r="AE49" s="206">
        <f>(AE48+'OD EIAData'!AT43)</f>
        <v>0.99064466678689889</v>
      </c>
      <c r="AF49" s="200">
        <v>0</v>
      </c>
      <c r="AG49" s="197">
        <f>'OD EIAData'!AY43</f>
        <v>3.8258591179314121</v>
      </c>
      <c r="AH49" s="206">
        <f>'OD EIAData'!BA43</f>
        <v>0.39584081306130564</v>
      </c>
      <c r="AI49" s="222">
        <f t="shared" si="34"/>
        <v>1</v>
      </c>
      <c r="AJ49" s="222">
        <f t="shared" si="34"/>
        <v>1</v>
      </c>
    </row>
    <row r="50" spans="1:36" x14ac:dyDescent="0.2">
      <c r="AG50" s="197"/>
    </row>
    <row r="51" spans="1:36" x14ac:dyDescent="0.2">
      <c r="AG51" s="197"/>
    </row>
    <row r="52" spans="1:36" x14ac:dyDescent="0.2">
      <c r="AG52" s="197"/>
    </row>
    <row r="53" spans="1:36" x14ac:dyDescent="0.2">
      <c r="AG53" s="197"/>
    </row>
    <row r="54" spans="1:36" x14ac:dyDescent="0.2">
      <c r="AG54" s="197"/>
    </row>
    <row r="55" spans="1:36" x14ac:dyDescent="0.2">
      <c r="AG55" s="197"/>
    </row>
    <row r="56" spans="1:36" x14ac:dyDescent="0.2">
      <c r="AG56" s="197"/>
    </row>
    <row r="57" spans="1:36" x14ac:dyDescent="0.2">
      <c r="AG57" s="197"/>
    </row>
    <row r="58" spans="1:36" x14ac:dyDescent="0.2">
      <c r="AG58" s="197"/>
    </row>
    <row r="59" spans="1:36" x14ac:dyDescent="0.2">
      <c r="AG59" s="197"/>
    </row>
  </sheetData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L2" sqref="L2:L13"/>
    </sheetView>
  </sheetViews>
  <sheetFormatPr defaultRowHeight="12.75" x14ac:dyDescent="0.2"/>
  <cols>
    <col min="1" max="1" width="14.85546875" bestFit="1" customWidth="1"/>
    <col min="2" max="2" width="12" customWidth="1"/>
  </cols>
  <sheetData>
    <row r="3" spans="1:2" x14ac:dyDescent="0.2">
      <c r="A3" t="s">
        <v>213</v>
      </c>
    </row>
    <row r="4" spans="1:2" x14ac:dyDescent="0.2">
      <c r="A4" t="s">
        <v>15</v>
      </c>
      <c r="B4" t="s">
        <v>210</v>
      </c>
    </row>
    <row r="5" spans="1:2" x14ac:dyDescent="0.2">
      <c r="A5">
        <v>2025</v>
      </c>
      <c r="B5" s="219">
        <v>8.3275989943828534</v>
      </c>
    </row>
    <row r="6" spans="1:2" x14ac:dyDescent="0.2">
      <c r="A6">
        <v>2026</v>
      </c>
      <c r="B6" s="219">
        <v>8.3494125211931092</v>
      </c>
    </row>
    <row r="7" spans="1:2" x14ac:dyDescent="0.2">
      <c r="A7">
        <v>2027</v>
      </c>
      <c r="B7" s="219">
        <v>8.3668992443359684</v>
      </c>
    </row>
    <row r="8" spans="1:2" x14ac:dyDescent="0.2">
      <c r="A8">
        <v>2028</v>
      </c>
      <c r="B8" s="219">
        <v>8.3820133515158552</v>
      </c>
    </row>
    <row r="9" spans="1:2" x14ac:dyDescent="0.2">
      <c r="A9">
        <v>2029</v>
      </c>
      <c r="B9" s="219">
        <v>8.3945062409389717</v>
      </c>
    </row>
    <row r="10" spans="1:2" x14ac:dyDescent="0.2">
      <c r="A10">
        <v>2030</v>
      </c>
      <c r="B10" s="219">
        <v>8.405648247040185</v>
      </c>
    </row>
    <row r="11" spans="1:2" x14ac:dyDescent="0.2">
      <c r="A11">
        <v>2031</v>
      </c>
      <c r="B11" s="219">
        <v>8.4157941304593287</v>
      </c>
    </row>
    <row r="12" spans="1:2" x14ac:dyDescent="0.2">
      <c r="A12">
        <v>2032</v>
      </c>
      <c r="B12" s="219">
        <v>8.4249576911533275</v>
      </c>
    </row>
    <row r="13" spans="1:2" x14ac:dyDescent="0.2">
      <c r="A13">
        <v>2033</v>
      </c>
      <c r="B13" s="219">
        <v>8.4317027270645557</v>
      </c>
    </row>
    <row r="14" spans="1:2" x14ac:dyDescent="0.2">
      <c r="A14">
        <v>2034</v>
      </c>
      <c r="B14" s="219">
        <v>8.436276245805697</v>
      </c>
    </row>
    <row r="15" spans="1:2" x14ac:dyDescent="0.2">
      <c r="A15">
        <v>2035</v>
      </c>
      <c r="B15" s="219">
        <v>8.4384683863519196</v>
      </c>
    </row>
    <row r="16" spans="1:2" x14ac:dyDescent="0.2">
      <c r="A16">
        <v>2036</v>
      </c>
      <c r="B16" s="219">
        <v>8.4406605268981423</v>
      </c>
    </row>
    <row r="17" spans="1:2" x14ac:dyDescent="0.2">
      <c r="A17">
        <v>2037</v>
      </c>
      <c r="B17" s="219">
        <v>8.4428526674443649</v>
      </c>
    </row>
    <row r="18" spans="1:2" x14ac:dyDescent="0.2">
      <c r="A18">
        <v>2038</v>
      </c>
      <c r="B18" s="219">
        <v>8.4450448079905875</v>
      </c>
    </row>
    <row r="19" spans="1:2" x14ac:dyDescent="0.2">
      <c r="A19">
        <v>2039</v>
      </c>
      <c r="B19" s="219">
        <v>8.4472369485368102</v>
      </c>
    </row>
    <row r="20" spans="1:2" x14ac:dyDescent="0.2">
      <c r="A20">
        <v>2040</v>
      </c>
      <c r="B20" s="219">
        <v>8.4494290890830328</v>
      </c>
    </row>
    <row r="21" spans="1:2" x14ac:dyDescent="0.2">
      <c r="A21">
        <v>2041</v>
      </c>
      <c r="B21" s="219">
        <v>8.4516212296292554</v>
      </c>
    </row>
    <row r="22" spans="1:2" x14ac:dyDescent="0.2">
      <c r="A22">
        <v>2042</v>
      </c>
      <c r="B22" s="219">
        <v>8.4538133701754781</v>
      </c>
    </row>
    <row r="23" spans="1:2" x14ac:dyDescent="0.2">
      <c r="A23" t="s">
        <v>212</v>
      </c>
      <c r="B23" s="219">
        <v>151.50393641999946</v>
      </c>
    </row>
  </sheetData>
  <pageMargins left="0.7" right="0.7" top="0.75" bottom="0.75" header="0.3" footer="0.3"/>
  <pageSetup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view="pageBreakPreview" zoomScale="60" zoomScaleNormal="100" workbookViewId="0">
      <pane ySplit="1" topLeftCell="A6" activePane="bottomLeft" state="frozenSplit"/>
      <selection activeCell="P1" sqref="P1:Q15"/>
      <selection pane="bottomLeft" activeCell="P1" sqref="P1:Q15"/>
    </sheetView>
  </sheetViews>
  <sheetFormatPr defaultRowHeight="12.75" x14ac:dyDescent="0.2"/>
  <cols>
    <col min="1" max="1" width="5.85546875" customWidth="1"/>
    <col min="2" max="2" width="7" style="9" bestFit="1" customWidth="1"/>
    <col min="3" max="3" width="8.28515625" style="9" bestFit="1" customWidth="1"/>
    <col min="4" max="5" width="8.28515625" style="9" customWidth="1"/>
    <col min="6" max="6" width="7.28515625" style="9" bestFit="1" customWidth="1"/>
    <col min="7" max="7" width="8.28515625" style="9" bestFit="1" customWidth="1"/>
    <col min="8" max="8" width="8.28515625" style="9" customWidth="1"/>
    <col min="9" max="9" width="6.7109375" style="9" bestFit="1" customWidth="1"/>
    <col min="10" max="10" width="8.7109375" style="9" bestFit="1" customWidth="1"/>
    <col min="11" max="11" width="8.7109375" style="44" bestFit="1" customWidth="1"/>
    <col min="12" max="14" width="10.28515625" style="44" bestFit="1" customWidth="1"/>
    <col min="15" max="16" width="8.7109375" style="44" bestFit="1" customWidth="1"/>
    <col min="17" max="17" width="10.28515625" style="44" bestFit="1" customWidth="1"/>
    <col min="18" max="18" width="8.7109375" style="44" bestFit="1" customWidth="1"/>
    <col min="19" max="19" width="8.7109375" style="44" customWidth="1"/>
    <col min="20" max="20" width="10.28515625" style="44" bestFit="1" customWidth="1"/>
    <col min="21" max="21" width="10.28515625" style="44" customWidth="1"/>
    <col min="22" max="22" width="9.42578125" style="236" bestFit="1" customWidth="1"/>
    <col min="24" max="24" width="9.28515625" bestFit="1" customWidth="1"/>
  </cols>
  <sheetData>
    <row r="1" spans="1:29" s="3" customFormat="1" x14ac:dyDescent="0.2">
      <c r="A1" s="18" t="s">
        <v>15</v>
      </c>
      <c r="B1" s="41" t="s">
        <v>0</v>
      </c>
      <c r="C1" s="41" t="s">
        <v>1</v>
      </c>
      <c r="D1" s="41" t="s">
        <v>163</v>
      </c>
      <c r="E1" s="41" t="s">
        <v>145</v>
      </c>
      <c r="F1" s="41" t="s">
        <v>2</v>
      </c>
      <c r="G1" s="41" t="s">
        <v>3</v>
      </c>
      <c r="H1" s="41" t="s">
        <v>165</v>
      </c>
      <c r="I1" s="41" t="s">
        <v>4</v>
      </c>
      <c r="J1" s="41" t="s">
        <v>5</v>
      </c>
      <c r="K1" s="37" t="s">
        <v>6</v>
      </c>
      <c r="L1" s="38" t="s">
        <v>7</v>
      </c>
      <c r="M1" s="38" t="s">
        <v>8</v>
      </c>
      <c r="N1" s="38" t="s">
        <v>9</v>
      </c>
      <c r="O1" s="37" t="s">
        <v>10</v>
      </c>
      <c r="P1" s="37"/>
      <c r="Q1" s="37"/>
      <c r="R1" s="38" t="s">
        <v>100</v>
      </c>
      <c r="S1" s="38" t="s">
        <v>173</v>
      </c>
      <c r="T1" s="38" t="s">
        <v>13</v>
      </c>
      <c r="U1" s="38" t="s">
        <v>216</v>
      </c>
      <c r="V1" s="38" t="s">
        <v>214</v>
      </c>
      <c r="W1" s="3" t="s">
        <v>217</v>
      </c>
      <c r="X1" s="226" t="s">
        <v>14</v>
      </c>
    </row>
    <row r="2" spans="1:29" x14ac:dyDescent="0.2">
      <c r="A2" s="24">
        <v>1995</v>
      </c>
      <c r="B2" s="325">
        <v>3.4119999999999999</v>
      </c>
      <c r="C2" s="119">
        <v>6.6145431549056699</v>
      </c>
      <c r="D2" s="119">
        <v>3.22</v>
      </c>
      <c r="E2" s="119">
        <v>672.80825918693779</v>
      </c>
      <c r="F2" s="119">
        <v>9.0326946012654545</v>
      </c>
      <c r="G2" s="119">
        <v>10.100210866762</v>
      </c>
      <c r="H2" s="119">
        <v>12.759999999999987</v>
      </c>
      <c r="I2" s="119">
        <v>8.2767889420950311</v>
      </c>
      <c r="J2" s="119">
        <v>0.86162231376373388</v>
      </c>
      <c r="K2" s="119">
        <v>332.28448403002676</v>
      </c>
      <c r="L2" s="119">
        <v>785.42382844601207</v>
      </c>
      <c r="M2" s="119">
        <v>706.88144560141018</v>
      </c>
      <c r="N2" s="119">
        <v>597.8861696134619</v>
      </c>
      <c r="O2" s="119">
        <v>516.35370934786215</v>
      </c>
      <c r="P2" s="119"/>
      <c r="Q2" s="119"/>
      <c r="R2" s="119">
        <v>192.30104310978115</v>
      </c>
      <c r="S2" s="119">
        <v>417.63542342875638</v>
      </c>
      <c r="T2" s="119">
        <v>1994.4411425298797</v>
      </c>
      <c r="U2" s="119"/>
      <c r="V2" s="233">
        <v>2926.6635745911367</v>
      </c>
      <c r="W2" s="129"/>
      <c r="X2" s="227">
        <v>2905.497023945918</v>
      </c>
    </row>
    <row r="3" spans="1:29" x14ac:dyDescent="0.2">
      <c r="A3" s="24">
        <v>1996</v>
      </c>
      <c r="B3" s="325">
        <v>3.4119999999999999</v>
      </c>
      <c r="C3" s="124">
        <f>C2+((C$12-C$2)/10)</f>
        <v>6.65948938012379</v>
      </c>
      <c r="D3" s="124">
        <f t="shared" ref="D3:T11" si="0">D2+((D$12-D$2)/10)</f>
        <v>3.2280000000000002</v>
      </c>
      <c r="E3" s="124">
        <f t="shared" si="0"/>
        <v>668.07399668742369</v>
      </c>
      <c r="F3" s="124">
        <f t="shared" si="0"/>
        <v>9.2484880402426786</v>
      </c>
      <c r="G3" s="124">
        <f t="shared" si="0"/>
        <v>10.242073513409206</v>
      </c>
      <c r="H3" s="124">
        <f t="shared" si="0"/>
        <v>12.863999999999988</v>
      </c>
      <c r="I3" s="124">
        <f t="shared" si="0"/>
        <v>8.3952412804142877</v>
      </c>
      <c r="J3" s="124">
        <f t="shared" si="0"/>
        <v>0.86373287526832121</v>
      </c>
      <c r="K3" s="124">
        <f t="shared" si="0"/>
        <v>332.19678296536182</v>
      </c>
      <c r="L3" s="124">
        <f t="shared" si="0"/>
        <v>773.24932431927755</v>
      </c>
      <c r="M3" s="124">
        <f t="shared" si="0"/>
        <v>695.9243918873492</v>
      </c>
      <c r="N3" s="124">
        <f t="shared" si="0"/>
        <v>591.15569892400902</v>
      </c>
      <c r="O3" s="124">
        <f t="shared" si="0"/>
        <v>508.12395663771969</v>
      </c>
      <c r="P3" s="124"/>
      <c r="Q3" s="124"/>
      <c r="R3" s="124">
        <f t="shared" si="0"/>
        <v>173.07093879880304</v>
      </c>
      <c r="S3" s="124">
        <f t="shared" si="0"/>
        <v>375.87188108588077</v>
      </c>
      <c r="T3" s="124">
        <f t="shared" si="0"/>
        <v>1995.9372186985383</v>
      </c>
      <c r="U3" s="124"/>
      <c r="V3" s="233">
        <v>3033.7744795638791</v>
      </c>
      <c r="W3" s="147"/>
      <c r="X3" s="228">
        <v>3007.1968255423126</v>
      </c>
      <c r="Y3" s="147"/>
      <c r="Z3" s="147"/>
      <c r="AA3" s="147"/>
      <c r="AB3" s="147"/>
      <c r="AC3" s="147"/>
    </row>
    <row r="4" spans="1:29" x14ac:dyDescent="0.2">
      <c r="A4" s="24">
        <v>1997</v>
      </c>
      <c r="B4" s="325">
        <v>3.4119999999999999</v>
      </c>
      <c r="C4" s="124">
        <f t="shared" ref="C4:C11" si="1">C3+((C$12-C$2)/10)</f>
        <v>6.7044356053419101</v>
      </c>
      <c r="D4" s="124">
        <f t="shared" si="0"/>
        <v>3.2360000000000002</v>
      </c>
      <c r="E4" s="124">
        <f t="shared" si="0"/>
        <v>663.33973418790958</v>
      </c>
      <c r="F4" s="124">
        <f t="shared" si="0"/>
        <v>9.4642814792199026</v>
      </c>
      <c r="G4" s="124">
        <f t="shared" si="0"/>
        <v>10.383936160056413</v>
      </c>
      <c r="H4" s="124">
        <f t="shared" si="0"/>
        <v>12.967999999999989</v>
      </c>
      <c r="I4" s="124">
        <f t="shared" si="0"/>
        <v>8.5136936187335444</v>
      </c>
      <c r="J4" s="124">
        <f t="shared" si="0"/>
        <v>0.86584343677290854</v>
      </c>
      <c r="K4" s="124">
        <f t="shared" si="0"/>
        <v>332.10908190069688</v>
      </c>
      <c r="L4" s="124">
        <f t="shared" si="0"/>
        <v>761.07482019254303</v>
      </c>
      <c r="M4" s="124">
        <f t="shared" si="0"/>
        <v>684.96733817328823</v>
      </c>
      <c r="N4" s="124">
        <f t="shared" si="0"/>
        <v>584.42522823455613</v>
      </c>
      <c r="O4" s="124">
        <f t="shared" si="0"/>
        <v>499.89420392757722</v>
      </c>
      <c r="P4" s="124"/>
      <c r="Q4" s="124"/>
      <c r="R4" s="124">
        <f t="shared" si="0"/>
        <v>153.84083448782494</v>
      </c>
      <c r="S4" s="124">
        <f t="shared" si="0"/>
        <v>334.10833874300511</v>
      </c>
      <c r="T4" s="124">
        <f t="shared" si="0"/>
        <v>1997.433294867197</v>
      </c>
      <c r="U4" s="124"/>
      <c r="V4" s="233">
        <v>3140.8853845366216</v>
      </c>
      <c r="W4" s="147"/>
      <c r="X4" s="228">
        <v>3108.8966271387071</v>
      </c>
      <c r="Y4" s="147"/>
      <c r="Z4" s="147"/>
      <c r="AA4" s="147"/>
      <c r="AB4" s="147"/>
      <c r="AC4" s="147"/>
    </row>
    <row r="5" spans="1:29" x14ac:dyDescent="0.2">
      <c r="A5" s="24">
        <v>1998</v>
      </c>
      <c r="B5" s="325">
        <v>3.4119999999999999</v>
      </c>
      <c r="C5" s="124">
        <f t="shared" si="1"/>
        <v>6.7493818305600302</v>
      </c>
      <c r="D5" s="124">
        <f t="shared" si="0"/>
        <v>3.2440000000000002</v>
      </c>
      <c r="E5" s="124">
        <f t="shared" si="0"/>
        <v>658.60547168839548</v>
      </c>
      <c r="F5" s="124">
        <f t="shared" si="0"/>
        <v>9.6800749181971266</v>
      </c>
      <c r="G5" s="124">
        <f t="shared" si="0"/>
        <v>10.525798806703619</v>
      </c>
      <c r="H5" s="124">
        <f t="shared" si="0"/>
        <v>13.07199999999999</v>
      </c>
      <c r="I5" s="124">
        <f t="shared" si="0"/>
        <v>8.632145957052801</v>
      </c>
      <c r="J5" s="124">
        <f t="shared" si="0"/>
        <v>0.86795399827749586</v>
      </c>
      <c r="K5" s="124">
        <f t="shared" si="0"/>
        <v>332.02138083603194</v>
      </c>
      <c r="L5" s="124">
        <f t="shared" si="0"/>
        <v>748.90031606580851</v>
      </c>
      <c r="M5" s="124">
        <f t="shared" si="0"/>
        <v>674.01028445922725</v>
      </c>
      <c r="N5" s="124">
        <f t="shared" si="0"/>
        <v>577.69475754510324</v>
      </c>
      <c r="O5" s="124">
        <f t="shared" si="0"/>
        <v>491.66445121743476</v>
      </c>
      <c r="P5" s="124"/>
      <c r="Q5" s="124"/>
      <c r="R5" s="124">
        <f t="shared" si="0"/>
        <v>134.61073017684683</v>
      </c>
      <c r="S5" s="124">
        <f t="shared" si="0"/>
        <v>292.34479640012944</v>
      </c>
      <c r="T5" s="124">
        <f t="shared" si="0"/>
        <v>1998.9293710358556</v>
      </c>
      <c r="U5" s="124"/>
      <c r="V5" s="233">
        <v>3247.996289509364</v>
      </c>
      <c r="W5" s="147"/>
      <c r="X5" s="228">
        <v>3210.5964287351017</v>
      </c>
      <c r="Y5" s="147"/>
      <c r="Z5" s="147"/>
      <c r="AA5" s="147"/>
      <c r="AB5" s="147"/>
      <c r="AC5" s="147"/>
    </row>
    <row r="6" spans="1:29" x14ac:dyDescent="0.2">
      <c r="A6" s="24">
        <v>1999</v>
      </c>
      <c r="B6" s="325">
        <v>3.4119999999999999</v>
      </c>
      <c r="C6" s="124">
        <f t="shared" si="1"/>
        <v>6.7943280557781502</v>
      </c>
      <c r="D6" s="124">
        <f t="shared" si="0"/>
        <v>3.2520000000000002</v>
      </c>
      <c r="E6" s="124">
        <f t="shared" si="0"/>
        <v>653.87120918888138</v>
      </c>
      <c r="F6" s="124">
        <f t="shared" si="0"/>
        <v>9.8958683571743506</v>
      </c>
      <c r="G6" s="124">
        <f t="shared" si="0"/>
        <v>10.667661453350826</v>
      </c>
      <c r="H6" s="124">
        <f t="shared" si="0"/>
        <v>13.175999999999991</v>
      </c>
      <c r="I6" s="124">
        <f t="shared" si="0"/>
        <v>8.7505982953720576</v>
      </c>
      <c r="J6" s="124">
        <f t="shared" si="0"/>
        <v>0.87006455978208319</v>
      </c>
      <c r="K6" s="124">
        <f t="shared" si="0"/>
        <v>331.933679771367</v>
      </c>
      <c r="L6" s="124">
        <f t="shared" si="0"/>
        <v>736.72581193907399</v>
      </c>
      <c r="M6" s="124">
        <f t="shared" si="0"/>
        <v>663.05323074516627</v>
      </c>
      <c r="N6" s="124">
        <f t="shared" si="0"/>
        <v>570.96428685565036</v>
      </c>
      <c r="O6" s="124">
        <f t="shared" si="0"/>
        <v>483.4346985072923</v>
      </c>
      <c r="P6" s="124"/>
      <c r="Q6" s="124"/>
      <c r="R6" s="124">
        <f t="shared" si="0"/>
        <v>115.38062586586872</v>
      </c>
      <c r="S6" s="124">
        <f t="shared" si="0"/>
        <v>250.5812540572538</v>
      </c>
      <c r="T6" s="124">
        <f t="shared" si="0"/>
        <v>2000.4254472045143</v>
      </c>
      <c r="U6" s="124"/>
      <c r="V6" s="233">
        <v>3355.1071944821065</v>
      </c>
      <c r="W6" s="147"/>
      <c r="X6" s="228">
        <v>3312.2962303314962</v>
      </c>
      <c r="Y6" s="147"/>
      <c r="Z6" s="147"/>
      <c r="AA6" s="147"/>
      <c r="AB6" s="147"/>
      <c r="AC6" s="147"/>
    </row>
    <row r="7" spans="1:29" x14ac:dyDescent="0.2">
      <c r="A7" s="24">
        <v>2000</v>
      </c>
      <c r="B7" s="325">
        <v>3.4119999999999999</v>
      </c>
      <c r="C7" s="124">
        <f t="shared" si="1"/>
        <v>6.8392742809962703</v>
      </c>
      <c r="D7" s="124">
        <f t="shared" si="0"/>
        <v>3.2600000000000002</v>
      </c>
      <c r="E7" s="124">
        <f t="shared" si="0"/>
        <v>649.13694668936728</v>
      </c>
      <c r="F7" s="124">
        <f t="shared" si="0"/>
        <v>10.111661796151575</v>
      </c>
      <c r="G7" s="124">
        <f t="shared" si="0"/>
        <v>10.809524099998033</v>
      </c>
      <c r="H7" s="124">
        <f t="shared" si="0"/>
        <v>13.279999999999992</v>
      </c>
      <c r="I7" s="124">
        <f t="shared" si="0"/>
        <v>8.8690506336913142</v>
      </c>
      <c r="J7" s="124">
        <f t="shared" si="0"/>
        <v>0.87217512128667052</v>
      </c>
      <c r="K7" s="124">
        <f t="shared" si="0"/>
        <v>331.84597870670206</v>
      </c>
      <c r="L7" s="124">
        <f t="shared" si="0"/>
        <v>724.55130781233947</v>
      </c>
      <c r="M7" s="124">
        <f t="shared" si="0"/>
        <v>652.0961770311053</v>
      </c>
      <c r="N7" s="124">
        <f t="shared" si="0"/>
        <v>564.23381616619747</v>
      </c>
      <c r="O7" s="124">
        <f t="shared" si="0"/>
        <v>475.20494579714983</v>
      </c>
      <c r="P7" s="124"/>
      <c r="Q7" s="124"/>
      <c r="R7" s="124">
        <f t="shared" si="0"/>
        <v>96.150521554890616</v>
      </c>
      <c r="S7" s="124">
        <f t="shared" si="0"/>
        <v>208.81771171437816</v>
      </c>
      <c r="T7" s="124">
        <f t="shared" si="0"/>
        <v>2001.9215233731729</v>
      </c>
      <c r="U7" s="124"/>
      <c r="V7" s="233">
        <v>3462.2180994548489</v>
      </c>
      <c r="W7" s="147"/>
      <c r="X7" s="228">
        <v>3413.9960319278907</v>
      </c>
      <c r="Y7" s="147"/>
      <c r="Z7" s="147"/>
      <c r="AA7" s="147"/>
      <c r="AB7" s="147"/>
      <c r="AC7" s="147"/>
    </row>
    <row r="8" spans="1:29" x14ac:dyDescent="0.2">
      <c r="A8" s="24">
        <v>2001</v>
      </c>
      <c r="B8" s="148">
        <v>3.4119999999999999</v>
      </c>
      <c r="C8" s="124">
        <f t="shared" si="1"/>
        <v>6.8842205062143904</v>
      </c>
      <c r="D8" s="124">
        <f t="shared" si="0"/>
        <v>3.2680000000000002</v>
      </c>
      <c r="E8" s="124">
        <f t="shared" si="0"/>
        <v>644.40268418985318</v>
      </c>
      <c r="F8" s="124">
        <f t="shared" si="0"/>
        <v>10.327455235128799</v>
      </c>
      <c r="G8" s="124">
        <f t="shared" si="0"/>
        <v>10.951386746645239</v>
      </c>
      <c r="H8" s="124">
        <f t="shared" si="0"/>
        <v>13.383999999999993</v>
      </c>
      <c r="I8" s="124">
        <f t="shared" si="0"/>
        <v>8.9875029720105708</v>
      </c>
      <c r="J8" s="124">
        <f t="shared" si="0"/>
        <v>0.87428568279125785</v>
      </c>
      <c r="K8" s="124">
        <f t="shared" si="0"/>
        <v>331.75827764203711</v>
      </c>
      <c r="L8" s="124">
        <f t="shared" si="0"/>
        <v>712.37680368560495</v>
      </c>
      <c r="M8" s="124">
        <f t="shared" si="0"/>
        <v>641.13912331704432</v>
      </c>
      <c r="N8" s="124">
        <f t="shared" si="0"/>
        <v>557.50334547674458</v>
      </c>
      <c r="O8" s="124">
        <f t="shared" si="0"/>
        <v>466.97519308700737</v>
      </c>
      <c r="P8" s="124"/>
      <c r="Q8" s="124"/>
      <c r="R8" s="124">
        <f t="shared" si="0"/>
        <v>76.92041724391251</v>
      </c>
      <c r="S8" s="124">
        <f t="shared" si="0"/>
        <v>167.05416937150252</v>
      </c>
      <c r="T8" s="124">
        <f t="shared" si="0"/>
        <v>2003.4175995418316</v>
      </c>
      <c r="U8" s="124"/>
      <c r="V8" s="233">
        <v>3569.3290044275914</v>
      </c>
      <c r="W8" s="147"/>
      <c r="X8" s="228">
        <v>3515.6958335242853</v>
      </c>
      <c r="Y8" s="147"/>
      <c r="Z8" s="147"/>
      <c r="AA8" s="147"/>
      <c r="AB8" s="147"/>
      <c r="AC8" s="147"/>
    </row>
    <row r="9" spans="1:29" x14ac:dyDescent="0.2">
      <c r="A9" s="24">
        <v>2002</v>
      </c>
      <c r="B9" s="148">
        <v>3.4119999999999999</v>
      </c>
      <c r="C9" s="124">
        <f t="shared" si="1"/>
        <v>6.9291667314325105</v>
      </c>
      <c r="D9" s="124">
        <f t="shared" si="0"/>
        <v>3.2760000000000002</v>
      </c>
      <c r="E9" s="124">
        <f t="shared" si="0"/>
        <v>639.66842169033907</v>
      </c>
      <c r="F9" s="124">
        <f t="shared" si="0"/>
        <v>10.543248674106023</v>
      </c>
      <c r="G9" s="124">
        <f t="shared" si="0"/>
        <v>11.093249393292446</v>
      </c>
      <c r="H9" s="124">
        <f t="shared" si="0"/>
        <v>13.487999999999994</v>
      </c>
      <c r="I9" s="124">
        <f t="shared" si="0"/>
        <v>9.1059553103298274</v>
      </c>
      <c r="J9" s="124">
        <f t="shared" si="0"/>
        <v>0.87639624429584517</v>
      </c>
      <c r="K9" s="124">
        <f t="shared" si="0"/>
        <v>331.67057657737217</v>
      </c>
      <c r="L9" s="124">
        <f t="shared" si="0"/>
        <v>700.20229955887044</v>
      </c>
      <c r="M9" s="124">
        <f t="shared" si="0"/>
        <v>630.18206960298335</v>
      </c>
      <c r="N9" s="124">
        <f t="shared" si="0"/>
        <v>550.7728747872917</v>
      </c>
      <c r="O9" s="124">
        <f t="shared" si="0"/>
        <v>458.74544037686491</v>
      </c>
      <c r="P9" s="124"/>
      <c r="Q9" s="124"/>
      <c r="R9" s="124">
        <f t="shared" si="0"/>
        <v>57.690312932934397</v>
      </c>
      <c r="S9" s="124">
        <f t="shared" si="0"/>
        <v>125.29062702862689</v>
      </c>
      <c r="T9" s="124">
        <f t="shared" si="0"/>
        <v>2004.9136757104902</v>
      </c>
      <c r="U9" s="124"/>
      <c r="V9" s="233">
        <v>3676.4399094003338</v>
      </c>
      <c r="W9" s="147"/>
      <c r="X9" s="228">
        <v>3617.3956351206798</v>
      </c>
      <c r="Y9" s="147"/>
      <c r="Z9" s="147"/>
      <c r="AA9" s="147"/>
      <c r="AB9" s="147"/>
      <c r="AC9" s="147"/>
    </row>
    <row r="10" spans="1:29" x14ac:dyDescent="0.2">
      <c r="A10" s="24">
        <v>2003</v>
      </c>
      <c r="B10" s="148">
        <v>3.4119999999999999</v>
      </c>
      <c r="C10" s="124">
        <f t="shared" si="1"/>
        <v>6.9741129566506306</v>
      </c>
      <c r="D10" s="124">
        <f t="shared" si="0"/>
        <v>3.2840000000000003</v>
      </c>
      <c r="E10" s="124">
        <f t="shared" si="0"/>
        <v>634.93415919082497</v>
      </c>
      <c r="F10" s="124">
        <f t="shared" si="0"/>
        <v>10.759042113083247</v>
      </c>
      <c r="G10" s="124">
        <f t="shared" si="0"/>
        <v>11.235112039939652</v>
      </c>
      <c r="H10" s="124">
        <f t="shared" si="0"/>
        <v>13.591999999999995</v>
      </c>
      <c r="I10" s="124">
        <f t="shared" si="0"/>
        <v>9.224407648649084</v>
      </c>
      <c r="J10" s="124">
        <f t="shared" si="0"/>
        <v>0.8785068058004325</v>
      </c>
      <c r="K10" s="124">
        <f t="shared" si="0"/>
        <v>331.58287551270723</v>
      </c>
      <c r="L10" s="124">
        <f t="shared" si="0"/>
        <v>688.02779543213592</v>
      </c>
      <c r="M10" s="124">
        <f t="shared" si="0"/>
        <v>619.22501588892237</v>
      </c>
      <c r="N10" s="124">
        <f t="shared" si="0"/>
        <v>544.04240409783881</v>
      </c>
      <c r="O10" s="124">
        <f t="shared" si="0"/>
        <v>450.51568766672244</v>
      </c>
      <c r="P10" s="124"/>
      <c r="Q10" s="124"/>
      <c r="R10" s="124">
        <f t="shared" si="0"/>
        <v>38.460208621956284</v>
      </c>
      <c r="S10" s="124">
        <f t="shared" si="0"/>
        <v>83.527084685751248</v>
      </c>
      <c r="T10" s="124">
        <f t="shared" si="0"/>
        <v>2006.4097518791489</v>
      </c>
      <c r="U10" s="124"/>
      <c r="V10" s="233">
        <v>3783.5508143730763</v>
      </c>
      <c r="W10" s="147"/>
      <c r="X10" s="228">
        <v>3719.0954367170743</v>
      </c>
      <c r="Y10" s="147"/>
      <c r="Z10" s="147"/>
      <c r="AA10" s="147"/>
      <c r="AB10" s="147"/>
      <c r="AC10" s="147"/>
    </row>
    <row r="11" spans="1:29" x14ac:dyDescent="0.2">
      <c r="A11" s="24">
        <v>2004</v>
      </c>
      <c r="B11" s="148">
        <v>3.4119999999999999</v>
      </c>
      <c r="C11" s="124">
        <f t="shared" si="1"/>
        <v>7.0190591818687507</v>
      </c>
      <c r="D11" s="124">
        <f t="shared" si="0"/>
        <v>3.2920000000000003</v>
      </c>
      <c r="E11" s="124">
        <f t="shared" si="0"/>
        <v>630.19989669131087</v>
      </c>
      <c r="F11" s="124">
        <f t="shared" si="0"/>
        <v>10.974835552060471</v>
      </c>
      <c r="G11" s="124">
        <f t="shared" si="0"/>
        <v>11.376974686586859</v>
      </c>
      <c r="H11" s="124">
        <f t="shared" si="0"/>
        <v>13.695999999999996</v>
      </c>
      <c r="I11" s="124">
        <f t="shared" si="0"/>
        <v>9.3428599869683406</v>
      </c>
      <c r="J11" s="124">
        <f t="shared" si="0"/>
        <v>0.88061736730501983</v>
      </c>
      <c r="K11" s="124">
        <f t="shared" si="0"/>
        <v>331.49517444804229</v>
      </c>
      <c r="L11" s="124">
        <f t="shared" si="0"/>
        <v>675.8532913054014</v>
      </c>
      <c r="M11" s="124">
        <f t="shared" si="0"/>
        <v>608.2679621748614</v>
      </c>
      <c r="N11" s="124">
        <f t="shared" si="0"/>
        <v>537.31193340838593</v>
      </c>
      <c r="O11" s="124">
        <f t="shared" si="0"/>
        <v>442.28593495657998</v>
      </c>
      <c r="P11" s="124"/>
      <c r="Q11" s="124"/>
      <c r="R11" s="124">
        <f t="shared" si="0"/>
        <v>19.23010431097817</v>
      </c>
      <c r="S11" s="124">
        <f t="shared" si="0"/>
        <v>41.76354234287561</v>
      </c>
      <c r="T11" s="124">
        <f t="shared" si="0"/>
        <v>2007.9058280478075</v>
      </c>
      <c r="U11" s="124"/>
      <c r="V11" s="233">
        <v>3890.6617193458187</v>
      </c>
      <c r="W11" s="147"/>
      <c r="X11" s="228">
        <v>3820.7952383134689</v>
      </c>
      <c r="Y11" s="147"/>
      <c r="Z11" s="147"/>
      <c r="AA11" s="147"/>
      <c r="AB11" s="147"/>
      <c r="AC11" s="147"/>
    </row>
    <row r="12" spans="1:29" x14ac:dyDescent="0.2">
      <c r="A12" s="24">
        <v>2005</v>
      </c>
      <c r="B12" s="148">
        <v>3.4119999999999999</v>
      </c>
      <c r="C12" s="148">
        <f>'OD EIAData'!B4</f>
        <v>7.0640054070868681</v>
      </c>
      <c r="D12" s="148">
        <f>'OD EIAData'!C4</f>
        <v>3.3</v>
      </c>
      <c r="E12" s="148">
        <f>'OD EIAData'!D4</f>
        <v>625.46563419179665</v>
      </c>
      <c r="F12" s="148">
        <f>'OD EIAData'!G4</f>
        <v>11.190628991037693</v>
      </c>
      <c r="G12" s="148">
        <f>'OD EIAData'!E4</f>
        <v>11.518837333234069</v>
      </c>
      <c r="H12" s="148">
        <f>'OD EIAData'!F4</f>
        <v>13.8</v>
      </c>
      <c r="I12" s="148">
        <f>'OD EIAData'!H4</f>
        <v>9.4613123252875919</v>
      </c>
      <c r="J12" s="148">
        <f>'OD EIAData'!I4</f>
        <v>0.88272792880960704</v>
      </c>
      <c r="K12" s="148">
        <f>'OD EIAData'!L4</f>
        <v>331.40747338337758</v>
      </c>
      <c r="L12" s="148">
        <f>'OD EIAData'!J4</f>
        <v>663.67878717866665</v>
      </c>
      <c r="M12" s="148">
        <f t="shared" ref="M12:M37" si="2">L12*0.9</f>
        <v>597.31090846079996</v>
      </c>
      <c r="N12" s="148">
        <f>'OD EIAData'!K4</f>
        <v>530.58146271893293</v>
      </c>
      <c r="O12" s="148">
        <f>'OD EIAData'!M4</f>
        <v>434.05618224643769</v>
      </c>
      <c r="P12" s="148"/>
      <c r="Q12" s="148"/>
      <c r="R12" s="148">
        <f>'OD EIAData'!P4</f>
        <v>0</v>
      </c>
      <c r="S12" s="148">
        <f>'OD EIAData'!Q4</f>
        <v>0</v>
      </c>
      <c r="T12" s="148">
        <f>'OD EIAData'!R4</f>
        <v>2009.4019042164659</v>
      </c>
      <c r="U12" s="148"/>
      <c r="V12" s="233">
        <v>3997.7726243185602</v>
      </c>
      <c r="W12" s="149"/>
      <c r="X12" s="237">
        <f>'OD EIAData'!S4</f>
        <v>3922.4950399098643</v>
      </c>
      <c r="Y12" s="149"/>
      <c r="Z12" s="149"/>
      <c r="AA12" s="149"/>
      <c r="AB12" s="149"/>
      <c r="AC12" s="149"/>
    </row>
    <row r="13" spans="1:29" x14ac:dyDescent="0.2">
      <c r="A13" s="24">
        <v>2006</v>
      </c>
      <c r="B13" s="148">
        <v>3.4119999999999999</v>
      </c>
      <c r="C13" s="148">
        <f>'OD EIAData'!B5</f>
        <v>7.1509267544549466</v>
      </c>
      <c r="D13" s="148">
        <f>'OD EIAData'!C5</f>
        <v>3.3015590000000001</v>
      </c>
      <c r="E13" s="148">
        <v>608.1527330872525</v>
      </c>
      <c r="F13" s="148">
        <f>'OD EIAData'!G5</f>
        <v>11.401529818829824</v>
      </c>
      <c r="G13" s="148">
        <f>'OD EIAData'!E5</f>
        <v>11.725685088053469</v>
      </c>
      <c r="H13" s="148">
        <f>'OD EIAData'!F5</f>
        <v>13.886512</v>
      </c>
      <c r="I13" s="148">
        <f>'OD EIAData'!H5</f>
        <v>9.5224392825295894</v>
      </c>
      <c r="J13" s="148">
        <f>'OD EIAData'!I5</f>
        <v>0.88500750520619786</v>
      </c>
      <c r="K13" s="148">
        <f>'OD EIAData'!L5</f>
        <v>331.11625407322299</v>
      </c>
      <c r="L13" s="148">
        <f>'OD EIAData'!J5</f>
        <v>647.46748751540326</v>
      </c>
      <c r="M13" s="148">
        <f t="shared" si="2"/>
        <v>582.72073876386298</v>
      </c>
      <c r="N13" s="148">
        <f>'OD EIAData'!K5</f>
        <v>518.47639290197708</v>
      </c>
      <c r="O13" s="148">
        <f>'OD EIAData'!M5</f>
        <v>423.37992276068093</v>
      </c>
      <c r="P13" s="148"/>
      <c r="Q13" s="148"/>
      <c r="R13" s="148">
        <v>224.21212322543218</v>
      </c>
      <c r="S13" s="148">
        <v>494.96475916607523</v>
      </c>
      <c r="T13" s="148">
        <f>'OD EIAData'!R5</f>
        <v>1994.2060049955637</v>
      </c>
      <c r="U13" s="148"/>
      <c r="V13" s="233">
        <v>4071.1647895096144</v>
      </c>
      <c r="W13" s="147"/>
      <c r="X13" s="237">
        <f>'OD EIAData'!S5</f>
        <v>4189.9485003693344</v>
      </c>
    </row>
    <row r="14" spans="1:29" x14ac:dyDescent="0.2">
      <c r="A14" s="24">
        <v>2007</v>
      </c>
      <c r="B14" s="148">
        <v>3.4119999999999999</v>
      </c>
      <c r="C14" s="148">
        <f>'OD EIAData'!B6</f>
        <v>7.2389176537546671</v>
      </c>
      <c r="D14" s="148">
        <f>'OD EIAData'!C6</f>
        <v>3.30253</v>
      </c>
      <c r="E14" s="148">
        <v>590.83983198270835</v>
      </c>
      <c r="F14" s="148">
        <f>'OD EIAData'!G6</f>
        <v>11.616405325721676</v>
      </c>
      <c r="G14" s="148">
        <f>'OD EIAData'!E6</f>
        <v>11.93624727970673</v>
      </c>
      <c r="H14" s="148">
        <f>'OD EIAData'!F6</f>
        <v>13.954171000000001</v>
      </c>
      <c r="I14" s="148">
        <f>'OD EIAData'!H6</f>
        <v>9.5839611643627212</v>
      </c>
      <c r="J14" s="148">
        <f>'OD EIAData'!I6</f>
        <v>0.88729296843198968</v>
      </c>
      <c r="K14" s="148">
        <f>'OD EIAData'!L6</f>
        <v>330.9257571682009</v>
      </c>
      <c r="L14" s="148">
        <f>'OD EIAData'!J6</f>
        <v>631.65217193638227</v>
      </c>
      <c r="M14" s="148">
        <f t="shared" si="2"/>
        <v>568.48695474274405</v>
      </c>
      <c r="N14" s="148">
        <f>'OD EIAData'!K6</f>
        <v>506.64749691612809</v>
      </c>
      <c r="O14" s="148">
        <f>'OD EIAData'!M6</f>
        <v>413.03471971289258</v>
      </c>
      <c r="P14" s="148"/>
      <c r="Q14" s="148"/>
      <c r="R14" s="148">
        <v>223.92250793456233</v>
      </c>
      <c r="S14" s="148">
        <v>507.20381261755682</v>
      </c>
      <c r="T14" s="148">
        <f>'OD EIAData'!R6</f>
        <v>1962.1164142451546</v>
      </c>
      <c r="U14" s="148"/>
      <c r="V14" s="233">
        <v>4217.4901363808576</v>
      </c>
      <c r="W14" s="129"/>
      <c r="X14" s="237">
        <f>'OD EIAData'!S6</f>
        <v>4512.1743147094294</v>
      </c>
    </row>
    <row r="15" spans="1:29" x14ac:dyDescent="0.2">
      <c r="A15" s="24">
        <v>2008</v>
      </c>
      <c r="B15" s="148">
        <v>3.4119999999999999</v>
      </c>
      <c r="C15" s="148">
        <f>'OD EIAData'!B7</f>
        <v>7.302377720492446</v>
      </c>
      <c r="D15" s="148">
        <f>'OD EIAData'!C7</f>
        <v>3.3036409999999998</v>
      </c>
      <c r="E15" s="148">
        <v>573.52693087816419</v>
      </c>
      <c r="F15" s="148">
        <f>'OD EIAData'!G7</f>
        <v>11.802056259305916</v>
      </c>
      <c r="G15" s="148">
        <f>'OD EIAData'!E7</f>
        <v>12.08833891284468</v>
      </c>
      <c r="H15" s="148">
        <f>'OD EIAData'!F7</f>
        <v>13.997324000000001</v>
      </c>
      <c r="I15" s="148">
        <f>'OD EIAData'!H7</f>
        <v>9.6531179818082791</v>
      </c>
      <c r="J15" s="148">
        <f>'OD EIAData'!I7</f>
        <v>0.88925478972545646</v>
      </c>
      <c r="K15" s="148">
        <f>'OD EIAData'!L7</f>
        <v>331.30107414508501</v>
      </c>
      <c r="L15" s="148">
        <f>'OD EIAData'!J7</f>
        <v>617.91187523118072</v>
      </c>
      <c r="M15" s="148">
        <f t="shared" si="2"/>
        <v>556.12068770806263</v>
      </c>
      <c r="N15" s="148">
        <f>'OD EIAData'!K7</f>
        <v>497.00853788104638</v>
      </c>
      <c r="O15" s="148">
        <f>'OD EIAData'!M7</f>
        <v>404.74184677448062</v>
      </c>
      <c r="P15" s="148"/>
      <c r="Q15" s="148"/>
      <c r="R15" s="148">
        <v>223.63289264369249</v>
      </c>
      <c r="S15" s="148">
        <v>519.44286606903836</v>
      </c>
      <c r="T15" s="148">
        <f>'OD EIAData'!R7</f>
        <v>1932.8784015467093</v>
      </c>
      <c r="U15" s="148"/>
      <c r="V15" s="233">
        <v>4282.0119933923825</v>
      </c>
      <c r="W15" s="129"/>
      <c r="X15" s="237">
        <f>'OD EIAData'!S7</f>
        <v>4735.3504576439354</v>
      </c>
    </row>
    <row r="16" spans="1:29" x14ac:dyDescent="0.2">
      <c r="A16" s="24">
        <v>2009</v>
      </c>
      <c r="B16" s="148">
        <v>3.4119999999999999</v>
      </c>
      <c r="C16" s="148">
        <f>'OD EIAData'!B8</f>
        <v>7.4469618234936279</v>
      </c>
      <c r="D16" s="148">
        <f>'OD EIAData'!C8</f>
        <v>3.3131979999999999</v>
      </c>
      <c r="E16" s="148">
        <v>556.21402977362004</v>
      </c>
      <c r="F16" s="148">
        <f>'OD EIAData'!G8</f>
        <v>12.111568890511583</v>
      </c>
      <c r="G16" s="148">
        <f>'OD EIAData'!E8</f>
        <v>12.357536678854581</v>
      </c>
      <c r="H16" s="148">
        <f>'OD EIAData'!F8</f>
        <v>14.100529</v>
      </c>
      <c r="I16" s="148">
        <f>'OD EIAData'!H8</f>
        <v>9.7274060500263637</v>
      </c>
      <c r="J16" s="148">
        <f>'OD EIAData'!I8</f>
        <v>0.8924520000414683</v>
      </c>
      <c r="K16" s="148">
        <f>'OD EIAData'!L8</f>
        <v>330.07754356289564</v>
      </c>
      <c r="L16" s="148">
        <f>'OD EIAData'!J8</f>
        <v>604.50392112234965</v>
      </c>
      <c r="M16" s="148">
        <f t="shared" si="2"/>
        <v>544.05352901011474</v>
      </c>
      <c r="N16" s="148">
        <f>'OD EIAData'!K8</f>
        <v>487.85587729521859</v>
      </c>
      <c r="O16" s="148">
        <f>'OD EIAData'!M8</f>
        <v>394.81578406430697</v>
      </c>
      <c r="P16" s="148">
        <v>101.57903916383293</v>
      </c>
      <c r="Q16" s="148">
        <v>868.30972125552887</v>
      </c>
      <c r="R16" s="148">
        <v>223.34327735282264</v>
      </c>
      <c r="S16" s="148">
        <v>531.68191952051995</v>
      </c>
      <c r="T16" s="148">
        <f>'OD EIAData'!R8</f>
        <v>1889.2139181923412</v>
      </c>
      <c r="U16" s="148"/>
      <c r="V16" s="233">
        <v>4307.3495057401396</v>
      </c>
      <c r="W16" s="129"/>
      <c r="X16" s="237">
        <f>'OD EIAData'!S8</f>
        <v>4693.5828928706769</v>
      </c>
    </row>
    <row r="17" spans="1:24" x14ac:dyDescent="0.2">
      <c r="A17" s="24">
        <v>2010</v>
      </c>
      <c r="B17" s="148">
        <v>3.4119999999999999</v>
      </c>
      <c r="C17" s="148">
        <f>'OD EIAData'!B9</f>
        <v>7.5579488575039955</v>
      </c>
      <c r="D17" s="148">
        <f>'OD EIAData'!C9</f>
        <v>3.3880159999999999</v>
      </c>
      <c r="E17" s="148">
        <v>538.90112866907589</v>
      </c>
      <c r="F17" s="148">
        <f>'OD EIAData'!G9</f>
        <v>12.378665525149154</v>
      </c>
      <c r="G17" s="148">
        <f>'OD EIAData'!E9</f>
        <v>12.614787706568169</v>
      </c>
      <c r="H17" s="148">
        <f>'OD EIAData'!F9</f>
        <v>14.824436</v>
      </c>
      <c r="I17" s="148">
        <f>'OD EIAData'!H9</f>
        <v>9.8066675844966884</v>
      </c>
      <c r="J17" s="148">
        <f>'OD EIAData'!I9</f>
        <v>0.89494059863781383</v>
      </c>
      <c r="K17" s="148">
        <f>'OD EIAData'!L9</f>
        <v>330.26058639828216</v>
      </c>
      <c r="L17" s="148">
        <f>'OD EIAData'!J9</f>
        <v>591.85248951264384</v>
      </c>
      <c r="M17" s="148">
        <f t="shared" si="2"/>
        <v>532.66724056137946</v>
      </c>
      <c r="N17" s="148">
        <f>'OD EIAData'!K9</f>
        <v>479.45148196275602</v>
      </c>
      <c r="O17" s="148">
        <f>'OD EIAData'!M9</f>
        <v>386.25915595615032</v>
      </c>
      <c r="P17" s="148">
        <v>99.342392058735754</v>
      </c>
      <c r="Q17" s="148">
        <v>854.763781395205</v>
      </c>
      <c r="R17" s="148">
        <v>223.05366206195279</v>
      </c>
      <c r="S17" s="148">
        <v>543.92097297200155</v>
      </c>
      <c r="T17" s="148">
        <f>'OD EIAData'!R9</f>
        <v>1865.6788210078303</v>
      </c>
      <c r="U17" s="148"/>
      <c r="V17" s="233">
        <v>4268.1226930839966</v>
      </c>
      <c r="W17" s="129"/>
      <c r="X17" s="237">
        <f>'OD EIAData'!S9</f>
        <v>4831.6574697068691</v>
      </c>
    </row>
    <row r="18" spans="1:24" x14ac:dyDescent="0.2">
      <c r="A18" s="24">
        <v>2011</v>
      </c>
      <c r="B18" s="148">
        <v>3.4119999999999999</v>
      </c>
      <c r="C18" s="148">
        <f>'OD EIAData'!B10</f>
        <v>7.5714163701222743</v>
      </c>
      <c r="D18" s="148">
        <f>'OD EIAData'!C10</f>
        <v>3.4313090000000002</v>
      </c>
      <c r="E18" s="148">
        <f>'OD EIAData'!D10</f>
        <v>521.58822756453208</v>
      </c>
      <c r="F18" s="148">
        <f>'OD EIAData'!G10</f>
        <v>12.463080238937028</v>
      </c>
      <c r="G18" s="148">
        <f>'OD EIAData'!E10</f>
        <v>12.680915008767705</v>
      </c>
      <c r="H18" s="148">
        <f>'OD EIAData'!F10</f>
        <v>15.217358000000001</v>
      </c>
      <c r="I18" s="148">
        <f>'OD EIAData'!H10</f>
        <v>9.8741992696547687</v>
      </c>
      <c r="J18" s="148">
        <f>'OD EIAData'!I10</f>
        <v>0.89628488788144389</v>
      </c>
      <c r="K18" s="148">
        <f>'OD EIAData'!L10</f>
        <v>329.85134261423076</v>
      </c>
      <c r="L18" s="148">
        <f>'OD EIAData'!J10</f>
        <v>581.11669764603766</v>
      </c>
      <c r="M18" s="148">
        <f t="shared" si="2"/>
        <v>523.00502788143388</v>
      </c>
      <c r="N18" s="148">
        <f>'OD EIAData'!K10</f>
        <v>472.68560384871955</v>
      </c>
      <c r="O18" s="148">
        <f>'OD EIAData'!M10</f>
        <v>378.4903821942803</v>
      </c>
      <c r="P18" s="148">
        <f>'OD EIAData'!N10</f>
        <v>97.105744953638549</v>
      </c>
      <c r="Q18" s="148">
        <v>841.21784153488113</v>
      </c>
      <c r="R18" s="148">
        <v>222.76404677108295</v>
      </c>
      <c r="S18" s="148">
        <v>556.16002642348315</v>
      </c>
      <c r="T18" s="148">
        <f>'OD EIAData'!R10</f>
        <v>1818.8624107485023</v>
      </c>
      <c r="U18" s="148"/>
      <c r="V18" s="233">
        <v>4266.4474007373328</v>
      </c>
      <c r="W18" s="129"/>
      <c r="X18" s="237">
        <f>'OD EIAData'!S10</f>
        <v>4727.7771386018567</v>
      </c>
    </row>
    <row r="19" spans="1:24" x14ac:dyDescent="0.2">
      <c r="A19" s="24">
        <v>2012</v>
      </c>
      <c r="B19" s="148">
        <v>3.4119999999999999</v>
      </c>
      <c r="C19" s="148">
        <f>'OD EIAData'!B11</f>
        <v>7.6178553973680234</v>
      </c>
      <c r="D19" s="148">
        <f>'OD EIAData'!C11</f>
        <v>3.4590559999999999</v>
      </c>
      <c r="E19" s="148">
        <f>'OD EIAData'!D11</f>
        <v>499.45843221443903</v>
      </c>
      <c r="F19" s="148">
        <f>'OD EIAData'!G11</f>
        <v>12.610954691482007</v>
      </c>
      <c r="G19" s="148">
        <f>'OD EIAData'!E11</f>
        <v>12.790951865091673</v>
      </c>
      <c r="H19" s="148">
        <f>'OD EIAData'!F11</f>
        <v>15.475415999999999</v>
      </c>
      <c r="I19" s="148">
        <f>'OD EIAData'!H11</f>
        <v>9.9418246440066174</v>
      </c>
      <c r="J19" s="148">
        <f>'OD EIAData'!I11</f>
        <v>0.8979712989076909</v>
      </c>
      <c r="K19" s="148">
        <f>'OD EIAData'!L11</f>
        <v>331.36141135862437</v>
      </c>
      <c r="L19" s="148">
        <f>'OD EIAData'!J11</f>
        <v>572.006354242724</v>
      </c>
      <c r="M19" s="148">
        <f t="shared" si="2"/>
        <v>514.80571881845162</v>
      </c>
      <c r="N19" s="148">
        <f>'OD EIAData'!K11</f>
        <v>467.14811296909187</v>
      </c>
      <c r="O19" s="148">
        <f>'OD EIAData'!M11</f>
        <v>372.63790918317289</v>
      </c>
      <c r="P19" s="148">
        <f>'OD EIAData'!N11</f>
        <v>94.708031475446276</v>
      </c>
      <c r="Q19" s="148">
        <f>'OD EIAData'!O11</f>
        <v>827.67190167455692</v>
      </c>
      <c r="R19" s="148">
        <f>'OD EIAData'!P11</f>
        <v>0</v>
      </c>
      <c r="S19" s="148">
        <f>'OD EIAData'!Q11</f>
        <v>0</v>
      </c>
      <c r="T19" s="148">
        <f>'OD EIAData'!R11</f>
        <v>1797.2757481829826</v>
      </c>
      <c r="U19" s="148"/>
      <c r="V19" s="233">
        <v>4297.3542156431349</v>
      </c>
      <c r="W19" s="129">
        <f>T19/T18-1</f>
        <v>-1.1868221828080006E-2</v>
      </c>
      <c r="X19" s="237">
        <f>'OD EIAData'!S11</f>
        <v>4824.3600022852979</v>
      </c>
    </row>
    <row r="20" spans="1:24" x14ac:dyDescent="0.2">
      <c r="A20" s="24">
        <v>2013</v>
      </c>
      <c r="B20" s="148">
        <v>3.4119999999999999</v>
      </c>
      <c r="C20" s="148">
        <f>'OD EIAData'!B12</f>
        <v>7.6654421259684886</v>
      </c>
      <c r="D20" s="148">
        <f>'OD EIAData'!C12</f>
        <v>3.4801530000000001</v>
      </c>
      <c r="E20" s="148">
        <f>'OD EIAData'!D12</f>
        <v>488.51412650213001</v>
      </c>
      <c r="F20" s="148">
        <f>'OD EIAData'!G12</f>
        <v>12.751851183406297</v>
      </c>
      <c r="G20" s="148">
        <f>'OD EIAData'!E12</f>
        <v>12.901668223589098</v>
      </c>
      <c r="H20" s="148">
        <f>'OD EIAData'!F12</f>
        <v>15.677279</v>
      </c>
      <c r="I20" s="148">
        <f>'OD EIAData'!H12</f>
        <v>10.005839215101393</v>
      </c>
      <c r="J20" s="148">
        <f>'OD EIAData'!I12</f>
        <v>0.89972220862440766</v>
      </c>
      <c r="K20" s="148">
        <f>'OD EIAData'!L12</f>
        <v>330.64722634540823</v>
      </c>
      <c r="L20" s="148">
        <f>'OD EIAData'!J12</f>
        <v>563.91505667829995</v>
      </c>
      <c r="M20" s="148">
        <f t="shared" si="2"/>
        <v>507.52355101046999</v>
      </c>
      <c r="N20" s="148">
        <f>'OD EIAData'!K12</f>
        <v>462.02771229636926</v>
      </c>
      <c r="O20" s="148">
        <f>'OD EIAData'!M12</f>
        <v>363.84300670541199</v>
      </c>
      <c r="P20" s="148">
        <f>'OD EIAData'!N12</f>
        <v>91.878092906421344</v>
      </c>
      <c r="Q20" s="148">
        <f>'OD EIAData'!O12</f>
        <v>815.86445548581162</v>
      </c>
      <c r="R20" s="148">
        <f>'OD EIAData'!P12</f>
        <v>0</v>
      </c>
      <c r="S20" s="148">
        <f>'OD EIAData'!Q12</f>
        <v>0</v>
      </c>
      <c r="T20" s="342">
        <f>T19</f>
        <v>1797.2757481829826</v>
      </c>
      <c r="U20" s="343"/>
      <c r="V20" s="233">
        <v>4299.3780605789443</v>
      </c>
      <c r="W20" s="344">
        <f>T20/T19-1</f>
        <v>0</v>
      </c>
      <c r="X20" s="237">
        <f>'OD EIAData'!S12</f>
        <v>4868.6296664538995</v>
      </c>
    </row>
    <row r="21" spans="1:24" x14ac:dyDescent="0.2">
      <c r="A21" s="24">
        <v>2014</v>
      </c>
      <c r="B21" s="148">
        <v>3.4119999999999999</v>
      </c>
      <c r="C21" s="148">
        <f>'OD EIAData'!B13</f>
        <v>7.7059003345348707</v>
      </c>
      <c r="D21" s="148">
        <f>'OD EIAData'!C13</f>
        <v>3.495698</v>
      </c>
      <c r="E21" s="148">
        <f>'OD EIAData'!D13</f>
        <v>478.76667382776276</v>
      </c>
      <c r="F21" s="148">
        <f>'OD EIAData'!G13</f>
        <v>12.878074814699044</v>
      </c>
      <c r="G21" s="148">
        <f>'OD EIAData'!E13</f>
        <v>12.996027578247961</v>
      </c>
      <c r="H21" s="148">
        <f>'OD EIAData'!F13</f>
        <v>15.826098999999999</v>
      </c>
      <c r="I21" s="148">
        <f>'OD EIAData'!H13</f>
        <v>10.211785920877965</v>
      </c>
      <c r="J21" s="148">
        <f>'OD EIAData'!I13</f>
        <v>0.90140245620864856</v>
      </c>
      <c r="K21" s="148">
        <f>'OD EIAData'!L13</f>
        <v>330.67242878060813</v>
      </c>
      <c r="L21" s="148">
        <f>'OD EIAData'!J13</f>
        <v>545.67366719453264</v>
      </c>
      <c r="M21" s="148">
        <f t="shared" si="2"/>
        <v>491.10630047507937</v>
      </c>
      <c r="N21" s="148">
        <f>'OD EIAData'!K13</f>
        <v>454.11836854776146</v>
      </c>
      <c r="O21" s="148">
        <f>'OD EIAData'!M13</f>
        <v>356.5337535473372</v>
      </c>
      <c r="P21" s="148">
        <f>'OD EIAData'!N13</f>
        <v>89.320606806414332</v>
      </c>
      <c r="Q21" s="148">
        <f>'OD EIAData'!O13</f>
        <v>804.44644550360329</v>
      </c>
      <c r="R21" s="148">
        <f>'OD EIAData'!P13</f>
        <v>0</v>
      </c>
      <c r="S21" s="148">
        <f>'OD EIAData'!Q13</f>
        <v>0</v>
      </c>
      <c r="T21" s="342">
        <f t="shared" ref="T21:T49" si="3">T20</f>
        <v>1797.2757481829826</v>
      </c>
      <c r="U21" s="148"/>
      <c r="V21" s="233">
        <v>4348.1333795286018</v>
      </c>
      <c r="W21" s="129">
        <f>T21/T20-1</f>
        <v>0</v>
      </c>
      <c r="X21" s="237">
        <f>'OD EIAData'!S13</f>
        <v>4963.2621415882741</v>
      </c>
    </row>
    <row r="22" spans="1:24" x14ac:dyDescent="0.2">
      <c r="A22" s="24">
        <v>2015</v>
      </c>
      <c r="B22" s="148">
        <v>3.4119999999999999</v>
      </c>
      <c r="C22" s="148">
        <f>'OD EIAData'!B14</f>
        <v>7.8387325465471704</v>
      </c>
      <c r="D22" s="148">
        <f>'OD EIAData'!C14</f>
        <v>3.50861</v>
      </c>
      <c r="E22" s="148">
        <f>'OD EIAData'!D14</f>
        <v>469.20530508386429</v>
      </c>
      <c r="F22" s="148">
        <f>'OD EIAData'!G14</f>
        <v>13.138373175403679</v>
      </c>
      <c r="G22" s="148">
        <f>'OD EIAData'!E14</f>
        <v>13.247079244027672</v>
      </c>
      <c r="H22" s="148">
        <f>'OD EIAData'!F14</f>
        <v>15.950364</v>
      </c>
      <c r="I22" s="148">
        <f>'OD EIAData'!H14</f>
        <v>10.324847527955672</v>
      </c>
      <c r="J22" s="148">
        <f>'OD EIAData'!I14</f>
        <v>0.91536854940737056</v>
      </c>
      <c r="K22" s="148">
        <f>'OD EIAData'!L14</f>
        <v>330.71056486493057</v>
      </c>
      <c r="L22" s="148">
        <f>'OD EIAData'!J14</f>
        <v>534.21468321252462</v>
      </c>
      <c r="M22" s="148">
        <f t="shared" si="2"/>
        <v>480.79321489127216</v>
      </c>
      <c r="N22" s="148">
        <f>'OD EIAData'!K14</f>
        <v>448.55981214949412</v>
      </c>
      <c r="O22" s="148">
        <f>'OD EIAData'!M14</f>
        <v>349.621366750763</v>
      </c>
      <c r="P22" s="148">
        <f>'OD EIAData'!N14</f>
        <v>86.671267163192766</v>
      </c>
      <c r="Q22" s="148">
        <f>'OD EIAData'!O14</f>
        <v>789.97207818690231</v>
      </c>
      <c r="R22" s="148">
        <f>'OD EIAData'!P14</f>
        <v>0</v>
      </c>
      <c r="S22" s="148">
        <f>'OD EIAData'!Q14</f>
        <v>0</v>
      </c>
      <c r="T22" s="342">
        <f t="shared" si="3"/>
        <v>1797.2757481829826</v>
      </c>
      <c r="U22" s="148"/>
      <c r="V22" s="233">
        <v>4394.4722488570169</v>
      </c>
      <c r="W22" s="129"/>
      <c r="X22" s="237">
        <f>'OD EIAData'!S14</f>
        <v>5048.8818390060842</v>
      </c>
    </row>
    <row r="23" spans="1:24" x14ac:dyDescent="0.2">
      <c r="A23" s="24">
        <v>2016</v>
      </c>
      <c r="B23" s="148">
        <v>3.4119999999999999</v>
      </c>
      <c r="C23" s="148">
        <f>'OD EIAData'!B15</f>
        <v>7.9123995670631304</v>
      </c>
      <c r="D23" s="148">
        <f>'OD EIAData'!C15</f>
        <v>3.5193159999999999</v>
      </c>
      <c r="E23" s="148">
        <f>'OD EIAData'!D15</f>
        <v>460.80141953108614</v>
      </c>
      <c r="F23" s="148">
        <f>'OD EIAData'!G15</f>
        <v>13.311284566269569</v>
      </c>
      <c r="G23" s="148">
        <f>'OD EIAData'!E15</f>
        <v>13.392730273524553</v>
      </c>
      <c r="H23" s="148">
        <f>'OD EIAData'!F15</f>
        <v>16.053467000000001</v>
      </c>
      <c r="I23" s="148">
        <f>'OD EIAData'!H15</f>
        <v>10.422133705949232</v>
      </c>
      <c r="J23" s="148">
        <f>'OD EIAData'!I15</f>
        <v>0.92228773719655299</v>
      </c>
      <c r="K23" s="148">
        <f>'OD EIAData'!L15</f>
        <v>331.7408410556875</v>
      </c>
      <c r="L23" s="148">
        <f>'OD EIAData'!J15</f>
        <v>523.74696086204528</v>
      </c>
      <c r="M23" s="148">
        <f t="shared" si="2"/>
        <v>471.37226477584079</v>
      </c>
      <c r="N23" s="148">
        <f>'OD EIAData'!K15</f>
        <v>443.56034491393473</v>
      </c>
      <c r="O23" s="148">
        <f>'OD EIAData'!M15</f>
        <v>344.27768549243234</v>
      </c>
      <c r="P23" s="148">
        <f>'OD EIAData'!N15</f>
        <v>84.077648389412488</v>
      </c>
      <c r="Q23" s="148">
        <f>'OD EIAData'!O15</f>
        <v>776.50114529808343</v>
      </c>
      <c r="R23" s="148">
        <f>'OD EIAData'!P15</f>
        <v>0</v>
      </c>
      <c r="S23" s="148">
        <f>'OD EIAData'!Q15</f>
        <v>0</v>
      </c>
      <c r="T23" s="342">
        <f t="shared" si="3"/>
        <v>1797.2757481829826</v>
      </c>
      <c r="U23" s="148"/>
      <c r="V23" s="233">
        <v>4451.0655384659776</v>
      </c>
      <c r="W23" s="129"/>
      <c r="X23" s="237">
        <f>'OD EIAData'!S15</f>
        <v>5166.1868630040572</v>
      </c>
    </row>
    <row r="24" spans="1:24" x14ac:dyDescent="0.2">
      <c r="A24" s="24">
        <v>2017</v>
      </c>
      <c r="B24" s="148">
        <v>3.4119999999999999</v>
      </c>
      <c r="C24" s="148">
        <f>'OD EIAData'!B16</f>
        <v>7.9798498222430796</v>
      </c>
      <c r="D24" s="148">
        <f>'OD EIAData'!C16</f>
        <v>3.5227819999999999</v>
      </c>
      <c r="E24" s="148">
        <f>'OD EIAData'!D16</f>
        <v>448.9680588574933</v>
      </c>
      <c r="F24" s="148">
        <f>'OD EIAData'!G16</f>
        <v>13.467351130942429</v>
      </c>
      <c r="G24" s="148">
        <f>'OD EIAData'!E16</f>
        <v>13.526187078456436</v>
      </c>
      <c r="H24" s="148">
        <f>'OD EIAData'!F16</f>
        <v>16.093312999999998</v>
      </c>
      <c r="I24" s="148">
        <f>'OD EIAData'!H16</f>
        <v>10.509140481611231</v>
      </c>
      <c r="J24" s="148">
        <f>'OD EIAData'!I16</f>
        <v>0.92886814738333401</v>
      </c>
      <c r="K24" s="148">
        <f>'OD EIAData'!L16</f>
        <v>330.71991389870954</v>
      </c>
      <c r="L24" s="148">
        <f>'OD EIAData'!J16</f>
        <v>514.24394680031855</v>
      </c>
      <c r="M24" s="148">
        <f t="shared" si="2"/>
        <v>462.81955212028669</v>
      </c>
      <c r="N24" s="148">
        <f>'OD EIAData'!K16</f>
        <v>439.13899391397274</v>
      </c>
      <c r="O24" s="148">
        <f>'OD EIAData'!M16</f>
        <v>337.58189096149357</v>
      </c>
      <c r="P24" s="148">
        <f>'OD EIAData'!N16</f>
        <v>81.013387467327419</v>
      </c>
      <c r="Q24" s="148">
        <f>'OD EIAData'!O16</f>
        <v>756.07411269173133</v>
      </c>
      <c r="R24" s="148">
        <f>'OD EIAData'!P16</f>
        <v>219.01356061798984</v>
      </c>
      <c r="S24" s="148">
        <f>'OD EIAData'!Q16</f>
        <v>609.77760735319009</v>
      </c>
      <c r="T24" s="342">
        <f t="shared" si="3"/>
        <v>1797.2757481829826</v>
      </c>
      <c r="U24" s="129">
        <f t="shared" ref="U24:W44" si="4">T24/T23-1</f>
        <v>0</v>
      </c>
      <c r="V24" s="233">
        <v>4482.8025509059607</v>
      </c>
      <c r="W24" s="129"/>
      <c r="X24" s="237">
        <f>'OD EIAData'!S16</f>
        <v>5221.8571740841071</v>
      </c>
    </row>
    <row r="25" spans="1:24" x14ac:dyDescent="0.2">
      <c r="A25" s="24">
        <v>2018</v>
      </c>
      <c r="B25" s="148">
        <v>3.4119999999999999</v>
      </c>
      <c r="C25" s="148">
        <f>'OD EIAData'!B17</f>
        <v>8.0406899700096481</v>
      </c>
      <c r="D25" s="148">
        <f>'OD EIAData'!C17</f>
        <v>3.5268039999999998</v>
      </c>
      <c r="E25" s="148">
        <f>'OD EIAData'!D17</f>
        <v>438.64933343630025</v>
      </c>
      <c r="F25" s="148">
        <f>'OD EIAData'!G17</f>
        <v>13.60481137872558</v>
      </c>
      <c r="G25" s="148">
        <f>'OD EIAData'!E17</f>
        <v>13.645944257636755</v>
      </c>
      <c r="H25" s="148">
        <f>'OD EIAData'!F17</f>
        <v>16.138203000000001</v>
      </c>
      <c r="I25" s="148">
        <f>'OD EIAData'!H17</f>
        <v>10.592155525540097</v>
      </c>
      <c r="J25" s="148">
        <f>'OD EIAData'!I17</f>
        <v>0.93537774623941372</v>
      </c>
      <c r="K25" s="148">
        <f>'OD EIAData'!L17</f>
        <v>330.60680978363189</v>
      </c>
      <c r="L25" s="148">
        <f>'OD EIAData'!J17</f>
        <v>505.45953644476799</v>
      </c>
      <c r="M25" s="148">
        <f t="shared" si="2"/>
        <v>454.91358280029118</v>
      </c>
      <c r="N25" s="148">
        <f>'OD EIAData'!K17</f>
        <v>435.22116351054132</v>
      </c>
      <c r="O25" s="148">
        <f>'OD EIAData'!M17</f>
        <v>332.74292029568323</v>
      </c>
      <c r="P25" s="148">
        <f>'OD EIAData'!N17</f>
        <v>78.092325966999098</v>
      </c>
      <c r="Q25" s="148">
        <f>'OD EIAData'!O17</f>
        <v>738.97511995197067</v>
      </c>
      <c r="R25" s="148">
        <f>'OD EIAData'!P17</f>
        <v>217.5062407325257</v>
      </c>
      <c r="S25" s="148">
        <f>'OD EIAData'!Q17</f>
        <v>617.5355605659513</v>
      </c>
      <c r="T25" s="342">
        <f t="shared" si="3"/>
        <v>1797.2757481829826</v>
      </c>
      <c r="U25" s="129">
        <f t="shared" si="4"/>
        <v>0</v>
      </c>
      <c r="V25" s="233">
        <v>4538.935816731233</v>
      </c>
      <c r="W25" s="129"/>
      <c r="X25" s="237">
        <f>'OD EIAData'!S17</f>
        <v>5287.8620929867147</v>
      </c>
    </row>
    <row r="26" spans="1:24" x14ac:dyDescent="0.2">
      <c r="A26" s="24">
        <v>2019</v>
      </c>
      <c r="B26" s="148">
        <v>3.4119999999999999</v>
      </c>
      <c r="C26" s="148">
        <f>'OD EIAData'!B18</f>
        <v>8.097919671547853</v>
      </c>
      <c r="D26" s="148">
        <f>'OD EIAData'!C18</f>
        <v>3.5309159999999999</v>
      </c>
      <c r="E26" s="148">
        <f>'OD EIAData'!D18</f>
        <v>428.49068464517916</v>
      </c>
      <c r="F26" s="148">
        <f>'OD EIAData'!G18</f>
        <v>13.730995849146662</v>
      </c>
      <c r="G26" s="148">
        <f>'OD EIAData'!E18</f>
        <v>13.757258943764725</v>
      </c>
      <c r="H26" s="148">
        <f>'OD EIAData'!F18</f>
        <v>16.182312</v>
      </c>
      <c r="I26" s="148">
        <f>'OD EIAData'!H18</f>
        <v>10.669701489609984</v>
      </c>
      <c r="J26" s="148">
        <f>'OD EIAData'!I18</f>
        <v>0.94157686041445254</v>
      </c>
      <c r="K26" s="148">
        <f>'OD EIAData'!L18</f>
        <v>330.55294722110727</v>
      </c>
      <c r="L26" s="148">
        <f>'OD EIAData'!J18</f>
        <v>497.34026418637325</v>
      </c>
      <c r="M26" s="148">
        <f t="shared" si="2"/>
        <v>447.60623776773593</v>
      </c>
      <c r="N26" s="148">
        <f>'OD EIAData'!K18</f>
        <v>431.67782190624621</v>
      </c>
      <c r="O26" s="148">
        <f>'OD EIAData'!M18</f>
        <v>328.78692724967812</v>
      </c>
      <c r="P26" s="148">
        <f>'OD EIAData'!N18</f>
        <v>75.547186339676443</v>
      </c>
      <c r="Q26" s="148">
        <f>'OD EIAData'!O18</f>
        <v>724.24061724552689</v>
      </c>
      <c r="R26" s="148">
        <f>'OD EIAData'!P18</f>
        <v>216.24502078549645</v>
      </c>
      <c r="S26" s="148">
        <f>'OD EIAData'!Q18</f>
        <v>624.34485359478913</v>
      </c>
      <c r="T26" s="342">
        <f t="shared" si="3"/>
        <v>1797.2757481829826</v>
      </c>
      <c r="U26" s="129">
        <f t="shared" si="4"/>
        <v>0</v>
      </c>
      <c r="V26" s="233">
        <v>4611.419753530774</v>
      </c>
      <c r="W26" s="129"/>
      <c r="X26" s="237">
        <f>'OD EIAData'!S18</f>
        <v>5356.4103957635853</v>
      </c>
    </row>
    <row r="27" spans="1:24" x14ac:dyDescent="0.2">
      <c r="A27" s="24">
        <v>2020</v>
      </c>
      <c r="B27" s="148">
        <v>3.4119999999999999</v>
      </c>
      <c r="C27" s="148">
        <f>'OD EIAData'!B19</f>
        <v>8.1442056963501859</v>
      </c>
      <c r="D27" s="148">
        <f>'OD EIAData'!C19</f>
        <v>3.5525690000000001</v>
      </c>
      <c r="E27" s="148">
        <f>'OD EIAData'!D19</f>
        <v>419.96632373958204</v>
      </c>
      <c r="F27" s="148">
        <f>'OD EIAData'!G19</f>
        <v>13.856800920134059</v>
      </c>
      <c r="G27" s="148">
        <f>'OD EIAData'!E19</f>
        <v>13.854035504868611</v>
      </c>
      <c r="H27" s="148">
        <f>'OD EIAData'!F19</f>
        <v>16.343616000000001</v>
      </c>
      <c r="I27" s="148">
        <f>'OD EIAData'!H19</f>
        <v>10.73640826694389</v>
      </c>
      <c r="J27" s="148">
        <f>'OD EIAData'!I19</f>
        <v>0.9476431484775153</v>
      </c>
      <c r="K27" s="148">
        <f>'OD EIAData'!L19</f>
        <v>331.47817747684871</v>
      </c>
      <c r="L27" s="148">
        <f>'OD EIAData'!J19</f>
        <v>489.66660590760102</v>
      </c>
      <c r="M27" s="148">
        <f t="shared" si="2"/>
        <v>440.69994531684091</v>
      </c>
      <c r="N27" s="148">
        <f>'OD EIAData'!K19</f>
        <v>428.54515812200174</v>
      </c>
      <c r="O27" s="148">
        <f>'OD EIAData'!M19</f>
        <v>326.45875537598249</v>
      </c>
      <c r="P27" s="148">
        <f>'OD EIAData'!N19</f>
        <v>73.557104440479094</v>
      </c>
      <c r="Q27" s="148">
        <f>'OD EIAData'!O19</f>
        <v>714.10506721254205</v>
      </c>
      <c r="R27" s="148">
        <f>'OD EIAData'!P19</f>
        <v>215.98241467192588</v>
      </c>
      <c r="S27" s="148">
        <f>'OD EIAData'!Q19</f>
        <v>632.1738356474624</v>
      </c>
      <c r="T27" s="342">
        <f t="shared" si="3"/>
        <v>1797.2757481829826</v>
      </c>
      <c r="U27" s="129">
        <f t="shared" si="4"/>
        <v>0</v>
      </c>
      <c r="V27" s="233">
        <v>4703.31521126594</v>
      </c>
      <c r="W27" s="129"/>
      <c r="X27" s="237">
        <f>'OD EIAData'!S19</f>
        <v>5460.8604459210665</v>
      </c>
    </row>
    <row r="28" spans="1:24" x14ac:dyDescent="0.2">
      <c r="A28" s="25">
        <v>2021</v>
      </c>
      <c r="B28" s="148">
        <v>3.4119999999999999</v>
      </c>
      <c r="C28" s="148">
        <f>'OD EIAData'!B20</f>
        <v>8.190389842037554</v>
      </c>
      <c r="D28" s="148">
        <f>'OD EIAData'!C20</f>
        <v>3.571126</v>
      </c>
      <c r="E28" s="148">
        <f>'OD EIAData'!D20</f>
        <v>409.20794973943828</v>
      </c>
      <c r="F28" s="148">
        <f>'OD EIAData'!G20</f>
        <v>13.962350937101309</v>
      </c>
      <c r="G28" s="148">
        <f>'OD EIAData'!E20</f>
        <v>13.945349522989035</v>
      </c>
      <c r="H28" s="148">
        <f>'OD EIAData'!F20</f>
        <v>16.477599999999999</v>
      </c>
      <c r="I28" s="148">
        <f>'OD EIAData'!H20</f>
        <v>10.794933364893012</v>
      </c>
      <c r="J28" s="148">
        <f>'OD EIAData'!I20</f>
        <v>0.95346645711965128</v>
      </c>
      <c r="K28" s="148">
        <f>'OD EIAData'!L20</f>
        <v>330.49955641127411</v>
      </c>
      <c r="L28" s="148">
        <f>'OD EIAData'!J20</f>
        <v>482.48162171628343</v>
      </c>
      <c r="M28" s="148">
        <f t="shared" si="2"/>
        <v>434.23345954465509</v>
      </c>
      <c r="N28" s="148">
        <f>'OD EIAData'!K20</f>
        <v>425.67586007042604</v>
      </c>
      <c r="O28" s="148">
        <f>'OD EIAData'!M20</f>
        <v>323.00687117341255</v>
      </c>
      <c r="P28" s="148">
        <f>'OD EIAData'!N20</f>
        <v>71.580049523243872</v>
      </c>
      <c r="Q28" s="148">
        <f>'OD EIAData'!O20</f>
        <v>702.11188868464501</v>
      </c>
      <c r="R28" s="148">
        <f>'OD EIAData'!P20</f>
        <v>214.87369112535382</v>
      </c>
      <c r="S28" s="148">
        <f>'OD EIAData'!Q20</f>
        <v>635.68338378535623</v>
      </c>
      <c r="T28" s="342">
        <f t="shared" si="3"/>
        <v>1797.2757481829826</v>
      </c>
      <c r="U28" s="129">
        <f t="shared" si="4"/>
        <v>0</v>
      </c>
      <c r="V28" s="233">
        <v>4769.3422936381139</v>
      </c>
      <c r="W28" s="129"/>
      <c r="X28" s="237">
        <f>'OD EIAData'!S20</f>
        <v>5539.0529985668145</v>
      </c>
    </row>
    <row r="29" spans="1:24" x14ac:dyDescent="0.2">
      <c r="A29" s="25">
        <v>2022</v>
      </c>
      <c r="B29" s="148">
        <v>3.4119999999999999</v>
      </c>
      <c r="C29" s="148">
        <f>'OD EIAData'!B21</f>
        <v>8.2332268822196752</v>
      </c>
      <c r="D29" s="148">
        <f>'OD EIAData'!C21</f>
        <v>3.5890789999999999</v>
      </c>
      <c r="E29" s="148">
        <f>'OD EIAData'!D21</f>
        <v>399.99777718645038</v>
      </c>
      <c r="F29" s="148">
        <f>'OD EIAData'!G21</f>
        <v>14.056521674320575</v>
      </c>
      <c r="G29" s="148">
        <f>'OD EIAData'!E21</f>
        <v>14.029313704122087</v>
      </c>
      <c r="H29" s="148">
        <f>'OD EIAData'!F21</f>
        <v>16.606939000000001</v>
      </c>
      <c r="I29" s="148">
        <f>'OD EIAData'!H21</f>
        <v>10.848665500903758</v>
      </c>
      <c r="J29" s="148">
        <f>'OD EIAData'!I21</f>
        <v>0.95919143200787138</v>
      </c>
      <c r="K29" s="148">
        <f>'OD EIAData'!L21</f>
        <v>330.49845894926551</v>
      </c>
      <c r="L29" s="148">
        <f>'OD EIAData'!J21</f>
        <v>475.9490726916689</v>
      </c>
      <c r="M29" s="148">
        <f t="shared" si="2"/>
        <v>428.35416542250204</v>
      </c>
      <c r="N29" s="148">
        <f>'OD EIAData'!K21</f>
        <v>423.01941682911723</v>
      </c>
      <c r="O29" s="148">
        <f>'OD EIAData'!M21</f>
        <v>321.08715964599293</v>
      </c>
      <c r="P29" s="148">
        <f>'OD EIAData'!N21</f>
        <v>70.269077300066343</v>
      </c>
      <c r="Q29" s="148">
        <f>'OD EIAData'!O21</f>
        <v>694.36081355544411</v>
      </c>
      <c r="R29" s="148">
        <f>'OD EIAData'!P21</f>
        <v>214.64096812911305</v>
      </c>
      <c r="S29" s="148">
        <f>'OD EIAData'!Q21</f>
        <v>640.46196297382551</v>
      </c>
      <c r="T29" s="342">
        <f t="shared" si="3"/>
        <v>1797.2757481829826</v>
      </c>
      <c r="U29" s="129">
        <f t="shared" si="4"/>
        <v>0</v>
      </c>
      <c r="V29" s="233">
        <v>4846.6956681214724</v>
      </c>
      <c r="W29" s="129"/>
      <c r="X29" s="237">
        <f>'OD EIAData'!S21</f>
        <v>5649.0095827592913</v>
      </c>
    </row>
    <row r="30" spans="1:24" x14ac:dyDescent="0.2">
      <c r="A30" s="25">
        <v>2023</v>
      </c>
      <c r="B30" s="148">
        <v>3.4119999999999999</v>
      </c>
      <c r="C30" s="148">
        <f>'OD EIAData'!B22</f>
        <v>8.2697894035397219</v>
      </c>
      <c r="D30" s="148">
        <f>'OD EIAData'!C22</f>
        <v>3.6062970000000001</v>
      </c>
      <c r="E30" s="148">
        <f>'OD EIAData'!D22</f>
        <v>390.91180449753591</v>
      </c>
      <c r="F30" s="148">
        <f>'OD EIAData'!G22</f>
        <v>14.136098504584176</v>
      </c>
      <c r="G30" s="148">
        <f>'OD EIAData'!E22</f>
        <v>14.101060796918411</v>
      </c>
      <c r="H30" s="148">
        <f>'OD EIAData'!F22</f>
        <v>16.730574000000001</v>
      </c>
      <c r="I30" s="148">
        <f>'OD EIAData'!H22</f>
        <v>10.899056144516432</v>
      </c>
      <c r="J30" s="148">
        <f>'OD EIAData'!I22</f>
        <v>0.9646849986418109</v>
      </c>
      <c r="K30" s="148">
        <f>'OD EIAData'!L22</f>
        <v>330.55121730146027</v>
      </c>
      <c r="L30" s="148">
        <f>'OD EIAData'!J22</f>
        <v>470.13786233879659</v>
      </c>
      <c r="M30" s="148">
        <f t="shared" si="2"/>
        <v>423.12407610491692</v>
      </c>
      <c r="N30" s="148">
        <f>'OD EIAData'!K22</f>
        <v>420.62805703977875</v>
      </c>
      <c r="O30" s="148">
        <f>'OD EIAData'!M22</f>
        <v>319.55444708637162</v>
      </c>
      <c r="P30" s="148">
        <f>'OD EIAData'!N22</f>
        <v>69.492706259570554</v>
      </c>
      <c r="Q30" s="148">
        <f>'OD EIAData'!O22</f>
        <v>688.81210476729075</v>
      </c>
      <c r="R30" s="148">
        <f>'OD EIAData'!P22</f>
        <v>214.80559204893063</v>
      </c>
      <c r="S30" s="148">
        <f>'OD EIAData'!Q22</f>
        <v>644.3605745394625</v>
      </c>
      <c r="T30" s="342">
        <f t="shared" si="3"/>
        <v>1797.2757481829826</v>
      </c>
      <c r="U30" s="129">
        <f t="shared" si="4"/>
        <v>0</v>
      </c>
      <c r="V30" s="233">
        <v>4933.1468940860677</v>
      </c>
      <c r="W30" s="129"/>
      <c r="X30" s="237">
        <f>'OD EIAData'!S22</f>
        <v>5759.1814045754709</v>
      </c>
    </row>
    <row r="31" spans="1:24" x14ac:dyDescent="0.2">
      <c r="A31" s="25">
        <v>2024</v>
      </c>
      <c r="B31" s="148">
        <v>3.4119999999999999</v>
      </c>
      <c r="C31" s="148">
        <f>'OD EIAData'!B23</f>
        <v>8.3010546150143298</v>
      </c>
      <c r="D31" s="148">
        <f>'OD EIAData'!C23</f>
        <v>3.623122</v>
      </c>
      <c r="E31" s="148">
        <f>'OD EIAData'!D23</f>
        <v>383.06877552965955</v>
      </c>
      <c r="F31" s="148">
        <f>'OD EIAData'!G23</f>
        <v>14.202269064005705</v>
      </c>
      <c r="G31" s="148">
        <f>'OD EIAData'!E23</f>
        <v>14.162568346324433</v>
      </c>
      <c r="H31" s="148">
        <f>'OD EIAData'!F23</f>
        <v>16.850977</v>
      </c>
      <c r="I31" s="148">
        <f>'OD EIAData'!H23</f>
        <v>10.943632750534501</v>
      </c>
      <c r="J31" s="148">
        <f>'OD EIAData'!I23</f>
        <v>0.97012409558935375</v>
      </c>
      <c r="K31" s="148">
        <f>'OD EIAData'!L23</f>
        <v>331.51235626754573</v>
      </c>
      <c r="L31" s="148">
        <f>'OD EIAData'!J23</f>
        <v>465.03036657069157</v>
      </c>
      <c r="M31" s="148">
        <f t="shared" si="2"/>
        <v>418.5273299136224</v>
      </c>
      <c r="N31" s="148">
        <f>'OD EIAData'!K23</f>
        <v>418.50725969556311</v>
      </c>
      <c r="O31" s="148">
        <f>'OD EIAData'!M23</f>
        <v>319.29192758826025</v>
      </c>
      <c r="P31" s="148">
        <f>'OD EIAData'!N23</f>
        <v>69.270346446215157</v>
      </c>
      <c r="Q31" s="148">
        <f>'OD EIAData'!O23</f>
        <v>686.87307163244111</v>
      </c>
      <c r="R31" s="148">
        <f>'OD EIAData'!P23</f>
        <v>215.76662123037423</v>
      </c>
      <c r="S31" s="148">
        <f>'OD EIAData'!Q23</f>
        <v>649.73602395822979</v>
      </c>
      <c r="T31" s="342">
        <f t="shared" si="3"/>
        <v>1797.2757481829826</v>
      </c>
      <c r="U31" s="129">
        <f t="shared" si="4"/>
        <v>0</v>
      </c>
      <c r="V31" s="233">
        <v>5031.9627347048136</v>
      </c>
      <c r="W31" s="129"/>
      <c r="X31" s="237">
        <f>'OD EIAData'!S23</f>
        <v>5889.7412465591842</v>
      </c>
    </row>
    <row r="32" spans="1:24" x14ac:dyDescent="0.2">
      <c r="A32" s="25">
        <v>2025</v>
      </c>
      <c r="B32" s="148">
        <v>3.4119999999999999</v>
      </c>
      <c r="C32" s="148">
        <f>'OD EIAData'!B24</f>
        <v>8.3275989943828534</v>
      </c>
      <c r="D32" s="148">
        <f>'OD EIAData'!C24</f>
        <v>3.6397010000000001</v>
      </c>
      <c r="E32" s="148">
        <f>'OD EIAData'!D24</f>
        <v>372.89261827547023</v>
      </c>
      <c r="F32" s="148">
        <f>'OD EIAData'!G24</f>
        <v>14.257660809486611</v>
      </c>
      <c r="G32" s="148">
        <f>'OD EIAData'!E24</f>
        <v>14.214877761536375</v>
      </c>
      <c r="H32" s="148">
        <f>'OD EIAData'!F24</f>
        <v>16.969263000000002</v>
      </c>
      <c r="I32" s="148">
        <f>'OD EIAData'!H24</f>
        <v>10.981582822701254</v>
      </c>
      <c r="J32" s="148">
        <f>'OD EIAData'!I24</f>
        <v>0.97538625690068848</v>
      </c>
      <c r="K32" s="148">
        <f>'OD EIAData'!L24</f>
        <v>330.5724525297955</v>
      </c>
      <c r="L32" s="148">
        <f>'OD EIAData'!J24</f>
        <v>460.59611535548845</v>
      </c>
      <c r="M32" s="148">
        <f t="shared" si="2"/>
        <v>414.53650381993964</v>
      </c>
      <c r="N32" s="148">
        <f>'OD EIAData'!K24</f>
        <v>416.42666994176869</v>
      </c>
      <c r="O32" s="148">
        <f>'OD EIAData'!M24</f>
        <v>317.48873805314884</v>
      </c>
      <c r="P32" s="148">
        <f>'OD EIAData'!N24</f>
        <v>69.088351765119057</v>
      </c>
      <c r="Q32" s="148">
        <f>'OD EIAData'!O24</f>
        <v>681.83158310216493</v>
      </c>
      <c r="R32" s="148">
        <f>'OD EIAData'!P24</f>
        <v>215.3838096456148</v>
      </c>
      <c r="S32" s="148">
        <f>'OD EIAData'!Q24</f>
        <v>651.11539399671483</v>
      </c>
      <c r="T32" s="342">
        <f t="shared" si="3"/>
        <v>1797.2757481829826</v>
      </c>
      <c r="U32" s="129">
        <f t="shared" si="4"/>
        <v>0</v>
      </c>
      <c r="V32" s="233">
        <v>5106.3784194892005</v>
      </c>
      <c r="W32" s="129"/>
      <c r="X32" s="237">
        <f>'OD EIAData'!S24</f>
        <v>5991.41585105992</v>
      </c>
    </row>
    <row r="33" spans="1:24" x14ac:dyDescent="0.2">
      <c r="A33" s="25">
        <f t="shared" ref="A33:A49" si="5">A32+1</f>
        <v>2026</v>
      </c>
      <c r="B33" s="148">
        <v>3.4119999999999999</v>
      </c>
      <c r="C33" s="326">
        <f>'OD EIAData'!B25</f>
        <v>8.3494125211931092</v>
      </c>
      <c r="D33" s="148">
        <f>'OD EIAData'!C25</f>
        <v>3.6560069999999998</v>
      </c>
      <c r="E33" s="148">
        <f>'OD EIAData'!D25</f>
        <v>363.40195405575997</v>
      </c>
      <c r="F33" s="148">
        <f>'OD EIAData'!G25</f>
        <v>14.30328424720304</v>
      </c>
      <c r="G33" s="148">
        <f>'OD EIAData'!E25</f>
        <v>14.258012834356226</v>
      </c>
      <c r="H33" s="148">
        <f>'OD EIAData'!F25</f>
        <v>17.085235999999998</v>
      </c>
      <c r="I33" s="148">
        <f>'OD EIAData'!H25</f>
        <v>11.012506139039157</v>
      </c>
      <c r="J33" s="148">
        <f>'OD EIAData'!I25</f>
        <v>0.98007867816816163</v>
      </c>
      <c r="K33" s="148">
        <f>'OD EIAData'!L25</f>
        <v>330.42019434888834</v>
      </c>
      <c r="L33" s="148">
        <f>'OD EIAData'!J25</f>
        <v>456.87448998397741</v>
      </c>
      <c r="M33" s="148">
        <f t="shared" si="2"/>
        <v>411.1870409855797</v>
      </c>
      <c r="N33" s="148">
        <f>'OD EIAData'!K25</f>
        <v>414.52127371504622</v>
      </c>
      <c r="O33" s="148">
        <f>'OD EIAData'!M25</f>
        <v>316.75906844902772</v>
      </c>
      <c r="P33" s="148">
        <f>'OD EIAData'!N25</f>
        <v>69.096914198654005</v>
      </c>
      <c r="Q33" s="148">
        <f>'OD EIAData'!O25</f>
        <v>679.14419471165479</v>
      </c>
      <c r="R33" s="148">
        <f>'OD EIAData'!P25</f>
        <v>215.32643186869478</v>
      </c>
      <c r="S33" s="148">
        <f>'OD EIAData'!Q25</f>
        <v>653.82267965171081</v>
      </c>
      <c r="T33" s="342">
        <f t="shared" si="3"/>
        <v>1797.2757481829826</v>
      </c>
      <c r="U33" s="129">
        <f t="shared" si="4"/>
        <v>0</v>
      </c>
      <c r="V33" s="233">
        <v>5194.1820392811978</v>
      </c>
      <c r="W33" s="129"/>
      <c r="X33" s="237">
        <f>'OD EIAData'!S25</f>
        <v>6091.6870853659957</v>
      </c>
    </row>
    <row r="34" spans="1:24" x14ac:dyDescent="0.2">
      <c r="A34" s="25">
        <f t="shared" si="5"/>
        <v>2027</v>
      </c>
      <c r="B34" s="148">
        <v>3.4119999999999999</v>
      </c>
      <c r="C34" s="326">
        <f>'OD EIAData'!B26</f>
        <v>8.3668992443359684</v>
      </c>
      <c r="D34" s="148">
        <f>'OD EIAData'!C26</f>
        <v>3.6720199999999998</v>
      </c>
      <c r="E34" s="148">
        <f>'OD EIAData'!D26</f>
        <v>354.01670363087203</v>
      </c>
      <c r="F34" s="148">
        <f>'OD EIAData'!G26</f>
        <v>14.33977331883257</v>
      </c>
      <c r="G34" s="148">
        <f>'OD EIAData'!E26</f>
        <v>14.292741239117538</v>
      </c>
      <c r="H34" s="148">
        <f>'OD EIAData'!F26</f>
        <v>17.198823999999998</v>
      </c>
      <c r="I34" s="148">
        <f>'OD EIAData'!H26</f>
        <v>11.0365098007554</v>
      </c>
      <c r="J34" s="148">
        <f>'OD EIAData'!I26</f>
        <v>0.98429763655557467</v>
      </c>
      <c r="K34" s="148">
        <f>'OD EIAData'!L26</f>
        <v>330.22830310790187</v>
      </c>
      <c r="L34" s="148">
        <f>'OD EIAData'!J26</f>
        <v>453.87905072495818</v>
      </c>
      <c r="M34" s="148">
        <f t="shared" si="2"/>
        <v>408.49114565246236</v>
      </c>
      <c r="N34" s="148">
        <f>'OD EIAData'!K26</f>
        <v>412.76444890663794</v>
      </c>
      <c r="O34" s="148">
        <f>'OD EIAData'!M26</f>
        <v>316.18866387824568</v>
      </c>
      <c r="P34" s="148">
        <f>'OD EIAData'!N26</f>
        <v>69.102726492425504</v>
      </c>
      <c r="Q34" s="148">
        <f>'OD EIAData'!O26</f>
        <v>677.29312871746174</v>
      </c>
      <c r="R34" s="148">
        <f>'OD EIAData'!P26</f>
        <v>215.32191801218977</v>
      </c>
      <c r="S34" s="148">
        <f>'OD EIAData'!Q26</f>
        <v>656.22281892092496</v>
      </c>
      <c r="T34" s="342">
        <f t="shared" si="3"/>
        <v>1797.2757481829826</v>
      </c>
      <c r="U34" s="129">
        <f t="shared" si="4"/>
        <v>0</v>
      </c>
      <c r="V34" s="233">
        <v>5275.6032530634193</v>
      </c>
      <c r="W34" s="129"/>
      <c r="X34" s="237">
        <f>'OD EIAData'!S26</f>
        <v>6194.6977557610198</v>
      </c>
    </row>
    <row r="35" spans="1:24" x14ac:dyDescent="0.2">
      <c r="A35" s="25">
        <f t="shared" si="5"/>
        <v>2028</v>
      </c>
      <c r="B35" s="148">
        <v>3.4119999999999999</v>
      </c>
      <c r="C35" s="326">
        <f>'OD EIAData'!B27</f>
        <v>8.3820133515158552</v>
      </c>
      <c r="D35" s="148">
        <f>'OD EIAData'!C27</f>
        <v>3.6878350000000002</v>
      </c>
      <c r="E35" s="148">
        <f>'OD EIAData'!D27</f>
        <v>345.61365104914455</v>
      </c>
      <c r="F35" s="148">
        <f>'OD EIAData'!G27</f>
        <v>14.371698710856524</v>
      </c>
      <c r="G35" s="148">
        <f>'OD EIAData'!E27</f>
        <v>14.322822084287804</v>
      </c>
      <c r="H35" s="148">
        <f>'OD EIAData'!F27</f>
        <v>17.310966000000001</v>
      </c>
      <c r="I35" s="148">
        <f>'OD EIAData'!H27</f>
        <v>11.053065298474133</v>
      </c>
      <c r="J35" s="148">
        <f>'OD EIAData'!I27</f>
        <v>0.98810952618150916</v>
      </c>
      <c r="K35" s="148">
        <f>'OD EIAData'!L27</f>
        <v>330.93029938973899</v>
      </c>
      <c r="L35" s="148">
        <f>'OD EIAData'!J27</f>
        <v>451.27329007356576</v>
      </c>
      <c r="M35" s="148">
        <f t="shared" si="2"/>
        <v>406.14596106620917</v>
      </c>
      <c r="N35" s="148">
        <f>'OD EIAData'!K27</f>
        <v>411.15410932159227</v>
      </c>
      <c r="O35" s="148">
        <f>'OD EIAData'!M27</f>
        <v>316.62927262134241</v>
      </c>
      <c r="P35" s="148">
        <f>'OD EIAData'!N27</f>
        <v>69.292832204904883</v>
      </c>
      <c r="Q35" s="148">
        <f>'OD EIAData'!O27</f>
        <v>677.47048870015078</v>
      </c>
      <c r="R35" s="148">
        <f>'OD EIAData'!P27</f>
        <v>215.97685260711106</v>
      </c>
      <c r="S35" s="148">
        <f>'OD EIAData'!Q27</f>
        <v>660.42299242267268</v>
      </c>
      <c r="T35" s="342">
        <f t="shared" si="3"/>
        <v>1797.2757481829826</v>
      </c>
      <c r="U35" s="129">
        <f t="shared" si="4"/>
        <v>0</v>
      </c>
      <c r="V35" s="233">
        <v>5359.256897805185</v>
      </c>
      <c r="W35" s="129"/>
      <c r="X35" s="237">
        <f>'OD EIAData'!S27</f>
        <v>6317.2391123234102</v>
      </c>
    </row>
    <row r="36" spans="1:24" x14ac:dyDescent="0.2">
      <c r="A36" s="25">
        <f t="shared" si="5"/>
        <v>2029</v>
      </c>
      <c r="B36" s="148">
        <v>3.4119999999999999</v>
      </c>
      <c r="C36" s="326">
        <f>'OD EIAData'!B28</f>
        <v>8.3945062409389717</v>
      </c>
      <c r="D36" s="148">
        <f>'OD EIAData'!C28</f>
        <v>3.7035469999999999</v>
      </c>
      <c r="E36" s="148">
        <f>'OD EIAData'!D28</f>
        <v>335.31520701696746</v>
      </c>
      <c r="F36" s="148">
        <f>'OD EIAData'!G28</f>
        <v>14.398754962505095</v>
      </c>
      <c r="G36" s="148">
        <f>'OD EIAData'!E28</f>
        <v>14.347722981616645</v>
      </c>
      <c r="H36" s="148">
        <f>'OD EIAData'!F28</f>
        <v>17.422353999999999</v>
      </c>
      <c r="I36" s="148">
        <f>'OD EIAData'!H28</f>
        <v>11.06150710486053</v>
      </c>
      <c r="J36" s="148">
        <f>'OD EIAData'!I28</f>
        <v>0.99146862554272841</v>
      </c>
      <c r="K36" s="148">
        <f>'OD EIAData'!L28</f>
        <v>329.81921028319863</v>
      </c>
      <c r="L36" s="148">
        <f>'OD EIAData'!J28</f>
        <v>448.92414645913277</v>
      </c>
      <c r="M36" s="148">
        <f t="shared" si="2"/>
        <v>404.03173181321949</v>
      </c>
      <c r="N36" s="148">
        <f>'OD EIAData'!K28</f>
        <v>409.68696562672051</v>
      </c>
      <c r="O36" s="148">
        <f>'OD EIAData'!M28</f>
        <v>315.48431158699367</v>
      </c>
      <c r="P36" s="148">
        <f>'OD EIAData'!N28</f>
        <v>69.10064719926315</v>
      </c>
      <c r="Q36" s="148">
        <f>'OD EIAData'!O28</f>
        <v>674.29231234221595</v>
      </c>
      <c r="R36" s="148">
        <f>'OD EIAData'!P28</f>
        <v>215.54449635579306</v>
      </c>
      <c r="S36" s="148">
        <f>'OD EIAData'!Q28</f>
        <v>660.41878387762711</v>
      </c>
      <c r="T36" s="342">
        <f t="shared" si="3"/>
        <v>1797.2757481829826</v>
      </c>
      <c r="U36" s="129">
        <f t="shared" si="4"/>
        <v>0</v>
      </c>
      <c r="V36" s="233">
        <v>5409.8047095777374</v>
      </c>
      <c r="W36" s="129"/>
      <c r="X36" s="237">
        <f>'OD EIAData'!S28</f>
        <v>6396.5913263988132</v>
      </c>
    </row>
    <row r="37" spans="1:24" x14ac:dyDescent="0.2">
      <c r="A37" s="25">
        <f t="shared" si="5"/>
        <v>2030</v>
      </c>
      <c r="B37" s="148">
        <v>3.4119999999999999</v>
      </c>
      <c r="C37" s="326">
        <f>'OD EIAData'!B29</f>
        <v>8.405648247040185</v>
      </c>
      <c r="D37" s="148">
        <f>'OD EIAData'!C29</f>
        <v>3.7192210000000001</v>
      </c>
      <c r="E37" s="148">
        <f>'OD EIAData'!D29</f>
        <v>326.32083832269967</v>
      </c>
      <c r="F37" s="148">
        <f>'OD EIAData'!G29</f>
        <v>14.421297347885083</v>
      </c>
      <c r="G37" s="148">
        <f>'OD EIAData'!E29</f>
        <v>14.374589757458491</v>
      </c>
      <c r="H37" s="148">
        <f>'OD EIAData'!F29</f>
        <v>17.533472</v>
      </c>
      <c r="I37" s="148">
        <f>'OD EIAData'!H29</f>
        <v>11.061324610560973</v>
      </c>
      <c r="J37" s="148">
        <f>'OD EIAData'!I29</f>
        <v>0.99435966112915053</v>
      </c>
      <c r="K37" s="148">
        <f>'OD EIAData'!L29</f>
        <v>329.70775549960115</v>
      </c>
      <c r="L37" s="148">
        <f>'OD EIAData'!J29</f>
        <v>446.81914432469313</v>
      </c>
      <c r="M37" s="148">
        <f t="shared" si="2"/>
        <v>402.13722989222384</v>
      </c>
      <c r="N37" s="148">
        <f>'OD EIAData'!K29</f>
        <v>408.35116049756937</v>
      </c>
      <c r="O37" s="148">
        <f>'OD EIAData'!M29</f>
        <v>315.35039504397855</v>
      </c>
      <c r="P37" s="148">
        <f>'OD EIAData'!N29</f>
        <v>69.099013800494049</v>
      </c>
      <c r="Q37" s="148">
        <f>'OD EIAData'!O29</f>
        <v>674.08999057112578</v>
      </c>
      <c r="R37" s="148">
        <f>'OD EIAData'!P29</f>
        <v>216.09082431746859</v>
      </c>
      <c r="S37" s="148">
        <f>'OD EIAData'!Q29</f>
        <v>661.87033342277857</v>
      </c>
      <c r="T37" s="342">
        <f t="shared" si="3"/>
        <v>1797.2757481829826</v>
      </c>
      <c r="U37" s="129">
        <f t="shared" si="4"/>
        <v>0</v>
      </c>
      <c r="V37" s="233">
        <v>5480.87412810562</v>
      </c>
      <c r="W37" s="129"/>
      <c r="X37" s="237">
        <f>'OD EIAData'!S29</f>
        <v>6512.5928463861974</v>
      </c>
    </row>
    <row r="38" spans="1:24" x14ac:dyDescent="0.2">
      <c r="A38" s="25">
        <f t="shared" si="5"/>
        <v>2031</v>
      </c>
      <c r="B38" s="148">
        <v>3.4119999999999999</v>
      </c>
      <c r="C38" s="326">
        <f>'OD EIAData'!B30</f>
        <v>8.4157941304593287</v>
      </c>
      <c r="D38" s="148">
        <f>'OD EIAData'!C30</f>
        <v>3.7342439999999999</v>
      </c>
      <c r="E38" s="148">
        <f>'OD EIAData'!D30</f>
        <v>317.27929729435795</v>
      </c>
      <c r="F38" s="148">
        <f>'OD EIAData'!G30</f>
        <v>14.442716324292093</v>
      </c>
      <c r="G38" s="148">
        <f>'OD EIAData'!E30</f>
        <v>14.396076002539097</v>
      </c>
      <c r="H38" s="148">
        <f>'OD EIAData'!F30</f>
        <v>17.640267999999999</v>
      </c>
      <c r="I38" s="148">
        <f>'OD EIAData'!H30</f>
        <v>11.061161808558927</v>
      </c>
      <c r="J38" s="148">
        <f>'OD EIAData'!I30</f>
        <v>0.99678594057528325</v>
      </c>
      <c r="K38" s="148">
        <f>'OD EIAData'!L30</f>
        <v>329.59197692239553</v>
      </c>
      <c r="L38" s="148">
        <f>'OD EIAData'!J30</f>
        <v>444.93363732543077</v>
      </c>
      <c r="M38" s="148">
        <f>L38*0.9</f>
        <v>400.44027359288771</v>
      </c>
      <c r="N38" s="148">
        <f>'OD EIAData'!K30</f>
        <v>407.18001880876142</v>
      </c>
      <c r="O38" s="148">
        <f>'OD EIAData'!M30</f>
        <v>315.35075649430536</v>
      </c>
      <c r="P38" s="148">
        <f>'OD EIAData'!N30</f>
        <v>69.098269733041036</v>
      </c>
      <c r="Q38" s="148">
        <f>'OD EIAData'!O30</f>
        <v>673.74294545438158</v>
      </c>
      <c r="R38" s="148">
        <f>'OD EIAData'!P30</f>
        <v>216.56805681692848</v>
      </c>
      <c r="S38" s="148">
        <f>'OD EIAData'!Q30</f>
        <v>662.45367395940343</v>
      </c>
      <c r="T38" s="342">
        <f t="shared" si="3"/>
        <v>1797.2757481829826</v>
      </c>
      <c r="U38" s="129">
        <f t="shared" si="4"/>
        <v>0</v>
      </c>
      <c r="V38" s="233">
        <v>5552.877196279107</v>
      </c>
      <c r="W38" s="129">
        <f t="shared" ref="W38:W42" si="6">V38/V37-1</f>
        <v>1.3137150478289339E-2</v>
      </c>
      <c r="X38" s="237">
        <f>'OD EIAData'!S30</f>
        <v>6610.9367706067169</v>
      </c>
    </row>
    <row r="39" spans="1:24" x14ac:dyDescent="0.2">
      <c r="A39" s="25">
        <f t="shared" si="5"/>
        <v>2032</v>
      </c>
      <c r="B39" s="148">
        <v>3.4119999999999999</v>
      </c>
      <c r="C39" s="326">
        <f>'OD EIAData'!B31</f>
        <v>8.4249576911533275</v>
      </c>
      <c r="D39" s="148">
        <f>'OD EIAData'!C31</f>
        <v>3.7486199999999998</v>
      </c>
      <c r="E39" s="148">
        <f>'OD EIAData'!D31</f>
        <v>309.0327885386979</v>
      </c>
      <c r="F39" s="148">
        <f>'OD EIAData'!G31</f>
        <v>14.463387768104882</v>
      </c>
      <c r="G39" s="148">
        <f>'OD EIAData'!E31</f>
        <v>14.415573627853872</v>
      </c>
      <c r="H39" s="148">
        <f>'OD EIAData'!F31</f>
        <v>17.742751999999999</v>
      </c>
      <c r="I39" s="148">
        <f>'OD EIAData'!H31</f>
        <v>11.060984269870238</v>
      </c>
      <c r="J39" s="148">
        <f>'OD EIAData'!I31</f>
        <v>0.99883765299838911</v>
      </c>
      <c r="K39" s="148">
        <f>'OD EIAData'!L31</f>
        <v>330.38425668389834</v>
      </c>
      <c r="L39" s="148">
        <f>'OD EIAData'!J31</f>
        <v>443.23224032927942</v>
      </c>
      <c r="M39" s="148">
        <f>L39*0.9</f>
        <v>398.90901629635147</v>
      </c>
      <c r="N39" s="148">
        <f>'OD EIAData'!K31</f>
        <v>406.16617227636692</v>
      </c>
      <c r="O39" s="148">
        <f>'OD EIAData'!M31</f>
        <v>316.21501157090557</v>
      </c>
      <c r="P39" s="148">
        <f>'OD EIAData'!N31</f>
        <v>69.287929119915759</v>
      </c>
      <c r="Q39" s="148">
        <f>'OD EIAData'!O31</f>
        <v>676.01698519000036</v>
      </c>
      <c r="R39" s="148">
        <f>'OD EIAData'!P31</f>
        <v>217.86563789678891</v>
      </c>
      <c r="S39" s="148">
        <f>'OD EIAData'!Q31</f>
        <v>664.09491960269349</v>
      </c>
      <c r="T39" s="342">
        <f t="shared" si="3"/>
        <v>1797.2757481829826</v>
      </c>
      <c r="U39" s="129">
        <f t="shared" si="4"/>
        <v>0</v>
      </c>
      <c r="V39" s="233">
        <v>5625.826179594088</v>
      </c>
      <c r="W39" s="129">
        <f t="shared" si="6"/>
        <v>1.3137150478289561E-2</v>
      </c>
      <c r="X39" s="237">
        <f>'OD EIAData'!S31</f>
        <v>6731.9791840402013</v>
      </c>
    </row>
    <row r="40" spans="1:24" x14ac:dyDescent="0.2">
      <c r="A40" s="25">
        <f t="shared" si="5"/>
        <v>2033</v>
      </c>
      <c r="B40" s="148">
        <v>3.4119999999999999</v>
      </c>
      <c r="C40" s="326">
        <f>'OD EIAData'!B32</f>
        <v>8.4317027270645557</v>
      </c>
      <c r="D40" s="148">
        <f>'OD EIAData'!C32</f>
        <v>3.7624629999999999</v>
      </c>
      <c r="E40" s="148">
        <f>'OD EIAData'!D32</f>
        <v>299.08207866584496</v>
      </c>
      <c r="F40" s="148">
        <f>'OD EIAData'!G32</f>
        <v>14.479360058071141</v>
      </c>
      <c r="G40" s="148">
        <f>'OD EIAData'!E32</f>
        <v>14.430632056057418</v>
      </c>
      <c r="H40" s="148">
        <f>'OD EIAData'!F32</f>
        <v>17.841685999999999</v>
      </c>
      <c r="I40" s="148">
        <f>'OD EIAData'!H32</f>
        <v>11.060819877644116</v>
      </c>
      <c r="J40" s="148">
        <f>'OD EIAData'!I32</f>
        <v>1.000515791422204</v>
      </c>
      <c r="K40" s="148">
        <f>'OD EIAData'!L32</f>
        <v>329.30082876880681</v>
      </c>
      <c r="L40" s="148">
        <f>'OD EIAData'!J32</f>
        <v>441.72625620838903</v>
      </c>
      <c r="M40" s="148">
        <f>L40*0.9</f>
        <v>397.55363058755012</v>
      </c>
      <c r="N40" s="148">
        <f>'OD EIAData'!K32</f>
        <v>405.24884432213236</v>
      </c>
      <c r="O40" s="148">
        <f>'OD EIAData'!M32</f>
        <v>315.35133277187407</v>
      </c>
      <c r="P40" s="148">
        <f>'OD EIAData'!N32</f>
        <v>69.099841707048881</v>
      </c>
      <c r="Q40" s="148">
        <f>'OD EIAData'!O32</f>
        <v>674.18015291632946</v>
      </c>
      <c r="R40" s="148">
        <f>'OD EIAData'!P32</f>
        <v>217.82135298035433</v>
      </c>
      <c r="S40" s="148">
        <f>'OD EIAData'!Q32</f>
        <v>662.19985842912183</v>
      </c>
      <c r="T40" s="342">
        <f t="shared" si="3"/>
        <v>1797.2757481829826</v>
      </c>
      <c r="U40" s="129">
        <f t="shared" si="4"/>
        <v>0</v>
      </c>
      <c r="V40" s="233">
        <v>5699.7335046801154</v>
      </c>
      <c r="W40" s="129">
        <f t="shared" si="6"/>
        <v>1.3137150478289339E-2</v>
      </c>
      <c r="X40" s="237">
        <f>'OD EIAData'!S32</f>
        <v>6806.7880342934886</v>
      </c>
    </row>
    <row r="41" spans="1:24" x14ac:dyDescent="0.2">
      <c r="A41" s="25">
        <f t="shared" si="5"/>
        <v>2034</v>
      </c>
      <c r="B41" s="148">
        <v>3.4119999999999999</v>
      </c>
      <c r="C41" s="326">
        <f>'OD EIAData'!B33</f>
        <v>8.436276245805697</v>
      </c>
      <c r="D41" s="148">
        <f>'OD EIAData'!C33</f>
        <v>3.7758560000000001</v>
      </c>
      <c r="E41" s="148">
        <f>'OD EIAData'!D33</f>
        <v>289.94106646626875</v>
      </c>
      <c r="F41" s="148">
        <f>'OD EIAData'!G33</f>
        <v>14.490826281137791</v>
      </c>
      <c r="G41" s="148">
        <f>'OD EIAData'!E33</f>
        <v>14.441786791770996</v>
      </c>
      <c r="H41" s="148">
        <f>'OD EIAData'!F33</f>
        <v>17.937657999999999</v>
      </c>
      <c r="I41" s="148">
        <f>'OD EIAData'!H33</f>
        <v>11.060728336680551</v>
      </c>
      <c r="J41" s="148">
        <f>'OD EIAData'!I33</f>
        <v>1.0017630316729063</v>
      </c>
      <c r="K41" s="148">
        <f>'OD EIAData'!L33</f>
        <v>329.08521921166783</v>
      </c>
      <c r="L41" s="148">
        <f>'OD EIAData'!J33</f>
        <v>440.43760058613827</v>
      </c>
      <c r="M41" s="148">
        <f>L41*0.9</f>
        <v>396.39384052752445</v>
      </c>
      <c r="N41" s="148">
        <f>'OD EIAData'!K33</f>
        <v>404.44344892440404</v>
      </c>
      <c r="O41" s="148">
        <f>'OD EIAData'!M33</f>
        <v>315.35172316890521</v>
      </c>
      <c r="P41" s="148">
        <f>'OD EIAData'!N33</f>
        <v>69.101084056966499</v>
      </c>
      <c r="Q41" s="148">
        <f>'OD EIAData'!O33</f>
        <v>674.11916095875756</v>
      </c>
      <c r="R41" s="148">
        <f>'OD EIAData'!P33</f>
        <v>218.30877179722594</v>
      </c>
      <c r="S41" s="148">
        <f>'OD EIAData'!Q33</f>
        <v>662.10923900502735</v>
      </c>
      <c r="T41" s="342">
        <f t="shared" si="3"/>
        <v>1797.2757481829826</v>
      </c>
      <c r="U41" s="129">
        <f t="shared" si="4"/>
        <v>0</v>
      </c>
      <c r="V41" s="233">
        <v>5774.6117614172472</v>
      </c>
      <c r="W41" s="129">
        <f t="shared" si="6"/>
        <v>1.3137150478289561E-2</v>
      </c>
      <c r="X41" s="237">
        <f>'OD EIAData'!S33</f>
        <v>6899.8315882134048</v>
      </c>
    </row>
    <row r="42" spans="1:24" x14ac:dyDescent="0.2">
      <c r="A42" s="25">
        <f t="shared" si="5"/>
        <v>2035</v>
      </c>
      <c r="B42" s="148">
        <v>3.4119999999999999</v>
      </c>
      <c r="C42" s="326">
        <f>'OD EIAData'!B34</f>
        <v>8.4384683863519196</v>
      </c>
      <c r="D42" s="148">
        <f>'OD EIAData'!C34</f>
        <v>3.7888030000000001</v>
      </c>
      <c r="E42" s="148">
        <f>'OD EIAData'!D34</f>
        <v>281.05143254228147</v>
      </c>
      <c r="F42" s="148">
        <f>'OD EIAData'!G34</f>
        <v>14.497546310944491</v>
      </c>
      <c r="G42" s="148">
        <f>'OD EIAData'!E34</f>
        <v>14.448640967099756</v>
      </c>
      <c r="H42" s="148">
        <f>'OD EIAData'!F34</f>
        <v>18.030645</v>
      </c>
      <c r="I42" s="148">
        <f>'OD EIAData'!H34</f>
        <v>11.060691187179341</v>
      </c>
      <c r="J42" s="148">
        <f>'OD EIAData'!I34</f>
        <v>1.0025683368435454</v>
      </c>
      <c r="K42" s="148">
        <f>'OD EIAData'!L34</f>
        <v>329.01940173233208</v>
      </c>
      <c r="L42" s="148">
        <f>'OD EIAData'!J34</f>
        <v>439.3508566860047</v>
      </c>
      <c r="M42" s="148">
        <f>L42*0.9</f>
        <v>395.41577101740427</v>
      </c>
      <c r="N42" s="148">
        <f>'OD EIAData'!K34</f>
        <v>403.74965954711087</v>
      </c>
      <c r="O42" s="148">
        <f>'OD EIAData'!M34</f>
        <v>315.35202464956387</v>
      </c>
      <c r="P42" s="148">
        <f>'OD EIAData'!N34</f>
        <v>69.102773757170596</v>
      </c>
      <c r="Q42" s="148">
        <f>'OD EIAData'!O34</f>
        <v>675.82131711470868</v>
      </c>
      <c r="R42" s="148">
        <f>'OD EIAData'!P34</f>
        <v>219.32918139597865</v>
      </c>
      <c r="S42" s="148">
        <f>'OD EIAData'!Q34</f>
        <v>661.47069408085599</v>
      </c>
      <c r="T42" s="342">
        <f t="shared" si="3"/>
        <v>1797.2757481829826</v>
      </c>
      <c r="U42" s="129">
        <f t="shared" si="4"/>
        <v>0</v>
      </c>
      <c r="V42" s="233">
        <v>5850.4737050806871</v>
      </c>
      <c r="W42" s="129">
        <f t="shared" si="6"/>
        <v>1.3137150478289783E-2</v>
      </c>
      <c r="X42" s="237">
        <f>'OD EIAData'!S34</f>
        <v>7007.5833776881846</v>
      </c>
    </row>
    <row r="43" spans="1:24" x14ac:dyDescent="0.2">
      <c r="A43" s="25">
        <f t="shared" si="5"/>
        <v>2036</v>
      </c>
      <c r="B43" s="148">
        <v>3.4119999999999999</v>
      </c>
      <c r="C43" s="326">
        <f>'OD EIAData'!B35</f>
        <v>8.4406605268981423</v>
      </c>
      <c r="D43" s="148">
        <f>'OD EIAData'!C35</f>
        <v>3.8017500000000002</v>
      </c>
      <c r="E43" s="148">
        <f>'OD EIAData'!D35</f>
        <v>272.43435604613853</v>
      </c>
      <c r="F43" s="148">
        <f>'OD EIAData'!G35</f>
        <v>14.504266340751192</v>
      </c>
      <c r="G43" s="148">
        <f>'OD EIAData'!E35</f>
        <v>14.455495142428516</v>
      </c>
      <c r="H43" s="148">
        <f>'OD EIAData'!F35</f>
        <v>18.123632000000001</v>
      </c>
      <c r="I43" s="148">
        <f>'OD EIAData'!H35</f>
        <v>11.06065403767813</v>
      </c>
      <c r="J43" s="148">
        <f>'OD EIAData'!I35</f>
        <v>1.0033736420141846</v>
      </c>
      <c r="K43" s="148">
        <f>'OD EIAData'!L35</f>
        <v>328.95359741657933</v>
      </c>
      <c r="L43" s="148">
        <f>'OD EIAData'!J35</f>
        <v>438.26411278587113</v>
      </c>
      <c r="M43" s="148">
        <f t="shared" ref="M43:M49" si="7">L43*0.9</f>
        <v>394.43770150728403</v>
      </c>
      <c r="N43" s="148">
        <f>'OD EIAData'!K35</f>
        <v>403.05587016981769</v>
      </c>
      <c r="O43" s="148">
        <f>'OD EIAData'!M35</f>
        <v>315.35232613051073</v>
      </c>
      <c r="P43" s="148">
        <f>'OD EIAData'!N35</f>
        <v>69.104463498692226</v>
      </c>
      <c r="Q43" s="148">
        <f>'OD EIAData'!O35</f>
        <v>677.52777122827206</v>
      </c>
      <c r="R43" s="148">
        <f>'OD EIAData'!P35</f>
        <v>220.35436054998397</v>
      </c>
      <c r="S43" s="148">
        <f>'OD EIAData'!Q35</f>
        <v>660.83276497594238</v>
      </c>
      <c r="T43" s="342">
        <f t="shared" si="3"/>
        <v>1797.2757481829826</v>
      </c>
      <c r="U43" s="327"/>
      <c r="V43" s="233">
        <v>5927.3322585136057</v>
      </c>
      <c r="W43" s="129">
        <f>V43/V42-1</f>
        <v>1.3137150478289117E-2</v>
      </c>
      <c r="X43" s="237">
        <f>'OD EIAData'!S35</f>
        <v>7117.0178818765871</v>
      </c>
    </row>
    <row r="44" spans="1:24" x14ac:dyDescent="0.2">
      <c r="A44" s="25">
        <f t="shared" si="5"/>
        <v>2037</v>
      </c>
      <c r="B44" s="148">
        <v>3.4119999999999999</v>
      </c>
      <c r="C44" s="326">
        <f>'OD EIAData'!B36</f>
        <v>8.4428526674443649</v>
      </c>
      <c r="D44" s="148">
        <f>'OD EIAData'!C36</f>
        <v>3.8146970000000002</v>
      </c>
      <c r="E44" s="148">
        <f>'OD EIAData'!D36</f>
        <v>264.08148032872396</v>
      </c>
      <c r="F44" s="148">
        <f>'OD EIAData'!G36</f>
        <v>14.510986370557893</v>
      </c>
      <c r="G44" s="148">
        <f>'OD EIAData'!E36</f>
        <v>14.462349317757276</v>
      </c>
      <c r="H44" s="148">
        <f>'OD EIAData'!F36</f>
        <v>18.216619000000001</v>
      </c>
      <c r="I44" s="148">
        <f>'OD EIAData'!H36</f>
        <v>11.06061688817692</v>
      </c>
      <c r="J44" s="148">
        <f>'OD EIAData'!I36</f>
        <v>1.0041789471848237</v>
      </c>
      <c r="K44" s="148">
        <f>'OD EIAData'!L36</f>
        <v>328.88780626177669</v>
      </c>
      <c r="L44" s="148">
        <f>'OD EIAData'!J36</f>
        <v>437.17736888573756</v>
      </c>
      <c r="M44" s="148">
        <f t="shared" si="7"/>
        <v>393.4596319971638</v>
      </c>
      <c r="N44" s="148">
        <f>'OD EIAData'!K36</f>
        <v>402.36208079252452</v>
      </c>
      <c r="O44" s="148">
        <f>'OD EIAData'!M36</f>
        <v>315.35262761174585</v>
      </c>
      <c r="P44" s="148">
        <f>'OD EIAData'!N36</f>
        <v>69.106153281532414</v>
      </c>
      <c r="Q44" s="148">
        <f>'OD EIAData'!O36</f>
        <v>679.23853415182384</v>
      </c>
      <c r="R44" s="148">
        <f>'OD EIAData'!P36</f>
        <v>221.38433155289479</v>
      </c>
      <c r="S44" s="148">
        <f>'OD EIAData'!Q36</f>
        <v>660.19545109638432</v>
      </c>
      <c r="T44" s="342">
        <f t="shared" si="3"/>
        <v>1797.2757481829826</v>
      </c>
      <c r="U44" s="327"/>
      <c r="V44" s="233">
        <v>6005.2005143285196</v>
      </c>
      <c r="W44" s="129">
        <f t="shared" si="4"/>
        <v>1.3137150478289783E-2</v>
      </c>
      <c r="X44" s="237">
        <f>'OD EIAData'!S36</f>
        <v>7228.1613790318224</v>
      </c>
    </row>
    <row r="45" spans="1:24" x14ac:dyDescent="0.2">
      <c r="A45" s="25">
        <f t="shared" si="5"/>
        <v>2038</v>
      </c>
      <c r="B45" s="148">
        <v>3.4119999999999999</v>
      </c>
      <c r="C45" s="326">
        <f>'OD EIAData'!B37</f>
        <v>8.4450448079905875</v>
      </c>
      <c r="D45" s="148">
        <f>'OD EIAData'!C37</f>
        <v>3.8276440000000003</v>
      </c>
      <c r="E45" s="148">
        <f>'OD EIAData'!D37</f>
        <v>255.98470495696014</v>
      </c>
      <c r="F45" s="148">
        <f>'OD EIAData'!G37</f>
        <v>14.517706400364593</v>
      </c>
      <c r="G45" s="148">
        <f>'OD EIAData'!E37</f>
        <v>14.469203493086036</v>
      </c>
      <c r="H45" s="148">
        <f>'OD EIAData'!F37</f>
        <v>18.309606000000002</v>
      </c>
      <c r="I45" s="148">
        <f>'OD EIAData'!H37</f>
        <v>11.06057973867571</v>
      </c>
      <c r="J45" s="148">
        <f>'OD EIAData'!I37</f>
        <v>1.0049842523554628</v>
      </c>
      <c r="K45" s="148">
        <f>'OD EIAData'!L37</f>
        <v>328.8220282652922</v>
      </c>
      <c r="L45" s="148">
        <f>'OD EIAData'!J37</f>
        <v>436.09062498560399</v>
      </c>
      <c r="M45" s="148">
        <f t="shared" si="7"/>
        <v>392.48156248704362</v>
      </c>
      <c r="N45" s="148">
        <f>'OD EIAData'!K37</f>
        <v>401.66829141523135</v>
      </c>
      <c r="O45" s="148">
        <f>'OD EIAData'!M37</f>
        <v>315.35292909326915</v>
      </c>
      <c r="P45" s="148">
        <f>'OD EIAData'!N37</f>
        <v>69.107843105692154</v>
      </c>
      <c r="Q45" s="148">
        <f>'OD EIAData'!O37</f>
        <v>680.95361676514312</v>
      </c>
      <c r="R45" s="148">
        <f>'OD EIAData'!P37</f>
        <v>222.41911680256794</v>
      </c>
      <c r="S45" s="148">
        <f>'OD EIAData'!Q37</f>
        <v>659.55875184885201</v>
      </c>
      <c r="T45" s="342">
        <f t="shared" si="3"/>
        <v>1797.2757481829826</v>
      </c>
      <c r="U45" s="327"/>
      <c r="V45" s="233">
        <v>6084.0917371375544</v>
      </c>
      <c r="W45" s="129">
        <f t="shared" ref="W45:W49" si="8">V45/V44-1</f>
        <v>1.3137150478289339E-2</v>
      </c>
      <c r="X45" s="237">
        <f>'OD EIAData'!S37</f>
        <v>7341.0405577836091</v>
      </c>
    </row>
    <row r="46" spans="1:24" x14ac:dyDescent="0.2">
      <c r="A46" s="25">
        <f t="shared" si="5"/>
        <v>2039</v>
      </c>
      <c r="B46" s="148">
        <v>3.4119999999999999</v>
      </c>
      <c r="C46" s="326">
        <f>'OD EIAData'!B38</f>
        <v>8.4472369485368102</v>
      </c>
      <c r="D46" s="148">
        <f>'OD EIAData'!C38</f>
        <v>3.8405910000000003</v>
      </c>
      <c r="E46" s="148">
        <f>'OD EIAData'!D38</f>
        <v>248.13617785818846</v>
      </c>
      <c r="F46" s="148">
        <f>'OD EIAData'!G38</f>
        <v>14.524426430171294</v>
      </c>
      <c r="G46" s="148">
        <f>'OD EIAData'!E38</f>
        <v>14.476057668414796</v>
      </c>
      <c r="H46" s="148">
        <f>'OD EIAData'!F38</f>
        <v>18.402593000000003</v>
      </c>
      <c r="I46" s="148">
        <f>'OD EIAData'!H38</f>
        <v>11.060542589174499</v>
      </c>
      <c r="J46" s="148">
        <f>'OD EIAData'!I38</f>
        <v>1.005789557526102</v>
      </c>
      <c r="K46" s="148">
        <f>'OD EIAData'!L38</f>
        <v>328.75626342449397</v>
      </c>
      <c r="L46" s="148">
        <f>'OD EIAData'!J38</f>
        <v>435.00388108547043</v>
      </c>
      <c r="M46" s="148">
        <f t="shared" si="7"/>
        <v>391.50349297692338</v>
      </c>
      <c r="N46" s="148">
        <f>'OD EIAData'!K38</f>
        <v>400.97450203793818</v>
      </c>
      <c r="O46" s="148">
        <f>'OD EIAData'!M38</f>
        <v>315.35323057508066</v>
      </c>
      <c r="P46" s="148">
        <f>'OD EIAData'!N38</f>
        <v>69.10953297117247</v>
      </c>
      <c r="Q46" s="148">
        <f>'OD EIAData'!O38</f>
        <v>682.67302997548063</v>
      </c>
      <c r="R46" s="148">
        <f>'OD EIAData'!P38</f>
        <v>223.45873880155131</v>
      </c>
      <c r="S46" s="148">
        <f>'OD EIAData'!Q38</f>
        <v>658.9226666405882</v>
      </c>
      <c r="T46" s="342">
        <f t="shared" si="3"/>
        <v>1797.2757481829826</v>
      </c>
      <c r="U46" s="327"/>
      <c r="V46" s="233">
        <v>6164.0193658120461</v>
      </c>
      <c r="W46" s="129">
        <f t="shared" si="8"/>
        <v>1.3137150478289117E-2</v>
      </c>
      <c r="X46" s="237">
        <f>'OD EIAData'!S38</f>
        <v>7455.6825235468532</v>
      </c>
    </row>
    <row r="47" spans="1:24" x14ac:dyDescent="0.2">
      <c r="A47" s="25">
        <f t="shared" si="5"/>
        <v>2040</v>
      </c>
      <c r="B47" s="148">
        <v>3.4119999999999999</v>
      </c>
      <c r="C47" s="326">
        <f>'OD EIAData'!B39</f>
        <v>8.4494290890830328</v>
      </c>
      <c r="D47" s="148">
        <f>'OD EIAData'!C39</f>
        <v>3.8535380000000004</v>
      </c>
      <c r="E47" s="148">
        <f>'OD EIAData'!D39</f>
        <v>240.52828770540347</v>
      </c>
      <c r="F47" s="148">
        <f>'OD EIAData'!G39</f>
        <v>14.531146459977995</v>
      </c>
      <c r="G47" s="148">
        <f>'OD EIAData'!E39</f>
        <v>14.482911843743556</v>
      </c>
      <c r="H47" s="148">
        <f>'OD EIAData'!F39</f>
        <v>18.495580000000004</v>
      </c>
      <c r="I47" s="148">
        <f>'OD EIAData'!H39</f>
        <v>11.060505439673289</v>
      </c>
      <c r="J47" s="148">
        <f>'OD EIAData'!I39</f>
        <v>1.0065948626967411</v>
      </c>
      <c r="K47" s="148">
        <f>'OD EIAData'!L39</f>
        <v>328.69051173675098</v>
      </c>
      <c r="L47" s="148">
        <f>'OD EIAData'!J39</f>
        <v>433.91713718533686</v>
      </c>
      <c r="M47" s="148">
        <f t="shared" si="7"/>
        <v>390.5254234668032</v>
      </c>
      <c r="N47" s="148">
        <f>'OD EIAData'!K39</f>
        <v>400.28071266064501</v>
      </c>
      <c r="O47" s="148">
        <f>'OD EIAData'!M39</f>
        <v>315.35353205718042</v>
      </c>
      <c r="P47" s="148">
        <f>'OD EIAData'!N39</f>
        <v>69.111222877974356</v>
      </c>
      <c r="Q47" s="148">
        <f>'OD EIAData'!O39</f>
        <v>684.39678471762738</v>
      </c>
      <c r="R47" s="148">
        <f>'OD EIAData'!P39</f>
        <v>224.50322015757334</v>
      </c>
      <c r="S47" s="148">
        <f>'OD EIAData'!Q39</f>
        <v>658.28719487940702</v>
      </c>
      <c r="T47" s="342">
        <f t="shared" si="3"/>
        <v>1797.2757481829826</v>
      </c>
      <c r="U47" s="327"/>
      <c r="V47" s="233">
        <v>6244.9970157718099</v>
      </c>
      <c r="W47" s="129">
        <f t="shared" si="8"/>
        <v>1.3137150478289561E-2</v>
      </c>
      <c r="X47" s="237">
        <f>'OD EIAData'!S39</f>
        <v>7572.1148050304091</v>
      </c>
    </row>
    <row r="48" spans="1:24" x14ac:dyDescent="0.2">
      <c r="A48" s="25">
        <f t="shared" si="5"/>
        <v>2041</v>
      </c>
      <c r="B48" s="148">
        <v>3.4119999999999999</v>
      </c>
      <c r="C48" s="326">
        <f>'OD EIAData'!B40</f>
        <v>8.4516212296292554</v>
      </c>
      <c r="D48" s="148">
        <f>'OD EIAData'!C40</f>
        <v>3.8664850000000004</v>
      </c>
      <c r="E48" s="148">
        <f>'OD EIAData'!D40</f>
        <v>233.15365653595757</v>
      </c>
      <c r="F48" s="148">
        <f>'OD EIAData'!G40</f>
        <v>14.537866489784696</v>
      </c>
      <c r="G48" s="148">
        <f>'OD EIAData'!E40</f>
        <v>14.489766019072317</v>
      </c>
      <c r="H48" s="148">
        <f>'OD EIAData'!F40</f>
        <v>18.588567000000005</v>
      </c>
      <c r="I48" s="148">
        <f>'OD EIAData'!H40</f>
        <v>11.060468290172079</v>
      </c>
      <c r="J48" s="148">
        <f>'OD EIAData'!I40</f>
        <v>1.0074001678673803</v>
      </c>
      <c r="K48" s="148">
        <f>'OD EIAData'!L40</f>
        <v>328.62477319943252</v>
      </c>
      <c r="L48" s="148">
        <f>'OD EIAData'!J40</f>
        <v>432.83039328520329</v>
      </c>
      <c r="M48" s="148">
        <f t="shared" si="7"/>
        <v>389.54735395668297</v>
      </c>
      <c r="N48" s="148">
        <f>'OD EIAData'!K40</f>
        <v>399.58692328335184</v>
      </c>
      <c r="O48" s="148">
        <f>'OD EIAData'!M40</f>
        <v>315.35383353956837</v>
      </c>
      <c r="P48" s="148">
        <f>'OD EIAData'!N40</f>
        <v>69.112912826098835</v>
      </c>
      <c r="Q48" s="148">
        <f>'OD EIAData'!O40</f>
        <v>686.12489195398507</v>
      </c>
      <c r="R48" s="148">
        <f>'OD EIAData'!P40</f>
        <v>225.55258358403458</v>
      </c>
      <c r="S48" s="148">
        <f>'OD EIAData'!Q40</f>
        <v>657.65233597369388</v>
      </c>
      <c r="T48" s="342">
        <f t="shared" si="3"/>
        <v>1797.2757481829826</v>
      </c>
      <c r="U48" s="327"/>
      <c r="V48" s="233">
        <v>6327.0384813044739</v>
      </c>
      <c r="W48" s="129">
        <f t="shared" si="8"/>
        <v>1.3137150478289561E-2</v>
      </c>
      <c r="X48" s="237">
        <f>'OD EIAData'!S40</f>
        <v>7690.3653608474915</v>
      </c>
    </row>
    <row r="49" spans="1:24" x14ac:dyDescent="0.2">
      <c r="A49" s="25">
        <f t="shared" si="5"/>
        <v>2042</v>
      </c>
      <c r="B49" s="148">
        <v>3.4119999999999999</v>
      </c>
      <c r="C49" s="326">
        <f>'OD EIAData'!B41</f>
        <v>8.4538133701754781</v>
      </c>
      <c r="D49" s="148">
        <f>'OD EIAData'!C41</f>
        <v>3.8794320000000004</v>
      </c>
      <c r="E49" s="148">
        <f>'OD EIAData'!D41</f>
        <v>226.00513259657671</v>
      </c>
      <c r="F49" s="148">
        <f>'OD EIAData'!G41</f>
        <v>14.544586519591396</v>
      </c>
      <c r="G49" s="148">
        <f>'OD EIAData'!E41</f>
        <v>14.496620194401077</v>
      </c>
      <c r="H49" s="148">
        <f>'OD EIAData'!F41</f>
        <v>18.681554000000006</v>
      </c>
      <c r="I49" s="148">
        <f>'OD EIAData'!H41</f>
        <v>11.060431140670868</v>
      </c>
      <c r="J49" s="148">
        <f>'OD EIAData'!I41</f>
        <v>1.0082054730380194</v>
      </c>
      <c r="K49" s="148">
        <f>'OD EIAData'!L41</f>
        <v>328.55904780990846</v>
      </c>
      <c r="L49" s="148">
        <f>'OD EIAData'!J41</f>
        <v>431.74364938506972</v>
      </c>
      <c r="M49" s="148">
        <f t="shared" si="7"/>
        <v>388.56928444656273</v>
      </c>
      <c r="N49" s="148">
        <f>'OD EIAData'!K41</f>
        <v>398.89313390605867</v>
      </c>
      <c r="O49" s="148">
        <f>'OD EIAData'!M41</f>
        <v>315.35413502224458</v>
      </c>
      <c r="P49" s="148">
        <f>'OD EIAData'!N41</f>
        <v>69.114602815546931</v>
      </c>
      <c r="Q49" s="148">
        <f>'OD EIAData'!O41</f>
        <v>687.85736267463608</v>
      </c>
      <c r="R49" s="148">
        <f>'OD EIAData'!P41</f>
        <v>226.60685190050145</v>
      </c>
      <c r="S49" s="148">
        <f>'OD EIAData'!Q41</f>
        <v>657.01808933240477</v>
      </c>
      <c r="T49" s="342">
        <f t="shared" si="3"/>
        <v>1797.2757481829826</v>
      </c>
      <c r="U49" s="327"/>
      <c r="V49" s="233">
        <f>V48*(1+1.3%)</f>
        <v>6409.289981561431</v>
      </c>
      <c r="W49" s="129">
        <f t="shared" si="8"/>
        <v>1.2999999999999901E-2</v>
      </c>
      <c r="X49" s="237">
        <f>'OD EIAData'!S41</f>
        <v>7810.4625862292987</v>
      </c>
    </row>
    <row r="50" spans="1:24" x14ac:dyDescent="0.2">
      <c r="A50" s="25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233"/>
      <c r="W50" s="129"/>
      <c r="X50" s="227"/>
    </row>
    <row r="51" spans="1:24" x14ac:dyDescent="0.2">
      <c r="A51" s="25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233"/>
      <c r="W51" s="129"/>
      <c r="X51" s="227"/>
    </row>
    <row r="52" spans="1:24" x14ac:dyDescent="0.2">
      <c r="A52" s="21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3"/>
      <c r="N52" s="43"/>
      <c r="O52" s="43"/>
      <c r="P52" s="43"/>
      <c r="Q52" s="43"/>
      <c r="R52" s="42"/>
      <c r="S52" s="42"/>
      <c r="T52" s="43"/>
      <c r="U52" s="43"/>
      <c r="V52" s="234"/>
      <c r="X52" s="9"/>
    </row>
    <row r="53" spans="1:24" x14ac:dyDescent="0.2">
      <c r="A53" s="6" t="s">
        <v>60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3"/>
      <c r="N53" s="43"/>
      <c r="O53" s="43"/>
      <c r="P53" s="43"/>
      <c r="Q53" s="43"/>
      <c r="R53" s="42"/>
      <c r="S53" s="42"/>
      <c r="T53" s="43"/>
      <c r="U53" s="43"/>
      <c r="V53" s="234"/>
      <c r="X53" s="9"/>
    </row>
    <row r="54" spans="1:24" x14ac:dyDescent="0.2">
      <c r="A54" s="4"/>
      <c r="B54" s="146">
        <f>'OD EIAData'!BM5</f>
        <v>974.64765069379848</v>
      </c>
      <c r="C54" s="146">
        <f>'OD EIAData'!BM6</f>
        <v>444.18955716177072</v>
      </c>
      <c r="D54" s="146">
        <f>'OD EIAData'!BM7</f>
        <v>9.9240440130295084</v>
      </c>
      <c r="E54" s="146">
        <f>'OD EIAData'!BM8</f>
        <v>105.25222078313359</v>
      </c>
      <c r="F54" s="146">
        <f>'OD EIAData'!BM9</f>
        <v>3039.5681588949683</v>
      </c>
      <c r="G54" s="146">
        <f>'OD EIAData'!BM10</f>
        <v>704.65059240432311</v>
      </c>
      <c r="H54" s="146">
        <f>'OD EIAData'!BM11</f>
        <v>17.590394764141919</v>
      </c>
      <c r="I54" s="146">
        <f>'OD EIAData'!BM12</f>
        <v>467.53896490687259</v>
      </c>
      <c r="J54" s="146">
        <f>'OD EIAData'!BM13</f>
        <v>2269.2485253366031</v>
      </c>
      <c r="K54" s="146">
        <f>'OD EIAData'!BM14</f>
        <v>612.05672933029723</v>
      </c>
      <c r="L54" s="146">
        <f>'OD EIAData'!BM15</f>
        <v>742.29749968960505</v>
      </c>
      <c r="M54" s="146">
        <f>'OD EIAData'!BM16</f>
        <v>134.5559535674243</v>
      </c>
      <c r="N54" s="146">
        <f>'OD EIAData'!BM17</f>
        <v>272.12798829135977</v>
      </c>
      <c r="O54" s="146">
        <f>'OD EIAData'!BM18</f>
        <v>286.62978934550466</v>
      </c>
      <c r="P54" s="146">
        <f>'OD EIAData'!BM19</f>
        <v>111.15523762306778</v>
      </c>
      <c r="Q54" s="146">
        <f>'OD EIAData'!BM20</f>
        <v>847.50051821010345</v>
      </c>
      <c r="R54" s="146">
        <f>'OD EIAData'!BM21</f>
        <v>0</v>
      </c>
      <c r="S54" s="146">
        <f>'OD EIAData'!BM22</f>
        <v>0</v>
      </c>
      <c r="T54" s="146">
        <f>'OD EIAData'!BM23</f>
        <v>2247.4336052116014</v>
      </c>
      <c r="U54" s="146"/>
      <c r="V54" s="235">
        <v>3129.8778002153022</v>
      </c>
      <c r="X54" s="44">
        <v>4138.583394638028</v>
      </c>
    </row>
  </sheetData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view="pageBreakPreview" zoomScale="60" zoomScaleNormal="100" workbookViewId="0">
      <pane xSplit="1" ySplit="1" topLeftCell="E23" activePane="bottomRight" state="frozenSplit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9.140625" defaultRowHeight="12.75" x14ac:dyDescent="0.2"/>
  <cols>
    <col min="1" max="1" width="5" style="17" bestFit="1" customWidth="1"/>
    <col min="2" max="2" width="8" style="16" bestFit="1" customWidth="1"/>
    <col min="3" max="3" width="8.28515625" style="16" bestFit="1" customWidth="1"/>
    <col min="4" max="4" width="8.42578125" style="16" bestFit="1" customWidth="1"/>
    <col min="5" max="5" width="2.28515625" style="16" customWidth="1"/>
    <col min="6" max="6" width="13.85546875" style="16" bestFit="1" customWidth="1"/>
    <col min="7" max="7" width="9.140625" style="16"/>
    <col min="8" max="8" width="7.5703125" style="16" bestFit="1" customWidth="1"/>
    <col min="9" max="9" width="11.5703125" style="16" bestFit="1" customWidth="1"/>
    <col min="10" max="10" width="2" style="16" customWidth="1"/>
    <col min="11" max="11" width="13.85546875" style="48" bestFit="1" customWidth="1"/>
    <col min="12" max="12" width="11.140625" style="48" customWidth="1"/>
    <col min="13" max="13" width="14.42578125" style="52" bestFit="1" customWidth="1"/>
    <col min="14" max="14" width="14.28515625" style="52" bestFit="1" customWidth="1"/>
    <col min="15" max="15" width="10.140625" style="48" bestFit="1" customWidth="1"/>
    <col min="16" max="16" width="10" style="48" bestFit="1" customWidth="1"/>
    <col min="17" max="17" width="12.5703125" style="52" bestFit="1" customWidth="1"/>
    <col min="18" max="18" width="12.42578125" style="17" bestFit="1" customWidth="1"/>
    <col min="19" max="16384" width="9.140625" style="17"/>
  </cols>
  <sheetData>
    <row r="1" spans="1:18" s="19" customFormat="1" ht="25.5" x14ac:dyDescent="0.2">
      <c r="A1" s="19" t="s">
        <v>15</v>
      </c>
      <c r="B1" s="107" t="s">
        <v>138</v>
      </c>
      <c r="C1" s="108" t="s">
        <v>139</v>
      </c>
      <c r="D1" s="108" t="s">
        <v>140</v>
      </c>
      <c r="E1" s="45"/>
      <c r="F1" s="46" t="s">
        <v>107</v>
      </c>
      <c r="G1" s="46" t="s">
        <v>108</v>
      </c>
      <c r="H1" s="46" t="s">
        <v>109</v>
      </c>
      <c r="I1" s="47" t="s">
        <v>110</v>
      </c>
      <c r="J1" s="46"/>
      <c r="K1" s="48" t="s">
        <v>111</v>
      </c>
      <c r="L1" s="48" t="s">
        <v>112</v>
      </c>
      <c r="M1" s="52" t="s">
        <v>141</v>
      </c>
      <c r="N1" s="52" t="s">
        <v>142</v>
      </c>
      <c r="O1" s="48" t="s">
        <v>143</v>
      </c>
      <c r="P1" s="48"/>
      <c r="Q1" s="52"/>
      <c r="R1" s="52" t="s">
        <v>144</v>
      </c>
    </row>
    <row r="2" spans="1:18" x14ac:dyDescent="0.2">
      <c r="A2" s="17">
        <v>1995</v>
      </c>
      <c r="J2" s="49"/>
      <c r="K2" s="330">
        <f t="shared" ref="K2:K11" si="0">(K3/K4)*K3</f>
        <v>1332.6541440036592</v>
      </c>
      <c r="L2" s="330">
        <f t="shared" ref="L2:L37" si="1">892 + 1.44*K2</f>
        <v>2811.0219673652691</v>
      </c>
      <c r="M2" s="134">
        <v>1.0769109708374249</v>
      </c>
      <c r="N2" s="135">
        <v>1.02</v>
      </c>
      <c r="O2" s="330">
        <f t="shared" ref="O2:O49" si="2">L2*M2</f>
        <v>3027.2203959206604</v>
      </c>
      <c r="P2" s="330"/>
      <c r="Q2" s="331"/>
      <c r="R2" s="332" t="e">
        <f t="shared" ref="R2:R49" si="3">P2/P$12</f>
        <v>#DIV/0!</v>
      </c>
    </row>
    <row r="3" spans="1:18" x14ac:dyDescent="0.2">
      <c r="A3" s="17">
        <v>1996</v>
      </c>
      <c r="J3" s="49"/>
      <c r="K3" s="330">
        <f t="shared" si="0"/>
        <v>1351.5699151142167</v>
      </c>
      <c r="L3" s="330">
        <f t="shared" si="1"/>
        <v>2838.2606777644719</v>
      </c>
      <c r="M3" s="134">
        <v>1.0705869871632039</v>
      </c>
      <c r="N3" s="135">
        <v>1.018</v>
      </c>
      <c r="O3" s="330">
        <f t="shared" si="2"/>
        <v>3038.604947791659</v>
      </c>
      <c r="P3" s="330"/>
      <c r="Q3" s="331"/>
      <c r="R3" s="332" t="e">
        <f t="shared" si="3"/>
        <v>#DIV/0!</v>
      </c>
    </row>
    <row r="4" spans="1:18" x14ac:dyDescent="0.2">
      <c r="A4" s="17">
        <v>1997</v>
      </c>
      <c r="B4" s="50"/>
      <c r="C4" s="50"/>
      <c r="D4" s="50"/>
      <c r="E4" s="50"/>
      <c r="F4" s="109"/>
      <c r="I4" s="50"/>
      <c r="J4" s="49"/>
      <c r="K4" s="330">
        <f t="shared" si="0"/>
        <v>1370.7541777897588</v>
      </c>
      <c r="L4" s="330">
        <f t="shared" si="1"/>
        <v>2865.8860160172526</v>
      </c>
      <c r="M4" s="134">
        <v>1.0638591592086974</v>
      </c>
      <c r="N4" s="135">
        <v>1.016</v>
      </c>
      <c r="O4" s="330">
        <f t="shared" si="2"/>
        <v>3048.899087388078</v>
      </c>
      <c r="P4" s="330"/>
      <c r="Q4" s="331"/>
      <c r="R4" s="332" t="e">
        <f t="shared" si="3"/>
        <v>#DIV/0!</v>
      </c>
    </row>
    <row r="5" spans="1:18" x14ac:dyDescent="0.2">
      <c r="A5" s="17">
        <v>1998</v>
      </c>
      <c r="B5" s="50"/>
      <c r="C5" s="50"/>
      <c r="D5" s="50"/>
      <c r="E5" s="50"/>
      <c r="I5" s="50"/>
      <c r="J5" s="49"/>
      <c r="K5" s="330">
        <f t="shared" si="0"/>
        <v>1390.2107430153123</v>
      </c>
      <c r="L5" s="330">
        <f t="shared" si="1"/>
        <v>2893.9034699420499</v>
      </c>
      <c r="M5" s="134">
        <v>1.05674953017865</v>
      </c>
      <c r="N5" s="135">
        <v>1.014</v>
      </c>
      <c r="O5" s="330">
        <f t="shared" si="2"/>
        <v>3058.1311322436263</v>
      </c>
      <c r="P5" s="330"/>
      <c r="Q5" s="331"/>
      <c r="R5" s="332" t="e">
        <f t="shared" si="3"/>
        <v>#DIV/0!</v>
      </c>
    </row>
    <row r="6" spans="1:18" x14ac:dyDescent="0.2">
      <c r="A6" s="17">
        <v>1999</v>
      </c>
      <c r="B6" s="50"/>
      <c r="C6" s="50"/>
      <c r="D6" s="50"/>
      <c r="E6" s="50"/>
      <c r="I6" s="50"/>
      <c r="J6" s="49"/>
      <c r="K6" s="330">
        <f t="shared" si="0"/>
        <v>1409.9434758692487</v>
      </c>
      <c r="L6" s="330">
        <f t="shared" si="1"/>
        <v>2922.3186052517181</v>
      </c>
      <c r="M6" s="134">
        <v>1.0492894712926248</v>
      </c>
      <c r="N6" s="135">
        <v>1.012</v>
      </c>
      <c r="O6" s="330">
        <f t="shared" si="2"/>
        <v>3066.3581442531763</v>
      </c>
      <c r="P6" s="330"/>
      <c r="Q6" s="331"/>
      <c r="R6" s="332" t="e">
        <f t="shared" si="3"/>
        <v>#DIV/0!</v>
      </c>
    </row>
    <row r="7" spans="1:18" x14ac:dyDescent="0.2">
      <c r="A7" s="17">
        <v>2000</v>
      </c>
      <c r="B7" s="50"/>
      <c r="C7" s="50"/>
      <c r="D7" s="50"/>
      <c r="E7" s="50"/>
      <c r="I7" s="50"/>
      <c r="J7" s="49"/>
      <c r="K7" s="330">
        <f t="shared" si="0"/>
        <v>1429.9562962910888</v>
      </c>
      <c r="L7" s="330">
        <f t="shared" si="1"/>
        <v>2951.1370666591679</v>
      </c>
      <c r="M7" s="134">
        <v>1.0415196731996021</v>
      </c>
      <c r="N7" s="135">
        <v>1.01</v>
      </c>
      <c r="O7" s="330">
        <f t="shared" si="2"/>
        <v>3073.6673132340889</v>
      </c>
      <c r="P7" s="330"/>
      <c r="Q7" s="331"/>
      <c r="R7" s="332" t="e">
        <f t="shared" si="3"/>
        <v>#DIV/0!</v>
      </c>
    </row>
    <row r="8" spans="1:18" x14ac:dyDescent="0.2">
      <c r="A8" s="17">
        <v>2001</v>
      </c>
      <c r="B8" s="117"/>
      <c r="C8" s="117"/>
      <c r="D8" s="117"/>
      <c r="E8" s="39"/>
      <c r="F8" s="39"/>
      <c r="G8" s="39"/>
      <c r="H8" s="39"/>
      <c r="I8" s="333"/>
      <c r="J8" s="49"/>
      <c r="K8" s="330">
        <f t="shared" si="0"/>
        <v>1450.2531798602051</v>
      </c>
      <c r="L8" s="330">
        <f t="shared" si="1"/>
        <v>2980.3645789986954</v>
      </c>
      <c r="M8" s="134">
        <v>1.0334896671545859</v>
      </c>
      <c r="N8" s="135">
        <v>1.008</v>
      </c>
      <c r="O8" s="330">
        <f t="shared" si="2"/>
        <v>3080.1759967486792</v>
      </c>
      <c r="P8" s="330"/>
      <c r="Q8" s="331"/>
      <c r="R8" s="332" t="e">
        <f t="shared" si="3"/>
        <v>#DIV/0!</v>
      </c>
    </row>
    <row r="9" spans="1:18" x14ac:dyDescent="0.2">
      <c r="A9" s="17">
        <v>2002</v>
      </c>
      <c r="B9" s="118"/>
      <c r="C9" s="118"/>
      <c r="D9" s="118"/>
      <c r="E9" s="51"/>
      <c r="F9" s="39"/>
      <c r="G9" s="39"/>
      <c r="H9" s="39"/>
      <c r="I9" s="333"/>
      <c r="J9" s="49"/>
      <c r="K9" s="330">
        <f t="shared" si="0"/>
        <v>1470.8381585855766</v>
      </c>
      <c r="L9" s="330">
        <f t="shared" si="1"/>
        <v>3010.0069483632301</v>
      </c>
      <c r="M9" s="134">
        <v>1.0252568484637279</v>
      </c>
      <c r="N9" s="135">
        <v>1.006</v>
      </c>
      <c r="O9" s="330">
        <f t="shared" si="2"/>
        <v>3086.030237732808</v>
      </c>
      <c r="P9" s="330"/>
      <c r="Q9" s="331"/>
      <c r="R9" s="332" t="e">
        <f t="shared" si="3"/>
        <v>#DIV/0!</v>
      </c>
    </row>
    <row r="10" spans="1:18" x14ac:dyDescent="0.2">
      <c r="A10" s="17">
        <v>2003</v>
      </c>
      <c r="B10" s="118"/>
      <c r="C10" s="118"/>
      <c r="D10" s="118"/>
      <c r="E10" s="51"/>
      <c r="F10" s="39"/>
      <c r="G10" s="39"/>
      <c r="H10" s="39"/>
      <c r="I10" s="333"/>
      <c r="J10" s="49"/>
      <c r="K10" s="330">
        <f t="shared" si="0"/>
        <v>1491.7153217067546</v>
      </c>
      <c r="L10" s="330">
        <f t="shared" si="1"/>
        <v>3040.0700632577264</v>
      </c>
      <c r="M10" s="134">
        <v>1.0168850184771556</v>
      </c>
      <c r="N10" s="135">
        <v>1.004</v>
      </c>
      <c r="O10" s="330">
        <f t="shared" si="2"/>
        <v>3091.4017024476807</v>
      </c>
      <c r="P10" s="330"/>
      <c r="Q10" s="331"/>
      <c r="R10" s="332" t="e">
        <f t="shared" si="3"/>
        <v>#DIV/0!</v>
      </c>
    </row>
    <row r="11" spans="1:18" x14ac:dyDescent="0.2">
      <c r="A11" s="17">
        <v>2004</v>
      </c>
      <c r="B11" s="118"/>
      <c r="C11" s="118"/>
      <c r="D11" s="118"/>
      <c r="E11" s="51"/>
      <c r="F11" s="39"/>
      <c r="G11" s="39"/>
      <c r="H11" s="39"/>
      <c r="I11" s="333"/>
      <c r="J11" s="49"/>
      <c r="K11" s="330">
        <f t="shared" si="0"/>
        <v>1512.8888165061965</v>
      </c>
      <c r="L11" s="330">
        <f t="shared" si="1"/>
        <v>3070.5598957689226</v>
      </c>
      <c r="M11" s="136">
        <v>1.0084425092385778</v>
      </c>
      <c r="N11" s="135">
        <v>1.002</v>
      </c>
      <c r="O11" s="330">
        <f t="shared" si="2"/>
        <v>3096.4831260565584</v>
      </c>
      <c r="P11" s="330"/>
      <c r="Q11" s="331"/>
      <c r="R11" s="332" t="e">
        <f t="shared" si="3"/>
        <v>#DIV/0!</v>
      </c>
    </row>
    <row r="12" spans="1:18" x14ac:dyDescent="0.2">
      <c r="A12" s="17">
        <v>2005</v>
      </c>
      <c r="B12" s="123">
        <f>B13*(B13/B14)</f>
        <v>9274.3641366420943</v>
      </c>
      <c r="C12" s="123">
        <f>C13*(C13/C14)</f>
        <v>579.32232704402509</v>
      </c>
      <c r="D12" s="123">
        <f>D13*(D13/D14)</f>
        <v>722.29920212765956</v>
      </c>
      <c r="E12" s="51"/>
      <c r="F12" s="139">
        <v>5438660</v>
      </c>
      <c r="G12" s="139">
        <v>729591</v>
      </c>
      <c r="H12" s="139">
        <v>724503</v>
      </c>
      <c r="I12" s="333">
        <f>(F12+G12+H12)</f>
        <v>6892754</v>
      </c>
      <c r="J12" s="49"/>
      <c r="K12" s="330">
        <f t="shared" ref="K12:K37" si="4">(SUM(B12:D12)*1000000)/I12</f>
        <v>1534.3628491331301</v>
      </c>
      <c r="L12" s="330">
        <f t="shared" si="1"/>
        <v>3101.4825027517072</v>
      </c>
      <c r="M12" s="115">
        <v>1</v>
      </c>
      <c r="N12" s="115">
        <v>1</v>
      </c>
      <c r="O12" s="330">
        <f t="shared" si="2"/>
        <v>3101.4825027517072</v>
      </c>
      <c r="P12" s="330"/>
      <c r="Q12" s="331"/>
      <c r="R12" s="332" t="e">
        <f t="shared" si="3"/>
        <v>#DIV/0!</v>
      </c>
    </row>
    <row r="13" spans="1:18" x14ac:dyDescent="0.2">
      <c r="A13" s="17">
        <v>2006</v>
      </c>
      <c r="B13" s="140">
        <v>9451</v>
      </c>
      <c r="C13" s="140">
        <v>607</v>
      </c>
      <c r="D13" s="140">
        <v>737</v>
      </c>
      <c r="E13" s="51"/>
      <c r="F13" s="139">
        <v>5479696</v>
      </c>
      <c r="G13" s="139">
        <v>738675</v>
      </c>
      <c r="H13" s="139">
        <v>718658</v>
      </c>
      <c r="I13" s="333">
        <f t="shared" ref="I13:I49" si="5">(F13+G13+H13)</f>
        <v>6937029</v>
      </c>
      <c r="J13" s="49"/>
      <c r="K13" s="330">
        <f t="shared" si="4"/>
        <v>1556.1416854391123</v>
      </c>
      <c r="L13" s="330">
        <f t="shared" si="1"/>
        <v>3132.8440270323217</v>
      </c>
      <c r="M13" s="115">
        <v>0.98675200000000007</v>
      </c>
      <c r="N13" s="115">
        <v>0.98675200000000007</v>
      </c>
      <c r="O13" s="330">
        <f t="shared" si="2"/>
        <v>3091.3401093621978</v>
      </c>
      <c r="P13" s="330"/>
      <c r="Q13" s="331"/>
      <c r="R13" s="332" t="e">
        <f t="shared" si="3"/>
        <v>#DIV/0!</v>
      </c>
    </row>
    <row r="14" spans="1:18" x14ac:dyDescent="0.2">
      <c r="A14" s="17">
        <v>2007</v>
      </c>
      <c r="B14" s="140">
        <v>9631</v>
      </c>
      <c r="C14" s="140">
        <v>636</v>
      </c>
      <c r="D14" s="140">
        <v>752</v>
      </c>
      <c r="E14" s="51"/>
      <c r="F14" s="139">
        <v>5530456</v>
      </c>
      <c r="G14" s="139">
        <v>754291</v>
      </c>
      <c r="H14" s="139">
        <v>718645</v>
      </c>
      <c r="I14" s="333">
        <f t="shared" si="5"/>
        <v>7003392</v>
      </c>
      <c r="J14" s="49"/>
      <c r="K14" s="330">
        <f t="shared" si="4"/>
        <v>1573.3804419344226</v>
      </c>
      <c r="L14" s="330">
        <f t="shared" si="1"/>
        <v>3157.6678363855685</v>
      </c>
      <c r="M14" s="137">
        <v>0.97367950950400017</v>
      </c>
      <c r="N14" s="137">
        <v>0.97367950950400017</v>
      </c>
      <c r="O14" s="330">
        <f t="shared" si="2"/>
        <v>3074.5564701084577</v>
      </c>
      <c r="P14" s="330"/>
      <c r="Q14" s="331"/>
      <c r="R14" s="332" t="e">
        <f t="shared" si="3"/>
        <v>#DIV/0!</v>
      </c>
    </row>
    <row r="15" spans="1:18" x14ac:dyDescent="0.2">
      <c r="A15" s="17">
        <v>2008</v>
      </c>
      <c r="B15" s="140">
        <v>9742</v>
      </c>
      <c r="C15" s="140">
        <v>664</v>
      </c>
      <c r="D15" s="140">
        <v>764</v>
      </c>
      <c r="E15" s="51"/>
      <c r="F15" s="139">
        <v>5554271</v>
      </c>
      <c r="G15" s="139">
        <v>769767</v>
      </c>
      <c r="H15" s="139">
        <v>717115</v>
      </c>
      <c r="I15" s="333">
        <f t="shared" si="5"/>
        <v>7041153</v>
      </c>
      <c r="J15" s="49"/>
      <c r="K15" s="330">
        <f t="shared" si="4"/>
        <v>1586.3879111844324</v>
      </c>
      <c r="L15" s="330">
        <f t="shared" si="1"/>
        <v>3176.3985921055823</v>
      </c>
      <c r="M15" s="137">
        <v>0.96660054966217168</v>
      </c>
      <c r="N15" s="137">
        <v>0.97097535534007362</v>
      </c>
      <c r="O15" s="330">
        <f t="shared" si="2"/>
        <v>3070.3086250754041</v>
      </c>
      <c r="P15" s="330"/>
      <c r="Q15" s="331"/>
      <c r="R15" s="332" t="e">
        <f t="shared" si="3"/>
        <v>#DIV/0!</v>
      </c>
    </row>
    <row r="16" spans="1:18" x14ac:dyDescent="0.2">
      <c r="A16" s="17">
        <v>2009</v>
      </c>
      <c r="B16" s="140">
        <v>9881</v>
      </c>
      <c r="C16" s="140">
        <v>684</v>
      </c>
      <c r="D16" s="140">
        <v>777</v>
      </c>
      <c r="E16" s="51"/>
      <c r="F16" s="139">
        <v>5589344</v>
      </c>
      <c r="G16" s="139">
        <v>780233</v>
      </c>
      <c r="H16" s="139">
        <v>716683</v>
      </c>
      <c r="I16" s="333">
        <f t="shared" si="5"/>
        <v>7086260</v>
      </c>
      <c r="J16" s="49"/>
      <c r="K16" s="330">
        <f t="shared" si="4"/>
        <v>1600.5622147649112</v>
      </c>
      <c r="L16" s="330">
        <f t="shared" si="1"/>
        <v>3196.809589261472</v>
      </c>
      <c r="M16" s="137">
        <v>0.95605790735749019</v>
      </c>
      <c r="N16" s="137">
        <v>0.96629608857490634</v>
      </c>
      <c r="O16" s="330">
        <f t="shared" si="2"/>
        <v>3056.3350861296808</v>
      </c>
      <c r="P16" s="330">
        <f t="shared" ref="P16:P37" si="6">L16*N16</f>
        <v>3089.0646020221134</v>
      </c>
      <c r="Q16" s="331">
        <f t="shared" ref="Q16:Q49" si="7">O16/$O$12</f>
        <v>0.98544327863143821</v>
      </c>
      <c r="R16" s="332" t="e">
        <f t="shared" si="3"/>
        <v>#DIV/0!</v>
      </c>
    </row>
    <row r="17" spans="1:18" x14ac:dyDescent="0.2">
      <c r="A17" s="17">
        <v>2010</v>
      </c>
      <c r="B17" s="140">
        <v>10097</v>
      </c>
      <c r="C17" s="140">
        <v>707</v>
      </c>
      <c r="D17" s="140">
        <v>797</v>
      </c>
      <c r="E17" s="51"/>
      <c r="F17" s="139">
        <v>5656276</v>
      </c>
      <c r="G17" s="139">
        <v>792543</v>
      </c>
      <c r="H17" s="139">
        <v>720945</v>
      </c>
      <c r="I17" s="333">
        <f t="shared" si="5"/>
        <v>7169764</v>
      </c>
      <c r="J17" s="49"/>
      <c r="K17" s="330">
        <f t="shared" si="4"/>
        <v>1618.0448896225873</v>
      </c>
      <c r="L17" s="330">
        <f t="shared" si="1"/>
        <v>3221.9846410565256</v>
      </c>
      <c r="M17" s="137">
        <v>0.94352048505307318</v>
      </c>
      <c r="N17" s="137">
        <v>0.9609157818434253</v>
      </c>
      <c r="O17" s="330">
        <f t="shared" si="2"/>
        <v>3040.0085113632049</v>
      </c>
      <c r="P17" s="330">
        <f t="shared" si="6"/>
        <v>3096.0558904483391</v>
      </c>
      <c r="Q17" s="331">
        <f t="shared" si="7"/>
        <v>0.98017915905249786</v>
      </c>
      <c r="R17" s="332" t="e">
        <f t="shared" si="3"/>
        <v>#DIV/0!</v>
      </c>
    </row>
    <row r="18" spans="1:18" x14ac:dyDescent="0.2">
      <c r="A18" s="17">
        <v>2011</v>
      </c>
      <c r="B18" s="140">
        <v>10326</v>
      </c>
      <c r="C18" s="140">
        <v>732</v>
      </c>
      <c r="D18" s="140">
        <v>812</v>
      </c>
      <c r="E18" s="51"/>
      <c r="F18" s="139">
        <v>5728091</v>
      </c>
      <c r="G18" s="139">
        <v>805973</v>
      </c>
      <c r="H18" s="139">
        <v>721935</v>
      </c>
      <c r="I18" s="333">
        <f t="shared" si="5"/>
        <v>7255999</v>
      </c>
      <c r="J18" s="49"/>
      <c r="K18" s="330">
        <f t="shared" si="4"/>
        <v>1635.8877667982038</v>
      </c>
      <c r="L18" s="330">
        <f t="shared" si="1"/>
        <v>3247.6783841894135</v>
      </c>
      <c r="M18" s="137">
        <v>0.93637147790517428</v>
      </c>
      <c r="N18" s="137">
        <v>0.95830363292472109</v>
      </c>
      <c r="O18" s="330">
        <f t="shared" si="2"/>
        <v>3041.0334083641296</v>
      </c>
      <c r="P18" s="330">
        <f t="shared" si="6"/>
        <v>3112.2619941398029</v>
      </c>
      <c r="Q18" s="331">
        <f t="shared" si="7"/>
        <v>0.98050961295640204</v>
      </c>
      <c r="R18" s="332" t="e">
        <f t="shared" si="3"/>
        <v>#DIV/0!</v>
      </c>
    </row>
    <row r="19" spans="1:18" x14ac:dyDescent="0.2">
      <c r="A19" s="17">
        <v>2012</v>
      </c>
      <c r="B19" s="140">
        <v>10495</v>
      </c>
      <c r="C19" s="140">
        <v>750</v>
      </c>
      <c r="D19" s="140">
        <v>826</v>
      </c>
      <c r="E19" s="51"/>
      <c r="F19" s="139">
        <v>5775463</v>
      </c>
      <c r="G19" s="139">
        <v>814693</v>
      </c>
      <c r="H19" s="139">
        <v>722055</v>
      </c>
      <c r="I19" s="333">
        <f t="shared" si="5"/>
        <v>7312211</v>
      </c>
      <c r="J19" s="49"/>
      <c r="K19" s="330">
        <f t="shared" si="4"/>
        <v>1650.8002846197955</v>
      </c>
      <c r="L19" s="330">
        <f t="shared" si="1"/>
        <v>3269.1524098525056</v>
      </c>
      <c r="M19" s="137">
        <v>0.92953088800042116</v>
      </c>
      <c r="N19" s="137">
        <v>0.95636352231894539</v>
      </c>
      <c r="O19" s="330">
        <f t="shared" si="2"/>
        <v>3038.7781425389162</v>
      </c>
      <c r="P19" s="330">
        <f t="shared" si="6"/>
        <v>3126.4981136840106</v>
      </c>
      <c r="Q19" s="331">
        <f t="shared" si="7"/>
        <v>0.97978245559755428</v>
      </c>
      <c r="R19" s="332" t="e">
        <f t="shared" si="3"/>
        <v>#DIV/0!</v>
      </c>
    </row>
    <row r="20" spans="1:18" x14ac:dyDescent="0.2">
      <c r="A20" s="17">
        <v>2013</v>
      </c>
      <c r="B20" s="140">
        <v>10675</v>
      </c>
      <c r="C20" s="140">
        <v>771</v>
      </c>
      <c r="D20" s="140">
        <v>840</v>
      </c>
      <c r="E20" s="51"/>
      <c r="F20" s="139">
        <v>5827188</v>
      </c>
      <c r="G20" s="139">
        <v>824978</v>
      </c>
      <c r="H20" s="139">
        <v>723003</v>
      </c>
      <c r="I20" s="333">
        <f t="shared" si="5"/>
        <v>7375169</v>
      </c>
      <c r="J20" s="49"/>
      <c r="K20" s="330">
        <f t="shared" si="4"/>
        <v>1665.8601314763093</v>
      </c>
      <c r="L20" s="330">
        <f t="shared" si="1"/>
        <v>3290.8385893258856</v>
      </c>
      <c r="M20" s="137">
        <v>0.92293075899710353</v>
      </c>
      <c r="N20" s="137">
        <v>0.95501844563607519</v>
      </c>
      <c r="O20" s="330">
        <f t="shared" si="2"/>
        <v>3037.2161569834971</v>
      </c>
      <c r="P20" s="330">
        <f t="shared" si="6"/>
        <v>3142.8115544172215</v>
      </c>
      <c r="Q20" s="331">
        <f t="shared" si="7"/>
        <v>0.97927883013649386</v>
      </c>
      <c r="R20" s="332" t="e">
        <f t="shared" si="3"/>
        <v>#DIV/0!</v>
      </c>
    </row>
    <row r="21" spans="1:18" x14ac:dyDescent="0.2">
      <c r="A21" s="17">
        <v>2014</v>
      </c>
      <c r="B21" s="140">
        <v>10842</v>
      </c>
      <c r="C21" s="140">
        <v>792</v>
      </c>
      <c r="D21" s="140">
        <v>855</v>
      </c>
      <c r="E21" s="51"/>
      <c r="F21" s="139">
        <v>5873515</v>
      </c>
      <c r="G21" s="139">
        <v>835435</v>
      </c>
      <c r="H21" s="139">
        <v>724335</v>
      </c>
      <c r="I21" s="333">
        <f t="shared" si="5"/>
        <v>7433285</v>
      </c>
      <c r="J21" s="49"/>
      <c r="K21" s="330">
        <f t="shared" si="4"/>
        <v>1680.1454538605744</v>
      </c>
      <c r="L21" s="330">
        <f t="shared" si="1"/>
        <v>3311.4094535592271</v>
      </c>
      <c r="M21" s="137">
        <v>0.91627417395605759</v>
      </c>
      <c r="N21" s="137">
        <v>0.9535783635369427</v>
      </c>
      <c r="O21" s="330">
        <f t="shared" si="2"/>
        <v>3034.1589616902611</v>
      </c>
      <c r="P21" s="330">
        <f t="shared" si="6"/>
        <v>3157.6884077257696</v>
      </c>
      <c r="Q21" s="331">
        <f t="shared" si="7"/>
        <v>0.97829310950433701</v>
      </c>
      <c r="R21" s="332" t="e">
        <f t="shared" si="3"/>
        <v>#DIV/0!</v>
      </c>
    </row>
    <row r="22" spans="1:18" x14ac:dyDescent="0.2">
      <c r="A22" s="17">
        <v>2015</v>
      </c>
      <c r="B22" s="140">
        <v>11010</v>
      </c>
      <c r="C22" s="140">
        <v>813</v>
      </c>
      <c r="D22" s="140">
        <v>873</v>
      </c>
      <c r="E22" s="51"/>
      <c r="F22" s="139">
        <v>5920461</v>
      </c>
      <c r="G22" s="139">
        <v>846684</v>
      </c>
      <c r="H22" s="139">
        <v>728171</v>
      </c>
      <c r="I22" s="333">
        <f t="shared" si="5"/>
        <v>7495316</v>
      </c>
      <c r="J22" s="49"/>
      <c r="K22" s="330">
        <f t="shared" si="4"/>
        <v>1693.8578707021825</v>
      </c>
      <c r="L22" s="330">
        <f t="shared" si="1"/>
        <v>3331.1553338111426</v>
      </c>
      <c r="M22" s="137">
        <v>0.90954545064458092</v>
      </c>
      <c r="N22" s="137">
        <v>0.9521262807536508</v>
      </c>
      <c r="O22" s="330">
        <f t="shared" si="2"/>
        <v>3029.8371792583553</v>
      </c>
      <c r="P22" s="330">
        <f t="shared" si="6"/>
        <v>3171.6805385942894</v>
      </c>
      <c r="Q22" s="331">
        <f t="shared" si="7"/>
        <v>0.97689965252752953</v>
      </c>
      <c r="R22" s="332" t="e">
        <f t="shared" si="3"/>
        <v>#DIV/0!</v>
      </c>
    </row>
    <row r="23" spans="1:18" x14ac:dyDescent="0.2">
      <c r="A23" s="17">
        <v>2016</v>
      </c>
      <c r="B23" s="140">
        <v>11178</v>
      </c>
      <c r="C23" s="140">
        <v>837</v>
      </c>
      <c r="D23" s="140">
        <v>896</v>
      </c>
      <c r="E23" s="51"/>
      <c r="F23" s="139">
        <v>5966805</v>
      </c>
      <c r="G23" s="139">
        <v>859066</v>
      </c>
      <c r="H23" s="139">
        <v>734573</v>
      </c>
      <c r="I23" s="333">
        <f t="shared" si="5"/>
        <v>7560444</v>
      </c>
      <c r="J23" s="49"/>
      <c r="K23" s="330">
        <f t="shared" si="4"/>
        <v>1707.7039390808266</v>
      </c>
      <c r="L23" s="330">
        <f t="shared" si="1"/>
        <v>3351.09367227639</v>
      </c>
      <c r="M23" s="137">
        <v>0.90293800326600226</v>
      </c>
      <c r="N23" s="137">
        <v>0.9507602028735016</v>
      </c>
      <c r="O23" s="330">
        <f t="shared" si="2"/>
        <v>3025.8298292025784</v>
      </c>
      <c r="P23" s="330">
        <f t="shared" si="6"/>
        <v>3186.0864997016079</v>
      </c>
      <c r="Q23" s="331">
        <f t="shared" si="7"/>
        <v>0.9756075768662219</v>
      </c>
      <c r="R23" s="332" t="e">
        <f t="shared" si="3"/>
        <v>#DIV/0!</v>
      </c>
    </row>
    <row r="24" spans="1:18" x14ac:dyDescent="0.2">
      <c r="A24" s="17">
        <v>2017</v>
      </c>
      <c r="B24" s="140">
        <v>11340</v>
      </c>
      <c r="C24" s="140">
        <v>862</v>
      </c>
      <c r="D24" s="140">
        <v>920</v>
      </c>
      <c r="E24" s="51"/>
      <c r="F24" s="139">
        <v>6011157</v>
      </c>
      <c r="G24" s="139">
        <v>872254</v>
      </c>
      <c r="H24" s="139">
        <v>741956</v>
      </c>
      <c r="I24" s="333">
        <f t="shared" si="5"/>
        <v>7625367</v>
      </c>
      <c r="J24" s="49"/>
      <c r="K24" s="330">
        <f t="shared" si="4"/>
        <v>1720.8352070136427</v>
      </c>
      <c r="L24" s="330">
        <f t="shared" si="1"/>
        <v>3370.0026980996454</v>
      </c>
      <c r="M24" s="137">
        <v>0.89642046735491698</v>
      </c>
      <c r="N24" s="137">
        <v>0.94943812750193679</v>
      </c>
      <c r="O24" s="330">
        <f t="shared" si="2"/>
        <v>3020.9393936178153</v>
      </c>
      <c r="P24" s="330">
        <f t="shared" si="6"/>
        <v>3199.6090513602021</v>
      </c>
      <c r="Q24" s="331">
        <f t="shared" si="7"/>
        <v>0.97403077107079206</v>
      </c>
      <c r="R24" s="332" t="e">
        <f t="shared" si="3"/>
        <v>#DIV/0!</v>
      </c>
    </row>
    <row r="25" spans="1:18" x14ac:dyDescent="0.2">
      <c r="A25" s="17">
        <v>2018</v>
      </c>
      <c r="B25" s="140">
        <v>11499</v>
      </c>
      <c r="C25" s="140">
        <v>887</v>
      </c>
      <c r="D25" s="140">
        <v>944</v>
      </c>
      <c r="E25" s="51"/>
      <c r="F25" s="139">
        <v>6053969</v>
      </c>
      <c r="G25" s="139">
        <v>885766</v>
      </c>
      <c r="H25" s="139">
        <v>749644</v>
      </c>
      <c r="I25" s="333">
        <f t="shared" si="5"/>
        <v>7689379</v>
      </c>
      <c r="J25" s="49"/>
      <c r="K25" s="330">
        <f t="shared" si="4"/>
        <v>1733.5600183057695</v>
      </c>
      <c r="L25" s="330">
        <f t="shared" si="1"/>
        <v>3388.3264263603082</v>
      </c>
      <c r="M25" s="137">
        <v>0.89009530016498017</v>
      </c>
      <c r="N25" s="137">
        <v>0.94816905515207639</v>
      </c>
      <c r="O25" s="330">
        <f t="shared" si="2"/>
        <v>3015.933427528113</v>
      </c>
      <c r="P25" s="330">
        <f t="shared" si="6"/>
        <v>3212.7062662288649</v>
      </c>
      <c r="Q25" s="331">
        <f t="shared" si="7"/>
        <v>0.97241671518453088</v>
      </c>
      <c r="R25" s="332" t="e">
        <f t="shared" si="3"/>
        <v>#DIV/0!</v>
      </c>
    </row>
    <row r="26" spans="1:18" x14ac:dyDescent="0.2">
      <c r="A26" s="17">
        <v>2019</v>
      </c>
      <c r="B26" s="140">
        <v>11656</v>
      </c>
      <c r="C26" s="140">
        <v>913</v>
      </c>
      <c r="D26" s="140">
        <v>968</v>
      </c>
      <c r="E26" s="51"/>
      <c r="F26" s="139">
        <v>6095837</v>
      </c>
      <c r="G26" s="139">
        <v>899451</v>
      </c>
      <c r="H26" s="139">
        <v>757048</v>
      </c>
      <c r="I26" s="333">
        <f t="shared" si="5"/>
        <v>7752336</v>
      </c>
      <c r="J26" s="49"/>
      <c r="K26" s="330">
        <f t="shared" si="4"/>
        <v>1746.1833439623877</v>
      </c>
      <c r="L26" s="330">
        <f t="shared" si="1"/>
        <v>3406.504015305838</v>
      </c>
      <c r="M26" s="137">
        <v>0.88397713844671388</v>
      </c>
      <c r="N26" s="137">
        <v>0.94694898559586693</v>
      </c>
      <c r="O26" s="330">
        <f t="shared" si="2"/>
        <v>3011.2716715572956</v>
      </c>
      <c r="P26" s="330">
        <f t="shared" si="6"/>
        <v>3225.7855217221108</v>
      </c>
      <c r="Q26" s="331">
        <f t="shared" si="7"/>
        <v>0.97091364174572181</v>
      </c>
      <c r="R26" s="332" t="e">
        <f t="shared" si="3"/>
        <v>#DIV/0!</v>
      </c>
    </row>
    <row r="27" spans="1:18" x14ac:dyDescent="0.2">
      <c r="A27" s="17">
        <v>2020</v>
      </c>
      <c r="B27" s="140">
        <v>11807</v>
      </c>
      <c r="C27" s="140">
        <v>939</v>
      </c>
      <c r="D27" s="140">
        <v>991</v>
      </c>
      <c r="E27" s="51"/>
      <c r="F27" s="139">
        <v>6135818</v>
      </c>
      <c r="G27" s="139">
        <v>913264</v>
      </c>
      <c r="H27" s="139">
        <v>764020</v>
      </c>
      <c r="I27" s="333">
        <f t="shared" si="5"/>
        <v>7813102</v>
      </c>
      <c r="J27" s="49"/>
      <c r="K27" s="330">
        <f t="shared" si="4"/>
        <v>1758.2005201007232</v>
      </c>
      <c r="L27" s="330">
        <f t="shared" si="1"/>
        <v>3423.8087489450413</v>
      </c>
      <c r="M27" s="137">
        <v>0.87803670869907402</v>
      </c>
      <c r="N27" s="137">
        <v>0.94575091729394978</v>
      </c>
      <c r="O27" s="330">
        <f t="shared" si="2"/>
        <v>3006.2297651387985</v>
      </c>
      <c r="P27" s="330">
        <f t="shared" si="6"/>
        <v>3238.0702649538234</v>
      </c>
      <c r="Q27" s="331">
        <f t="shared" si="7"/>
        <v>0.96928799774675556</v>
      </c>
      <c r="R27" s="332" t="e">
        <f t="shared" si="3"/>
        <v>#DIV/0!</v>
      </c>
    </row>
    <row r="28" spans="1:18" x14ac:dyDescent="0.2">
      <c r="A28" s="17">
        <v>2021</v>
      </c>
      <c r="B28" s="140">
        <v>11953</v>
      </c>
      <c r="C28" s="140">
        <v>966</v>
      </c>
      <c r="D28" s="140">
        <v>1013</v>
      </c>
      <c r="E28" s="51"/>
      <c r="F28" s="139">
        <v>6173304</v>
      </c>
      <c r="G28" s="139">
        <v>927768</v>
      </c>
      <c r="H28" s="139">
        <v>770926</v>
      </c>
      <c r="I28" s="333">
        <f t="shared" si="5"/>
        <v>7871998</v>
      </c>
      <c r="J28" s="49"/>
      <c r="K28" s="330">
        <f t="shared" si="4"/>
        <v>1769.8175228194925</v>
      </c>
      <c r="L28" s="330">
        <f t="shared" si="1"/>
        <v>3440.5372328600693</v>
      </c>
      <c r="M28" s="137">
        <v>0.87229073863694284</v>
      </c>
      <c r="N28" s="137">
        <v>0.94459785155763054</v>
      </c>
      <c r="O28" s="330">
        <f t="shared" si="2"/>
        <v>3001.1487641594131</v>
      </c>
      <c r="P28" s="330">
        <f t="shared" si="6"/>
        <v>3249.9240783636565</v>
      </c>
      <c r="Q28" s="331">
        <f t="shared" si="7"/>
        <v>0.96764974862722075</v>
      </c>
      <c r="R28" s="332" t="e">
        <f t="shared" si="3"/>
        <v>#DIV/0!</v>
      </c>
    </row>
    <row r="29" spans="1:18" x14ac:dyDescent="0.2">
      <c r="A29" s="17">
        <v>2022</v>
      </c>
      <c r="B29" s="140">
        <v>12097</v>
      </c>
      <c r="C29" s="140">
        <v>994</v>
      </c>
      <c r="D29" s="140">
        <v>1037</v>
      </c>
      <c r="E29" s="51"/>
      <c r="F29" s="139">
        <v>6210246</v>
      </c>
      <c r="G29" s="139">
        <v>942800</v>
      </c>
      <c r="H29" s="139">
        <v>778546</v>
      </c>
      <c r="I29" s="333">
        <f t="shared" si="5"/>
        <v>7931592</v>
      </c>
      <c r="J29" s="49"/>
      <c r="K29" s="330">
        <f t="shared" si="4"/>
        <v>1781.2313089225972</v>
      </c>
      <c r="L29" s="330">
        <f t="shared" si="1"/>
        <v>3456.9730848485401</v>
      </c>
      <c r="M29" s="137">
        <v>0.86670472734837545</v>
      </c>
      <c r="N29" s="137">
        <v>0.9434787877597629</v>
      </c>
      <c r="O29" s="330">
        <f t="shared" si="2"/>
        <v>2996.1749149543261</v>
      </c>
      <c r="P29" s="330">
        <f t="shared" si="6"/>
        <v>3261.5807754110288</v>
      </c>
      <c r="Q29" s="331">
        <f t="shared" si="7"/>
        <v>0.96604604807412275</v>
      </c>
      <c r="R29" s="332" t="e">
        <f t="shared" si="3"/>
        <v>#DIV/0!</v>
      </c>
    </row>
    <row r="30" spans="1:18" x14ac:dyDescent="0.2">
      <c r="A30" s="17">
        <v>2023</v>
      </c>
      <c r="B30" s="140">
        <v>12238</v>
      </c>
      <c r="C30" s="140">
        <v>1022</v>
      </c>
      <c r="D30" s="140">
        <v>1059</v>
      </c>
      <c r="E30" s="51"/>
      <c r="F30" s="139">
        <v>6245845</v>
      </c>
      <c r="G30" s="139">
        <v>957907</v>
      </c>
      <c r="H30" s="139">
        <v>785637</v>
      </c>
      <c r="I30" s="333">
        <f t="shared" si="5"/>
        <v>7989389</v>
      </c>
      <c r="J30" s="49"/>
      <c r="K30" s="330">
        <f t="shared" si="4"/>
        <v>1792.2521985097985</v>
      </c>
      <c r="L30" s="330">
        <f t="shared" si="1"/>
        <v>3472.8431658541099</v>
      </c>
      <c r="M30" s="137">
        <v>0.8612525377788679</v>
      </c>
      <c r="N30" s="137">
        <v>0.94237072458904148</v>
      </c>
      <c r="O30" s="330">
        <f t="shared" si="2"/>
        <v>2990.9949898998498</v>
      </c>
      <c r="P30" s="330">
        <f t="shared" si="6"/>
        <v>3272.7057305900385</v>
      </c>
      <c r="Q30" s="331">
        <f t="shared" si="7"/>
        <v>0.96437590321601674</v>
      </c>
      <c r="R30" s="332" t="e">
        <f t="shared" si="3"/>
        <v>#DIV/0!</v>
      </c>
    </row>
    <row r="31" spans="1:18" x14ac:dyDescent="0.2">
      <c r="A31" s="17">
        <v>2024</v>
      </c>
      <c r="B31" s="140">
        <v>12377</v>
      </c>
      <c r="C31" s="140">
        <v>1050</v>
      </c>
      <c r="D31" s="140">
        <v>1081</v>
      </c>
      <c r="E31" s="51"/>
      <c r="F31" s="139">
        <v>6280699</v>
      </c>
      <c r="G31" s="139">
        <v>972952</v>
      </c>
      <c r="H31" s="139">
        <v>792143</v>
      </c>
      <c r="I31" s="333">
        <f t="shared" si="5"/>
        <v>8045794</v>
      </c>
      <c r="J31" s="49"/>
      <c r="K31" s="330">
        <f t="shared" si="4"/>
        <v>1803.1781574323181</v>
      </c>
      <c r="L31" s="330">
        <f t="shared" si="1"/>
        <v>3488.5765467025381</v>
      </c>
      <c r="M31" s="137">
        <v>0.85596344342946451</v>
      </c>
      <c r="N31" s="137">
        <v>0.94128666278663897</v>
      </c>
      <c r="O31" s="330">
        <f t="shared" si="2"/>
        <v>2986.0939935827746</v>
      </c>
      <c r="P31" s="330">
        <f t="shared" si="6"/>
        <v>3283.7505755213692</v>
      </c>
      <c r="Q31" s="331">
        <f t="shared" si="7"/>
        <v>0.9627956923611346</v>
      </c>
      <c r="R31" s="332" t="e">
        <f t="shared" si="3"/>
        <v>#DIV/0!</v>
      </c>
    </row>
    <row r="32" spans="1:18" x14ac:dyDescent="0.2">
      <c r="A32" s="17">
        <v>2025</v>
      </c>
      <c r="B32" s="140">
        <v>12519</v>
      </c>
      <c r="C32" s="140">
        <v>1078</v>
      </c>
      <c r="D32" s="140">
        <v>1102</v>
      </c>
      <c r="E32" s="51"/>
      <c r="F32" s="139">
        <v>6316379</v>
      </c>
      <c r="G32" s="139">
        <v>988083</v>
      </c>
      <c r="H32" s="139">
        <v>798578</v>
      </c>
      <c r="I32" s="333">
        <f t="shared" si="5"/>
        <v>8103040</v>
      </c>
      <c r="J32" s="49"/>
      <c r="K32" s="330">
        <f t="shared" si="4"/>
        <v>1814.0105441908222</v>
      </c>
      <c r="L32" s="330">
        <f t="shared" si="1"/>
        <v>3504.1751836347839</v>
      </c>
      <c r="M32" s="137">
        <v>0.85080503435258037</v>
      </c>
      <c r="N32" s="137">
        <v>0.94022260212450215</v>
      </c>
      <c r="O32" s="330">
        <f t="shared" si="2"/>
        <v>2981.3698874898519</v>
      </c>
      <c r="P32" s="330">
        <f t="shared" si="6"/>
        <v>3294.7047094572017</v>
      </c>
      <c r="Q32" s="331">
        <f t="shared" si="7"/>
        <v>0.96127251559365923</v>
      </c>
      <c r="R32" s="332" t="e">
        <f t="shared" si="3"/>
        <v>#DIV/0!</v>
      </c>
    </row>
    <row r="33" spans="1:18" x14ac:dyDescent="0.2">
      <c r="A33" s="17">
        <f t="shared" ref="A33:A49" si="8">A32+1</f>
        <v>2026</v>
      </c>
      <c r="B33" s="140">
        <v>12659</v>
      </c>
      <c r="C33" s="140">
        <v>1106</v>
      </c>
      <c r="D33" s="140">
        <v>1123</v>
      </c>
      <c r="E33" s="39"/>
      <c r="F33" s="139">
        <v>6351578</v>
      </c>
      <c r="G33" s="139">
        <v>1003379</v>
      </c>
      <c r="H33" s="139">
        <v>805445</v>
      </c>
      <c r="I33" s="333">
        <f t="shared" si="5"/>
        <v>8160402</v>
      </c>
      <c r="K33" s="330">
        <f t="shared" si="4"/>
        <v>1824.4199244105866</v>
      </c>
      <c r="L33" s="330">
        <f t="shared" si="1"/>
        <v>3519.1646911512448</v>
      </c>
      <c r="M33" s="137">
        <v>0.84582644821068298</v>
      </c>
      <c r="N33" s="137">
        <v>0.93919654362887017</v>
      </c>
      <c r="O33" s="330">
        <f t="shared" si="2"/>
        <v>2976.6025713849026</v>
      </c>
      <c r="P33" s="330">
        <f t="shared" si="6"/>
        <v>3305.1873143900098</v>
      </c>
      <c r="Q33" s="331">
        <f t="shared" si="7"/>
        <v>0.95973540677530556</v>
      </c>
      <c r="R33" s="332" t="e">
        <f t="shared" si="3"/>
        <v>#DIV/0!</v>
      </c>
    </row>
    <row r="34" spans="1:18" x14ac:dyDescent="0.2">
      <c r="A34" s="17">
        <f t="shared" si="8"/>
        <v>2027</v>
      </c>
      <c r="B34" s="140">
        <v>12792</v>
      </c>
      <c r="C34" s="140">
        <v>1135</v>
      </c>
      <c r="D34" s="140">
        <v>1145</v>
      </c>
      <c r="E34" s="39"/>
      <c r="F34" s="139">
        <v>6384297</v>
      </c>
      <c r="G34" s="139">
        <v>1018801</v>
      </c>
      <c r="H34" s="139">
        <v>812780</v>
      </c>
      <c r="I34" s="333">
        <f t="shared" si="5"/>
        <v>8215878</v>
      </c>
      <c r="K34" s="330">
        <f t="shared" si="4"/>
        <v>1834.4965687173058</v>
      </c>
      <c r="L34" s="330">
        <f t="shared" si="1"/>
        <v>3533.6750589529202</v>
      </c>
      <c r="M34" s="137">
        <v>0.84104859464737525</v>
      </c>
      <c r="N34" s="137">
        <v>0.93821148747078309</v>
      </c>
      <c r="O34" s="330">
        <f t="shared" si="2"/>
        <v>2971.9924422728345</v>
      </c>
      <c r="P34" s="330">
        <f t="shared" si="6"/>
        <v>3315.3345332986264</v>
      </c>
      <c r="Q34" s="331">
        <f t="shared" si="7"/>
        <v>0.95824897920140251</v>
      </c>
      <c r="R34" s="332" t="e">
        <f t="shared" si="3"/>
        <v>#DIV/0!</v>
      </c>
    </row>
    <row r="35" spans="1:18" x14ac:dyDescent="0.2">
      <c r="A35" s="17">
        <f t="shared" si="8"/>
        <v>2028</v>
      </c>
      <c r="B35" s="140">
        <v>12917</v>
      </c>
      <c r="C35" s="140">
        <v>1164</v>
      </c>
      <c r="D35" s="140">
        <v>1167</v>
      </c>
      <c r="E35" s="39"/>
      <c r="F35" s="139">
        <v>6413743</v>
      </c>
      <c r="G35" s="139">
        <v>1034392</v>
      </c>
      <c r="H35" s="139">
        <v>819960</v>
      </c>
      <c r="I35" s="333">
        <f t="shared" si="5"/>
        <v>8268095</v>
      </c>
      <c r="K35" s="330">
        <f t="shared" si="4"/>
        <v>1844.1974844265819</v>
      </c>
      <c r="L35" s="330">
        <f t="shared" si="1"/>
        <v>3547.6443775742778</v>
      </c>
      <c r="M35" s="137">
        <v>0.83647983752009858</v>
      </c>
      <c r="N35" s="137">
        <v>0.93727243393530713</v>
      </c>
      <c r="O35" s="330">
        <f t="shared" si="2"/>
        <v>2967.5329925324231</v>
      </c>
      <c r="P35" s="330">
        <f t="shared" si="6"/>
        <v>3325.1092805059511</v>
      </c>
      <c r="Q35" s="331">
        <f t="shared" si="7"/>
        <v>0.95681113464272616</v>
      </c>
      <c r="R35" s="332" t="e">
        <f t="shared" si="3"/>
        <v>#DIV/0!</v>
      </c>
    </row>
    <row r="36" spans="1:18" x14ac:dyDescent="0.2">
      <c r="A36" s="17">
        <f t="shared" si="8"/>
        <v>2029</v>
      </c>
      <c r="B36" s="140">
        <v>13037</v>
      </c>
      <c r="C36" s="140">
        <v>1193</v>
      </c>
      <c r="D36" s="140">
        <v>1188</v>
      </c>
      <c r="E36" s="39"/>
      <c r="F36" s="139">
        <v>6441042</v>
      </c>
      <c r="G36" s="139">
        <v>1049807</v>
      </c>
      <c r="H36" s="139">
        <v>826532</v>
      </c>
      <c r="I36" s="333">
        <f t="shared" si="5"/>
        <v>8317381</v>
      </c>
      <c r="K36" s="330">
        <f t="shared" si="4"/>
        <v>1853.7085171401911</v>
      </c>
      <c r="L36" s="330">
        <f t="shared" si="1"/>
        <v>3561.3402646818749</v>
      </c>
      <c r="M36" s="137">
        <v>0.83205744789804359</v>
      </c>
      <c r="N36" s="137">
        <v>0.93635738176814998</v>
      </c>
      <c r="O36" s="330">
        <f t="shared" si="2"/>
        <v>2963.2396917277438</v>
      </c>
      <c r="P36" s="330">
        <f t="shared" si="6"/>
        <v>3334.6872458230105</v>
      </c>
      <c r="Q36" s="331">
        <f t="shared" si="7"/>
        <v>0.95542686089593887</v>
      </c>
      <c r="R36" s="332" t="e">
        <f t="shared" si="3"/>
        <v>#DIV/0!</v>
      </c>
    </row>
    <row r="37" spans="1:18" x14ac:dyDescent="0.2">
      <c r="A37" s="17">
        <f t="shared" si="8"/>
        <v>2030</v>
      </c>
      <c r="B37" s="140">
        <v>13156</v>
      </c>
      <c r="C37" s="140">
        <v>1222</v>
      </c>
      <c r="D37" s="140">
        <v>1207</v>
      </c>
      <c r="E37" s="39"/>
      <c r="F37" s="139">
        <v>6468311</v>
      </c>
      <c r="G37" s="139">
        <v>1065172</v>
      </c>
      <c r="H37" s="139">
        <v>832661</v>
      </c>
      <c r="I37" s="333">
        <f t="shared" si="5"/>
        <v>8366144</v>
      </c>
      <c r="K37" s="330">
        <f t="shared" si="4"/>
        <v>1862.8653774068437</v>
      </c>
      <c r="L37" s="330">
        <f t="shared" si="1"/>
        <v>3574.5261434658546</v>
      </c>
      <c r="M37" s="137">
        <v>0.82776678903068801</v>
      </c>
      <c r="N37" s="137">
        <v>0.93545933057021868</v>
      </c>
      <c r="O37" s="330">
        <f t="shared" si="2"/>
        <v>2958.8740280829788</v>
      </c>
      <c r="P37" s="330">
        <f t="shared" si="6"/>
        <v>3343.823833272314</v>
      </c>
      <c r="Q37" s="331">
        <f t="shared" si="7"/>
        <v>0.95401925545534982</v>
      </c>
      <c r="R37" s="332" t="e">
        <f t="shared" si="3"/>
        <v>#DIV/0!</v>
      </c>
    </row>
    <row r="38" spans="1:18" x14ac:dyDescent="0.2">
      <c r="A38" s="17">
        <f t="shared" si="8"/>
        <v>2031</v>
      </c>
      <c r="B38" s="140">
        <v>13273</v>
      </c>
      <c r="C38" s="140">
        <v>1250</v>
      </c>
      <c r="D38" s="140">
        <v>1226</v>
      </c>
      <c r="F38" s="139">
        <v>6494479</v>
      </c>
      <c r="G38" s="139">
        <v>1080456</v>
      </c>
      <c r="H38" s="139">
        <v>838440</v>
      </c>
      <c r="I38" s="333">
        <f t="shared" si="5"/>
        <v>8413375</v>
      </c>
      <c r="K38" s="330">
        <f>(SUM(B38:D38)*1000000)/I38</f>
        <v>1871.9003966897944</v>
      </c>
      <c r="L38" s="330">
        <f>892 + 1.44*K38</f>
        <v>3587.5365712333037</v>
      </c>
      <c r="M38" s="137">
        <v>0.82355035939812338</v>
      </c>
      <c r="N38" s="137">
        <v>0.93455627908722105</v>
      </c>
      <c r="O38" s="330">
        <f t="shared" si="2"/>
        <v>2954.5170325930985</v>
      </c>
      <c r="P38" s="330">
        <f>L38*N38</f>
        <v>3352.7548291011235</v>
      </c>
      <c r="Q38" s="331">
        <f t="shared" si="7"/>
        <v>0.9526144448571876</v>
      </c>
      <c r="R38" s="332" t="e">
        <f t="shared" si="3"/>
        <v>#DIV/0!</v>
      </c>
    </row>
    <row r="39" spans="1:18" x14ac:dyDescent="0.2">
      <c r="A39" s="17">
        <f t="shared" si="8"/>
        <v>2032</v>
      </c>
      <c r="B39" s="140">
        <v>13382</v>
      </c>
      <c r="C39" s="140">
        <v>1279</v>
      </c>
      <c r="D39" s="140">
        <v>1245</v>
      </c>
      <c r="F39" s="139">
        <v>6517734</v>
      </c>
      <c r="G39" s="139">
        <v>1095640</v>
      </c>
      <c r="H39" s="139">
        <v>843929</v>
      </c>
      <c r="I39" s="333">
        <f t="shared" si="5"/>
        <v>8457303</v>
      </c>
      <c r="K39" s="330">
        <f>(SUM(B39:D39)*1000000)/I39</f>
        <v>1880.7414136634338</v>
      </c>
      <c r="L39" s="330">
        <f>892 + 1.44*K39</f>
        <v>3600.2676356753445</v>
      </c>
      <c r="M39" s="138">
        <v>0.8192408818515251</v>
      </c>
      <c r="N39" s="138">
        <v>0.93348921825404452</v>
      </c>
      <c r="O39" s="330">
        <f t="shared" si="2"/>
        <v>2949.4864327521746</v>
      </c>
      <c r="P39" s="330">
        <f>L39*N39</f>
        <v>3360.8110207319146</v>
      </c>
      <c r="Q39" s="331">
        <f t="shared" si="7"/>
        <v>0.95099244639791514</v>
      </c>
      <c r="R39" s="332" t="e">
        <f t="shared" si="3"/>
        <v>#DIV/0!</v>
      </c>
    </row>
    <row r="40" spans="1:18" x14ac:dyDescent="0.2">
      <c r="A40" s="17">
        <f t="shared" si="8"/>
        <v>2033</v>
      </c>
      <c r="B40" s="140">
        <v>13488</v>
      </c>
      <c r="C40" s="140">
        <v>1307</v>
      </c>
      <c r="D40" s="140">
        <v>1262</v>
      </c>
      <c r="F40" s="139">
        <v>6539772</v>
      </c>
      <c r="G40" s="139">
        <v>1110714</v>
      </c>
      <c r="H40" s="139">
        <v>848764</v>
      </c>
      <c r="I40" s="333">
        <f t="shared" si="5"/>
        <v>8499250</v>
      </c>
      <c r="K40" s="330">
        <f>(SUM(B40:D40)*1000000)/I40</f>
        <v>1889.2255198988146</v>
      </c>
      <c r="L40" s="330">
        <f>892 + 1.44*K40</f>
        <v>3612.4847486542931</v>
      </c>
      <c r="M40" s="138">
        <v>0.81500354257535756</v>
      </c>
      <c r="N40" s="138">
        <v>0.93242215742086787</v>
      </c>
      <c r="O40" s="330">
        <f t="shared" si="2"/>
        <v>2944.187867652699</v>
      </c>
      <c r="P40" s="330">
        <f>L40*N40</f>
        <v>3368.3608229902175</v>
      </c>
      <c r="Q40" s="331">
        <f t="shared" si="7"/>
        <v>0.94928404885100826</v>
      </c>
      <c r="R40" s="332" t="e">
        <f t="shared" si="3"/>
        <v>#DIV/0!</v>
      </c>
    </row>
    <row r="41" spans="1:18" x14ac:dyDescent="0.2">
      <c r="A41" s="17">
        <f t="shared" si="8"/>
        <v>2034</v>
      </c>
      <c r="B41" s="140">
        <v>13593</v>
      </c>
      <c r="C41" s="140">
        <v>1336</v>
      </c>
      <c r="D41" s="140">
        <v>1277</v>
      </c>
      <c r="F41" s="139">
        <v>6561750</v>
      </c>
      <c r="G41" s="139">
        <v>1125762</v>
      </c>
      <c r="H41" s="139">
        <v>852885</v>
      </c>
      <c r="I41" s="333">
        <f t="shared" si="5"/>
        <v>8540397</v>
      </c>
      <c r="K41" s="330">
        <f>(SUM(B41:D41)*1000000)/I41</f>
        <v>1897.5698670682405</v>
      </c>
      <c r="L41" s="330">
        <f>892 + 1.44*K41</f>
        <v>3624.5006085782661</v>
      </c>
      <c r="M41" s="138">
        <v>0.81082265933691833</v>
      </c>
      <c r="N41" s="138">
        <v>0.93135709670171785</v>
      </c>
      <c r="O41" s="330">
        <f t="shared" si="2"/>
        <v>2938.8272222157088</v>
      </c>
      <c r="P41" s="330">
        <f>L41*N41</f>
        <v>3375.7043637990632</v>
      </c>
      <c r="Q41" s="331">
        <f t="shared" si="7"/>
        <v>0.94755563496112361</v>
      </c>
      <c r="R41" s="332" t="e">
        <f t="shared" si="3"/>
        <v>#DIV/0!</v>
      </c>
    </row>
    <row r="42" spans="1:18" x14ac:dyDescent="0.2">
      <c r="A42" s="17">
        <f t="shared" si="8"/>
        <v>2035</v>
      </c>
      <c r="B42" s="140">
        <v>13699</v>
      </c>
      <c r="C42" s="140">
        <v>1364</v>
      </c>
      <c r="D42" s="140">
        <v>1291</v>
      </c>
      <c r="F42" s="139">
        <v>6583855</v>
      </c>
      <c r="G42" s="139">
        <v>1140699</v>
      </c>
      <c r="H42" s="139">
        <v>856390</v>
      </c>
      <c r="I42" s="333">
        <f t="shared" si="5"/>
        <v>8580944</v>
      </c>
      <c r="K42" s="330">
        <f>(SUM(B42:D42)*1000000)/I42</f>
        <v>1905.850918034193</v>
      </c>
      <c r="L42" s="330">
        <f>892 + 1.44*K42</f>
        <v>3636.4253219692378</v>
      </c>
      <c r="M42" s="138">
        <v>0.80672018726199057</v>
      </c>
      <c r="N42" s="138">
        <v>0.93030403666672723</v>
      </c>
      <c r="O42" s="330">
        <f t="shared" si="2"/>
        <v>2933.5777167032679</v>
      </c>
      <c r="P42" s="330">
        <f>L42*N42</f>
        <v>3382.9811560650851</v>
      </c>
      <c r="Q42" s="331">
        <f t="shared" si="7"/>
        <v>0.94586305552281202</v>
      </c>
      <c r="R42" s="332" t="e">
        <f t="shared" si="3"/>
        <v>#DIV/0!</v>
      </c>
    </row>
    <row r="43" spans="1:18" x14ac:dyDescent="0.2">
      <c r="A43" s="17">
        <f t="shared" si="8"/>
        <v>2036</v>
      </c>
      <c r="B43" s="220">
        <f>B42</f>
        <v>13699</v>
      </c>
      <c r="C43" s="220">
        <f t="shared" ref="C43:H49" si="9">C42</f>
        <v>1364</v>
      </c>
      <c r="D43" s="220">
        <f t="shared" si="9"/>
        <v>1291</v>
      </c>
      <c r="F43" s="220">
        <f t="shared" si="9"/>
        <v>6583855</v>
      </c>
      <c r="G43" s="220">
        <f t="shared" si="9"/>
        <v>1140699</v>
      </c>
      <c r="H43" s="220">
        <f t="shared" si="9"/>
        <v>856390</v>
      </c>
      <c r="I43" s="333">
        <f t="shared" si="5"/>
        <v>8580944</v>
      </c>
      <c r="K43" s="330">
        <f t="shared" ref="K43:K49" si="10">(SUM(B43:D43)*1000000)/I43</f>
        <v>1905.850918034193</v>
      </c>
      <c r="L43" s="330">
        <f t="shared" ref="L43:L49" si="11">892 + 1.44*K43</f>
        <v>3636.4253219692378</v>
      </c>
      <c r="M43" s="221">
        <f t="shared" ref="M43:N49" si="12">M42</f>
        <v>0.80672018726199057</v>
      </c>
      <c r="N43" s="221">
        <f t="shared" si="12"/>
        <v>0.93030403666672723</v>
      </c>
      <c r="O43" s="330">
        <f t="shared" si="2"/>
        <v>2933.5777167032679</v>
      </c>
      <c r="P43" s="330">
        <f t="shared" ref="P43:P49" si="13">L43*N43</f>
        <v>3382.9811560650851</v>
      </c>
      <c r="Q43" s="331">
        <f t="shared" si="7"/>
        <v>0.94586305552281202</v>
      </c>
      <c r="R43" s="332" t="e">
        <f t="shared" si="3"/>
        <v>#DIV/0!</v>
      </c>
    </row>
    <row r="44" spans="1:18" x14ac:dyDescent="0.2">
      <c r="A44" s="17">
        <f t="shared" si="8"/>
        <v>2037</v>
      </c>
      <c r="B44" s="220">
        <f t="shared" ref="B44:B49" si="14">B43</f>
        <v>13699</v>
      </c>
      <c r="C44" s="220">
        <f t="shared" si="9"/>
        <v>1364</v>
      </c>
      <c r="D44" s="220">
        <f t="shared" si="9"/>
        <v>1291</v>
      </c>
      <c r="F44" s="220">
        <f t="shared" si="9"/>
        <v>6583855</v>
      </c>
      <c r="G44" s="220">
        <f t="shared" si="9"/>
        <v>1140699</v>
      </c>
      <c r="H44" s="220">
        <f t="shared" si="9"/>
        <v>856390</v>
      </c>
      <c r="I44" s="333">
        <f t="shared" si="5"/>
        <v>8580944</v>
      </c>
      <c r="K44" s="330">
        <f t="shared" si="10"/>
        <v>1905.850918034193</v>
      </c>
      <c r="L44" s="330">
        <f t="shared" si="11"/>
        <v>3636.4253219692378</v>
      </c>
      <c r="M44" s="221">
        <f t="shared" si="12"/>
        <v>0.80672018726199057</v>
      </c>
      <c r="N44" s="221">
        <f t="shared" si="12"/>
        <v>0.93030403666672723</v>
      </c>
      <c r="O44" s="330">
        <f t="shared" si="2"/>
        <v>2933.5777167032679</v>
      </c>
      <c r="P44" s="330">
        <f t="shared" si="13"/>
        <v>3382.9811560650851</v>
      </c>
      <c r="Q44" s="331">
        <f t="shared" si="7"/>
        <v>0.94586305552281202</v>
      </c>
      <c r="R44" s="332" t="e">
        <f t="shared" si="3"/>
        <v>#DIV/0!</v>
      </c>
    </row>
    <row r="45" spans="1:18" x14ac:dyDescent="0.2">
      <c r="A45" s="17">
        <f t="shared" si="8"/>
        <v>2038</v>
      </c>
      <c r="B45" s="220">
        <f t="shared" si="14"/>
        <v>13699</v>
      </c>
      <c r="C45" s="220">
        <f t="shared" si="9"/>
        <v>1364</v>
      </c>
      <c r="D45" s="220">
        <f t="shared" si="9"/>
        <v>1291</v>
      </c>
      <c r="F45" s="220">
        <f t="shared" si="9"/>
        <v>6583855</v>
      </c>
      <c r="G45" s="220">
        <f t="shared" si="9"/>
        <v>1140699</v>
      </c>
      <c r="H45" s="220">
        <f t="shared" si="9"/>
        <v>856390</v>
      </c>
      <c r="I45" s="333">
        <f t="shared" si="5"/>
        <v>8580944</v>
      </c>
      <c r="K45" s="330">
        <f t="shared" si="10"/>
        <v>1905.850918034193</v>
      </c>
      <c r="L45" s="330">
        <f t="shared" si="11"/>
        <v>3636.4253219692378</v>
      </c>
      <c r="M45" s="221">
        <f t="shared" si="12"/>
        <v>0.80672018726199057</v>
      </c>
      <c r="N45" s="221">
        <f t="shared" si="12"/>
        <v>0.93030403666672723</v>
      </c>
      <c r="O45" s="330">
        <f t="shared" si="2"/>
        <v>2933.5777167032679</v>
      </c>
      <c r="P45" s="330">
        <f t="shared" si="13"/>
        <v>3382.9811560650851</v>
      </c>
      <c r="Q45" s="331">
        <f t="shared" si="7"/>
        <v>0.94586305552281202</v>
      </c>
      <c r="R45" s="332" t="e">
        <f t="shared" si="3"/>
        <v>#DIV/0!</v>
      </c>
    </row>
    <row r="46" spans="1:18" x14ac:dyDescent="0.2">
      <c r="A46" s="17">
        <f t="shared" si="8"/>
        <v>2039</v>
      </c>
      <c r="B46" s="220">
        <f t="shared" si="14"/>
        <v>13699</v>
      </c>
      <c r="C46" s="220">
        <f t="shared" si="9"/>
        <v>1364</v>
      </c>
      <c r="D46" s="220">
        <f t="shared" si="9"/>
        <v>1291</v>
      </c>
      <c r="F46" s="220">
        <f t="shared" si="9"/>
        <v>6583855</v>
      </c>
      <c r="G46" s="220">
        <f t="shared" si="9"/>
        <v>1140699</v>
      </c>
      <c r="H46" s="220">
        <f t="shared" si="9"/>
        <v>856390</v>
      </c>
      <c r="I46" s="333">
        <f t="shared" si="5"/>
        <v>8580944</v>
      </c>
      <c r="K46" s="330">
        <f t="shared" si="10"/>
        <v>1905.850918034193</v>
      </c>
      <c r="L46" s="330">
        <f t="shared" si="11"/>
        <v>3636.4253219692378</v>
      </c>
      <c r="M46" s="221">
        <f t="shared" si="12"/>
        <v>0.80672018726199057</v>
      </c>
      <c r="N46" s="221">
        <f t="shared" si="12"/>
        <v>0.93030403666672723</v>
      </c>
      <c r="O46" s="330">
        <f t="shared" si="2"/>
        <v>2933.5777167032679</v>
      </c>
      <c r="P46" s="330">
        <f t="shared" si="13"/>
        <v>3382.9811560650851</v>
      </c>
      <c r="Q46" s="331">
        <f t="shared" si="7"/>
        <v>0.94586305552281202</v>
      </c>
      <c r="R46" s="332" t="e">
        <f t="shared" si="3"/>
        <v>#DIV/0!</v>
      </c>
    </row>
    <row r="47" spans="1:18" x14ac:dyDescent="0.2">
      <c r="A47" s="17">
        <f t="shared" si="8"/>
        <v>2040</v>
      </c>
      <c r="B47" s="220">
        <f t="shared" si="14"/>
        <v>13699</v>
      </c>
      <c r="C47" s="220">
        <f t="shared" si="9"/>
        <v>1364</v>
      </c>
      <c r="D47" s="220">
        <f t="shared" si="9"/>
        <v>1291</v>
      </c>
      <c r="F47" s="220">
        <f t="shared" si="9"/>
        <v>6583855</v>
      </c>
      <c r="G47" s="220">
        <f t="shared" si="9"/>
        <v>1140699</v>
      </c>
      <c r="H47" s="220">
        <f t="shared" si="9"/>
        <v>856390</v>
      </c>
      <c r="I47" s="333">
        <f t="shared" si="5"/>
        <v>8580944</v>
      </c>
      <c r="K47" s="330">
        <f t="shared" si="10"/>
        <v>1905.850918034193</v>
      </c>
      <c r="L47" s="330">
        <f t="shared" si="11"/>
        <v>3636.4253219692378</v>
      </c>
      <c r="M47" s="221">
        <f t="shared" si="12"/>
        <v>0.80672018726199057</v>
      </c>
      <c r="N47" s="221">
        <f t="shared" si="12"/>
        <v>0.93030403666672723</v>
      </c>
      <c r="O47" s="330">
        <f t="shared" si="2"/>
        <v>2933.5777167032679</v>
      </c>
      <c r="P47" s="330">
        <f t="shared" si="13"/>
        <v>3382.9811560650851</v>
      </c>
      <c r="Q47" s="331">
        <f t="shared" si="7"/>
        <v>0.94586305552281202</v>
      </c>
      <c r="R47" s="332" t="e">
        <f t="shared" si="3"/>
        <v>#DIV/0!</v>
      </c>
    </row>
    <row r="48" spans="1:18" x14ac:dyDescent="0.2">
      <c r="A48" s="17">
        <f t="shared" si="8"/>
        <v>2041</v>
      </c>
      <c r="B48" s="220">
        <f t="shared" si="14"/>
        <v>13699</v>
      </c>
      <c r="C48" s="220">
        <f t="shared" si="9"/>
        <v>1364</v>
      </c>
      <c r="D48" s="220">
        <f t="shared" si="9"/>
        <v>1291</v>
      </c>
      <c r="F48" s="220">
        <f t="shared" si="9"/>
        <v>6583855</v>
      </c>
      <c r="G48" s="220">
        <f t="shared" si="9"/>
        <v>1140699</v>
      </c>
      <c r="H48" s="220">
        <f t="shared" si="9"/>
        <v>856390</v>
      </c>
      <c r="I48" s="333">
        <f t="shared" si="5"/>
        <v>8580944</v>
      </c>
      <c r="K48" s="330">
        <f t="shared" si="10"/>
        <v>1905.850918034193</v>
      </c>
      <c r="L48" s="330">
        <f t="shared" si="11"/>
        <v>3636.4253219692378</v>
      </c>
      <c r="M48" s="221">
        <f t="shared" si="12"/>
        <v>0.80672018726199057</v>
      </c>
      <c r="N48" s="221">
        <f t="shared" si="12"/>
        <v>0.93030403666672723</v>
      </c>
      <c r="O48" s="330">
        <f t="shared" si="2"/>
        <v>2933.5777167032679</v>
      </c>
      <c r="P48" s="330">
        <f t="shared" si="13"/>
        <v>3382.9811560650851</v>
      </c>
      <c r="Q48" s="331">
        <f t="shared" si="7"/>
        <v>0.94586305552281202</v>
      </c>
      <c r="R48" s="332" t="e">
        <f t="shared" si="3"/>
        <v>#DIV/0!</v>
      </c>
    </row>
    <row r="49" spans="1:18" x14ac:dyDescent="0.2">
      <c r="A49" s="17">
        <f t="shared" si="8"/>
        <v>2042</v>
      </c>
      <c r="B49" s="220">
        <f t="shared" si="14"/>
        <v>13699</v>
      </c>
      <c r="C49" s="220">
        <f t="shared" si="9"/>
        <v>1364</v>
      </c>
      <c r="D49" s="220">
        <f t="shared" si="9"/>
        <v>1291</v>
      </c>
      <c r="F49" s="220">
        <f t="shared" si="9"/>
        <v>6583855</v>
      </c>
      <c r="G49" s="220">
        <f t="shared" si="9"/>
        <v>1140699</v>
      </c>
      <c r="H49" s="220">
        <f t="shared" si="9"/>
        <v>856390</v>
      </c>
      <c r="I49" s="333">
        <f t="shared" si="5"/>
        <v>8580944</v>
      </c>
      <c r="K49" s="330">
        <f t="shared" si="10"/>
        <v>1905.850918034193</v>
      </c>
      <c r="L49" s="330">
        <f t="shared" si="11"/>
        <v>3636.4253219692378</v>
      </c>
      <c r="M49" s="221">
        <f t="shared" si="12"/>
        <v>0.80672018726199057</v>
      </c>
      <c r="N49" s="221">
        <f t="shared" si="12"/>
        <v>0.93030403666672723</v>
      </c>
      <c r="O49" s="330">
        <f t="shared" si="2"/>
        <v>2933.5777167032679</v>
      </c>
      <c r="P49" s="330">
        <f t="shared" si="13"/>
        <v>3382.9811560650851</v>
      </c>
      <c r="Q49" s="331">
        <f t="shared" si="7"/>
        <v>0.94586305552281202</v>
      </c>
      <c r="R49" s="332" t="e">
        <f t="shared" si="3"/>
        <v>#DIV/0!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31"/>
  <sheetViews>
    <sheetView view="pageBreakPreview" topLeftCell="T1" zoomScale="60" zoomScaleNormal="85" workbookViewId="0">
      <selection activeCell="P1" sqref="P1:Q15"/>
    </sheetView>
  </sheetViews>
  <sheetFormatPr defaultColWidth="9.140625" defaultRowHeight="12.75" x14ac:dyDescent="0.2"/>
  <cols>
    <col min="1" max="1" width="7.140625" style="14" customWidth="1"/>
    <col min="2" max="2" width="12" style="14" bestFit="1" customWidth="1"/>
    <col min="3" max="4" width="12" style="14" customWidth="1"/>
    <col min="5" max="5" width="12" style="14" bestFit="1" customWidth="1"/>
    <col min="6" max="6" width="12" style="14" customWidth="1"/>
    <col min="7" max="7" width="6.140625" style="14" bestFit="1" customWidth="1"/>
    <col min="8" max="8" width="6.42578125" style="14" bestFit="1" customWidth="1"/>
    <col min="9" max="9" width="8.140625" style="14" bestFit="1" customWidth="1"/>
    <col min="10" max="10" width="7.7109375" style="14" bestFit="1" customWidth="1"/>
    <col min="11" max="12" width="10.28515625" style="14" bestFit="1" customWidth="1"/>
    <col min="13" max="13" width="7.42578125" style="30" bestFit="1" customWidth="1"/>
    <col min="14" max="14" width="7.5703125" style="30" bestFit="1" customWidth="1"/>
    <col min="15" max="16" width="7" style="30" bestFit="1" customWidth="1"/>
    <col min="17" max="17" width="8.5703125" style="30" bestFit="1" customWidth="1"/>
    <col min="18" max="18" width="7" style="30" bestFit="1" customWidth="1"/>
    <col min="19" max="19" width="11.85546875" style="30" bestFit="1" customWidth="1"/>
    <col min="20" max="20" width="12.28515625" style="14" bestFit="1" customWidth="1"/>
    <col min="21" max="21" width="5.28515625" style="60" bestFit="1" customWidth="1"/>
    <col min="22" max="23" width="10.140625" style="60" customWidth="1"/>
    <col min="24" max="24" width="10.28515625" style="60" bestFit="1" customWidth="1"/>
    <col min="25" max="25" width="10.140625" style="60" customWidth="1"/>
    <col min="26" max="29" width="10.28515625" style="60" customWidth="1"/>
    <col min="30" max="30" width="10.28515625" style="60" bestFit="1" customWidth="1"/>
    <col min="31" max="31" width="10.28515625" style="60" customWidth="1"/>
    <col min="32" max="32" width="10.28515625" style="60" bestFit="1" customWidth="1"/>
    <col min="33" max="33" width="10.28515625" style="60" customWidth="1"/>
    <col min="34" max="34" width="10.28515625" style="60" bestFit="1" customWidth="1"/>
    <col min="35" max="36" width="10.28515625" style="60" customWidth="1"/>
    <col min="37" max="37" width="10.28515625" style="60" bestFit="1" customWidth="1"/>
    <col min="38" max="38" width="10.28515625" style="60" customWidth="1"/>
    <col min="39" max="39" width="10.28515625" style="60" bestFit="1" customWidth="1"/>
    <col min="40" max="40" width="10.28515625" style="60" customWidth="1"/>
    <col min="41" max="41" width="10.28515625" style="60" bestFit="1" customWidth="1"/>
    <col min="42" max="42" width="10.28515625" style="60" customWidth="1"/>
    <col min="43" max="43" width="10.28515625" style="60" bestFit="1" customWidth="1"/>
    <col min="44" max="44" width="10.28515625" style="60" customWidth="1"/>
    <col min="45" max="45" width="10.28515625" style="60" bestFit="1" customWidth="1"/>
    <col min="46" max="46" width="10.28515625" style="60" customWidth="1"/>
    <col min="47" max="47" width="10.28515625" style="60" bestFit="1" customWidth="1"/>
    <col min="48" max="48" width="10.28515625" style="60" customWidth="1"/>
    <col min="49" max="49" width="10.28515625" style="60" bestFit="1" customWidth="1"/>
    <col min="50" max="50" width="10.28515625" style="60" customWidth="1"/>
    <col min="51" max="51" width="10.28515625" style="60" bestFit="1" customWidth="1"/>
    <col min="52" max="54" width="10.28515625" style="60" customWidth="1"/>
    <col min="55" max="55" width="11.28515625" style="60" bestFit="1" customWidth="1"/>
    <col min="56" max="56" width="12.5703125" style="60" bestFit="1" customWidth="1"/>
    <col min="57" max="57" width="14.28515625" style="60" bestFit="1" customWidth="1"/>
    <col min="58" max="58" width="11.28515625" style="14" bestFit="1" customWidth="1"/>
    <col min="59" max="59" width="39.42578125" style="14" bestFit="1" customWidth="1"/>
    <col min="60" max="60" width="8.140625" style="14" bestFit="1" customWidth="1"/>
    <col min="61" max="61" width="10.5703125" style="14" bestFit="1" customWidth="1"/>
    <col min="62" max="62" width="11.5703125" style="14" bestFit="1" customWidth="1"/>
    <col min="63" max="63" width="14.7109375" style="14" bestFit="1" customWidth="1"/>
    <col min="64" max="64" width="13.140625" style="14" bestFit="1" customWidth="1"/>
    <col min="65" max="65" width="12.28515625" style="14" bestFit="1" customWidth="1"/>
    <col min="66" max="66" width="5.7109375" style="14" customWidth="1"/>
    <col min="67" max="67" width="6.28515625" style="14" customWidth="1"/>
    <col min="68" max="76" width="6.7109375" style="14" bestFit="1" customWidth="1"/>
    <col min="77" max="77" width="9.140625" style="14"/>
    <col min="78" max="87" width="7.7109375" style="14" customWidth="1"/>
    <col min="88" max="16384" width="9.140625" style="14"/>
  </cols>
  <sheetData>
    <row r="1" spans="1:87" ht="18" x14ac:dyDescent="0.25">
      <c r="A1" s="59" t="s">
        <v>80</v>
      </c>
      <c r="J1" s="30"/>
      <c r="M1" s="14"/>
      <c r="N1" s="14"/>
      <c r="O1" s="14"/>
      <c r="P1" s="14"/>
      <c r="Q1" s="14"/>
      <c r="R1" s="14"/>
      <c r="S1" s="14"/>
    </row>
    <row r="2" spans="1:87" ht="18" x14ac:dyDescent="0.25">
      <c r="A2" s="60"/>
      <c r="B2" s="303" t="s">
        <v>101</v>
      </c>
      <c r="C2" s="303" t="s">
        <v>168</v>
      </c>
      <c r="D2" s="303" t="s">
        <v>114</v>
      </c>
      <c r="E2" s="303" t="s">
        <v>102</v>
      </c>
      <c r="F2" s="303" t="s">
        <v>103</v>
      </c>
      <c r="G2" s="303" t="s">
        <v>102</v>
      </c>
      <c r="H2" s="303" t="s">
        <v>103</v>
      </c>
      <c r="I2" s="303" t="s">
        <v>104</v>
      </c>
      <c r="J2" s="303" t="s">
        <v>114</v>
      </c>
      <c r="K2" s="303" t="s">
        <v>114</v>
      </c>
      <c r="L2" s="303" t="s">
        <v>114</v>
      </c>
      <c r="M2" s="303" t="s">
        <v>114</v>
      </c>
      <c r="N2" s="303" t="s">
        <v>114</v>
      </c>
      <c r="O2" s="303" t="s">
        <v>114</v>
      </c>
      <c r="P2" s="303"/>
      <c r="Q2" s="303"/>
      <c r="R2" s="304" t="s">
        <v>114</v>
      </c>
      <c r="S2" s="304" t="s">
        <v>114</v>
      </c>
      <c r="T2" s="304"/>
      <c r="V2" s="63" t="s">
        <v>48</v>
      </c>
      <c r="W2" s="63"/>
      <c r="Y2" s="63"/>
      <c r="BG2" s="59" t="s">
        <v>152</v>
      </c>
      <c r="BO2" s="59" t="s">
        <v>147</v>
      </c>
      <c r="BZ2" s="59" t="s">
        <v>148</v>
      </c>
    </row>
    <row r="3" spans="1:87" x14ac:dyDescent="0.2">
      <c r="A3" s="64"/>
      <c r="B3" s="8" t="s">
        <v>52</v>
      </c>
      <c r="C3" s="8" t="s">
        <v>169</v>
      </c>
      <c r="D3" s="8" t="s">
        <v>145</v>
      </c>
      <c r="E3" s="8" t="s">
        <v>51</v>
      </c>
      <c r="F3" s="8" t="s">
        <v>170</v>
      </c>
      <c r="G3" s="8" t="s">
        <v>105</v>
      </c>
      <c r="H3" s="8" t="s">
        <v>106</v>
      </c>
      <c r="I3" s="8" t="s">
        <v>5</v>
      </c>
      <c r="J3" s="8" t="s">
        <v>45</v>
      </c>
      <c r="K3" s="8" t="s">
        <v>9</v>
      </c>
      <c r="L3" s="8" t="s">
        <v>43</v>
      </c>
      <c r="M3" s="8" t="s">
        <v>10</v>
      </c>
      <c r="N3" s="8" t="s">
        <v>11</v>
      </c>
      <c r="O3" s="8" t="s">
        <v>12</v>
      </c>
      <c r="P3" s="8"/>
      <c r="Q3" s="8"/>
      <c r="R3" s="23" t="s">
        <v>13</v>
      </c>
      <c r="S3" s="23" t="s">
        <v>14</v>
      </c>
      <c r="T3" s="65"/>
      <c r="BO3" s="64" t="s">
        <v>15</v>
      </c>
      <c r="BP3" s="64" t="s">
        <v>83</v>
      </c>
      <c r="BQ3" s="64" t="s">
        <v>84</v>
      </c>
      <c r="BR3" s="64" t="s">
        <v>85</v>
      </c>
      <c r="BS3" s="64" t="s">
        <v>86</v>
      </c>
      <c r="BT3" s="64" t="s">
        <v>87</v>
      </c>
      <c r="BU3" s="64" t="s">
        <v>88</v>
      </c>
      <c r="BV3" s="64" t="s">
        <v>89</v>
      </c>
      <c r="BW3" s="64" t="s">
        <v>90</v>
      </c>
      <c r="BX3" s="64" t="s">
        <v>91</v>
      </c>
      <c r="BZ3" s="64" t="s">
        <v>15</v>
      </c>
      <c r="CA3" s="64" t="s">
        <v>83</v>
      </c>
      <c r="CB3" s="64" t="s">
        <v>84</v>
      </c>
      <c r="CC3" s="64" t="s">
        <v>85</v>
      </c>
      <c r="CD3" s="64" t="s">
        <v>86</v>
      </c>
      <c r="CE3" s="64" t="s">
        <v>87</v>
      </c>
      <c r="CF3" s="64" t="s">
        <v>88</v>
      </c>
      <c r="CG3" s="64" t="s">
        <v>89</v>
      </c>
      <c r="CH3" s="64" t="s">
        <v>90</v>
      </c>
      <c r="CI3" s="64" t="s">
        <v>91</v>
      </c>
    </row>
    <row r="4" spans="1:87" x14ac:dyDescent="0.2">
      <c r="A4" s="26">
        <v>2005</v>
      </c>
      <c r="B4" s="305">
        <f>B5*(B5/B6)</f>
        <v>7.0640054070868681</v>
      </c>
      <c r="C4" s="141">
        <v>3.3</v>
      </c>
      <c r="D4" s="100">
        <f t="shared" ref="D4:D41" si="0">1000*(AB92/AB48)/ 3.412</f>
        <v>625.46563419179665</v>
      </c>
      <c r="E4" s="305">
        <f t="shared" ref="E4:K4" si="1">E5*(E5/E6)</f>
        <v>11.518837333234069</v>
      </c>
      <c r="F4" s="141">
        <v>13.8</v>
      </c>
      <c r="G4" s="305">
        <f t="shared" si="1"/>
        <v>11.190628991037693</v>
      </c>
      <c r="H4" s="305">
        <f t="shared" si="1"/>
        <v>9.4613123252875919</v>
      </c>
      <c r="I4" s="305">
        <f t="shared" si="1"/>
        <v>0.88272792880960704</v>
      </c>
      <c r="J4" s="306">
        <f t="shared" si="1"/>
        <v>663.67878717866665</v>
      </c>
      <c r="K4" s="306">
        <f t="shared" si="1"/>
        <v>530.58146271893293</v>
      </c>
      <c r="L4" s="100">
        <f t="shared" ref="L4:L41" si="2">1000*(AQ92/AQ48)/ 3.412</f>
        <v>331.40747338337758</v>
      </c>
      <c r="M4" s="100">
        <f t="shared" ref="M4:M41" si="3">1000*(AM92/AM48)/ 3.412</f>
        <v>434.05618224643769</v>
      </c>
      <c r="N4" s="100">
        <f t="shared" ref="N4:N41" si="4">1000*(AK92/AK48)/ 3.412</f>
        <v>110.52562758422165</v>
      </c>
      <c r="O4" s="100">
        <f t="shared" ref="O4:O41" si="5">1000*(AS92/AS48)/ 3.412</f>
        <v>922.49348069682435</v>
      </c>
      <c r="P4" s="100"/>
      <c r="Q4" s="100"/>
      <c r="R4" s="101">
        <f t="shared" ref="R4:S34" si="6">1000*(BC92/BC48)/ 3.412</f>
        <v>2009.4019042164659</v>
      </c>
      <c r="S4" s="101">
        <f t="shared" si="6"/>
        <v>3922.4950399098643</v>
      </c>
      <c r="T4" s="65"/>
      <c r="U4" s="66"/>
      <c r="V4" s="66" t="s">
        <v>36</v>
      </c>
      <c r="W4" s="66"/>
      <c r="X4" s="66" t="s">
        <v>39</v>
      </c>
      <c r="Y4" s="66"/>
      <c r="Z4" s="66" t="s">
        <v>166</v>
      </c>
      <c r="AA4" s="66"/>
      <c r="AB4" s="66" t="s">
        <v>145</v>
      </c>
      <c r="AC4" s="66"/>
      <c r="AD4" s="66" t="s">
        <v>4</v>
      </c>
      <c r="AE4" s="66"/>
      <c r="AF4" s="66" t="s">
        <v>2</v>
      </c>
      <c r="AG4" s="66"/>
      <c r="AH4" s="66" t="s">
        <v>40</v>
      </c>
      <c r="AI4" s="66"/>
      <c r="AJ4" s="66" t="s">
        <v>167</v>
      </c>
      <c r="AK4" s="66" t="s">
        <v>41</v>
      </c>
      <c r="AL4" s="66"/>
      <c r="AM4" s="66" t="s">
        <v>42</v>
      </c>
      <c r="AN4" s="66"/>
      <c r="AO4" s="66" t="s">
        <v>5</v>
      </c>
      <c r="AP4" s="66"/>
      <c r="AQ4" s="66" t="s">
        <v>43</v>
      </c>
      <c r="AR4" s="66"/>
      <c r="AS4" s="66" t="s">
        <v>44</v>
      </c>
      <c r="AT4" s="66"/>
      <c r="AU4" s="66" t="s">
        <v>45</v>
      </c>
      <c r="AV4" s="66"/>
      <c r="AW4" s="66" t="s">
        <v>9</v>
      </c>
      <c r="AX4" s="66"/>
      <c r="AY4" s="66" t="s">
        <v>100</v>
      </c>
      <c r="AZ4" s="66"/>
      <c r="BA4" s="66" t="s">
        <v>173</v>
      </c>
      <c r="BB4" s="66"/>
      <c r="BC4" s="66" t="s">
        <v>46</v>
      </c>
      <c r="BD4" s="66" t="s">
        <v>14</v>
      </c>
      <c r="BE4" s="90" t="s">
        <v>49</v>
      </c>
      <c r="BI4" s="8" t="s">
        <v>37</v>
      </c>
      <c r="BJ4" s="8" t="s">
        <v>38</v>
      </c>
      <c r="BK4" s="8" t="s">
        <v>35</v>
      </c>
      <c r="BL4" s="8" t="s">
        <v>75</v>
      </c>
      <c r="BM4" s="8" t="s">
        <v>74</v>
      </c>
      <c r="BO4" s="26">
        <v>1990</v>
      </c>
      <c r="BP4" s="29">
        <f t="shared" ref="BP4:BX19" si="7">BP64/BP$79</f>
        <v>1.083921568627451</v>
      </c>
      <c r="BQ4" s="29">
        <f t="shared" si="7"/>
        <v>1.3455696202531646</v>
      </c>
      <c r="BR4" s="29">
        <f t="shared" si="7"/>
        <v>0.94172932330827064</v>
      </c>
      <c r="BS4" s="29">
        <f t="shared" si="7"/>
        <v>0.89227642276422769</v>
      </c>
      <c r="BT4" s="29">
        <f t="shared" si="7"/>
        <v>0.98089552238805966</v>
      </c>
      <c r="BU4" s="29">
        <f t="shared" si="7"/>
        <v>0.94535131298793473</v>
      </c>
      <c r="BV4" s="29">
        <f t="shared" si="7"/>
        <v>0.78425196850393697</v>
      </c>
      <c r="BW4" s="29">
        <f t="shared" si="7"/>
        <v>0.80911854103343472</v>
      </c>
      <c r="BX4" s="29">
        <f t="shared" si="7"/>
        <v>0.89933909506863241</v>
      </c>
      <c r="BZ4" s="26">
        <v>1990</v>
      </c>
      <c r="CA4" s="29">
        <f t="shared" ref="CA4:CI19" si="8">CA64/CA$79</f>
        <v>0.70286885245901642</v>
      </c>
      <c r="CB4" s="29">
        <f t="shared" si="8"/>
        <v>0.71043376318874563</v>
      </c>
      <c r="CC4" s="29">
        <f t="shared" si="8"/>
        <v>0.61081081081081068</v>
      </c>
      <c r="CD4" s="29">
        <f t="shared" si="8"/>
        <v>0.56434316353887404</v>
      </c>
      <c r="CE4" s="29">
        <f t="shared" si="8"/>
        <v>0.59451219512195119</v>
      </c>
      <c r="CF4" s="29">
        <f t="shared" si="8"/>
        <v>0.54462242562929053</v>
      </c>
      <c r="CG4" s="29">
        <f t="shared" si="8"/>
        <v>0.61441213653603033</v>
      </c>
      <c r="CH4" s="29">
        <f t="shared" si="8"/>
        <v>0.65938864628820959</v>
      </c>
      <c r="CI4" s="29">
        <f t="shared" si="8"/>
        <v>0.67162162162162153</v>
      </c>
    </row>
    <row r="5" spans="1:87" x14ac:dyDescent="0.2">
      <c r="A5" s="26">
        <v>2006</v>
      </c>
      <c r="B5" s="307">
        <v>7.1509267544549466</v>
      </c>
      <c r="C5" s="141">
        <v>3.3015590000000001</v>
      </c>
      <c r="D5" s="100">
        <f t="shared" si="0"/>
        <v>533.99408257472101</v>
      </c>
      <c r="E5" s="307">
        <v>11.725685088053469</v>
      </c>
      <c r="F5" s="141">
        <v>13.886512</v>
      </c>
      <c r="G5" s="307">
        <v>11.401529818829824</v>
      </c>
      <c r="H5" s="307">
        <v>9.5224392825295894</v>
      </c>
      <c r="I5" s="307">
        <v>0.88500750520619786</v>
      </c>
      <c r="J5" s="308">
        <v>647.46748751540326</v>
      </c>
      <c r="K5" s="308">
        <v>518.47639290197708</v>
      </c>
      <c r="L5" s="100">
        <f t="shared" si="2"/>
        <v>331.11625407322299</v>
      </c>
      <c r="M5" s="100">
        <f t="shared" si="3"/>
        <v>423.37992276068093</v>
      </c>
      <c r="N5" s="100">
        <f t="shared" si="4"/>
        <v>111.56086903465723</v>
      </c>
      <c r="O5" s="100">
        <f t="shared" si="5"/>
        <v>914.64909668103485</v>
      </c>
      <c r="P5" s="100"/>
      <c r="Q5" s="100"/>
      <c r="R5" s="101">
        <f t="shared" si="6"/>
        <v>1994.2060049955637</v>
      </c>
      <c r="S5" s="101">
        <f t="shared" si="6"/>
        <v>4189.9485003693344</v>
      </c>
      <c r="T5" s="65"/>
      <c r="U5" s="66" t="s">
        <v>15</v>
      </c>
      <c r="V5" s="67" t="s">
        <v>48</v>
      </c>
      <c r="W5" s="67"/>
      <c r="X5" s="67" t="s">
        <v>48</v>
      </c>
      <c r="Y5" s="67"/>
      <c r="Z5" s="67" t="s">
        <v>48</v>
      </c>
      <c r="AA5" s="67"/>
      <c r="AB5" s="67" t="s">
        <v>48</v>
      </c>
      <c r="AC5" s="67"/>
      <c r="AD5" s="67" t="s">
        <v>48</v>
      </c>
      <c r="AE5" s="67"/>
      <c r="AF5" s="67" t="s">
        <v>48</v>
      </c>
      <c r="AG5" s="67"/>
      <c r="AH5" s="67" t="s">
        <v>48</v>
      </c>
      <c r="AI5" s="67"/>
      <c r="AJ5" s="67" t="s">
        <v>48</v>
      </c>
      <c r="AK5" s="67" t="s">
        <v>48</v>
      </c>
      <c r="AL5" s="67"/>
      <c r="AM5" s="67" t="s">
        <v>48</v>
      </c>
      <c r="AN5" s="67"/>
      <c r="AO5" s="67" t="s">
        <v>48</v>
      </c>
      <c r="AP5" s="67"/>
      <c r="AQ5" s="67" t="s">
        <v>48</v>
      </c>
      <c r="AR5" s="67"/>
      <c r="AS5" s="67" t="s">
        <v>48</v>
      </c>
      <c r="AT5" s="67"/>
      <c r="AU5" s="67" t="s">
        <v>48</v>
      </c>
      <c r="AV5" s="67"/>
      <c r="AW5" s="67" t="s">
        <v>48</v>
      </c>
      <c r="AX5" s="67"/>
      <c r="AY5" s="67" t="s">
        <v>48</v>
      </c>
      <c r="AZ5" s="67"/>
      <c r="BA5" s="67" t="s">
        <v>48</v>
      </c>
      <c r="BB5" s="67"/>
      <c r="BC5" s="67" t="s">
        <v>48</v>
      </c>
      <c r="BD5" s="67" t="s">
        <v>48</v>
      </c>
      <c r="BE5" s="67" t="s">
        <v>48</v>
      </c>
      <c r="BG5" s="14" t="s">
        <v>115</v>
      </c>
      <c r="BH5" s="26" t="s">
        <v>0</v>
      </c>
      <c r="BI5" s="27">
        <f>V48</f>
        <v>2334318</v>
      </c>
      <c r="BJ5" s="27">
        <f>V92</f>
        <v>20494125</v>
      </c>
      <c r="BK5" s="27">
        <f t="shared" ref="BK5:BK13" si="9">1000*(BJ5/BI5)/3.412</f>
        <v>2573.1217711505083</v>
      </c>
      <c r="BL5" s="27">
        <f>$BK$5*V6</f>
        <v>871.42011256872252</v>
      </c>
      <c r="BM5" s="27">
        <f>BL5*$BL$28</f>
        <v>974.64765069379848</v>
      </c>
      <c r="BO5" s="26">
        <f t="shared" ref="BO5:BO13" si="10">BO6-1</f>
        <v>1991</v>
      </c>
      <c r="BP5" s="29">
        <f t="shared" si="7"/>
        <v>1.0207843137254902</v>
      </c>
      <c r="BQ5" s="29">
        <f t="shared" si="7"/>
        <v>1.1109704641350211</v>
      </c>
      <c r="BR5" s="29">
        <f t="shared" si="7"/>
        <v>1.0588972431077692</v>
      </c>
      <c r="BS5" s="29">
        <f t="shared" si="7"/>
        <v>1.0338753387533874</v>
      </c>
      <c r="BT5" s="29">
        <f t="shared" si="7"/>
        <v>1.0208955223880598</v>
      </c>
      <c r="BU5" s="29">
        <f t="shared" si="7"/>
        <v>1.1171043293115686</v>
      </c>
      <c r="BV5" s="29">
        <f t="shared" si="7"/>
        <v>0.81207349081364832</v>
      </c>
      <c r="BW5" s="29">
        <f t="shared" si="7"/>
        <v>0.87537993920972645</v>
      </c>
      <c r="BX5" s="29">
        <f t="shared" si="7"/>
        <v>0.9217081850533807</v>
      </c>
      <c r="BZ5" s="26">
        <f t="shared" ref="BZ5:BZ13" si="11">BZ6-1</f>
        <v>1991</v>
      </c>
      <c r="CA5" s="29">
        <f t="shared" si="8"/>
        <v>0.70081967213114749</v>
      </c>
      <c r="CB5" s="29">
        <f t="shared" si="8"/>
        <v>0.69167643610785468</v>
      </c>
      <c r="CC5" s="29">
        <f t="shared" si="8"/>
        <v>0.58648648648648649</v>
      </c>
      <c r="CD5" s="29">
        <f t="shared" si="8"/>
        <v>0.53351206434316356</v>
      </c>
      <c r="CE5" s="29">
        <f t="shared" si="8"/>
        <v>0.56707317073170738</v>
      </c>
      <c r="CF5" s="29">
        <f t="shared" si="8"/>
        <v>0.53432494279176201</v>
      </c>
      <c r="CG5" s="29">
        <f t="shared" si="8"/>
        <v>0.5802781289506953</v>
      </c>
      <c r="CH5" s="29">
        <f t="shared" si="8"/>
        <v>0.63755458515283836</v>
      </c>
      <c r="CI5" s="29">
        <f t="shared" si="8"/>
        <v>0.69324324324324316</v>
      </c>
    </row>
    <row r="6" spans="1:87" x14ac:dyDescent="0.2">
      <c r="A6" s="26">
        <v>2007</v>
      </c>
      <c r="B6" s="307">
        <v>7.2389176537546671</v>
      </c>
      <c r="C6" s="142">
        <v>3.30253</v>
      </c>
      <c r="D6" s="100">
        <f t="shared" si="0"/>
        <v>524.35472023884597</v>
      </c>
      <c r="E6" s="307">
        <v>11.93624727970673</v>
      </c>
      <c r="F6" s="142">
        <v>13.954171000000001</v>
      </c>
      <c r="G6" s="307">
        <v>11.616405325721676</v>
      </c>
      <c r="H6" s="307">
        <v>9.5839611643627212</v>
      </c>
      <c r="I6" s="307">
        <v>0.88729296843198968</v>
      </c>
      <c r="J6" s="308">
        <v>631.65217193638227</v>
      </c>
      <c r="K6" s="308">
        <v>506.64749691612809</v>
      </c>
      <c r="L6" s="100">
        <f t="shared" si="2"/>
        <v>330.9257571682009</v>
      </c>
      <c r="M6" s="100">
        <f t="shared" si="3"/>
        <v>413.03471971289258</v>
      </c>
      <c r="N6" s="100">
        <f t="shared" si="4"/>
        <v>108.5825264486451</v>
      </c>
      <c r="O6" s="100">
        <f t="shared" si="5"/>
        <v>898.17649270519473</v>
      </c>
      <c r="P6" s="100"/>
      <c r="Q6" s="100"/>
      <c r="R6" s="101">
        <f t="shared" si="6"/>
        <v>1962.1164142451546</v>
      </c>
      <c r="S6" s="101">
        <f t="shared" si="6"/>
        <v>4512.1743147094294</v>
      </c>
      <c r="T6" s="65"/>
      <c r="U6" s="8">
        <v>2005</v>
      </c>
      <c r="V6" s="53">
        <f t="shared" ref="V6:BD20" si="12">V48/$BC48</f>
        <v>0.33866260133467696</v>
      </c>
      <c r="W6" s="53"/>
      <c r="X6" s="53">
        <f t="shared" si="12"/>
        <v>0.14585055552541118</v>
      </c>
      <c r="Y6" s="53"/>
      <c r="Z6" s="53">
        <f t="shared" si="12"/>
        <v>4.7895224463255183E-3</v>
      </c>
      <c r="AA6" s="53"/>
      <c r="AB6" s="53">
        <f t="shared" ref="AB6:AB32" si="13">AB48/$BC48</f>
        <v>0.15045539127031082</v>
      </c>
      <c r="AC6" s="53"/>
      <c r="AD6" s="53">
        <f t="shared" si="12"/>
        <v>0.43823339698471758</v>
      </c>
      <c r="AE6" s="53"/>
      <c r="AF6" s="53">
        <f t="shared" si="12"/>
        <v>0.60157638006521053</v>
      </c>
      <c r="AG6" s="53"/>
      <c r="AH6" s="53">
        <f t="shared" si="12"/>
        <v>0.14585055552541118</v>
      </c>
      <c r="AI6" s="53"/>
      <c r="AJ6" s="53">
        <f t="shared" si="12"/>
        <v>4.7895224463255183E-3</v>
      </c>
      <c r="AK6" s="53">
        <f t="shared" si="12"/>
        <v>0.89918050172688591</v>
      </c>
      <c r="AL6" s="53"/>
      <c r="AM6" s="53">
        <f t="shared" si="12"/>
        <v>0.59041219228192388</v>
      </c>
      <c r="AN6" s="53"/>
      <c r="AO6" s="53">
        <f t="shared" si="12"/>
        <v>0.68160970201460835</v>
      </c>
      <c r="AP6" s="53"/>
      <c r="AQ6" s="53">
        <f t="shared" si="12"/>
        <v>1.6512366464841195</v>
      </c>
      <c r="AR6" s="53"/>
      <c r="AS6" s="53">
        <f t="shared" si="12"/>
        <v>0.8214036073244454</v>
      </c>
      <c r="AT6" s="53"/>
      <c r="AU6" s="53">
        <f t="shared" si="12"/>
        <v>1.201410640797568</v>
      </c>
      <c r="AV6" s="53"/>
      <c r="AW6" s="53">
        <f t="shared" si="12"/>
        <v>0.45856518308937183</v>
      </c>
      <c r="AX6" s="53"/>
      <c r="AY6" s="53">
        <f t="shared" si="12"/>
        <v>3.2130096330146123</v>
      </c>
      <c r="AZ6" s="53"/>
      <c r="BA6" s="53">
        <f t="shared" ref="BA6:BA36" si="14">BA48/$BC48</f>
        <v>0.4717662925443154</v>
      </c>
      <c r="BB6" s="53"/>
      <c r="BC6" s="53">
        <f t="shared" si="12"/>
        <v>1</v>
      </c>
      <c r="BD6" s="53">
        <f t="shared" si="12"/>
        <v>1</v>
      </c>
      <c r="BE6" s="105">
        <f t="shared" ref="BE6:BE31" si="15">AU6-1</f>
        <v>0.20141064079756799</v>
      </c>
      <c r="BG6" s="14" t="s">
        <v>20</v>
      </c>
      <c r="BH6" s="26" t="s">
        <v>1</v>
      </c>
      <c r="BI6" s="27">
        <f>X48</f>
        <v>1005312</v>
      </c>
      <c r="BJ6" s="27">
        <f>X92</f>
        <v>9340069</v>
      </c>
      <c r="BK6" s="27">
        <f t="shared" si="9"/>
        <v>2722.9533155983272</v>
      </c>
      <c r="BL6" s="27">
        <f>$BK$6*X6</f>
        <v>397.14425374977628</v>
      </c>
      <c r="BM6" s="27">
        <f t="shared" ref="BM6:BM24" si="16">BL6*$BL$28</f>
        <v>444.18955716177072</v>
      </c>
      <c r="BO6" s="26">
        <f t="shared" si="10"/>
        <v>1992</v>
      </c>
      <c r="BP6" s="29">
        <f t="shared" si="7"/>
        <v>1.044313725490196</v>
      </c>
      <c r="BQ6" s="29">
        <f t="shared" si="7"/>
        <v>1.0637130801687764</v>
      </c>
      <c r="BR6" s="29">
        <f t="shared" si="7"/>
        <v>1.1265664160401003</v>
      </c>
      <c r="BS6" s="29">
        <f t="shared" si="7"/>
        <v>1.1029810298102982</v>
      </c>
      <c r="BT6" s="29">
        <f t="shared" si="7"/>
        <v>1.04</v>
      </c>
      <c r="BU6" s="29">
        <f t="shared" si="7"/>
        <v>1.170333569907736</v>
      </c>
      <c r="BV6" s="29">
        <f t="shared" si="7"/>
        <v>0.83779527559055122</v>
      </c>
      <c r="BW6" s="29">
        <f t="shared" si="7"/>
        <v>0.95805471124620067</v>
      </c>
      <c r="BX6" s="29">
        <f t="shared" si="7"/>
        <v>0.9440772750381291</v>
      </c>
      <c r="BZ6" s="26">
        <f t="shared" si="11"/>
        <v>1992</v>
      </c>
      <c r="CA6" s="29">
        <f t="shared" si="8"/>
        <v>0.68032786885245899</v>
      </c>
      <c r="CB6" s="29">
        <f t="shared" si="8"/>
        <v>0.6846424384525206</v>
      </c>
      <c r="CC6" s="29">
        <f t="shared" si="8"/>
        <v>0.57837837837837835</v>
      </c>
      <c r="CD6" s="29">
        <f t="shared" si="8"/>
        <v>0.54691689008042899</v>
      </c>
      <c r="CE6" s="29">
        <f t="shared" si="8"/>
        <v>0.55589430894308944</v>
      </c>
      <c r="CF6" s="29">
        <f t="shared" si="8"/>
        <v>0.52517162471395873</v>
      </c>
      <c r="CG6" s="29">
        <f t="shared" si="8"/>
        <v>0.5752212389380531</v>
      </c>
      <c r="CH6" s="29">
        <f t="shared" si="8"/>
        <v>0.61572052401746735</v>
      </c>
      <c r="CI6" s="29">
        <f t="shared" si="8"/>
        <v>0.64999999999999991</v>
      </c>
    </row>
    <row r="7" spans="1:87" x14ac:dyDescent="0.2">
      <c r="A7" s="26">
        <v>2008</v>
      </c>
      <c r="B7" s="307">
        <v>7.302377720492446</v>
      </c>
      <c r="C7" s="142">
        <v>3.3036409999999998</v>
      </c>
      <c r="D7" s="100">
        <f t="shared" si="0"/>
        <v>576.73452951309423</v>
      </c>
      <c r="E7" s="307">
        <v>12.08833891284468</v>
      </c>
      <c r="F7" s="142">
        <v>13.997324000000001</v>
      </c>
      <c r="G7" s="307">
        <v>11.802056259305916</v>
      </c>
      <c r="H7" s="307">
        <v>9.6531179818082791</v>
      </c>
      <c r="I7" s="307">
        <v>0.88925478972545646</v>
      </c>
      <c r="J7" s="308">
        <v>617.91187523118072</v>
      </c>
      <c r="K7" s="308">
        <v>497.00853788104638</v>
      </c>
      <c r="L7" s="100">
        <f t="shared" si="2"/>
        <v>331.30107414508501</v>
      </c>
      <c r="M7" s="100">
        <f t="shared" si="3"/>
        <v>404.74184677448062</v>
      </c>
      <c r="N7" s="100">
        <f t="shared" si="4"/>
        <v>106.04839760643169</v>
      </c>
      <c r="O7" s="100">
        <f t="shared" si="5"/>
        <v>881.15789548844009</v>
      </c>
      <c r="P7" s="100"/>
      <c r="Q7" s="100"/>
      <c r="R7" s="101">
        <f t="shared" si="6"/>
        <v>1932.8784015467093</v>
      </c>
      <c r="S7" s="101">
        <f t="shared" si="6"/>
        <v>4735.3504576439354</v>
      </c>
      <c r="T7" s="65"/>
      <c r="U7" s="8">
        <v>2006</v>
      </c>
      <c r="V7" s="53">
        <f t="shared" si="12"/>
        <v>0.33591282377513487</v>
      </c>
      <c r="W7" s="53"/>
      <c r="X7" s="53">
        <f t="shared" si="12"/>
        <v>0.14906821061292955</v>
      </c>
      <c r="Y7" s="53"/>
      <c r="Z7" s="53">
        <f t="shared" si="12"/>
        <v>5.1685671200163647E-3</v>
      </c>
      <c r="AA7" s="53"/>
      <c r="AB7" s="53">
        <f t="shared" si="13"/>
        <v>0.15893259203615842</v>
      </c>
      <c r="AC7" s="53"/>
      <c r="AD7" s="53">
        <f t="shared" si="12"/>
        <v>0.43284625161578538</v>
      </c>
      <c r="AE7" s="53"/>
      <c r="AF7" s="53">
        <f t="shared" si="12"/>
        <v>0.60126330738995037</v>
      </c>
      <c r="AG7" s="53"/>
      <c r="AH7" s="53">
        <f t="shared" si="12"/>
        <v>0.14906821061292955</v>
      </c>
      <c r="AI7" s="53"/>
      <c r="AJ7" s="53">
        <f t="shared" si="12"/>
        <v>5.1685671200163647E-3</v>
      </c>
      <c r="AK7" s="53">
        <f t="shared" si="12"/>
        <v>0.8983249169060703</v>
      </c>
      <c r="AL7" s="53"/>
      <c r="AM7" s="53">
        <f t="shared" si="12"/>
        <v>0.59206599828255002</v>
      </c>
      <c r="AN7" s="53"/>
      <c r="AO7" s="53">
        <f t="shared" si="12"/>
        <v>0.68276102060406552</v>
      </c>
      <c r="AP7" s="53"/>
      <c r="AQ7" s="53">
        <f t="shared" si="12"/>
        <v>1.6491071321743069</v>
      </c>
      <c r="AR7" s="53"/>
      <c r="AS7" s="53">
        <f t="shared" si="12"/>
        <v>0.82147631212151484</v>
      </c>
      <c r="AT7" s="53"/>
      <c r="AU7" s="53">
        <f t="shared" si="12"/>
        <v>1.1998737499872063</v>
      </c>
      <c r="AV7" s="53"/>
      <c r="AW7" s="53">
        <f t="shared" si="12"/>
        <v>0.45792269284156084</v>
      </c>
      <c r="AX7" s="53"/>
      <c r="AY7" s="53">
        <f t="shared" si="12"/>
        <v>3.2430221929301433</v>
      </c>
      <c r="AZ7" s="53"/>
      <c r="BA7" s="53">
        <f t="shared" si="14"/>
        <v>0.46978973275158575</v>
      </c>
      <c r="BB7" s="53"/>
      <c r="BC7" s="53">
        <f t="shared" si="12"/>
        <v>1</v>
      </c>
      <c r="BD7" s="53">
        <f t="shared" si="12"/>
        <v>1</v>
      </c>
      <c r="BE7" s="105">
        <f t="shared" si="15"/>
        <v>0.19987374998720631</v>
      </c>
      <c r="BG7" s="309" t="s">
        <v>162</v>
      </c>
      <c r="BH7" s="26" t="s">
        <v>163</v>
      </c>
      <c r="BI7" s="27">
        <f>Z48</f>
        <v>33013</v>
      </c>
      <c r="BJ7" s="27">
        <f>Z92</f>
        <v>208675</v>
      </c>
      <c r="BK7" s="27">
        <f>1000*(BJ7/BI7)/3.412</f>
        <v>1852.5775966119993</v>
      </c>
      <c r="BL7" s="27">
        <f>$BK$7*Z6</f>
        <v>8.8729619825329529</v>
      </c>
      <c r="BM7" s="27">
        <f t="shared" si="16"/>
        <v>9.9240440130295084</v>
      </c>
      <c r="BO7" s="26">
        <f t="shared" si="10"/>
        <v>1993</v>
      </c>
      <c r="BP7" s="29">
        <f t="shared" si="7"/>
        <v>1.0949019607843138</v>
      </c>
      <c r="BQ7" s="29">
        <f t="shared" si="7"/>
        <v>1.0502109704641351</v>
      </c>
      <c r="BR7" s="29">
        <f t="shared" si="7"/>
        <v>1.1409774436090225</v>
      </c>
      <c r="BS7" s="29">
        <f t="shared" si="7"/>
        <v>1.1165311653116532</v>
      </c>
      <c r="BT7" s="29">
        <f t="shared" si="7"/>
        <v>1.0358208955223882</v>
      </c>
      <c r="BU7" s="29">
        <f t="shared" si="7"/>
        <v>1.1724627395315828</v>
      </c>
      <c r="BV7" s="29">
        <f t="shared" si="7"/>
        <v>0.88083989501312343</v>
      </c>
      <c r="BW7" s="29">
        <f t="shared" si="7"/>
        <v>0.9659574468085107</v>
      </c>
      <c r="BX7" s="29">
        <f t="shared" si="7"/>
        <v>0.94611082867310614</v>
      </c>
      <c r="BZ7" s="26">
        <f t="shared" si="11"/>
        <v>1993</v>
      </c>
      <c r="CA7" s="29">
        <f t="shared" si="8"/>
        <v>0.7018442622950819</v>
      </c>
      <c r="CB7" s="29">
        <f t="shared" si="8"/>
        <v>0.70457209847596725</v>
      </c>
      <c r="CC7" s="29">
        <f t="shared" si="8"/>
        <v>0.60270270270270265</v>
      </c>
      <c r="CD7" s="29">
        <f t="shared" si="8"/>
        <v>0.56702412868632712</v>
      </c>
      <c r="CE7" s="29">
        <f t="shared" si="8"/>
        <v>0.58536585365853655</v>
      </c>
      <c r="CF7" s="29">
        <f t="shared" si="8"/>
        <v>0.53775743707093826</v>
      </c>
      <c r="CG7" s="29">
        <f t="shared" si="8"/>
        <v>0.57901390644753481</v>
      </c>
      <c r="CH7" s="29">
        <f t="shared" si="8"/>
        <v>0.60553129548762741</v>
      </c>
      <c r="CI7" s="29">
        <f t="shared" si="8"/>
        <v>0.66486486486486485</v>
      </c>
    </row>
    <row r="8" spans="1:87" x14ac:dyDescent="0.2">
      <c r="A8" s="26">
        <v>2009</v>
      </c>
      <c r="B8" s="307">
        <v>7.4469618234936279</v>
      </c>
      <c r="C8" s="142">
        <v>3.3131979999999999</v>
      </c>
      <c r="D8" s="100">
        <f t="shared" si="0"/>
        <v>551.93627430015886</v>
      </c>
      <c r="E8" s="307">
        <v>12.357536678854581</v>
      </c>
      <c r="F8" s="142">
        <v>14.100529</v>
      </c>
      <c r="G8" s="307">
        <v>12.111568890511583</v>
      </c>
      <c r="H8" s="307">
        <v>9.7274060500263637</v>
      </c>
      <c r="I8" s="307">
        <v>0.8924520000414683</v>
      </c>
      <c r="J8" s="308">
        <v>604.50392112234965</v>
      </c>
      <c r="K8" s="308">
        <v>487.85587729521859</v>
      </c>
      <c r="L8" s="100">
        <f t="shared" si="2"/>
        <v>330.07754356289564</v>
      </c>
      <c r="M8" s="100">
        <f t="shared" si="3"/>
        <v>394.81578406430697</v>
      </c>
      <c r="N8" s="100">
        <f t="shared" si="4"/>
        <v>102.90101727769803</v>
      </c>
      <c r="O8" s="100">
        <f t="shared" si="5"/>
        <v>860.53722213716173</v>
      </c>
      <c r="P8" s="100"/>
      <c r="Q8" s="100"/>
      <c r="R8" s="101">
        <f t="shared" si="6"/>
        <v>1889.2139181923412</v>
      </c>
      <c r="S8" s="101">
        <f t="shared" si="6"/>
        <v>4693.5828928706769</v>
      </c>
      <c r="T8" s="65"/>
      <c r="U8" s="8">
        <v>2007</v>
      </c>
      <c r="V8" s="53">
        <f t="shared" si="12"/>
        <v>0.33336803080564387</v>
      </c>
      <c r="W8" s="53"/>
      <c r="X8" s="53">
        <f t="shared" si="12"/>
        <v>0.1534350069223599</v>
      </c>
      <c r="Y8" s="53"/>
      <c r="Z8" s="53">
        <f t="shared" si="12"/>
        <v>6.233051070110027E-3</v>
      </c>
      <c r="AA8" s="53"/>
      <c r="AB8" s="53">
        <f t="shared" si="13"/>
        <v>0.1568982573016047</v>
      </c>
      <c r="AC8" s="53"/>
      <c r="AD8" s="53">
        <f t="shared" si="12"/>
        <v>0.42628457753043097</v>
      </c>
      <c r="AE8" s="53"/>
      <c r="AF8" s="53">
        <f t="shared" si="12"/>
        <v>0.60290556347552726</v>
      </c>
      <c r="AG8" s="53"/>
      <c r="AH8" s="53">
        <f t="shared" si="12"/>
        <v>0.1534350069223599</v>
      </c>
      <c r="AI8" s="53"/>
      <c r="AJ8" s="53">
        <f t="shared" si="12"/>
        <v>6.233051070110027E-3</v>
      </c>
      <c r="AK8" s="53">
        <f t="shared" si="12"/>
        <v>0.89919042087034395</v>
      </c>
      <c r="AL8" s="53"/>
      <c r="AM8" s="53">
        <f t="shared" si="12"/>
        <v>0.59576887885184782</v>
      </c>
      <c r="AN8" s="53"/>
      <c r="AO8" s="53">
        <f t="shared" si="12"/>
        <v>0.68524894793837043</v>
      </c>
      <c r="AP8" s="53"/>
      <c r="AQ8" s="53">
        <f t="shared" si="12"/>
        <v>1.6499143557864533</v>
      </c>
      <c r="AR8" s="53"/>
      <c r="AS8" s="53">
        <f t="shared" si="12"/>
        <v>0.8236340333369887</v>
      </c>
      <c r="AT8" s="53"/>
      <c r="AU8" s="53">
        <f t="shared" si="12"/>
        <v>1.2000103664053077</v>
      </c>
      <c r="AV8" s="53"/>
      <c r="AW8" s="53">
        <f t="shared" si="12"/>
        <v>0.45794909095478303</v>
      </c>
      <c r="AX8" s="53"/>
      <c r="AY8" s="53">
        <f t="shared" si="12"/>
        <v>3.4330023223032495</v>
      </c>
      <c r="AZ8" s="53"/>
      <c r="BA8" s="53">
        <f t="shared" si="14"/>
        <v>0.46735524728588662</v>
      </c>
      <c r="BB8" s="53"/>
      <c r="BC8" s="53">
        <f t="shared" si="12"/>
        <v>1</v>
      </c>
      <c r="BD8" s="53">
        <f t="shared" si="12"/>
        <v>1</v>
      </c>
      <c r="BE8" s="105">
        <f t="shared" si="15"/>
        <v>0.20001036640530767</v>
      </c>
      <c r="BG8" s="14" t="s">
        <v>146</v>
      </c>
      <c r="BH8" s="26" t="s">
        <v>145</v>
      </c>
      <c r="BI8" s="27">
        <f>AB48</f>
        <v>1037052</v>
      </c>
      <c r="BJ8" s="27">
        <f>AB92</f>
        <v>2213161</v>
      </c>
      <c r="BK8" s="27">
        <f>1000*(BJ8/BI8)/3.412</f>
        <v>625.46563419179665</v>
      </c>
      <c r="BL8" s="27">
        <f>BK8*AB6</f>
        <v>94.104676718459871</v>
      </c>
      <c r="BM8" s="27">
        <f t="shared" si="16"/>
        <v>105.25222078313359</v>
      </c>
      <c r="BO8" s="26">
        <f t="shared" si="10"/>
        <v>1994</v>
      </c>
      <c r="BP8" s="29">
        <f t="shared" si="7"/>
        <v>1.1411764705882355</v>
      </c>
      <c r="BQ8" s="29">
        <f t="shared" si="7"/>
        <v>1.0696202531645571</v>
      </c>
      <c r="BR8" s="29">
        <f t="shared" si="7"/>
        <v>1.1604010025062657</v>
      </c>
      <c r="BS8" s="29">
        <f t="shared" si="7"/>
        <v>1.1510840108401084</v>
      </c>
      <c r="BT8" s="29">
        <f t="shared" si="7"/>
        <v>1.0602985074626867</v>
      </c>
      <c r="BU8" s="29">
        <f t="shared" si="7"/>
        <v>1.2072391767210788</v>
      </c>
      <c r="BV8" s="29">
        <f t="shared" si="7"/>
        <v>0.90603674540682422</v>
      </c>
      <c r="BW8" s="29">
        <f t="shared" si="7"/>
        <v>1.0249240121580547</v>
      </c>
      <c r="BX8" s="29">
        <f t="shared" si="7"/>
        <v>0.97661413319776302</v>
      </c>
      <c r="BZ8" s="26">
        <f t="shared" si="11"/>
        <v>1994</v>
      </c>
      <c r="CA8" s="29">
        <f t="shared" si="8"/>
        <v>0.73975409836065575</v>
      </c>
      <c r="CB8" s="29">
        <f t="shared" si="8"/>
        <v>0.73388042203985937</v>
      </c>
      <c r="CC8" s="29">
        <f t="shared" si="8"/>
        <v>0.5972972972972973</v>
      </c>
      <c r="CD8" s="29">
        <f t="shared" si="8"/>
        <v>0.55495978552278813</v>
      </c>
      <c r="CE8" s="29">
        <f t="shared" si="8"/>
        <v>0.59247967479674801</v>
      </c>
      <c r="CF8" s="29">
        <f t="shared" si="8"/>
        <v>0.55491990846681916</v>
      </c>
      <c r="CG8" s="29">
        <f t="shared" si="8"/>
        <v>0.58786346396965872</v>
      </c>
      <c r="CH8" s="29">
        <f t="shared" si="8"/>
        <v>0.62736535662299853</v>
      </c>
      <c r="CI8" s="29">
        <f t="shared" si="8"/>
        <v>0.67162162162162153</v>
      </c>
    </row>
    <row r="9" spans="1:87" x14ac:dyDescent="0.2">
      <c r="A9" s="26">
        <v>2010</v>
      </c>
      <c r="B9" s="307">
        <v>7.5579488575039955</v>
      </c>
      <c r="C9" s="142">
        <v>3.3880159999999999</v>
      </c>
      <c r="D9" s="100">
        <f t="shared" si="0"/>
        <v>572.04681954559237</v>
      </c>
      <c r="E9" s="307">
        <v>12.614787706568169</v>
      </c>
      <c r="F9" s="142">
        <v>14.824436</v>
      </c>
      <c r="G9" s="307">
        <v>12.378665525149154</v>
      </c>
      <c r="H9" s="307">
        <v>9.8066675844966884</v>
      </c>
      <c r="I9" s="307">
        <v>0.89494059863781383</v>
      </c>
      <c r="J9" s="308">
        <v>591.85248951264384</v>
      </c>
      <c r="K9" s="308">
        <v>479.45148196275602</v>
      </c>
      <c r="L9" s="100">
        <f t="shared" si="2"/>
        <v>330.26058639828216</v>
      </c>
      <c r="M9" s="100">
        <f t="shared" si="3"/>
        <v>386.25915595615032</v>
      </c>
      <c r="N9" s="100">
        <f t="shared" si="4"/>
        <v>99.956659292987666</v>
      </c>
      <c r="O9" s="100">
        <f t="shared" si="5"/>
        <v>847.20701431345481</v>
      </c>
      <c r="P9" s="100"/>
      <c r="Q9" s="100"/>
      <c r="R9" s="101">
        <f t="shared" si="6"/>
        <v>1865.6788210078303</v>
      </c>
      <c r="S9" s="101">
        <f t="shared" si="6"/>
        <v>4831.6574697068691</v>
      </c>
      <c r="T9" s="65"/>
      <c r="U9" s="8">
        <v>2008</v>
      </c>
      <c r="V9" s="53">
        <f t="shared" si="12"/>
        <v>0.33199889279497263</v>
      </c>
      <c r="W9" s="53"/>
      <c r="X9" s="53">
        <f t="shared" si="12"/>
        <v>0.15638305260516283</v>
      </c>
      <c r="Y9" s="53"/>
      <c r="Z9" s="53">
        <f t="shared" si="12"/>
        <v>7.3903379176677459E-3</v>
      </c>
      <c r="AA9" s="53"/>
      <c r="AB9" s="53">
        <f t="shared" si="13"/>
        <v>0.15549640804567094</v>
      </c>
      <c r="AC9" s="53"/>
      <c r="AD9" s="53">
        <f t="shared" si="12"/>
        <v>0.42155823059092734</v>
      </c>
      <c r="AE9" s="53"/>
      <c r="AF9" s="53">
        <f t="shared" si="12"/>
        <v>0.60482253403668407</v>
      </c>
      <c r="AG9" s="53"/>
      <c r="AH9" s="53">
        <f t="shared" si="12"/>
        <v>0.15638305260516283</v>
      </c>
      <c r="AI9" s="53"/>
      <c r="AJ9" s="53">
        <f t="shared" si="12"/>
        <v>7.3903379176677459E-3</v>
      </c>
      <c r="AK9" s="53">
        <f t="shared" si="12"/>
        <v>0.89966458618354128</v>
      </c>
      <c r="AL9" s="53"/>
      <c r="AM9" s="53">
        <f t="shared" si="12"/>
        <v>0.59856716648537533</v>
      </c>
      <c r="AN9" s="53"/>
      <c r="AO9" s="53">
        <f t="shared" si="12"/>
        <v>0.68833925352850589</v>
      </c>
      <c r="AP9" s="53"/>
      <c r="AQ9" s="53">
        <f t="shared" si="12"/>
        <v>1.6507428541887954</v>
      </c>
      <c r="AR9" s="53"/>
      <c r="AS9" s="53">
        <f t="shared" si="12"/>
        <v>0.82509668515937662</v>
      </c>
      <c r="AT9" s="53"/>
      <c r="AU9" s="53">
        <f t="shared" si="12"/>
        <v>1.1998881433197091</v>
      </c>
      <c r="AV9" s="53"/>
      <c r="AW9" s="53">
        <f t="shared" si="12"/>
        <v>0.45765189309194104</v>
      </c>
      <c r="AX9" s="53"/>
      <c r="AY9" s="53">
        <f t="shared" si="12"/>
        <v>3.6187536331052601</v>
      </c>
      <c r="AZ9" s="53"/>
      <c r="BA9" s="53">
        <f t="shared" si="14"/>
        <v>0.46494331255122562</v>
      </c>
      <c r="BB9" s="53"/>
      <c r="BC9" s="53">
        <f t="shared" si="12"/>
        <v>1</v>
      </c>
      <c r="BD9" s="53">
        <f t="shared" si="12"/>
        <v>1</v>
      </c>
      <c r="BE9" s="105">
        <f t="shared" si="15"/>
        <v>0.19988814331970906</v>
      </c>
      <c r="BG9" s="14" t="s">
        <v>21</v>
      </c>
      <c r="BH9" s="26" t="s">
        <v>2</v>
      </c>
      <c r="BI9" s="27">
        <f>AF48</f>
        <v>4146518</v>
      </c>
      <c r="BJ9" s="27">
        <f>AF92</f>
        <v>63913651</v>
      </c>
      <c r="BK9" s="27">
        <f t="shared" si="9"/>
        <v>4517.5300424541238</v>
      </c>
      <c r="BL9" s="27">
        <f>$BK$9*AF6</f>
        <v>2717.6393697753888</v>
      </c>
      <c r="BM9" s="27">
        <f t="shared" si="16"/>
        <v>3039.5681588949683</v>
      </c>
      <c r="BO9" s="26">
        <f t="shared" si="10"/>
        <v>1995</v>
      </c>
      <c r="BP9" s="29">
        <f t="shared" si="7"/>
        <v>1.0721568627450981</v>
      </c>
      <c r="BQ9" s="29">
        <f t="shared" si="7"/>
        <v>1.1578059071729958</v>
      </c>
      <c r="BR9" s="29">
        <f t="shared" si="7"/>
        <v>1.2355889724310776</v>
      </c>
      <c r="BS9" s="29">
        <f t="shared" si="7"/>
        <v>1.1592140921409213</v>
      </c>
      <c r="BT9" s="29">
        <f t="shared" si="7"/>
        <v>1.0949253731343283</v>
      </c>
      <c r="BU9" s="29">
        <f t="shared" si="7"/>
        <v>1.0298083747338538</v>
      </c>
      <c r="BV9" s="29">
        <f t="shared" si="7"/>
        <v>0.92545931758530176</v>
      </c>
      <c r="BW9" s="29">
        <f t="shared" si="7"/>
        <v>1.0996960486322189</v>
      </c>
      <c r="BX9" s="29">
        <f t="shared" si="7"/>
        <v>1.0660904931367563</v>
      </c>
      <c r="BZ9" s="26">
        <f t="shared" si="11"/>
        <v>1995</v>
      </c>
      <c r="CA9" s="29">
        <f t="shared" si="8"/>
        <v>0.71721311475409832</v>
      </c>
      <c r="CB9" s="29">
        <f t="shared" si="8"/>
        <v>0.70339976553341155</v>
      </c>
      <c r="CC9" s="29">
        <f t="shared" si="8"/>
        <v>0.52702702702702697</v>
      </c>
      <c r="CD9" s="29">
        <f t="shared" si="8"/>
        <v>0.51474530831099197</v>
      </c>
      <c r="CE9" s="29">
        <f t="shared" si="8"/>
        <v>0.54166666666666663</v>
      </c>
      <c r="CF9" s="29">
        <f t="shared" si="8"/>
        <v>0.50800915331807783</v>
      </c>
      <c r="CG9" s="29">
        <f t="shared" si="8"/>
        <v>0.5689001264222503</v>
      </c>
      <c r="CH9" s="29">
        <f t="shared" si="8"/>
        <v>0.59970887918486171</v>
      </c>
      <c r="CI9" s="29">
        <f t="shared" si="8"/>
        <v>0.66081081081081072</v>
      </c>
    </row>
    <row r="10" spans="1:87" x14ac:dyDescent="0.2">
      <c r="A10" s="26">
        <v>2011</v>
      </c>
      <c r="B10" s="307">
        <v>7.5714163701222743</v>
      </c>
      <c r="C10" s="142">
        <v>3.4313090000000002</v>
      </c>
      <c r="D10" s="100">
        <f t="shared" si="0"/>
        <v>521.58822756453208</v>
      </c>
      <c r="E10" s="307">
        <v>12.680915008767705</v>
      </c>
      <c r="F10" s="142">
        <v>15.217358000000001</v>
      </c>
      <c r="G10" s="307">
        <v>12.463080238937028</v>
      </c>
      <c r="H10" s="307">
        <v>9.8741992696547687</v>
      </c>
      <c r="I10" s="307">
        <v>0.89628488788144389</v>
      </c>
      <c r="J10" s="308">
        <v>581.11669764603766</v>
      </c>
      <c r="K10" s="308">
        <v>472.68560384871955</v>
      </c>
      <c r="L10" s="100">
        <f t="shared" si="2"/>
        <v>329.85134261423076</v>
      </c>
      <c r="M10" s="100">
        <f t="shared" si="3"/>
        <v>378.4903821942803</v>
      </c>
      <c r="N10" s="100">
        <f t="shared" si="4"/>
        <v>97.105744953638549</v>
      </c>
      <c r="O10" s="100">
        <f t="shared" si="5"/>
        <v>829.562427622462</v>
      </c>
      <c r="P10" s="100"/>
      <c r="Q10" s="100"/>
      <c r="R10" s="101">
        <f t="shared" si="6"/>
        <v>1818.8624107485023</v>
      </c>
      <c r="S10" s="101">
        <f t="shared" si="6"/>
        <v>4727.7771386018567</v>
      </c>
      <c r="T10" s="65"/>
      <c r="U10" s="8">
        <v>2009</v>
      </c>
      <c r="V10" s="53">
        <f t="shared" si="12"/>
        <v>0.33023738897528454</v>
      </c>
      <c r="W10" s="53"/>
      <c r="X10" s="53">
        <f t="shared" si="12"/>
        <v>0.15971358657458237</v>
      </c>
      <c r="Y10" s="53"/>
      <c r="Z10" s="53">
        <f t="shared" si="12"/>
        <v>8.7196207872700122E-3</v>
      </c>
      <c r="AA10" s="53"/>
      <c r="AB10" s="53">
        <f t="shared" si="13"/>
        <v>0.15397727433088823</v>
      </c>
      <c r="AC10" s="53"/>
      <c r="AD10" s="53">
        <f t="shared" si="12"/>
        <v>0.41649953572124082</v>
      </c>
      <c r="AE10" s="53"/>
      <c r="AF10" s="53">
        <f t="shared" si="12"/>
        <v>0.60629358787286947</v>
      </c>
      <c r="AG10" s="53"/>
      <c r="AH10" s="53">
        <f t="shared" si="12"/>
        <v>0.15971358657458237</v>
      </c>
      <c r="AI10" s="53"/>
      <c r="AJ10" s="53">
        <f t="shared" si="12"/>
        <v>8.7196207872700122E-3</v>
      </c>
      <c r="AK10" s="53">
        <f t="shared" si="12"/>
        <v>0.90033148656696194</v>
      </c>
      <c r="AL10" s="53"/>
      <c r="AM10" s="53">
        <f t="shared" si="12"/>
        <v>0.60182776245861713</v>
      </c>
      <c r="AN10" s="53"/>
      <c r="AO10" s="53">
        <f t="shared" si="12"/>
        <v>0.69112451420072085</v>
      </c>
      <c r="AP10" s="53"/>
      <c r="AQ10" s="53">
        <f t="shared" si="12"/>
        <v>1.6514921834649026</v>
      </c>
      <c r="AR10" s="53"/>
      <c r="AS10" s="53">
        <f t="shared" si="12"/>
        <v>0.82691617298829001</v>
      </c>
      <c r="AT10" s="53"/>
      <c r="AU10" s="53">
        <f t="shared" si="12"/>
        <v>1.200007338144522</v>
      </c>
      <c r="AV10" s="53"/>
      <c r="AW10" s="53">
        <f t="shared" si="12"/>
        <v>0.45774385924309863</v>
      </c>
      <c r="AX10" s="53"/>
      <c r="AY10" s="53">
        <f t="shared" si="12"/>
        <v>3.7181906957972188</v>
      </c>
      <c r="AZ10" s="53"/>
      <c r="BA10" s="53">
        <f t="shared" si="14"/>
        <v>0.4624161405311123</v>
      </c>
      <c r="BB10" s="53"/>
      <c r="BC10" s="53">
        <f t="shared" si="12"/>
        <v>1</v>
      </c>
      <c r="BD10" s="53">
        <f t="shared" si="12"/>
        <v>1</v>
      </c>
      <c r="BE10" s="105">
        <f t="shared" si="15"/>
        <v>0.20000733814452198</v>
      </c>
      <c r="BG10" s="14" t="s">
        <v>22</v>
      </c>
      <c r="BH10" s="26" t="s">
        <v>3</v>
      </c>
      <c r="BI10" s="27">
        <f>AH48</f>
        <v>1005312</v>
      </c>
      <c r="BJ10" s="27">
        <f>AH92</f>
        <v>14816839</v>
      </c>
      <c r="BK10" s="27">
        <f t="shared" si="9"/>
        <v>4319.6212877802727</v>
      </c>
      <c r="BL10" s="27">
        <f>$BK$10*AH6</f>
        <v>630.01916448214479</v>
      </c>
      <c r="BM10" s="27">
        <f t="shared" si="16"/>
        <v>704.65059240432311</v>
      </c>
      <c r="BO10" s="26">
        <f t="shared" si="10"/>
        <v>1996</v>
      </c>
      <c r="BP10" s="29">
        <f t="shared" si="7"/>
        <v>1.0588235294117647</v>
      </c>
      <c r="BQ10" s="29">
        <f t="shared" si="7"/>
        <v>1.1413502109704643</v>
      </c>
      <c r="BR10" s="29">
        <f t="shared" si="7"/>
        <v>1.2124060150375939</v>
      </c>
      <c r="BS10" s="29">
        <f t="shared" si="7"/>
        <v>1.1212737127371275</v>
      </c>
      <c r="BT10" s="29">
        <f t="shared" si="7"/>
        <v>1.0698507462686568</v>
      </c>
      <c r="BU10" s="29">
        <f t="shared" si="7"/>
        <v>1.0028388928317957</v>
      </c>
      <c r="BV10" s="29">
        <f t="shared" si="7"/>
        <v>0.91706036745406816</v>
      </c>
      <c r="BW10" s="29">
        <f t="shared" si="7"/>
        <v>1.0680851063829788</v>
      </c>
      <c r="BX10" s="29">
        <f t="shared" si="7"/>
        <v>1.0284697508896796</v>
      </c>
      <c r="BZ10" s="26">
        <f t="shared" si="11"/>
        <v>1996</v>
      </c>
      <c r="CA10" s="29">
        <f t="shared" si="8"/>
        <v>0.7018442622950819</v>
      </c>
      <c r="CB10" s="29">
        <f t="shared" si="8"/>
        <v>0.71160609613130132</v>
      </c>
      <c r="CC10" s="29">
        <f t="shared" si="8"/>
        <v>0.55810810810810807</v>
      </c>
      <c r="CD10" s="29">
        <f t="shared" si="8"/>
        <v>0.5630026809651475</v>
      </c>
      <c r="CE10" s="29">
        <f t="shared" si="8"/>
        <v>0.5792682926829269</v>
      </c>
      <c r="CF10" s="29">
        <f t="shared" si="8"/>
        <v>0.5389016018306636</v>
      </c>
      <c r="CG10" s="29">
        <f t="shared" si="8"/>
        <v>0.572692793931732</v>
      </c>
      <c r="CH10" s="29">
        <f t="shared" si="8"/>
        <v>0.54148471615720528</v>
      </c>
      <c r="CI10" s="29">
        <f t="shared" si="8"/>
        <v>0.64324324324324322</v>
      </c>
    </row>
    <row r="11" spans="1:87" x14ac:dyDescent="0.2">
      <c r="A11" s="26">
        <v>2012</v>
      </c>
      <c r="B11" s="307">
        <v>7.6178553973680234</v>
      </c>
      <c r="C11" s="142">
        <v>3.4590559999999999</v>
      </c>
      <c r="D11" s="100">
        <f t="shared" si="0"/>
        <v>499.45843221443903</v>
      </c>
      <c r="E11" s="307">
        <v>12.790951865091673</v>
      </c>
      <c r="F11" s="142">
        <v>15.475415999999999</v>
      </c>
      <c r="G11" s="307">
        <v>12.610954691482007</v>
      </c>
      <c r="H11" s="307">
        <v>9.9418246440066174</v>
      </c>
      <c r="I11" s="307">
        <v>0.8979712989076909</v>
      </c>
      <c r="J11" s="308">
        <v>572.006354242724</v>
      </c>
      <c r="K11" s="308">
        <v>467.14811296909187</v>
      </c>
      <c r="L11" s="100">
        <f t="shared" si="2"/>
        <v>331.36141135862437</v>
      </c>
      <c r="M11" s="100">
        <f t="shared" si="3"/>
        <v>372.63790918317289</v>
      </c>
      <c r="N11" s="100">
        <f t="shared" si="4"/>
        <v>94.708031475446276</v>
      </c>
      <c r="O11" s="100">
        <f t="shared" si="5"/>
        <v>827.67190167455692</v>
      </c>
      <c r="P11" s="100"/>
      <c r="Q11" s="100"/>
      <c r="R11" s="101">
        <f t="shared" si="6"/>
        <v>1797.2757481829826</v>
      </c>
      <c r="S11" s="101">
        <f t="shared" si="6"/>
        <v>4824.3600022852979</v>
      </c>
      <c r="T11" s="65"/>
      <c r="U11" s="8">
        <v>2010</v>
      </c>
      <c r="V11" s="53">
        <f t="shared" si="12"/>
        <v>0.32750296941433499</v>
      </c>
      <c r="W11" s="53"/>
      <c r="X11" s="53">
        <f t="shared" si="12"/>
        <v>0.16452710298414286</v>
      </c>
      <c r="Y11" s="53"/>
      <c r="Z11" s="53">
        <f t="shared" si="12"/>
        <v>1.069902719252684E-2</v>
      </c>
      <c r="AA11" s="53"/>
      <c r="AB11" s="53">
        <f t="shared" si="13"/>
        <v>0.15177222011770541</v>
      </c>
      <c r="AC11" s="53"/>
      <c r="AD11" s="53">
        <f t="shared" si="12"/>
        <v>0.40939339147006792</v>
      </c>
      <c r="AE11" s="53"/>
      <c r="AF11" s="53">
        <f t="shared" si="12"/>
        <v>0.60661145889878665</v>
      </c>
      <c r="AG11" s="53"/>
      <c r="AH11" s="53">
        <f t="shared" si="12"/>
        <v>0.16452710298414286</v>
      </c>
      <c r="AI11" s="53"/>
      <c r="AJ11" s="53">
        <f t="shared" si="12"/>
        <v>1.069902719252684E-2</v>
      </c>
      <c r="AK11" s="53">
        <f t="shared" si="12"/>
        <v>0.90149313143361487</v>
      </c>
      <c r="AL11" s="53"/>
      <c r="AM11" s="53">
        <f t="shared" si="12"/>
        <v>0.60628913308722576</v>
      </c>
      <c r="AN11" s="53"/>
      <c r="AO11" s="53">
        <f t="shared" si="12"/>
        <v>0.69398016447961186</v>
      </c>
      <c r="AP11" s="53"/>
      <c r="AQ11" s="53">
        <f t="shared" si="12"/>
        <v>1.6525793596553526</v>
      </c>
      <c r="AR11" s="53"/>
      <c r="AS11" s="53">
        <f t="shared" si="12"/>
        <v>0.82945352176166465</v>
      </c>
      <c r="AT11" s="53"/>
      <c r="AU11" s="53">
        <f t="shared" si="12"/>
        <v>1.200300037769723</v>
      </c>
      <c r="AV11" s="53"/>
      <c r="AW11" s="53">
        <f t="shared" si="12"/>
        <v>0.45816919496931835</v>
      </c>
      <c r="AX11" s="53"/>
      <c r="AY11" s="53">
        <f t="shared" si="12"/>
        <v>3.7724349085967126</v>
      </c>
      <c r="AZ11" s="53"/>
      <c r="BA11" s="53">
        <f t="shared" si="14"/>
        <v>0.45888428126783531</v>
      </c>
      <c r="BB11" s="53"/>
      <c r="BC11" s="53">
        <f t="shared" si="12"/>
        <v>1</v>
      </c>
      <c r="BD11" s="53">
        <f t="shared" si="12"/>
        <v>1</v>
      </c>
      <c r="BE11" s="105">
        <f t="shared" si="15"/>
        <v>0.20030003776972305</v>
      </c>
      <c r="BG11" s="131" t="s">
        <v>164</v>
      </c>
      <c r="BH11" s="26" t="s">
        <v>165</v>
      </c>
      <c r="BI11" s="27">
        <f>AJ48</f>
        <v>33013</v>
      </c>
      <c r="BJ11" s="27">
        <f>AJ92</f>
        <v>369877</v>
      </c>
      <c r="BK11" s="27">
        <f>1000*(BJ11/BI11)/3.412</f>
        <v>3283.698783764497</v>
      </c>
      <c r="BL11" s="27">
        <f>$BK$11*AJ6</f>
        <v>15.727349031811862</v>
      </c>
      <c r="BM11" s="27">
        <f t="shared" si="16"/>
        <v>17.590394764141919</v>
      </c>
      <c r="BO11" s="26">
        <f t="shared" si="10"/>
        <v>1997</v>
      </c>
      <c r="BP11" s="29">
        <f t="shared" si="7"/>
        <v>1.0615686274509804</v>
      </c>
      <c r="BQ11" s="29">
        <f t="shared" si="7"/>
        <v>1.1337552742616035</v>
      </c>
      <c r="BR11" s="29">
        <f t="shared" si="7"/>
        <v>1.2030075187969924</v>
      </c>
      <c r="BS11" s="29">
        <f t="shared" si="7"/>
        <v>1.1050135501355012</v>
      </c>
      <c r="BT11" s="29">
        <f t="shared" si="7"/>
        <v>1.0602985074626867</v>
      </c>
      <c r="BU11" s="29">
        <f t="shared" si="7"/>
        <v>0.99929027679205107</v>
      </c>
      <c r="BV11" s="29">
        <f t="shared" si="7"/>
        <v>0.90183727034120731</v>
      </c>
      <c r="BW11" s="29">
        <f t="shared" si="7"/>
        <v>1.0395136778115504</v>
      </c>
      <c r="BX11" s="29">
        <f t="shared" si="7"/>
        <v>1.0228774783934926</v>
      </c>
      <c r="BZ11" s="26">
        <f t="shared" si="11"/>
        <v>1997</v>
      </c>
      <c r="CA11" s="29">
        <f t="shared" si="8"/>
        <v>0.73053278688524592</v>
      </c>
      <c r="CB11" s="29">
        <f t="shared" si="8"/>
        <v>0.77373974208675267</v>
      </c>
      <c r="CC11" s="29">
        <f t="shared" si="8"/>
        <v>0.60810810810810811</v>
      </c>
      <c r="CD11" s="29">
        <f t="shared" si="8"/>
        <v>0.61260053619302957</v>
      </c>
      <c r="CE11" s="29">
        <f t="shared" si="8"/>
        <v>0.6239837398373983</v>
      </c>
      <c r="CF11" s="29">
        <f t="shared" si="8"/>
        <v>0.597254004576659</v>
      </c>
      <c r="CG11" s="29">
        <f t="shared" si="8"/>
        <v>0.60809102402022752</v>
      </c>
      <c r="CH11" s="29">
        <f t="shared" si="8"/>
        <v>0.58951965065502177</v>
      </c>
      <c r="CI11" s="29">
        <f t="shared" si="8"/>
        <v>0.66351351351351351</v>
      </c>
    </row>
    <row r="12" spans="1:87" x14ac:dyDescent="0.2">
      <c r="A12" s="26">
        <v>2013</v>
      </c>
      <c r="B12" s="307">
        <v>7.6654421259684886</v>
      </c>
      <c r="C12" s="142">
        <v>3.4801530000000001</v>
      </c>
      <c r="D12" s="100">
        <f t="shared" si="0"/>
        <v>488.51412650213001</v>
      </c>
      <c r="E12" s="307">
        <v>12.901668223589098</v>
      </c>
      <c r="F12" s="142">
        <v>15.677279</v>
      </c>
      <c r="G12" s="307">
        <v>12.751851183406297</v>
      </c>
      <c r="H12" s="307">
        <v>10.005839215101393</v>
      </c>
      <c r="I12" s="307">
        <v>0.89972220862440766</v>
      </c>
      <c r="J12" s="308">
        <v>563.91505667829995</v>
      </c>
      <c r="K12" s="308">
        <v>462.02771229636926</v>
      </c>
      <c r="L12" s="100">
        <f t="shared" si="2"/>
        <v>330.64722634540823</v>
      </c>
      <c r="M12" s="100">
        <f t="shared" si="3"/>
        <v>363.84300670541199</v>
      </c>
      <c r="N12" s="100">
        <f t="shared" si="4"/>
        <v>91.878092906421344</v>
      </c>
      <c r="O12" s="100">
        <f t="shared" si="5"/>
        <v>815.86445548581162</v>
      </c>
      <c r="P12" s="100"/>
      <c r="Q12" s="100"/>
      <c r="R12" s="224">
        <f t="shared" si="6"/>
        <v>1573.9481557582549</v>
      </c>
      <c r="S12" s="101">
        <f t="shared" si="6"/>
        <v>4868.6296664538995</v>
      </c>
      <c r="T12" s="65"/>
      <c r="U12" s="8">
        <v>2011</v>
      </c>
      <c r="V12" s="53">
        <f t="shared" si="12"/>
        <v>0.32453725531108812</v>
      </c>
      <c r="W12" s="53">
        <f>V12/V11-1</f>
        <v>-9.0555334766899698E-3</v>
      </c>
      <c r="X12" s="53">
        <f t="shared" si="12"/>
        <v>0.16950491586341176</v>
      </c>
      <c r="Y12" s="53">
        <f>X12/X11-1</f>
        <v>3.0255275811600812E-2</v>
      </c>
      <c r="Z12" s="53">
        <f t="shared" si="12"/>
        <v>1.2737804952839712E-2</v>
      </c>
      <c r="AA12" s="53"/>
      <c r="AB12" s="53">
        <f t="shared" si="13"/>
        <v>0.14948706580582494</v>
      </c>
      <c r="AC12" s="53">
        <f>AB12/AB11-1</f>
        <v>-1.505647285193723E-2</v>
      </c>
      <c r="AD12" s="53">
        <f t="shared" si="12"/>
        <v>0.40230490660210949</v>
      </c>
      <c r="AE12" s="53">
        <f>AD12/AD11-1</f>
        <v>-1.7314605012320294E-2</v>
      </c>
      <c r="AF12" s="53">
        <f t="shared" si="12"/>
        <v>0.60661653894935763</v>
      </c>
      <c r="AG12" s="53">
        <f>AF12/AF11-1</f>
        <v>8.3744718244460614E-6</v>
      </c>
      <c r="AH12" s="53">
        <f t="shared" si="12"/>
        <v>0.16950491586341176</v>
      </c>
      <c r="AI12" s="53">
        <f>AH12/AH11-1</f>
        <v>3.0255275811600812E-2</v>
      </c>
      <c r="AJ12" s="53">
        <f t="shared" si="12"/>
        <v>1.2737804952839712E-2</v>
      </c>
      <c r="AK12" s="53">
        <f t="shared" si="12"/>
        <v>0.90266371315652061</v>
      </c>
      <c r="AL12" s="53">
        <f>AK12/AK11-1</f>
        <v>1.2984921150138717E-3</v>
      </c>
      <c r="AM12" s="53">
        <f t="shared" si="12"/>
        <v>0.61085151748229294</v>
      </c>
      <c r="AN12" s="53">
        <f>AM12/AM11-1</f>
        <v>7.5250967666788959E-3</v>
      </c>
      <c r="AO12" s="53">
        <f t="shared" si="12"/>
        <v>0.69671826029744488</v>
      </c>
      <c r="AP12" s="53">
        <f>AO12/AO11-1</f>
        <v>3.9454957907711918E-3</v>
      </c>
      <c r="AQ12" s="53">
        <f t="shared" si="12"/>
        <v>1.6555931168127229</v>
      </c>
      <c r="AR12" s="53">
        <f>AQ12/AQ11-1</f>
        <v>1.8236686424539794E-3</v>
      </c>
      <c r="AS12" s="53">
        <f t="shared" si="12"/>
        <v>0.83191935390288785</v>
      </c>
      <c r="AT12" s="53">
        <f>AS12/AS11-1</f>
        <v>2.9728394376891121E-3</v>
      </c>
      <c r="AU12" s="53">
        <f t="shared" si="12"/>
        <v>1.2007005513644642</v>
      </c>
      <c r="AV12" s="53"/>
      <c r="AW12" s="53">
        <f t="shared" si="12"/>
        <v>0.45853024511166551</v>
      </c>
      <c r="AX12" s="53">
        <f>AW12/AW11-1</f>
        <v>7.8802797375177036E-4</v>
      </c>
      <c r="AY12" s="53">
        <f t="shared" si="12"/>
        <v>3.7540896849627461</v>
      </c>
      <c r="AZ12" s="53"/>
      <c r="BA12" s="53">
        <f t="shared" si="14"/>
        <v>0.45539876728207929</v>
      </c>
      <c r="BB12" s="53">
        <f>BA12/BA11-1</f>
        <v>-7.595627324880283E-3</v>
      </c>
      <c r="BC12" s="53">
        <f t="shared" si="12"/>
        <v>1</v>
      </c>
      <c r="BD12" s="53">
        <f t="shared" si="12"/>
        <v>1</v>
      </c>
      <c r="BE12" s="105">
        <f t="shared" si="15"/>
        <v>0.20070055136446419</v>
      </c>
      <c r="BG12" s="14" t="s">
        <v>23</v>
      </c>
      <c r="BH12" s="26" t="s">
        <v>4</v>
      </c>
      <c r="BI12" s="27">
        <f>AD48</f>
        <v>3020635</v>
      </c>
      <c r="BJ12" s="27">
        <f>AD92</f>
        <v>9831042</v>
      </c>
      <c r="BK12" s="27">
        <f t="shared" si="9"/>
        <v>953.87678387562005</v>
      </c>
      <c r="BL12" s="27">
        <f>$BK$12*AD6</f>
        <v>418.02066330267024</v>
      </c>
      <c r="BM12" s="27">
        <f t="shared" si="16"/>
        <v>467.53896490687259</v>
      </c>
      <c r="BO12" s="26">
        <f t="shared" si="10"/>
        <v>1998</v>
      </c>
      <c r="BP12" s="29">
        <f t="shared" si="7"/>
        <v>1.0066666666666668</v>
      </c>
      <c r="BQ12" s="29">
        <f t="shared" si="7"/>
        <v>1.0945147679324896</v>
      </c>
      <c r="BR12" s="29">
        <f t="shared" si="7"/>
        <v>1.1835839598997493</v>
      </c>
      <c r="BS12" s="29">
        <f t="shared" si="7"/>
        <v>1.1016260162601628</v>
      </c>
      <c r="BT12" s="29">
        <f t="shared" si="7"/>
        <v>1.0352238805970149</v>
      </c>
      <c r="BU12" s="29">
        <f t="shared" si="7"/>
        <v>1.0163236337828248</v>
      </c>
      <c r="BV12" s="29">
        <f t="shared" si="7"/>
        <v>0.86876640419947504</v>
      </c>
      <c r="BW12" s="29">
        <f t="shared" si="7"/>
        <v>1.0297872340425533</v>
      </c>
      <c r="BX12" s="29">
        <f t="shared" si="7"/>
        <v>0.96136248093543464</v>
      </c>
      <c r="BZ12" s="26">
        <f t="shared" si="11"/>
        <v>1998</v>
      </c>
      <c r="CA12" s="29">
        <f t="shared" si="8"/>
        <v>0.72028688524590168</v>
      </c>
      <c r="CB12" s="29">
        <f t="shared" si="8"/>
        <v>0.74560375146541624</v>
      </c>
      <c r="CC12" s="29">
        <f t="shared" si="8"/>
        <v>0.57432432432432434</v>
      </c>
      <c r="CD12" s="29">
        <f t="shared" si="8"/>
        <v>0.579088471849866</v>
      </c>
      <c r="CE12" s="29">
        <f t="shared" si="8"/>
        <v>0.59857723577235766</v>
      </c>
      <c r="CF12" s="29">
        <f t="shared" si="8"/>
        <v>0.57093821510297482</v>
      </c>
      <c r="CG12" s="29">
        <f t="shared" si="8"/>
        <v>0.5802781289506953</v>
      </c>
      <c r="CH12" s="29">
        <f t="shared" si="8"/>
        <v>0.62299854439592428</v>
      </c>
      <c r="CI12" s="29">
        <f t="shared" si="8"/>
        <v>0.66891891891891886</v>
      </c>
    </row>
    <row r="13" spans="1:87" x14ac:dyDescent="0.2">
      <c r="A13" s="26">
        <v>2014</v>
      </c>
      <c r="B13" s="307">
        <v>7.7059003345348707</v>
      </c>
      <c r="C13" s="142">
        <v>3.495698</v>
      </c>
      <c r="D13" s="100">
        <f t="shared" si="0"/>
        <v>478.76667382776276</v>
      </c>
      <c r="E13" s="307">
        <v>12.996027578247961</v>
      </c>
      <c r="F13" s="142">
        <v>15.826098999999999</v>
      </c>
      <c r="G13" s="307">
        <v>12.878074814699044</v>
      </c>
      <c r="H13" s="307">
        <v>10.211785920877965</v>
      </c>
      <c r="I13" s="307">
        <v>0.90140245620864856</v>
      </c>
      <c r="J13" s="308">
        <v>545.67366719453264</v>
      </c>
      <c r="K13" s="308">
        <v>454.11836854776146</v>
      </c>
      <c r="L13" s="100">
        <f t="shared" si="2"/>
        <v>330.67242878060813</v>
      </c>
      <c r="M13" s="100">
        <f t="shared" si="3"/>
        <v>356.5337535473372</v>
      </c>
      <c r="N13" s="100">
        <f t="shared" si="4"/>
        <v>89.320606806414332</v>
      </c>
      <c r="O13" s="100">
        <f t="shared" si="5"/>
        <v>804.44644550360329</v>
      </c>
      <c r="P13" s="100"/>
      <c r="Q13" s="100"/>
      <c r="R13" s="101">
        <f t="shared" si="6"/>
        <v>1484.1432935859859</v>
      </c>
      <c r="S13" s="101">
        <f t="shared" si="6"/>
        <v>4963.2621415882741</v>
      </c>
      <c r="T13" s="65"/>
      <c r="U13" s="8">
        <v>2012</v>
      </c>
      <c r="V13" s="53">
        <f t="shared" si="12"/>
        <v>0.32244269209408755</v>
      </c>
      <c r="W13" s="53">
        <f t="shared" ref="W13:AA37" si="17">V13/V12-1</f>
        <v>-6.4539992950665148E-3</v>
      </c>
      <c r="X13" s="53">
        <f t="shared" si="12"/>
        <v>0.17304198415499772</v>
      </c>
      <c r="Y13" s="53">
        <f t="shared" si="17"/>
        <v>2.0867054348064684E-2</v>
      </c>
      <c r="Z13" s="53">
        <f t="shared" si="12"/>
        <v>1.4208288026699448E-2</v>
      </c>
      <c r="AA13" s="53"/>
      <c r="AB13" s="53">
        <f t="shared" si="13"/>
        <v>0.14784160358611095</v>
      </c>
      <c r="AC13" s="53">
        <f t="shared" ref="AC13:AE28" si="18">AB13/AB12-1</f>
        <v>-1.100738857133865E-2</v>
      </c>
      <c r="AD13" s="53">
        <f t="shared" si="12"/>
        <v>0.39701603249687406</v>
      </c>
      <c r="AE13" s="53">
        <f t="shared" si="18"/>
        <v>-1.31464320182062E-2</v>
      </c>
      <c r="AF13" s="53">
        <f t="shared" si="12"/>
        <v>0.60759638910857472</v>
      </c>
      <c r="AG13" s="53">
        <f t="shared" ref="AG13:AG43" si="19">AF13/AF12-1</f>
        <v>1.615271091873316E-3</v>
      </c>
      <c r="AH13" s="53">
        <f t="shared" si="12"/>
        <v>0.17304198415499772</v>
      </c>
      <c r="AI13" s="53">
        <f t="shared" ref="AI13:AI43" si="20">AH13/AH12-1</f>
        <v>2.0867054348064684E-2</v>
      </c>
      <c r="AJ13" s="53">
        <f t="shared" si="12"/>
        <v>1.4208288026699448E-2</v>
      </c>
      <c r="AK13" s="53">
        <f t="shared" si="12"/>
        <v>0.90349143371273066</v>
      </c>
      <c r="AL13" s="53">
        <f t="shared" ref="AL13:AL43" si="21">AK13/AK12-1</f>
        <v>9.1697555152148169E-4</v>
      </c>
      <c r="AM13" s="53">
        <f t="shared" si="12"/>
        <v>0.61458798166518991</v>
      </c>
      <c r="AN13" s="53">
        <f t="shared" ref="AN13:AN43" si="22">AM13/AM12-1</f>
        <v>6.1168124756361131E-3</v>
      </c>
      <c r="AO13" s="53">
        <f t="shared" si="12"/>
        <v>0.69907966277231337</v>
      </c>
      <c r="AP13" s="53">
        <f t="shared" ref="AP13:AR36" si="23">AO13/AO12-1</f>
        <v>3.3893219245615391E-3</v>
      </c>
      <c r="AQ13" s="53">
        <f t="shared" si="12"/>
        <v>1.658248784122887</v>
      </c>
      <c r="AR13" s="53">
        <f t="shared" si="23"/>
        <v>1.604057955542082E-3</v>
      </c>
      <c r="AS13" s="53">
        <f t="shared" si="12"/>
        <v>0.83389059752241834</v>
      </c>
      <c r="AT13" s="53">
        <f t="shared" ref="AT13:AT43" si="24">AS13/AS12-1</f>
        <v>2.3695128743941307E-3</v>
      </c>
      <c r="AU13" s="53">
        <f t="shared" si="12"/>
        <v>1.200983122615034</v>
      </c>
      <c r="AV13" s="53"/>
      <c r="AW13" s="53">
        <f t="shared" si="12"/>
        <v>0.4588289369658507</v>
      </c>
      <c r="AX13" s="53">
        <f t="shared" ref="AX13:AX43" si="25">AW13/AW12-1</f>
        <v>6.5141145512104259E-4</v>
      </c>
      <c r="AY13" s="53">
        <f t="shared" si="12"/>
        <v>3.7108112717206874</v>
      </c>
      <c r="AZ13" s="53"/>
      <c r="BA13" s="53">
        <f t="shared" si="14"/>
        <v>0.45288641151082759</v>
      </c>
      <c r="BB13" s="53">
        <f t="shared" ref="BB13:BB43" si="26">BA13/BA12-1</f>
        <v>-5.5168260253447565E-3</v>
      </c>
      <c r="BC13" s="53">
        <f t="shared" si="12"/>
        <v>1</v>
      </c>
      <c r="BD13" s="53">
        <f t="shared" si="12"/>
        <v>1</v>
      </c>
      <c r="BE13" s="105">
        <f t="shared" si="15"/>
        <v>0.20098312261503404</v>
      </c>
      <c r="BG13" s="14" t="s">
        <v>24</v>
      </c>
      <c r="BH13" s="26" t="s">
        <v>5</v>
      </c>
      <c r="BI13" s="27">
        <f>AO48</f>
        <v>4698168</v>
      </c>
      <c r="BJ13" s="27">
        <f>AO92</f>
        <v>47715975</v>
      </c>
      <c r="BK13" s="27">
        <f t="shared" si="9"/>
        <v>2976.6394783383407</v>
      </c>
      <c r="BL13" s="27">
        <f>$BK$13*AO6</f>
        <v>2028.9063478351156</v>
      </c>
      <c r="BM13" s="27">
        <f t="shared" si="16"/>
        <v>2269.2485253366031</v>
      </c>
      <c r="BO13" s="26">
        <f t="shared" si="10"/>
        <v>1999</v>
      </c>
      <c r="BP13" s="29">
        <f t="shared" si="7"/>
        <v>0.95764705882352952</v>
      </c>
      <c r="BQ13" s="29">
        <f t="shared" si="7"/>
        <v>1.0244725738396625</v>
      </c>
      <c r="BR13" s="29">
        <f t="shared" si="7"/>
        <v>1.1328320802005012</v>
      </c>
      <c r="BS13" s="29">
        <f t="shared" si="7"/>
        <v>1.0907859078590787</v>
      </c>
      <c r="BT13" s="29">
        <f t="shared" si="7"/>
        <v>1.008955223880597</v>
      </c>
      <c r="BU13" s="29">
        <f t="shared" si="7"/>
        <v>0.9971611071682045</v>
      </c>
      <c r="BV13" s="29">
        <f t="shared" si="7"/>
        <v>0.84619422572178482</v>
      </c>
      <c r="BW13" s="29">
        <f t="shared" si="7"/>
        <v>0.98905775075987845</v>
      </c>
      <c r="BX13" s="29">
        <f t="shared" si="7"/>
        <v>0.94509405185561757</v>
      </c>
      <c r="BZ13" s="26">
        <f t="shared" si="11"/>
        <v>1999</v>
      </c>
      <c r="CA13" s="29">
        <f t="shared" si="8"/>
        <v>0.70389344262295084</v>
      </c>
      <c r="CB13" s="29">
        <f t="shared" si="8"/>
        <v>0.7198124267291911</v>
      </c>
      <c r="CC13" s="29">
        <f t="shared" si="8"/>
        <v>0.55810810810810807</v>
      </c>
      <c r="CD13" s="29">
        <f t="shared" si="8"/>
        <v>0.57238605898123318</v>
      </c>
      <c r="CE13" s="29">
        <f t="shared" si="8"/>
        <v>0.55081300813008127</v>
      </c>
      <c r="CF13" s="29">
        <f t="shared" si="8"/>
        <v>0.54919908466819223</v>
      </c>
      <c r="CG13" s="29">
        <f t="shared" si="8"/>
        <v>0.5777496839443742</v>
      </c>
      <c r="CH13" s="29">
        <f t="shared" si="8"/>
        <v>0.62008733624454149</v>
      </c>
      <c r="CI13" s="29">
        <f t="shared" si="8"/>
        <v>0.63783783783783776</v>
      </c>
    </row>
    <row r="14" spans="1:87" x14ac:dyDescent="0.2">
      <c r="A14" s="26">
        <v>2015</v>
      </c>
      <c r="B14" s="307">
        <v>7.8387325465471704</v>
      </c>
      <c r="C14" s="142">
        <v>3.50861</v>
      </c>
      <c r="D14" s="100">
        <f t="shared" si="0"/>
        <v>469.20530508386429</v>
      </c>
      <c r="E14" s="307">
        <v>13.247079244027672</v>
      </c>
      <c r="F14" s="142">
        <v>15.950364</v>
      </c>
      <c r="G14" s="307">
        <v>13.138373175403679</v>
      </c>
      <c r="H14" s="307">
        <v>10.324847527955672</v>
      </c>
      <c r="I14" s="307">
        <v>0.91536854940737056</v>
      </c>
      <c r="J14" s="308">
        <v>534.21468321252462</v>
      </c>
      <c r="K14" s="308">
        <v>448.55981214949412</v>
      </c>
      <c r="L14" s="100">
        <f t="shared" si="2"/>
        <v>330.71056486493057</v>
      </c>
      <c r="M14" s="100">
        <f t="shared" si="3"/>
        <v>349.621366750763</v>
      </c>
      <c r="N14" s="100">
        <f t="shared" si="4"/>
        <v>86.671267163192766</v>
      </c>
      <c r="O14" s="100">
        <f t="shared" si="5"/>
        <v>789.97207818690231</v>
      </c>
      <c r="P14" s="100"/>
      <c r="Q14" s="100"/>
      <c r="R14" s="101">
        <f t="shared" si="6"/>
        <v>1432.8602460861189</v>
      </c>
      <c r="S14" s="101">
        <f t="shared" si="6"/>
        <v>5048.8818390060842</v>
      </c>
      <c r="T14" s="65"/>
      <c r="U14" s="8">
        <v>2013</v>
      </c>
      <c r="V14" s="53">
        <f t="shared" si="12"/>
        <v>0.32028757578300915</v>
      </c>
      <c r="W14" s="53">
        <f t="shared" si="17"/>
        <v>-6.6837188868573705E-3</v>
      </c>
      <c r="X14" s="53">
        <f t="shared" si="12"/>
        <v>0.17676923742357634</v>
      </c>
      <c r="Y14" s="53">
        <f t="shared" si="17"/>
        <v>2.1539589289730099E-2</v>
      </c>
      <c r="Z14" s="53">
        <f t="shared" si="12"/>
        <v>1.572797857242322E-2</v>
      </c>
      <c r="AA14" s="53"/>
      <c r="AB14" s="53">
        <f t="shared" si="13"/>
        <v>0.14610770275230303</v>
      </c>
      <c r="AC14" s="53">
        <f t="shared" si="18"/>
        <v>-1.1728098124950348E-2</v>
      </c>
      <c r="AD14" s="53">
        <f t="shared" si="12"/>
        <v>0.39148974077746557</v>
      </c>
      <c r="AE14" s="53">
        <f t="shared" si="18"/>
        <v>-1.3919568146034567E-2</v>
      </c>
      <c r="AF14" s="53">
        <f t="shared" si="12"/>
        <v>0.60837548264995689</v>
      </c>
      <c r="AG14" s="53">
        <f t="shared" si="19"/>
        <v>1.2822550550788403E-3</v>
      </c>
      <c r="AH14" s="53">
        <f t="shared" si="12"/>
        <v>0.17676923742357634</v>
      </c>
      <c r="AI14" s="53">
        <f t="shared" si="20"/>
        <v>2.1539589289730099E-2</v>
      </c>
      <c r="AJ14" s="53">
        <f t="shared" si="12"/>
        <v>1.572797857242322E-2</v>
      </c>
      <c r="AK14" s="53">
        <f t="shared" si="12"/>
        <v>0.904385919834515</v>
      </c>
      <c r="AL14" s="53">
        <f t="shared" si="21"/>
        <v>9.9003276445985833E-4</v>
      </c>
      <c r="AM14" s="53">
        <f t="shared" si="12"/>
        <v>0.61851192833682866</v>
      </c>
      <c r="AN14" s="53">
        <f t="shared" si="22"/>
        <v>6.3846784979542104E-3</v>
      </c>
      <c r="AO14" s="53">
        <f t="shared" si="12"/>
        <v>0.70138501232988693</v>
      </c>
      <c r="AP14" s="53">
        <f t="shared" si="23"/>
        <v>3.2976922092560201E-3</v>
      </c>
      <c r="AQ14" s="53">
        <f t="shared" si="12"/>
        <v>1.6609470237224395</v>
      </c>
      <c r="AR14" s="53">
        <f t="shared" si="23"/>
        <v>1.6271621154722027E-3</v>
      </c>
      <c r="AS14" s="53">
        <f t="shared" si="12"/>
        <v>0.83588891318965031</v>
      </c>
      <c r="AT14" s="53">
        <f t="shared" si="24"/>
        <v>2.3963763030416807E-3</v>
      </c>
      <c r="AU14" s="53">
        <f t="shared" si="12"/>
        <v>1.2012433884565898</v>
      </c>
      <c r="AV14" s="53"/>
      <c r="AW14" s="53">
        <f t="shared" si="12"/>
        <v>0.45910500491581957</v>
      </c>
      <c r="AX14" s="53">
        <f t="shared" si="25"/>
        <v>6.016794664138736E-4</v>
      </c>
      <c r="AY14" s="53">
        <f t="shared" si="12"/>
        <v>3.6523192892257792</v>
      </c>
      <c r="AZ14" s="53"/>
      <c r="BA14" s="53">
        <f t="shared" si="14"/>
        <v>0.45022114069521663</v>
      </c>
      <c r="BB14" s="53">
        <f t="shared" si="26"/>
        <v>-5.8850757008134247E-3</v>
      </c>
      <c r="BC14" s="53">
        <f t="shared" si="12"/>
        <v>1</v>
      </c>
      <c r="BD14" s="53">
        <f t="shared" si="12"/>
        <v>1</v>
      </c>
      <c r="BE14" s="105">
        <f t="shared" si="15"/>
        <v>0.20124338845658984</v>
      </c>
      <c r="BG14" s="14" t="s">
        <v>25</v>
      </c>
      <c r="BH14" s="26" t="s">
        <v>6</v>
      </c>
      <c r="BI14" s="310"/>
      <c r="BJ14" s="310"/>
      <c r="BK14" s="27">
        <f>L4</f>
        <v>331.40747338337758</v>
      </c>
      <c r="BL14" s="27">
        <f>$BK$14*AQ6</f>
        <v>547.23216496934344</v>
      </c>
      <c r="BM14" s="27">
        <f t="shared" si="16"/>
        <v>612.05672933029723</v>
      </c>
      <c r="BO14" s="26">
        <f>BO15-1</f>
        <v>2000</v>
      </c>
      <c r="BP14" s="29">
        <f t="shared" si="7"/>
        <v>0.93803921568627457</v>
      </c>
      <c r="BQ14" s="29">
        <f t="shared" si="7"/>
        <v>1.0291139240506331</v>
      </c>
      <c r="BR14" s="29">
        <f t="shared" si="7"/>
        <v>1.1027568922305764</v>
      </c>
      <c r="BS14" s="29">
        <f t="shared" si="7"/>
        <v>1.0670731707317074</v>
      </c>
      <c r="BT14" s="29">
        <f t="shared" si="7"/>
        <v>0.9850746268656716</v>
      </c>
      <c r="BU14" s="29">
        <f t="shared" si="7"/>
        <v>0.9772888573456352</v>
      </c>
      <c r="BV14" s="29">
        <f t="shared" si="7"/>
        <v>0.87349081364829395</v>
      </c>
      <c r="BW14" s="29">
        <f t="shared" si="7"/>
        <v>0.96534954407294837</v>
      </c>
      <c r="BX14" s="29">
        <f t="shared" si="7"/>
        <v>0.95017793594306044</v>
      </c>
      <c r="BZ14" s="26">
        <f>BZ15-1</f>
        <v>2000</v>
      </c>
      <c r="CA14" s="29">
        <f t="shared" si="8"/>
        <v>0.74590163934426235</v>
      </c>
      <c r="CB14" s="29">
        <f t="shared" si="8"/>
        <v>0.73505275498241496</v>
      </c>
      <c r="CC14" s="29">
        <f t="shared" si="8"/>
        <v>0.6527027027027027</v>
      </c>
      <c r="CD14" s="29">
        <f t="shared" si="8"/>
        <v>0.70911528150134051</v>
      </c>
      <c r="CE14" s="29">
        <f t="shared" si="8"/>
        <v>0.6707317073170731</v>
      </c>
      <c r="CF14" s="29">
        <f t="shared" si="8"/>
        <v>0.63958810068649885</v>
      </c>
      <c r="CG14" s="29">
        <f t="shared" si="8"/>
        <v>0.67888748419721867</v>
      </c>
      <c r="CH14" s="29">
        <f t="shared" si="8"/>
        <v>0.67831149927219803</v>
      </c>
      <c r="CI14" s="29">
        <f t="shared" si="8"/>
        <v>0.7675675675675675</v>
      </c>
    </row>
    <row r="15" spans="1:87" x14ac:dyDescent="0.2">
      <c r="A15" s="26">
        <v>2016</v>
      </c>
      <c r="B15" s="307">
        <v>7.9123995670631304</v>
      </c>
      <c r="C15" s="142">
        <v>3.5193159999999999</v>
      </c>
      <c r="D15" s="100">
        <f t="shared" si="0"/>
        <v>460.80141953108614</v>
      </c>
      <c r="E15" s="307">
        <v>13.392730273524553</v>
      </c>
      <c r="F15" s="142">
        <v>16.053467000000001</v>
      </c>
      <c r="G15" s="307">
        <v>13.311284566269569</v>
      </c>
      <c r="H15" s="307">
        <v>10.422133705949232</v>
      </c>
      <c r="I15" s="307">
        <v>0.92228773719655299</v>
      </c>
      <c r="J15" s="308">
        <v>523.74696086204528</v>
      </c>
      <c r="K15" s="308">
        <v>443.56034491393473</v>
      </c>
      <c r="L15" s="100">
        <f t="shared" si="2"/>
        <v>331.7408410556875</v>
      </c>
      <c r="M15" s="100">
        <f t="shared" si="3"/>
        <v>344.27768549243234</v>
      </c>
      <c r="N15" s="100">
        <f t="shared" si="4"/>
        <v>84.077648389412488</v>
      </c>
      <c r="O15" s="100">
        <f t="shared" si="5"/>
        <v>776.50114529808343</v>
      </c>
      <c r="P15" s="100"/>
      <c r="Q15" s="100"/>
      <c r="R15" s="101">
        <f t="shared" si="6"/>
        <v>1400.0557484766291</v>
      </c>
      <c r="S15" s="101">
        <f t="shared" si="6"/>
        <v>5166.1868630040572</v>
      </c>
      <c r="T15" s="65"/>
      <c r="U15" s="8">
        <v>2014</v>
      </c>
      <c r="V15" s="53">
        <f t="shared" si="12"/>
        <v>0.31838413299099927</v>
      </c>
      <c r="W15" s="53">
        <f t="shared" si="17"/>
        <v>-5.9429179772475527E-3</v>
      </c>
      <c r="X15" s="53">
        <f t="shared" si="12"/>
        <v>0.18020040937485918</v>
      </c>
      <c r="Y15" s="53">
        <f t="shared" si="17"/>
        <v>1.9410458523736462E-2</v>
      </c>
      <c r="Z15" s="53">
        <f t="shared" si="12"/>
        <v>1.7104685209836566E-2</v>
      </c>
      <c r="AA15" s="53"/>
      <c r="AB15" s="53">
        <f t="shared" si="13"/>
        <v>0.14450717280448686</v>
      </c>
      <c r="AC15" s="53">
        <f t="shared" si="18"/>
        <v>-1.0954452897870559E-2</v>
      </c>
      <c r="AD15" s="53">
        <f t="shared" si="12"/>
        <v>0.38633820713184008</v>
      </c>
      <c r="AE15" s="53">
        <f t="shared" si="18"/>
        <v>-1.3158796027183173E-2</v>
      </c>
      <c r="AF15" s="53">
        <f t="shared" si="12"/>
        <v>0.60932427587533644</v>
      </c>
      <c r="AG15" s="53">
        <f t="shared" si="19"/>
        <v>1.5595520405371488E-3</v>
      </c>
      <c r="AH15" s="53">
        <f t="shared" si="12"/>
        <v>0.18020040937485918</v>
      </c>
      <c r="AI15" s="53">
        <f t="shared" si="20"/>
        <v>1.9410458523736462E-2</v>
      </c>
      <c r="AJ15" s="53">
        <f t="shared" si="12"/>
        <v>1.7104685209836566E-2</v>
      </c>
      <c r="AK15" s="53">
        <f t="shared" si="12"/>
        <v>0.90521593077623153</v>
      </c>
      <c r="AL15" s="53">
        <f t="shared" si="21"/>
        <v>9.1776190176462435E-4</v>
      </c>
      <c r="AM15" s="53">
        <f t="shared" si="12"/>
        <v>0.62227723005373803</v>
      </c>
      <c r="AN15" s="53">
        <f t="shared" si="22"/>
        <v>6.0876784171879361E-3</v>
      </c>
      <c r="AO15" s="53">
        <f t="shared" si="12"/>
        <v>0.70357089765830316</v>
      </c>
      <c r="AP15" s="53">
        <f t="shared" si="23"/>
        <v>3.1165270001352052E-3</v>
      </c>
      <c r="AQ15" s="53">
        <f t="shared" si="12"/>
        <v>1.6635772743813806</v>
      </c>
      <c r="AR15" s="53">
        <f t="shared" si="23"/>
        <v>1.5835849195515728E-3</v>
      </c>
      <c r="AS15" s="53">
        <f t="shared" si="12"/>
        <v>0.83773674761562356</v>
      </c>
      <c r="AT15" s="53">
        <f t="shared" si="24"/>
        <v>2.2106220058861759E-3</v>
      </c>
      <c r="AU15" s="53">
        <f t="shared" si="12"/>
        <v>1.2014295160215167</v>
      </c>
      <c r="AV15" s="53"/>
      <c r="AW15" s="53">
        <f t="shared" si="12"/>
        <v>0.45931401796110333</v>
      </c>
      <c r="AX15" s="53">
        <f t="shared" si="25"/>
        <v>4.5526196196021829E-4</v>
      </c>
      <c r="AY15" s="53">
        <f t="shared" si="12"/>
        <v>3.5923687844607062</v>
      </c>
      <c r="AZ15" s="53"/>
      <c r="BA15" s="53">
        <f t="shared" si="14"/>
        <v>0.44771376316124029</v>
      </c>
      <c r="BB15" s="53">
        <f t="shared" si="26"/>
        <v>-5.5692132317566312E-3</v>
      </c>
      <c r="BC15" s="53">
        <f t="shared" si="12"/>
        <v>1</v>
      </c>
      <c r="BD15" s="53">
        <f t="shared" si="12"/>
        <v>1</v>
      </c>
      <c r="BE15" s="105">
        <f t="shared" si="15"/>
        <v>0.20142951602151671</v>
      </c>
      <c r="BG15" s="14" t="s">
        <v>26</v>
      </c>
      <c r="BH15" s="26" t="s">
        <v>7</v>
      </c>
      <c r="BI15" s="310"/>
      <c r="BJ15" s="310"/>
      <c r="BK15" s="27">
        <f>J4</f>
        <v>663.67878717866665</v>
      </c>
      <c r="BL15" s="27">
        <f>$BK$15*1</f>
        <v>663.67878717866665</v>
      </c>
      <c r="BM15" s="27">
        <f t="shared" si="16"/>
        <v>742.29749968960505</v>
      </c>
      <c r="BO15" s="28">
        <v>2001</v>
      </c>
      <c r="BP15" s="29">
        <f t="shared" si="7"/>
        <v>0.98078431372549024</v>
      </c>
      <c r="BQ15" s="29">
        <f t="shared" si="7"/>
        <v>1.0113924050632912</v>
      </c>
      <c r="BR15" s="29">
        <f t="shared" si="7"/>
        <v>1.0664160401002505</v>
      </c>
      <c r="BS15" s="29">
        <f t="shared" si="7"/>
        <v>1.0447154471544715</v>
      </c>
      <c r="BT15" s="29">
        <f t="shared" si="7"/>
        <v>1.0065671641791045</v>
      </c>
      <c r="BU15" s="29">
        <f t="shared" si="7"/>
        <v>0.96664300922640167</v>
      </c>
      <c r="BV15" s="29">
        <f t="shared" si="7"/>
        <v>0.92913385826771644</v>
      </c>
      <c r="BW15" s="29">
        <f t="shared" si="7"/>
        <v>0.99209726443769009</v>
      </c>
      <c r="BX15" s="29">
        <f t="shared" si="7"/>
        <v>1.0676156583629892</v>
      </c>
      <c r="BZ15" s="28">
        <v>2001</v>
      </c>
      <c r="CA15" s="29">
        <f t="shared" si="8"/>
        <v>0.89241803278688536</v>
      </c>
      <c r="CB15" s="29">
        <f t="shared" si="8"/>
        <v>0.86400937866354055</v>
      </c>
      <c r="CC15" s="29">
        <f t="shared" si="8"/>
        <v>0.78648648648648645</v>
      </c>
      <c r="CD15" s="29">
        <f t="shared" si="8"/>
        <v>0.86327077747989278</v>
      </c>
      <c r="CE15" s="29">
        <f t="shared" si="8"/>
        <v>0.80182926829268286</v>
      </c>
      <c r="CF15" s="29">
        <f t="shared" si="8"/>
        <v>0.83180778032036606</v>
      </c>
      <c r="CG15" s="29">
        <f t="shared" si="8"/>
        <v>0.82048040455120097</v>
      </c>
      <c r="CH15" s="29">
        <f t="shared" si="8"/>
        <v>0.85735080058224156</v>
      </c>
      <c r="CI15" s="29">
        <f t="shared" si="8"/>
        <v>0.95270270270270263</v>
      </c>
    </row>
    <row r="16" spans="1:87" x14ac:dyDescent="0.2">
      <c r="A16" s="26">
        <v>2017</v>
      </c>
      <c r="B16" s="307">
        <v>7.9798498222430796</v>
      </c>
      <c r="C16" s="142">
        <v>3.5227819999999999</v>
      </c>
      <c r="D16" s="100">
        <f t="shared" si="0"/>
        <v>448.9680588574933</v>
      </c>
      <c r="E16" s="307">
        <v>13.526187078456436</v>
      </c>
      <c r="F16" s="142">
        <v>16.093312999999998</v>
      </c>
      <c r="G16" s="307">
        <v>13.467351130942429</v>
      </c>
      <c r="H16" s="307">
        <v>10.509140481611231</v>
      </c>
      <c r="I16" s="307">
        <v>0.92886814738333401</v>
      </c>
      <c r="J16" s="308">
        <v>514.24394680031855</v>
      </c>
      <c r="K16" s="308">
        <v>439.13899391397274</v>
      </c>
      <c r="L16" s="100">
        <f t="shared" si="2"/>
        <v>330.71991389870954</v>
      </c>
      <c r="M16" s="100">
        <f t="shared" si="3"/>
        <v>337.58189096149357</v>
      </c>
      <c r="N16" s="100">
        <f t="shared" si="4"/>
        <v>81.013387467327419</v>
      </c>
      <c r="O16" s="100">
        <f t="shared" si="5"/>
        <v>756.07411269173133</v>
      </c>
      <c r="P16" s="100">
        <f t="shared" ref="P16:P41" si="27">1000*(AY104/AY60)/ 3.412</f>
        <v>219.01356061798984</v>
      </c>
      <c r="Q16" s="100">
        <f t="shared" ref="Q16:Q41" si="28">1000*(BA104/BA60)/ 3.412</f>
        <v>609.77760735319009</v>
      </c>
      <c r="R16" s="101">
        <f t="shared" si="6"/>
        <v>1365.1062828763347</v>
      </c>
      <c r="S16" s="101">
        <f t="shared" si="6"/>
        <v>5221.8571740841071</v>
      </c>
      <c r="T16" s="65"/>
      <c r="U16" s="8">
        <v>2015</v>
      </c>
      <c r="V16" s="53">
        <f t="shared" si="12"/>
        <v>0.31666149899483892</v>
      </c>
      <c r="W16" s="53">
        <f t="shared" si="17"/>
        <v>-5.4105522783983728E-3</v>
      </c>
      <c r="X16" s="53">
        <f t="shared" si="12"/>
        <v>0.183430825331447</v>
      </c>
      <c r="Y16" s="53">
        <f t="shared" si="17"/>
        <v>1.7926795881288982E-2</v>
      </c>
      <c r="Z16" s="53">
        <f t="shared" si="12"/>
        <v>1.8508759337164706E-2</v>
      </c>
      <c r="AA16" s="53"/>
      <c r="AB16" s="53">
        <f t="shared" si="13"/>
        <v>0.14291445484086329</v>
      </c>
      <c r="AC16" s="53">
        <f t="shared" si="18"/>
        <v>-1.1021722539534151E-2</v>
      </c>
      <c r="AD16" s="53">
        <f t="shared" si="12"/>
        <v>0.38111655332476974</v>
      </c>
      <c r="AE16" s="53">
        <f t="shared" si="18"/>
        <v>-1.3515758241556597E-2</v>
      </c>
      <c r="AF16" s="53">
        <f t="shared" si="12"/>
        <v>0.61039174332343027</v>
      </c>
      <c r="AG16" s="53">
        <f t="shared" si="19"/>
        <v>1.7518872796595808E-3</v>
      </c>
      <c r="AH16" s="53">
        <f t="shared" si="12"/>
        <v>0.183430825331447</v>
      </c>
      <c r="AI16" s="53">
        <f t="shared" si="20"/>
        <v>1.7926795881288982E-2</v>
      </c>
      <c r="AJ16" s="53">
        <f t="shared" si="12"/>
        <v>1.8508759337164706E-2</v>
      </c>
      <c r="AK16" s="53">
        <f t="shared" si="12"/>
        <v>0.90608774866863517</v>
      </c>
      <c r="AL16" s="53">
        <f t="shared" si="21"/>
        <v>9.6310489327788851E-4</v>
      </c>
      <c r="AM16" s="53">
        <f t="shared" si="12"/>
        <v>0.62614184645450577</v>
      </c>
      <c r="AN16" s="53">
        <f t="shared" si="22"/>
        <v>6.2104416072463753E-3</v>
      </c>
      <c r="AO16" s="53">
        <f t="shared" si="12"/>
        <v>0.70553583064409831</v>
      </c>
      <c r="AP16" s="53">
        <f t="shared" si="23"/>
        <v>2.7928002598387458E-3</v>
      </c>
      <c r="AQ16" s="53">
        <f t="shared" si="12"/>
        <v>1.6661425615677845</v>
      </c>
      <c r="AR16" s="53">
        <f t="shared" si="23"/>
        <v>1.5420306744440282E-3</v>
      </c>
      <c r="AS16" s="53">
        <f t="shared" si="12"/>
        <v>0.83960289332697913</v>
      </c>
      <c r="AT16" s="53">
        <f t="shared" si="24"/>
        <v>2.2276039778212908E-3</v>
      </c>
      <c r="AU16" s="53">
        <f t="shared" si="12"/>
        <v>1.2015307960331492</v>
      </c>
      <c r="AV16" s="53"/>
      <c r="AW16" s="53">
        <f t="shared" si="12"/>
        <v>0.45952432158964346</v>
      </c>
      <c r="AX16" s="53">
        <f t="shared" si="25"/>
        <v>4.5786459876340224E-4</v>
      </c>
      <c r="AY16" s="53">
        <f t="shared" si="12"/>
        <v>3.5405423867385979</v>
      </c>
      <c r="AZ16" s="53"/>
      <c r="BA16" s="53">
        <f t="shared" si="14"/>
        <v>0.44520818068244222</v>
      </c>
      <c r="BB16" s="53">
        <f t="shared" si="26"/>
        <v>-5.5963936893664856E-3</v>
      </c>
      <c r="BC16" s="53">
        <f t="shared" si="12"/>
        <v>1</v>
      </c>
      <c r="BD16" s="53">
        <f t="shared" si="12"/>
        <v>1</v>
      </c>
      <c r="BE16" s="105">
        <f t="shared" si="15"/>
        <v>0.20153079603314916</v>
      </c>
      <c r="BG16" s="14" t="s">
        <v>27</v>
      </c>
      <c r="BH16" s="26" t="s">
        <v>8</v>
      </c>
      <c r="BI16" s="310"/>
      <c r="BJ16" s="310"/>
      <c r="BK16" s="27">
        <f>BK15*0.9</f>
        <v>597.31090846079996</v>
      </c>
      <c r="BL16" s="27">
        <f>$BK$16*BE6</f>
        <v>120.30477282846719</v>
      </c>
      <c r="BM16" s="27">
        <f t="shared" si="16"/>
        <v>134.5559535674243</v>
      </c>
      <c r="BO16" s="28">
        <v>2002</v>
      </c>
      <c r="BP16" s="29">
        <f t="shared" si="7"/>
        <v>0.90313725490196084</v>
      </c>
      <c r="BQ16" s="29">
        <f t="shared" si="7"/>
        <v>0.98438818565400843</v>
      </c>
      <c r="BR16" s="29">
        <f t="shared" si="7"/>
        <v>1.0407268170426065</v>
      </c>
      <c r="BS16" s="29">
        <f t="shared" si="7"/>
        <v>1.0291327913279134</v>
      </c>
      <c r="BT16" s="29">
        <f t="shared" si="7"/>
        <v>0.97194029850746277</v>
      </c>
      <c r="BU16" s="29">
        <f t="shared" si="7"/>
        <v>0.96025550035486151</v>
      </c>
      <c r="BV16" s="29">
        <f t="shared" si="7"/>
        <v>0.83254593175853009</v>
      </c>
      <c r="BW16" s="29">
        <f t="shared" si="7"/>
        <v>0.98601823708206682</v>
      </c>
      <c r="BX16" s="29">
        <f t="shared" si="7"/>
        <v>1.0955770208439246</v>
      </c>
      <c r="BZ16" s="28">
        <v>2002</v>
      </c>
      <c r="CA16" s="29">
        <f t="shared" si="8"/>
        <v>0.73463114754098358</v>
      </c>
      <c r="CB16" s="29">
        <f t="shared" si="8"/>
        <v>0.72567409144196959</v>
      </c>
      <c r="CC16" s="29">
        <f t="shared" si="8"/>
        <v>0.56486486486486476</v>
      </c>
      <c r="CD16" s="29">
        <f t="shared" si="8"/>
        <v>0.64611260053619302</v>
      </c>
      <c r="CE16" s="29">
        <f t="shared" si="8"/>
        <v>0.68089430894308944</v>
      </c>
      <c r="CF16" s="29">
        <f t="shared" si="8"/>
        <v>0.66132723112128144</v>
      </c>
      <c r="CG16" s="29">
        <f t="shared" si="8"/>
        <v>0.66118836915297097</v>
      </c>
      <c r="CH16" s="29">
        <f t="shared" si="8"/>
        <v>0.69723435225618635</v>
      </c>
      <c r="CI16" s="29">
        <f t="shared" si="8"/>
        <v>0.69324324324324316</v>
      </c>
    </row>
    <row r="17" spans="1:87" x14ac:dyDescent="0.2">
      <c r="A17" s="26">
        <v>2018</v>
      </c>
      <c r="B17" s="307">
        <v>8.0406899700096481</v>
      </c>
      <c r="C17" s="142">
        <v>3.5268039999999998</v>
      </c>
      <c r="D17" s="100">
        <f t="shared" si="0"/>
        <v>438.64933343630025</v>
      </c>
      <c r="E17" s="307">
        <v>13.645944257636755</v>
      </c>
      <c r="F17" s="142">
        <v>16.138203000000001</v>
      </c>
      <c r="G17" s="307">
        <v>13.60481137872558</v>
      </c>
      <c r="H17" s="307">
        <v>10.592155525540097</v>
      </c>
      <c r="I17" s="307">
        <v>0.93537774623941372</v>
      </c>
      <c r="J17" s="308">
        <v>505.45953644476799</v>
      </c>
      <c r="K17" s="308">
        <v>435.22116351054132</v>
      </c>
      <c r="L17" s="100">
        <f t="shared" si="2"/>
        <v>330.60680978363189</v>
      </c>
      <c r="M17" s="100">
        <f t="shared" si="3"/>
        <v>332.74292029568323</v>
      </c>
      <c r="N17" s="100">
        <f t="shared" si="4"/>
        <v>78.092325966999098</v>
      </c>
      <c r="O17" s="100">
        <f t="shared" si="5"/>
        <v>738.97511995197067</v>
      </c>
      <c r="P17" s="100">
        <f t="shared" si="27"/>
        <v>217.5062407325257</v>
      </c>
      <c r="Q17" s="100">
        <f t="shared" si="28"/>
        <v>617.5355605659513</v>
      </c>
      <c r="R17" s="101">
        <f t="shared" si="6"/>
        <v>1340.8743680735377</v>
      </c>
      <c r="S17" s="101">
        <f t="shared" si="6"/>
        <v>5287.8620929867147</v>
      </c>
      <c r="T17" s="65"/>
      <c r="U17" s="8">
        <v>2016</v>
      </c>
      <c r="V17" s="53">
        <f t="shared" si="12"/>
        <v>0.31517011434778169</v>
      </c>
      <c r="W17" s="53">
        <f t="shared" si="17"/>
        <v>-4.7097125851777166E-3</v>
      </c>
      <c r="X17" s="53">
        <f t="shared" si="12"/>
        <v>0.18646530547676829</v>
      </c>
      <c r="Y17" s="53">
        <f t="shared" si="17"/>
        <v>1.6542912783814812E-2</v>
      </c>
      <c r="Z17" s="53">
        <f t="shared" si="12"/>
        <v>1.989195343553897E-2</v>
      </c>
      <c r="AA17" s="53"/>
      <c r="AB17" s="53">
        <f t="shared" si="13"/>
        <v>0.14134804781306495</v>
      </c>
      <c r="AC17" s="53">
        <f t="shared" si="18"/>
        <v>-1.0960452037847013E-2</v>
      </c>
      <c r="AD17" s="53">
        <f t="shared" si="12"/>
        <v>0.37587580835199624</v>
      </c>
      <c r="AE17" s="53">
        <f t="shared" si="18"/>
        <v>-1.3751029513293211E-2</v>
      </c>
      <c r="AF17" s="53">
        <f t="shared" si="12"/>
        <v>0.6115950333075677</v>
      </c>
      <c r="AG17" s="53">
        <f t="shared" si="19"/>
        <v>1.9713405322061561E-3</v>
      </c>
      <c r="AH17" s="53">
        <f t="shared" si="12"/>
        <v>0.18646530547676829</v>
      </c>
      <c r="AI17" s="53">
        <f t="shared" si="20"/>
        <v>1.6542912783814812E-2</v>
      </c>
      <c r="AJ17" s="53">
        <f t="shared" si="12"/>
        <v>1.989195343553897E-2</v>
      </c>
      <c r="AK17" s="53">
        <f t="shared" si="12"/>
        <v>0.90698879589611403</v>
      </c>
      <c r="AL17" s="53">
        <f t="shared" si="21"/>
        <v>9.9443704961554857E-4</v>
      </c>
      <c r="AM17" s="53">
        <f t="shared" si="12"/>
        <v>0.63006273176548888</v>
      </c>
      <c r="AN17" s="53">
        <f t="shared" si="22"/>
        <v>6.2619761531430562E-3</v>
      </c>
      <c r="AO17" s="53">
        <f t="shared" si="12"/>
        <v>0.70741533169215987</v>
      </c>
      <c r="AP17" s="53">
        <f t="shared" si="23"/>
        <v>2.6639342276149058E-3</v>
      </c>
      <c r="AQ17" s="53">
        <f t="shared" si="12"/>
        <v>1.6673049889662566</v>
      </c>
      <c r="AR17" s="53">
        <f t="shared" si="23"/>
        <v>6.9767583235980091E-4</v>
      </c>
      <c r="AS17" s="53">
        <f t="shared" si="12"/>
        <v>0.84144542304658299</v>
      </c>
      <c r="AT17" s="53">
        <f t="shared" si="24"/>
        <v>2.1945252145365579E-3</v>
      </c>
      <c r="AU17" s="53">
        <f t="shared" si="12"/>
        <v>1.2015255982320614</v>
      </c>
      <c r="AV17" s="53"/>
      <c r="AW17" s="53">
        <f t="shared" si="12"/>
        <v>0.45970686377678349</v>
      </c>
      <c r="AX17" s="53">
        <f t="shared" si="25"/>
        <v>3.9724162261656204E-4</v>
      </c>
      <c r="AY17" s="53">
        <f t="shared" si="12"/>
        <v>3.502217197825948</v>
      </c>
      <c r="AZ17" s="53"/>
      <c r="BA17" s="53">
        <f t="shared" si="14"/>
        <v>0.44269185777978121</v>
      </c>
      <c r="BB17" s="53">
        <f t="shared" si="26"/>
        <v>-5.6520140730653701E-3</v>
      </c>
      <c r="BC17" s="53">
        <f t="shared" si="12"/>
        <v>1</v>
      </c>
      <c r="BD17" s="53">
        <f t="shared" si="12"/>
        <v>1</v>
      </c>
      <c r="BE17" s="105">
        <f t="shared" si="15"/>
        <v>0.2015255982320614</v>
      </c>
      <c r="BG17" s="14" t="s">
        <v>28</v>
      </c>
      <c r="BH17" s="26" t="s">
        <v>9</v>
      </c>
      <c r="BI17" s="310"/>
      <c r="BJ17" s="310"/>
      <c r="BK17" s="27">
        <f>K4</f>
        <v>530.58146271893293</v>
      </c>
      <c r="BL17" s="27">
        <f>$BK$17*AW6</f>
        <v>243.3061855955342</v>
      </c>
      <c r="BM17" s="27">
        <f t="shared" si="16"/>
        <v>272.12798829135977</v>
      </c>
      <c r="BO17" s="28">
        <v>2003</v>
      </c>
      <c r="BP17" s="29">
        <f t="shared" si="7"/>
        <v>0.92352941176470593</v>
      </c>
      <c r="BQ17" s="29">
        <f t="shared" si="7"/>
        <v>0.98902953586497899</v>
      </c>
      <c r="BR17" s="29">
        <f t="shared" si="7"/>
        <v>1.0294486215538847</v>
      </c>
      <c r="BS17" s="29">
        <f t="shared" si="7"/>
        <v>1.0142276422764229</v>
      </c>
      <c r="BT17" s="29">
        <f t="shared" si="7"/>
        <v>0.97492537313432825</v>
      </c>
      <c r="BU17" s="29">
        <f t="shared" si="7"/>
        <v>0.97019162526614622</v>
      </c>
      <c r="BV17" s="29">
        <f t="shared" si="7"/>
        <v>0.91181102362204725</v>
      </c>
      <c r="BW17" s="29">
        <f t="shared" si="7"/>
        <v>0.98358662613981762</v>
      </c>
      <c r="BX17" s="29">
        <f t="shared" si="7"/>
        <v>1.0371123538383322</v>
      </c>
      <c r="BZ17" s="28">
        <v>2003</v>
      </c>
      <c r="CA17" s="29">
        <f t="shared" si="8"/>
        <v>0.85143442622950827</v>
      </c>
      <c r="CB17" s="29">
        <f t="shared" si="8"/>
        <v>0.87690504103165312</v>
      </c>
      <c r="CC17" s="29">
        <f t="shared" si="8"/>
        <v>0.7743243243243243</v>
      </c>
      <c r="CD17" s="29">
        <f t="shared" si="8"/>
        <v>0.79356568364611257</v>
      </c>
      <c r="CE17" s="29">
        <f t="shared" si="8"/>
        <v>0.78760162601626016</v>
      </c>
      <c r="CF17" s="29">
        <f t="shared" si="8"/>
        <v>0.76659038901601828</v>
      </c>
      <c r="CG17" s="29">
        <f t="shared" si="8"/>
        <v>0.79646017699115046</v>
      </c>
      <c r="CH17" s="29">
        <f t="shared" si="8"/>
        <v>0.75400291120815133</v>
      </c>
      <c r="CI17" s="29">
        <f t="shared" si="8"/>
        <v>0.81216216216216208</v>
      </c>
    </row>
    <row r="18" spans="1:87" x14ac:dyDescent="0.2">
      <c r="A18" s="26">
        <v>2019</v>
      </c>
      <c r="B18" s="307">
        <v>8.097919671547853</v>
      </c>
      <c r="C18" s="142">
        <v>3.5309159999999999</v>
      </c>
      <c r="D18" s="100">
        <f t="shared" si="0"/>
        <v>428.49068464517916</v>
      </c>
      <c r="E18" s="307">
        <v>13.757258943764725</v>
      </c>
      <c r="F18" s="142">
        <v>16.182312</v>
      </c>
      <c r="G18" s="307">
        <v>13.730995849146662</v>
      </c>
      <c r="H18" s="307">
        <v>10.669701489609984</v>
      </c>
      <c r="I18" s="307">
        <v>0.94157686041445254</v>
      </c>
      <c r="J18" s="308">
        <v>497.34026418637325</v>
      </c>
      <c r="K18" s="308">
        <v>431.67782190624621</v>
      </c>
      <c r="L18" s="100">
        <f t="shared" si="2"/>
        <v>330.55294722110727</v>
      </c>
      <c r="M18" s="100">
        <f t="shared" si="3"/>
        <v>328.78692724967812</v>
      </c>
      <c r="N18" s="100">
        <f t="shared" si="4"/>
        <v>75.547186339676443</v>
      </c>
      <c r="O18" s="100">
        <f t="shared" si="5"/>
        <v>724.24061724552689</v>
      </c>
      <c r="P18" s="100">
        <f t="shared" si="27"/>
        <v>216.24502078549645</v>
      </c>
      <c r="Q18" s="100">
        <f t="shared" si="28"/>
        <v>624.34485359478913</v>
      </c>
      <c r="R18" s="101">
        <f t="shared" si="6"/>
        <v>1321.9903250769321</v>
      </c>
      <c r="S18" s="101">
        <f t="shared" si="6"/>
        <v>5356.4103957635853</v>
      </c>
      <c r="T18" s="65"/>
      <c r="U18" s="8">
        <v>2017</v>
      </c>
      <c r="V18" s="53">
        <f t="shared" si="12"/>
        <v>0.31387735173926712</v>
      </c>
      <c r="W18" s="53">
        <f t="shared" si="17"/>
        <v>-4.1017931258801044E-3</v>
      </c>
      <c r="X18" s="53">
        <f t="shared" si="12"/>
        <v>0.1893692460966141</v>
      </c>
      <c r="Y18" s="53">
        <f t="shared" si="17"/>
        <v>1.5573624339502823E-2</v>
      </c>
      <c r="Z18" s="53">
        <f t="shared" si="12"/>
        <v>2.1014463959570732E-2</v>
      </c>
      <c r="AA18" s="53"/>
      <c r="AB18" s="53">
        <f t="shared" si="13"/>
        <v>0.13983549906515974</v>
      </c>
      <c r="AC18" s="53">
        <f t="shared" si="18"/>
        <v>-1.0700881768848869E-2</v>
      </c>
      <c r="AD18" s="53">
        <f t="shared" si="12"/>
        <v>0.37076772829425786</v>
      </c>
      <c r="AE18" s="53">
        <f t="shared" si="18"/>
        <v>-1.3589807974432988E-2</v>
      </c>
      <c r="AF18" s="53">
        <f t="shared" si="12"/>
        <v>0.61298151288980585</v>
      </c>
      <c r="AG18" s="53">
        <f t="shared" si="19"/>
        <v>2.2669896037905701E-3</v>
      </c>
      <c r="AH18" s="53">
        <f t="shared" si="12"/>
        <v>0.1893692460966141</v>
      </c>
      <c r="AI18" s="53">
        <f t="shared" si="20"/>
        <v>1.5573624339502823E-2</v>
      </c>
      <c r="AJ18" s="53">
        <f t="shared" si="12"/>
        <v>2.1014463959570732E-2</v>
      </c>
      <c r="AK18" s="53">
        <f t="shared" si="12"/>
        <v>0.90788285993316775</v>
      </c>
      <c r="AL18" s="53">
        <f t="shared" si="21"/>
        <v>9.8574981421939434E-4</v>
      </c>
      <c r="AM18" s="53">
        <f t="shared" si="12"/>
        <v>0.63395624105698778</v>
      </c>
      <c r="AN18" s="53">
        <f t="shared" si="22"/>
        <v>6.179558153819098E-3</v>
      </c>
      <c r="AO18" s="53">
        <f t="shared" si="12"/>
        <v>0.70923392933087681</v>
      </c>
      <c r="AP18" s="53">
        <f t="shared" si="23"/>
        <v>2.5707636762222208E-3</v>
      </c>
      <c r="AQ18" s="53">
        <f t="shared" si="12"/>
        <v>1.668402451973787</v>
      </c>
      <c r="AR18" s="53">
        <f t="shared" si="23"/>
        <v>6.5822570842954953E-4</v>
      </c>
      <c r="AS18" s="53">
        <f t="shared" si="12"/>
        <v>0.84321436594461618</v>
      </c>
      <c r="AT18" s="53">
        <f t="shared" si="24"/>
        <v>2.1022669439789698E-3</v>
      </c>
      <c r="AU18" s="53">
        <f t="shared" si="12"/>
        <v>1.2014533857845793</v>
      </c>
      <c r="AV18" s="53"/>
      <c r="AW18" s="53">
        <f t="shared" si="12"/>
        <v>0.45984029358849221</v>
      </c>
      <c r="AX18" s="53">
        <f t="shared" si="25"/>
        <v>2.902497705004059E-4</v>
      </c>
      <c r="AY18" s="53">
        <f t="shared" si="12"/>
        <v>3.4787727593963673</v>
      </c>
      <c r="AZ18" s="53"/>
      <c r="BA18" s="53">
        <f t="shared" si="14"/>
        <v>0.44011586589865115</v>
      </c>
      <c r="BB18" s="53">
        <f t="shared" si="26"/>
        <v>-5.8189276262033962E-3</v>
      </c>
      <c r="BC18" s="53">
        <f t="shared" si="12"/>
        <v>1</v>
      </c>
      <c r="BD18" s="53">
        <f t="shared" si="12"/>
        <v>1</v>
      </c>
      <c r="BE18" s="105">
        <f t="shared" si="15"/>
        <v>0.20145338578457928</v>
      </c>
      <c r="BG18" s="14" t="s">
        <v>29</v>
      </c>
      <c r="BH18" s="26" t="s">
        <v>10</v>
      </c>
      <c r="BI18" s="310"/>
      <c r="BJ18" s="310"/>
      <c r="BK18" s="27">
        <f>M4</f>
        <v>434.05618224643769</v>
      </c>
      <c r="BL18" s="27">
        <f>$BK$18*AM6</f>
        <v>256.27206213364155</v>
      </c>
      <c r="BM18" s="27">
        <f t="shared" si="16"/>
        <v>286.62978934550466</v>
      </c>
      <c r="BO18" s="28">
        <v>2004</v>
      </c>
      <c r="BP18" s="29">
        <f t="shared" si="7"/>
        <v>0.915686274509804</v>
      </c>
      <c r="BQ18" s="29">
        <f t="shared" si="7"/>
        <v>0.9776371308016879</v>
      </c>
      <c r="BR18" s="29">
        <f t="shared" si="7"/>
        <v>1.0181704260651629</v>
      </c>
      <c r="BS18" s="29">
        <f t="shared" si="7"/>
        <v>1.0060975609756098</v>
      </c>
      <c r="BT18" s="29">
        <f t="shared" si="7"/>
        <v>0.97552238805970148</v>
      </c>
      <c r="BU18" s="29">
        <f t="shared" si="7"/>
        <v>0.99148332150461327</v>
      </c>
      <c r="BV18" s="29">
        <f t="shared" si="7"/>
        <v>0.93175853018372701</v>
      </c>
      <c r="BW18" s="29">
        <f t="shared" si="7"/>
        <v>0.98237082066869308</v>
      </c>
      <c r="BX18" s="29">
        <f t="shared" si="7"/>
        <v>1.0081342145399084</v>
      </c>
      <c r="BZ18" s="28">
        <v>2004</v>
      </c>
      <c r="CA18" s="29">
        <f t="shared" si="8"/>
        <v>0.94569672131147542</v>
      </c>
      <c r="CB18" s="29">
        <f t="shared" si="8"/>
        <v>0.93200468933177028</v>
      </c>
      <c r="CC18" s="29">
        <f t="shared" si="8"/>
        <v>0.84189189189189195</v>
      </c>
      <c r="CD18" s="29">
        <f t="shared" si="8"/>
        <v>0.88471849865951735</v>
      </c>
      <c r="CE18" s="29">
        <f t="shared" si="8"/>
        <v>0.86788617886178854</v>
      </c>
      <c r="CF18" s="29">
        <f t="shared" si="8"/>
        <v>0.84668192219679639</v>
      </c>
      <c r="CG18" s="29">
        <f t="shared" si="8"/>
        <v>0.87357774968394442</v>
      </c>
      <c r="CH18" s="29">
        <f t="shared" si="8"/>
        <v>0.87190684133915575</v>
      </c>
      <c r="CI18" s="29">
        <f t="shared" si="8"/>
        <v>0.86486486486486491</v>
      </c>
    </row>
    <row r="19" spans="1:87" x14ac:dyDescent="0.2">
      <c r="A19" s="26">
        <v>2020</v>
      </c>
      <c r="B19" s="307">
        <v>8.1442056963501859</v>
      </c>
      <c r="C19" s="142">
        <v>3.5525690000000001</v>
      </c>
      <c r="D19" s="100">
        <f t="shared" si="0"/>
        <v>419.96632373958204</v>
      </c>
      <c r="E19" s="307">
        <v>13.854035504868611</v>
      </c>
      <c r="F19" s="142">
        <v>16.343616000000001</v>
      </c>
      <c r="G19" s="307">
        <v>13.856800920134059</v>
      </c>
      <c r="H19" s="307">
        <v>10.73640826694389</v>
      </c>
      <c r="I19" s="307">
        <v>0.9476431484775153</v>
      </c>
      <c r="J19" s="308">
        <v>489.66660590760102</v>
      </c>
      <c r="K19" s="308">
        <v>428.54515812200174</v>
      </c>
      <c r="L19" s="100">
        <f t="shared" si="2"/>
        <v>331.47817747684871</v>
      </c>
      <c r="M19" s="100">
        <f t="shared" si="3"/>
        <v>326.45875537598249</v>
      </c>
      <c r="N19" s="100">
        <f t="shared" si="4"/>
        <v>73.557104440479094</v>
      </c>
      <c r="O19" s="100">
        <f t="shared" si="5"/>
        <v>714.10506721254205</v>
      </c>
      <c r="P19" s="100">
        <f t="shared" si="27"/>
        <v>215.98241467192588</v>
      </c>
      <c r="Q19" s="100">
        <f t="shared" si="28"/>
        <v>632.1738356474624</v>
      </c>
      <c r="R19" s="101">
        <f t="shared" si="6"/>
        <v>1269.755719250777</v>
      </c>
      <c r="S19" s="101">
        <f t="shared" si="6"/>
        <v>5460.8604459210665</v>
      </c>
      <c r="T19" s="65"/>
      <c r="U19" s="8">
        <v>2018</v>
      </c>
      <c r="V19" s="53">
        <f t="shared" si="12"/>
        <v>0.31271914155876568</v>
      </c>
      <c r="W19" s="53">
        <f t="shared" si="17"/>
        <v>-3.6900087696150052E-3</v>
      </c>
      <c r="X19" s="53">
        <f t="shared" si="12"/>
        <v>0.19215173292927817</v>
      </c>
      <c r="Y19" s="53">
        <f t="shared" si="17"/>
        <v>1.4693446216945238E-2</v>
      </c>
      <c r="Z19" s="53">
        <f t="shared" si="12"/>
        <v>2.2008539311171943E-2</v>
      </c>
      <c r="AA19" s="53"/>
      <c r="AB19" s="53">
        <f t="shared" si="13"/>
        <v>0.13837281268097201</v>
      </c>
      <c r="AC19" s="53">
        <f t="shared" si="18"/>
        <v>-1.046005051625809E-2</v>
      </c>
      <c r="AD19" s="53">
        <f t="shared" si="12"/>
        <v>0.36581692747879901</v>
      </c>
      <c r="AE19" s="53">
        <f t="shared" si="18"/>
        <v>-1.3352836392302336E-2</v>
      </c>
      <c r="AF19" s="53">
        <f t="shared" si="12"/>
        <v>0.6144966973275735</v>
      </c>
      <c r="AG19" s="53">
        <f t="shared" si="19"/>
        <v>2.4718272996921975E-3</v>
      </c>
      <c r="AH19" s="53">
        <f t="shared" si="12"/>
        <v>0.19215173292927817</v>
      </c>
      <c r="AI19" s="53">
        <f t="shared" si="20"/>
        <v>1.4693446216945238E-2</v>
      </c>
      <c r="AJ19" s="53">
        <f t="shared" si="12"/>
        <v>2.2008539311171943E-2</v>
      </c>
      <c r="AK19" s="53">
        <f t="shared" si="12"/>
        <v>0.90876662471702851</v>
      </c>
      <c r="AL19" s="53">
        <f t="shared" si="21"/>
        <v>9.7343481506606544E-4</v>
      </c>
      <c r="AM19" s="53">
        <f t="shared" si="12"/>
        <v>0.63782758009456941</v>
      </c>
      <c r="AN19" s="53">
        <f t="shared" si="22"/>
        <v>6.1066344754758806E-3</v>
      </c>
      <c r="AO19" s="53">
        <f t="shared" si="12"/>
        <v>0.71088497523662186</v>
      </c>
      <c r="AP19" s="53">
        <f t="shared" si="23"/>
        <v>2.3279285401682781E-3</v>
      </c>
      <c r="AQ19" s="53">
        <f t="shared" si="12"/>
        <v>1.6695231175365397</v>
      </c>
      <c r="AR19" s="53">
        <f t="shared" si="23"/>
        <v>6.7169978168446498E-4</v>
      </c>
      <c r="AS19" s="53">
        <f t="shared" si="12"/>
        <v>0.84492219722815065</v>
      </c>
      <c r="AT19" s="53">
        <f t="shared" si="24"/>
        <v>2.0253821003408667E-3</v>
      </c>
      <c r="AU19" s="53">
        <f t="shared" si="12"/>
        <v>1.2013518907053482</v>
      </c>
      <c r="AV19" s="53"/>
      <c r="AW19" s="53">
        <f t="shared" si="12"/>
        <v>0.45994338424468345</v>
      </c>
      <c r="AX19" s="53">
        <f t="shared" si="25"/>
        <v>2.2418795749001852E-4</v>
      </c>
      <c r="AY19" s="53">
        <f t="shared" si="12"/>
        <v>3.4687113224618007</v>
      </c>
      <c r="AZ19" s="53"/>
      <c r="BA19" s="53">
        <f t="shared" si="14"/>
        <v>0.43762337634807702</v>
      </c>
      <c r="BB19" s="53">
        <f t="shared" si="26"/>
        <v>-5.6632576639445986E-3</v>
      </c>
      <c r="BC19" s="53">
        <f t="shared" si="12"/>
        <v>1</v>
      </c>
      <c r="BD19" s="53">
        <f t="shared" si="12"/>
        <v>1</v>
      </c>
      <c r="BE19" s="105">
        <f t="shared" si="15"/>
        <v>0.2013518907053482</v>
      </c>
      <c r="BG19" s="14" t="s">
        <v>30</v>
      </c>
      <c r="BH19" s="26" t="s">
        <v>11</v>
      </c>
      <c r="BI19" s="310"/>
      <c r="BJ19" s="310"/>
      <c r="BK19" s="27">
        <f>N4</f>
        <v>110.52562758422165</v>
      </c>
      <c r="BL19" s="27">
        <f>$BK$19*AK6</f>
        <v>99.382489264859359</v>
      </c>
      <c r="BM19" s="27">
        <f t="shared" si="16"/>
        <v>111.15523762306778</v>
      </c>
      <c r="BO19" s="28">
        <v>2005</v>
      </c>
      <c r="BP19" s="29">
        <f t="shared" si="7"/>
        <v>1</v>
      </c>
      <c r="BQ19" s="29">
        <f t="shared" si="7"/>
        <v>1</v>
      </c>
      <c r="BR19" s="29">
        <f t="shared" si="7"/>
        <v>1</v>
      </c>
      <c r="BS19" s="29">
        <f t="shared" si="7"/>
        <v>1</v>
      </c>
      <c r="BT19" s="29">
        <f t="shared" si="7"/>
        <v>1</v>
      </c>
      <c r="BU19" s="29">
        <f t="shared" si="7"/>
        <v>1</v>
      </c>
      <c r="BV19" s="29">
        <f t="shared" si="7"/>
        <v>1</v>
      </c>
      <c r="BW19" s="29">
        <f t="shared" si="7"/>
        <v>1</v>
      </c>
      <c r="BX19" s="29">
        <f t="shared" si="7"/>
        <v>1</v>
      </c>
      <c r="BZ19" s="28">
        <v>2005</v>
      </c>
      <c r="CA19" s="29">
        <f t="shared" si="8"/>
        <v>1</v>
      </c>
      <c r="CB19" s="29">
        <f t="shared" si="8"/>
        <v>1</v>
      </c>
      <c r="CC19" s="29">
        <f t="shared" si="8"/>
        <v>1</v>
      </c>
      <c r="CD19" s="29">
        <f t="shared" si="8"/>
        <v>1</v>
      </c>
      <c r="CE19" s="29">
        <f t="shared" si="8"/>
        <v>1</v>
      </c>
      <c r="CF19" s="29">
        <f t="shared" si="8"/>
        <v>1</v>
      </c>
      <c r="CG19" s="29">
        <f t="shared" si="8"/>
        <v>1</v>
      </c>
      <c r="CH19" s="29">
        <f t="shared" si="8"/>
        <v>1</v>
      </c>
      <c r="CI19" s="29">
        <f t="shared" si="8"/>
        <v>1</v>
      </c>
    </row>
    <row r="20" spans="1:87" x14ac:dyDescent="0.2">
      <c r="A20" s="26">
        <v>2021</v>
      </c>
      <c r="B20" s="307">
        <v>8.190389842037554</v>
      </c>
      <c r="C20" s="142">
        <v>3.571126</v>
      </c>
      <c r="D20" s="100">
        <f t="shared" si="0"/>
        <v>409.20794973943828</v>
      </c>
      <c r="E20" s="307">
        <v>13.945349522989035</v>
      </c>
      <c r="F20" s="142">
        <v>16.477599999999999</v>
      </c>
      <c r="G20" s="307">
        <v>13.962350937101309</v>
      </c>
      <c r="H20" s="307">
        <v>10.794933364893012</v>
      </c>
      <c r="I20" s="307">
        <v>0.95346645711965128</v>
      </c>
      <c r="J20" s="308">
        <v>482.48162171628343</v>
      </c>
      <c r="K20" s="308">
        <v>425.67586007042604</v>
      </c>
      <c r="L20" s="100">
        <f t="shared" si="2"/>
        <v>330.49955641127411</v>
      </c>
      <c r="M20" s="100">
        <f t="shared" si="3"/>
        <v>323.00687117341255</v>
      </c>
      <c r="N20" s="100">
        <f t="shared" si="4"/>
        <v>71.580049523243872</v>
      </c>
      <c r="O20" s="100">
        <f t="shared" si="5"/>
        <v>702.11188868464501</v>
      </c>
      <c r="P20" s="100">
        <f t="shared" si="27"/>
        <v>214.87369112535382</v>
      </c>
      <c r="Q20" s="100">
        <f t="shared" si="28"/>
        <v>635.68338378535623</v>
      </c>
      <c r="R20" s="101">
        <f t="shared" si="6"/>
        <v>1238.8641198064383</v>
      </c>
      <c r="S20" s="101">
        <f t="shared" si="6"/>
        <v>5539.0529985668145</v>
      </c>
      <c r="T20" s="65"/>
      <c r="U20" s="8">
        <v>2019</v>
      </c>
      <c r="V20" s="53">
        <f t="shared" si="12"/>
        <v>0.31163961417564978</v>
      </c>
      <c r="W20" s="53">
        <f t="shared" si="17"/>
        <v>-3.452066853774749E-3</v>
      </c>
      <c r="X20" s="53">
        <f t="shared" si="12"/>
        <v>0.194838433215485</v>
      </c>
      <c r="Y20" s="53">
        <f t="shared" si="17"/>
        <v>1.3982180879917872E-2</v>
      </c>
      <c r="Z20" s="53">
        <f t="shared" si="12"/>
        <v>2.2880587219129819E-2</v>
      </c>
      <c r="AA20" s="53"/>
      <c r="AB20" s="53">
        <f t="shared" si="13"/>
        <v>0.13694801154129543</v>
      </c>
      <c r="AC20" s="53">
        <f t="shared" si="18"/>
        <v>-1.0296828633248656E-2</v>
      </c>
      <c r="AD20" s="53">
        <f t="shared" si="12"/>
        <v>0.36101866585762021</v>
      </c>
      <c r="AE20" s="53">
        <f t="shared" si="18"/>
        <v>-1.3116565311092399E-2</v>
      </c>
      <c r="AF20" s="53">
        <f t="shared" si="12"/>
        <v>0.61608294583722889</v>
      </c>
      <c r="AG20" s="53">
        <f t="shared" si="19"/>
        <v>2.5813784135113593E-3</v>
      </c>
      <c r="AH20" s="53">
        <f t="shared" si="12"/>
        <v>0.194838433215485</v>
      </c>
      <c r="AI20" s="53">
        <f t="shared" si="20"/>
        <v>1.3982180879917872E-2</v>
      </c>
      <c r="AJ20" s="53">
        <f t="shared" si="12"/>
        <v>2.2880587219129819E-2</v>
      </c>
      <c r="AK20" s="53">
        <f t="shared" si="12"/>
        <v>0.90963833352940326</v>
      </c>
      <c r="AL20" s="53">
        <f t="shared" si="21"/>
        <v>9.5922186033869927E-4</v>
      </c>
      <c r="AM20" s="53">
        <f t="shared" si="12"/>
        <v>0.64168439035666158</v>
      </c>
      <c r="AN20" s="53">
        <f t="shared" si="22"/>
        <v>6.0467912998061202E-3</v>
      </c>
      <c r="AO20" s="53">
        <f t="shared" si="12"/>
        <v>0.71237430885348618</v>
      </c>
      <c r="AP20" s="53">
        <f t="shared" si="23"/>
        <v>2.0950416294402974E-3</v>
      </c>
      <c r="AQ20" s="53">
        <f t="shared" si="12"/>
        <v>1.6705064125187556</v>
      </c>
      <c r="AR20" s="53">
        <f t="shared" si="23"/>
        <v>5.8896757516402332E-4</v>
      </c>
      <c r="AS20" s="53">
        <f t="shared" si="12"/>
        <v>0.84657360052505459</v>
      </c>
      <c r="AT20" s="53">
        <f t="shared" si="24"/>
        <v>1.9545033877930162E-3</v>
      </c>
      <c r="AU20" s="53">
        <f t="shared" si="12"/>
        <v>1.2012459212294204</v>
      </c>
      <c r="AV20" s="53"/>
      <c r="AW20" s="53">
        <f t="shared" si="12"/>
        <v>0.46002056670402314</v>
      </c>
      <c r="AX20" s="53">
        <f t="shared" si="25"/>
        <v>1.6780860858878199E-4</v>
      </c>
      <c r="AY20" s="53">
        <f t="shared" si="12"/>
        <v>3.4685626371199598</v>
      </c>
      <c r="AZ20" s="53"/>
      <c r="BA20" s="53">
        <f t="shared" si="14"/>
        <v>0.43537625304166383</v>
      </c>
      <c r="BB20" s="53">
        <f t="shared" si="26"/>
        <v>-5.1348338042752628E-3</v>
      </c>
      <c r="BC20" s="53">
        <f t="shared" si="12"/>
        <v>1</v>
      </c>
      <c r="BD20" s="53">
        <f t="shared" si="12"/>
        <v>1</v>
      </c>
      <c r="BE20" s="105">
        <f t="shared" si="15"/>
        <v>0.20124592122942042</v>
      </c>
      <c r="BG20" s="14" t="s">
        <v>31</v>
      </c>
      <c r="BH20" s="26" t="s">
        <v>12</v>
      </c>
      <c r="BI20" s="310"/>
      <c r="BJ20" s="310"/>
      <c r="BK20" s="27">
        <f>O4</f>
        <v>922.49348069682435</v>
      </c>
      <c r="BL20" s="27">
        <f>$BK$20*AS6</f>
        <v>757.73947277765512</v>
      </c>
      <c r="BM20" s="27">
        <f t="shared" si="16"/>
        <v>847.50051821010345</v>
      </c>
      <c r="BO20" s="28">
        <v>2006</v>
      </c>
      <c r="BP20" s="29">
        <f t="shared" ref="BP20:BX35" si="29">BP86/BP$79</f>
        <v>1.152156862745098</v>
      </c>
      <c r="BQ20" s="29">
        <f t="shared" si="29"/>
        <v>1.0362869198312237</v>
      </c>
      <c r="BR20" s="29">
        <f t="shared" si="29"/>
        <v>1.0520050125313283</v>
      </c>
      <c r="BS20" s="29">
        <f t="shared" si="29"/>
        <v>1.0108401084010841</v>
      </c>
      <c r="BT20" s="29">
        <f t="shared" si="29"/>
        <v>1.0704477611940297</v>
      </c>
      <c r="BU20" s="29">
        <f t="shared" si="29"/>
        <v>1.0645848119233499</v>
      </c>
      <c r="BV20" s="29">
        <f t="shared" si="29"/>
        <v>1.1076115485564304</v>
      </c>
      <c r="BW20" s="29">
        <f t="shared" si="29"/>
        <v>1.003647416413374</v>
      </c>
      <c r="BX20" s="29">
        <f t="shared" si="29"/>
        <v>1.0859176410777833</v>
      </c>
      <c r="BZ20" s="28">
        <v>2006</v>
      </c>
      <c r="CA20" s="29">
        <f t="shared" ref="CA20:CI35" si="30">CA86/CA$79</f>
        <v>1.0973360655737705</v>
      </c>
      <c r="CB20" s="29">
        <f t="shared" si="30"/>
        <v>1.1113716295427902</v>
      </c>
      <c r="CC20" s="29">
        <f t="shared" si="30"/>
        <v>1.0202702702702702</v>
      </c>
      <c r="CD20" s="29">
        <f t="shared" si="30"/>
        <v>1.0281501340482573</v>
      </c>
      <c r="CE20" s="29">
        <f t="shared" si="30"/>
        <v>1.068089430894309</v>
      </c>
      <c r="CF20" s="29">
        <f t="shared" si="30"/>
        <v>1.0800915331807779</v>
      </c>
      <c r="CG20" s="29">
        <f t="shared" si="30"/>
        <v>1.0379266750948168</v>
      </c>
      <c r="CH20" s="29">
        <f t="shared" si="30"/>
        <v>1.066957787481805</v>
      </c>
      <c r="CI20" s="29">
        <f t="shared" si="30"/>
        <v>0.99054054054054053</v>
      </c>
    </row>
    <row r="21" spans="1:87" x14ac:dyDescent="0.2">
      <c r="A21" s="26">
        <v>2022</v>
      </c>
      <c r="B21" s="307">
        <v>8.2332268822196752</v>
      </c>
      <c r="C21" s="142">
        <v>3.5890789999999999</v>
      </c>
      <c r="D21" s="100">
        <f t="shared" si="0"/>
        <v>399.99777718645038</v>
      </c>
      <c r="E21" s="307">
        <v>14.029313704122087</v>
      </c>
      <c r="F21" s="142">
        <v>16.606939000000001</v>
      </c>
      <c r="G21" s="307">
        <v>14.056521674320575</v>
      </c>
      <c r="H21" s="307">
        <v>10.848665500903758</v>
      </c>
      <c r="I21" s="307">
        <v>0.95919143200787138</v>
      </c>
      <c r="J21" s="308">
        <v>475.9490726916689</v>
      </c>
      <c r="K21" s="308">
        <v>423.01941682911723</v>
      </c>
      <c r="L21" s="100">
        <f t="shared" si="2"/>
        <v>330.49845894926551</v>
      </c>
      <c r="M21" s="100">
        <f t="shared" si="3"/>
        <v>321.08715964599293</v>
      </c>
      <c r="N21" s="100">
        <f t="shared" si="4"/>
        <v>70.269077300066343</v>
      </c>
      <c r="O21" s="100">
        <f t="shared" si="5"/>
        <v>694.36081355544411</v>
      </c>
      <c r="P21" s="100">
        <f t="shared" si="27"/>
        <v>214.64096812911305</v>
      </c>
      <c r="Q21" s="100">
        <f t="shared" si="28"/>
        <v>640.46196297382551</v>
      </c>
      <c r="R21" s="101">
        <f t="shared" si="6"/>
        <v>1219.4333830649186</v>
      </c>
      <c r="S21" s="101">
        <f t="shared" si="6"/>
        <v>5649.0095827592913</v>
      </c>
      <c r="T21" s="65"/>
      <c r="U21" s="8">
        <v>2020</v>
      </c>
      <c r="V21" s="53">
        <f t="shared" ref="V21:BD32" si="31">V63/$BC63</f>
        <v>0.31064012731434965</v>
      </c>
      <c r="W21" s="53">
        <f t="shared" si="17"/>
        <v>-3.2071880975208522E-3</v>
      </c>
      <c r="X21" s="53">
        <f t="shared" si="31"/>
        <v>0.19742760301862181</v>
      </c>
      <c r="Y21" s="53">
        <f t="shared" si="17"/>
        <v>1.3288804269295573E-2</v>
      </c>
      <c r="Z21" s="53">
        <f t="shared" si="31"/>
        <v>2.3654497279057666E-2</v>
      </c>
      <c r="AA21" s="53"/>
      <c r="AB21" s="53">
        <f t="shared" si="13"/>
        <v>0.13557624103717064</v>
      </c>
      <c r="AC21" s="53">
        <f t="shared" si="18"/>
        <v>-1.0016724512361019E-2</v>
      </c>
      <c r="AD21" s="53">
        <f t="shared" si="31"/>
        <v>0.35641887178741555</v>
      </c>
      <c r="AE21" s="53">
        <f t="shared" si="18"/>
        <v>-1.2741153035058739E-2</v>
      </c>
      <c r="AF21" s="53">
        <f t="shared" si="31"/>
        <v>0.6177081778786454</v>
      </c>
      <c r="AG21" s="53">
        <f t="shared" si="19"/>
        <v>2.6380084896002742E-3</v>
      </c>
      <c r="AH21" s="53">
        <f t="shared" si="31"/>
        <v>0.19742760301862181</v>
      </c>
      <c r="AI21" s="53">
        <f t="shared" si="20"/>
        <v>1.3288804269295573E-2</v>
      </c>
      <c r="AJ21" s="53">
        <f t="shared" si="31"/>
        <v>2.3654497279057666E-2</v>
      </c>
      <c r="AK21" s="53">
        <f t="shared" si="31"/>
        <v>0.91049009727506436</v>
      </c>
      <c r="AL21" s="53">
        <f t="shared" si="21"/>
        <v>9.3637626545084451E-4</v>
      </c>
      <c r="AM21" s="53">
        <f t="shared" si="31"/>
        <v>0.64549125302600685</v>
      </c>
      <c r="AN21" s="53">
        <f t="shared" si="22"/>
        <v>5.9326091246030277E-3</v>
      </c>
      <c r="AO21" s="53">
        <f t="shared" si="31"/>
        <v>0.71374199389691828</v>
      </c>
      <c r="AP21" s="53">
        <f t="shared" si="23"/>
        <v>1.9198966420241881E-3</v>
      </c>
      <c r="AQ21" s="53">
        <f t="shared" si="31"/>
        <v>1.6714552043477737</v>
      </c>
      <c r="AR21" s="53">
        <f t="shared" si="23"/>
        <v>5.6796658899838093E-4</v>
      </c>
      <c r="AS21" s="53">
        <f t="shared" si="31"/>
        <v>0.84815544453406599</v>
      </c>
      <c r="AT21" s="53">
        <f t="shared" si="24"/>
        <v>1.868525085155337E-3</v>
      </c>
      <c r="AU21" s="53">
        <f t="shared" si="31"/>
        <v>1.2011321495610834</v>
      </c>
      <c r="AV21" s="53"/>
      <c r="AW21" s="53">
        <f t="shared" si="31"/>
        <v>0.46006400530800701</v>
      </c>
      <c r="AX21" s="53">
        <f t="shared" si="25"/>
        <v>9.4427525914930754E-5</v>
      </c>
      <c r="AY21" s="53">
        <f t="shared" si="31"/>
        <v>3.4751111658340057</v>
      </c>
      <c r="AZ21" s="53"/>
      <c r="BA21" s="53">
        <f t="shared" si="14"/>
        <v>0.43321679404671792</v>
      </c>
      <c r="BB21" s="53">
        <f t="shared" si="26"/>
        <v>-4.9599834163193135E-3</v>
      </c>
      <c r="BC21" s="53">
        <f t="shared" si="31"/>
        <v>1</v>
      </c>
      <c r="BD21" s="53">
        <f t="shared" si="31"/>
        <v>1</v>
      </c>
      <c r="BE21" s="105">
        <f t="shared" si="15"/>
        <v>0.20113214956108338</v>
      </c>
      <c r="BG21" s="14" t="s">
        <v>117</v>
      </c>
      <c r="BH21" s="26" t="s">
        <v>100</v>
      </c>
      <c r="BI21" s="310"/>
      <c r="BJ21" s="310"/>
      <c r="BK21" s="27">
        <f>P4</f>
        <v>0</v>
      </c>
      <c r="BL21" s="27">
        <f>$BK$21*AY6</f>
        <v>0</v>
      </c>
      <c r="BM21" s="27">
        <f t="shared" si="16"/>
        <v>0</v>
      </c>
      <c r="BO21" s="28">
        <v>2007</v>
      </c>
      <c r="BP21" s="29">
        <f t="shared" si="29"/>
        <v>1.1694117647058824</v>
      </c>
      <c r="BQ21" s="29">
        <f t="shared" si="29"/>
        <v>1.0510548523206751</v>
      </c>
      <c r="BR21" s="29">
        <f t="shared" si="29"/>
        <v>1.0895989974937343</v>
      </c>
      <c r="BS21" s="29">
        <f t="shared" si="29"/>
        <v>1.0047425474254743</v>
      </c>
      <c r="BT21" s="29">
        <f t="shared" si="29"/>
        <v>1.0686567164179104</v>
      </c>
      <c r="BU21" s="29">
        <f t="shared" si="29"/>
        <v>1.0589070262597586</v>
      </c>
      <c r="BV21" s="29">
        <f t="shared" si="29"/>
        <v>1.0456692913385828</v>
      </c>
      <c r="BW21" s="29">
        <f t="shared" si="29"/>
        <v>1.0103343465045593</v>
      </c>
      <c r="BX21" s="29">
        <f t="shared" si="29"/>
        <v>1.0732079308591762</v>
      </c>
      <c r="BZ21" s="28">
        <v>2007</v>
      </c>
      <c r="CA21" s="29">
        <f t="shared" si="30"/>
        <v>1.0174180327868851</v>
      </c>
      <c r="CB21" s="29">
        <f t="shared" si="30"/>
        <v>1.0480656506447832</v>
      </c>
      <c r="CC21" s="29">
        <f t="shared" si="30"/>
        <v>0.92837837837837833</v>
      </c>
      <c r="CD21" s="29">
        <f t="shared" si="30"/>
        <v>0.95040214477211793</v>
      </c>
      <c r="CE21" s="29">
        <f t="shared" si="30"/>
        <v>0.97560975609756095</v>
      </c>
      <c r="CF21" s="29">
        <f t="shared" si="30"/>
        <v>0.94393592677345539</v>
      </c>
      <c r="CG21" s="29">
        <f t="shared" si="30"/>
        <v>0.92414664981036654</v>
      </c>
      <c r="CH21" s="29">
        <f t="shared" si="30"/>
        <v>0.94177583697234346</v>
      </c>
      <c r="CI21" s="29">
        <f t="shared" si="30"/>
        <v>0.95810810810810809</v>
      </c>
    </row>
    <row r="22" spans="1:87" x14ac:dyDescent="0.2">
      <c r="A22" s="26">
        <v>2023</v>
      </c>
      <c r="B22" s="307">
        <v>8.2697894035397219</v>
      </c>
      <c r="C22" s="142">
        <v>3.6062970000000001</v>
      </c>
      <c r="D22" s="100">
        <f t="shared" si="0"/>
        <v>390.91180449753591</v>
      </c>
      <c r="E22" s="307">
        <v>14.101060796918411</v>
      </c>
      <c r="F22" s="142">
        <v>16.730574000000001</v>
      </c>
      <c r="G22" s="307">
        <v>14.136098504584176</v>
      </c>
      <c r="H22" s="307">
        <v>10.899056144516432</v>
      </c>
      <c r="I22" s="307">
        <v>0.9646849986418109</v>
      </c>
      <c r="J22" s="308">
        <v>470.13786233879659</v>
      </c>
      <c r="K22" s="308">
        <v>420.62805703977875</v>
      </c>
      <c r="L22" s="100">
        <f t="shared" si="2"/>
        <v>330.55121730146027</v>
      </c>
      <c r="M22" s="100">
        <f t="shared" si="3"/>
        <v>319.55444708637162</v>
      </c>
      <c r="N22" s="100">
        <f t="shared" si="4"/>
        <v>69.492706259570554</v>
      </c>
      <c r="O22" s="100">
        <f t="shared" si="5"/>
        <v>688.81210476729075</v>
      </c>
      <c r="P22" s="100">
        <f t="shared" si="27"/>
        <v>214.80559204893063</v>
      </c>
      <c r="Q22" s="100">
        <f t="shared" si="28"/>
        <v>644.3605745394625</v>
      </c>
      <c r="R22" s="101">
        <f t="shared" si="6"/>
        <v>1205.6044323480062</v>
      </c>
      <c r="S22" s="101">
        <f t="shared" si="6"/>
        <v>5759.1814045754709</v>
      </c>
      <c r="T22" s="65"/>
      <c r="U22" s="8">
        <v>2021</v>
      </c>
      <c r="V22" s="53">
        <f t="shared" si="31"/>
        <v>0.30975909800790091</v>
      </c>
      <c r="W22" s="53">
        <f t="shared" si="17"/>
        <v>-2.8361735300126423E-3</v>
      </c>
      <c r="X22" s="53">
        <f t="shared" si="31"/>
        <v>0.1999182418491468</v>
      </c>
      <c r="Y22" s="53">
        <f t="shared" si="17"/>
        <v>1.2615453930674869E-2</v>
      </c>
      <c r="Z22" s="53">
        <f t="shared" si="31"/>
        <v>2.4333847645794625E-2</v>
      </c>
      <c r="AA22" s="53"/>
      <c r="AB22" s="53">
        <f t="shared" si="13"/>
        <v>0.13425740199629116</v>
      </c>
      <c r="AC22" s="53">
        <f t="shared" si="18"/>
        <v>-9.7276560464447659E-3</v>
      </c>
      <c r="AD22" s="53">
        <f t="shared" si="31"/>
        <v>0.35199500812881301</v>
      </c>
      <c r="AE22" s="53">
        <f t="shared" si="18"/>
        <v>-1.2411979299572939E-2</v>
      </c>
      <c r="AF22" s="53">
        <f t="shared" si="31"/>
        <v>0.61937769801262654</v>
      </c>
      <c r="AG22" s="53">
        <f t="shared" si="19"/>
        <v>2.7027651466662306E-3</v>
      </c>
      <c r="AH22" s="53">
        <f t="shared" si="31"/>
        <v>0.1999182418491468</v>
      </c>
      <c r="AI22" s="53">
        <f t="shared" si="20"/>
        <v>1.2615453930674869E-2</v>
      </c>
      <c r="AJ22" s="53">
        <f t="shared" si="31"/>
        <v>2.4333847645794625E-2</v>
      </c>
      <c r="AK22" s="53">
        <f t="shared" si="31"/>
        <v>0.91132314820201932</v>
      </c>
      <c r="AL22" s="53">
        <f t="shared" si="21"/>
        <v>9.1494781705825368E-4</v>
      </c>
      <c r="AM22" s="53">
        <f t="shared" si="31"/>
        <v>0.64922945864569581</v>
      </c>
      <c r="AN22" s="53">
        <f t="shared" si="22"/>
        <v>5.7912568174465218E-3</v>
      </c>
      <c r="AO22" s="53">
        <f t="shared" si="31"/>
        <v>0.71509405871292142</v>
      </c>
      <c r="AP22" s="53">
        <f t="shared" si="23"/>
        <v>1.8943327246601083E-3</v>
      </c>
      <c r="AQ22" s="53">
        <f t="shared" si="31"/>
        <v>1.6733030165912135</v>
      </c>
      <c r="AR22" s="53">
        <f t="shared" si="23"/>
        <v>1.1055110771938104E-3</v>
      </c>
      <c r="AS22" s="53">
        <f t="shared" si="31"/>
        <v>0.84966167420266114</v>
      </c>
      <c r="AT22" s="53">
        <f t="shared" si="24"/>
        <v>1.7758886985894673E-3</v>
      </c>
      <c r="AU22" s="53">
        <f t="shared" si="31"/>
        <v>1.2009797258586701</v>
      </c>
      <c r="AV22" s="53"/>
      <c r="AW22" s="53">
        <f t="shared" si="31"/>
        <v>0.4600477540771733</v>
      </c>
      <c r="AX22" s="53">
        <f t="shared" si="25"/>
        <v>-3.5323847652035667E-5</v>
      </c>
      <c r="AY22" s="53">
        <f t="shared" si="31"/>
        <v>3.482806779168389</v>
      </c>
      <c r="AZ22" s="53"/>
      <c r="BA22" s="53">
        <f t="shared" si="14"/>
        <v>0.43104164914676046</v>
      </c>
      <c r="BB22" s="53">
        <f t="shared" si="26"/>
        <v>-5.0209154627622876E-3</v>
      </c>
      <c r="BC22" s="53">
        <f t="shared" si="31"/>
        <v>1</v>
      </c>
      <c r="BD22" s="53">
        <f t="shared" si="31"/>
        <v>1</v>
      </c>
      <c r="BE22" s="105">
        <f t="shared" si="15"/>
        <v>0.20097972585867008</v>
      </c>
      <c r="BG22" s="14" t="s">
        <v>174</v>
      </c>
      <c r="BH22" s="26" t="s">
        <v>173</v>
      </c>
      <c r="BI22" s="310"/>
      <c r="BJ22" s="310"/>
      <c r="BK22" s="27">
        <f>Q4</f>
        <v>0</v>
      </c>
      <c r="BL22" s="27">
        <f>BK22*BA6</f>
        <v>0</v>
      </c>
      <c r="BM22" s="27">
        <f t="shared" si="16"/>
        <v>0</v>
      </c>
      <c r="BO22" s="28">
        <v>2008</v>
      </c>
      <c r="BP22" s="29">
        <f t="shared" si="29"/>
        <v>1.2133333333333334</v>
      </c>
      <c r="BQ22" s="29">
        <f t="shared" si="29"/>
        <v>1.0970464135021096</v>
      </c>
      <c r="BR22" s="29">
        <f t="shared" si="29"/>
        <v>1.1372180451127818</v>
      </c>
      <c r="BS22" s="29">
        <f t="shared" si="29"/>
        <v>1.0264227642276422</v>
      </c>
      <c r="BT22" s="29">
        <f t="shared" si="29"/>
        <v>1.1128358208955225</v>
      </c>
      <c r="BU22" s="29">
        <f t="shared" si="29"/>
        <v>1.1554293825408091</v>
      </c>
      <c r="BV22" s="29">
        <f t="shared" si="29"/>
        <v>1.0876640419947505</v>
      </c>
      <c r="BW22" s="29">
        <f t="shared" si="29"/>
        <v>1.0449848024316111</v>
      </c>
      <c r="BX22" s="29">
        <f t="shared" si="29"/>
        <v>1.0259278088459582</v>
      </c>
      <c r="BZ22" s="28">
        <v>2008</v>
      </c>
      <c r="CA22" s="29">
        <f t="shared" si="30"/>
        <v>1.0286885245901638</v>
      </c>
      <c r="CB22" s="29">
        <f t="shared" si="30"/>
        <v>1.1031652989449003</v>
      </c>
      <c r="CC22" s="29">
        <f t="shared" si="30"/>
        <v>0.99729729729729721</v>
      </c>
      <c r="CD22" s="29">
        <f t="shared" si="30"/>
        <v>0.94235924932975879</v>
      </c>
      <c r="CE22" s="29">
        <f t="shared" si="30"/>
        <v>0.99796747967479682</v>
      </c>
      <c r="CF22" s="29">
        <f t="shared" si="30"/>
        <v>0.98970251716247137</v>
      </c>
      <c r="CG22" s="29">
        <f t="shared" si="30"/>
        <v>1.0050568900126422</v>
      </c>
      <c r="CH22" s="29">
        <f t="shared" si="30"/>
        <v>0.95050946142649206</v>
      </c>
      <c r="CI22" s="29">
        <f t="shared" si="30"/>
        <v>1.0013513513513512</v>
      </c>
    </row>
    <row r="23" spans="1:87" x14ac:dyDescent="0.2">
      <c r="A23" s="26">
        <v>2024</v>
      </c>
      <c r="B23" s="307">
        <v>8.3010546150143298</v>
      </c>
      <c r="C23" s="142">
        <v>3.623122</v>
      </c>
      <c r="D23" s="100">
        <f t="shared" si="0"/>
        <v>383.06877552965955</v>
      </c>
      <c r="E23" s="307">
        <v>14.162568346324433</v>
      </c>
      <c r="F23" s="142">
        <v>16.850977</v>
      </c>
      <c r="G23" s="307">
        <v>14.202269064005705</v>
      </c>
      <c r="H23" s="307">
        <v>10.943632750534501</v>
      </c>
      <c r="I23" s="307">
        <v>0.97012409558935375</v>
      </c>
      <c r="J23" s="308">
        <v>465.03036657069157</v>
      </c>
      <c r="K23" s="308">
        <v>418.50725969556311</v>
      </c>
      <c r="L23" s="100">
        <f t="shared" si="2"/>
        <v>331.51235626754573</v>
      </c>
      <c r="M23" s="100">
        <f t="shared" si="3"/>
        <v>319.29192758826025</v>
      </c>
      <c r="N23" s="100">
        <f t="shared" si="4"/>
        <v>69.270346446215157</v>
      </c>
      <c r="O23" s="100">
        <f t="shared" si="5"/>
        <v>686.87307163244111</v>
      </c>
      <c r="P23" s="100">
        <f t="shared" si="27"/>
        <v>215.76662123037423</v>
      </c>
      <c r="Q23" s="100">
        <f t="shared" si="28"/>
        <v>649.73602395822979</v>
      </c>
      <c r="R23" s="101">
        <f t="shared" si="6"/>
        <v>1198.4258865858853</v>
      </c>
      <c r="S23" s="101">
        <f t="shared" si="6"/>
        <v>5889.7412465591842</v>
      </c>
      <c r="T23" s="65"/>
      <c r="U23" s="8">
        <v>2022</v>
      </c>
      <c r="V23" s="53">
        <f t="shared" si="31"/>
        <v>0.30897063288177201</v>
      </c>
      <c r="W23" s="53">
        <f t="shared" si="17"/>
        <v>-2.5454139400573617E-3</v>
      </c>
      <c r="X23" s="53">
        <f t="shared" si="31"/>
        <v>0.20236183353858847</v>
      </c>
      <c r="Y23" s="53">
        <f t="shared" si="17"/>
        <v>1.222295507823401E-2</v>
      </c>
      <c r="Z23" s="53">
        <f t="shared" si="31"/>
        <v>2.4950224368575691E-2</v>
      </c>
      <c r="AA23" s="53"/>
      <c r="AB23" s="53">
        <f t="shared" si="13"/>
        <v>0.13296296632504545</v>
      </c>
      <c r="AC23" s="53">
        <f t="shared" si="18"/>
        <v>-9.6414473392049116E-3</v>
      </c>
      <c r="AD23" s="53">
        <f t="shared" si="31"/>
        <v>0.34763487582316388</v>
      </c>
      <c r="AE23" s="53">
        <f t="shared" si="18"/>
        <v>-1.2386915169130819E-2</v>
      </c>
      <c r="AF23" s="53">
        <f t="shared" si="31"/>
        <v>0.62105804231987727</v>
      </c>
      <c r="AG23" s="53">
        <f t="shared" si="19"/>
        <v>2.7129557822995753E-3</v>
      </c>
      <c r="AH23" s="53">
        <f t="shared" si="31"/>
        <v>0.20236183353858847</v>
      </c>
      <c r="AI23" s="53">
        <f t="shared" si="20"/>
        <v>1.222295507823401E-2</v>
      </c>
      <c r="AJ23" s="53">
        <f t="shared" si="31"/>
        <v>2.4950224368575691E-2</v>
      </c>
      <c r="AK23" s="53">
        <f t="shared" si="31"/>
        <v>0.91215092758175154</v>
      </c>
      <c r="AL23" s="53">
        <f t="shared" si="21"/>
        <v>9.0832695445675071E-4</v>
      </c>
      <c r="AM23" s="53">
        <f t="shared" si="31"/>
        <v>0.65299765797332998</v>
      </c>
      <c r="AN23" s="53">
        <f t="shared" si="22"/>
        <v>5.804110207036306E-3</v>
      </c>
      <c r="AO23" s="53">
        <f t="shared" si="31"/>
        <v>0.71643208576537976</v>
      </c>
      <c r="AP23" s="53">
        <f t="shared" si="23"/>
        <v>1.8711203598400505E-3</v>
      </c>
      <c r="AQ23" s="53">
        <f t="shared" si="31"/>
        <v>1.6750383781717466</v>
      </c>
      <c r="AR23" s="53">
        <f t="shared" si="23"/>
        <v>1.0370874631351334E-3</v>
      </c>
      <c r="AS23" s="53">
        <f t="shared" si="31"/>
        <v>0.85114362917305886</v>
      </c>
      <c r="AT23" s="53">
        <f t="shared" si="24"/>
        <v>1.7441706686234237E-3</v>
      </c>
      <c r="AU23" s="53">
        <f t="shared" si="31"/>
        <v>1.2007932329348256</v>
      </c>
      <c r="AV23" s="53"/>
      <c r="AW23" s="53">
        <f t="shared" si="31"/>
        <v>0.46001143276154394</v>
      </c>
      <c r="AX23" s="53">
        <f t="shared" si="25"/>
        <v>-7.8951185626841003E-5</v>
      </c>
      <c r="AY23" s="53">
        <f t="shared" si="31"/>
        <v>3.4977545491497799</v>
      </c>
      <c r="AZ23" s="53"/>
      <c r="BA23" s="53">
        <f t="shared" si="14"/>
        <v>0.42887707789306356</v>
      </c>
      <c r="BB23" s="53">
        <f t="shared" si="26"/>
        <v>-5.0217218173269629E-3</v>
      </c>
      <c r="BC23" s="53">
        <f t="shared" si="31"/>
        <v>1</v>
      </c>
      <c r="BD23" s="53">
        <f t="shared" si="31"/>
        <v>1</v>
      </c>
      <c r="BE23" s="105">
        <f t="shared" si="15"/>
        <v>0.20079323293482565</v>
      </c>
      <c r="BG23" s="14" t="s">
        <v>32</v>
      </c>
      <c r="BH23" s="26" t="s">
        <v>13</v>
      </c>
      <c r="BI23" s="310"/>
      <c r="BJ23" s="310"/>
      <c r="BK23" s="27">
        <f>R4</f>
        <v>2009.4019042164659</v>
      </c>
      <c r="BL23" s="27">
        <f>$BK$23</f>
        <v>2009.4019042164659</v>
      </c>
      <c r="BM23" s="27">
        <f t="shared" si="16"/>
        <v>2247.4336052116014</v>
      </c>
      <c r="BO23" s="28">
        <v>2009</v>
      </c>
      <c r="BP23" s="29">
        <f t="shared" si="29"/>
        <v>1.1878431372549019</v>
      </c>
      <c r="BQ23" s="29">
        <f t="shared" si="29"/>
        <v>1.0843881856540085</v>
      </c>
      <c r="BR23" s="29">
        <f t="shared" si="29"/>
        <v>1.1854636591478698</v>
      </c>
      <c r="BS23" s="29">
        <f t="shared" si="29"/>
        <v>1.0724932249322494</v>
      </c>
      <c r="BT23" s="29">
        <f t="shared" si="29"/>
        <v>1.1701492537313434</v>
      </c>
      <c r="BU23" s="29">
        <f t="shared" si="29"/>
        <v>1.1809794180269695</v>
      </c>
      <c r="BV23" s="29">
        <f t="shared" si="29"/>
        <v>1.0031496062992125</v>
      </c>
      <c r="BW23" s="29">
        <f t="shared" si="29"/>
        <v>1.0717325227963526</v>
      </c>
      <c r="BX23" s="29">
        <f t="shared" si="29"/>
        <v>1.0691408235892221</v>
      </c>
      <c r="BZ23" s="28">
        <v>2009</v>
      </c>
      <c r="CA23" s="29">
        <f t="shared" si="30"/>
        <v>0.99180327868852458</v>
      </c>
      <c r="CB23" s="29">
        <f t="shared" si="30"/>
        <v>1.0058616647127785</v>
      </c>
      <c r="CC23" s="29">
        <f t="shared" si="30"/>
        <v>0.84729729729729719</v>
      </c>
      <c r="CD23" s="29">
        <f t="shared" si="30"/>
        <v>0.79624664879356577</v>
      </c>
      <c r="CE23" s="29">
        <f t="shared" si="30"/>
        <v>0.88211382113821135</v>
      </c>
      <c r="CF23" s="29">
        <f t="shared" si="30"/>
        <v>0.87185354691075512</v>
      </c>
      <c r="CG23" s="29">
        <f t="shared" si="30"/>
        <v>0.8508217446270544</v>
      </c>
      <c r="CH23" s="29">
        <f t="shared" si="30"/>
        <v>0.8675400291120815</v>
      </c>
      <c r="CI23" s="29">
        <f t="shared" si="30"/>
        <v>0.80675675675675673</v>
      </c>
    </row>
    <row r="24" spans="1:87" x14ac:dyDescent="0.2">
      <c r="A24" s="26">
        <v>2025</v>
      </c>
      <c r="B24" s="307">
        <v>8.3275989943828534</v>
      </c>
      <c r="C24" s="142">
        <v>3.6397010000000001</v>
      </c>
      <c r="D24" s="100">
        <f t="shared" si="0"/>
        <v>372.89261827547023</v>
      </c>
      <c r="E24" s="307">
        <v>14.214877761536375</v>
      </c>
      <c r="F24" s="142">
        <v>16.969263000000002</v>
      </c>
      <c r="G24" s="307">
        <v>14.257660809486611</v>
      </c>
      <c r="H24" s="307">
        <v>10.981582822701254</v>
      </c>
      <c r="I24" s="307">
        <v>0.97538625690068848</v>
      </c>
      <c r="J24" s="308">
        <v>460.59611535548845</v>
      </c>
      <c r="K24" s="308">
        <v>416.42666994176869</v>
      </c>
      <c r="L24" s="100">
        <f t="shared" si="2"/>
        <v>330.5724525297955</v>
      </c>
      <c r="M24" s="100">
        <f t="shared" si="3"/>
        <v>317.48873805314884</v>
      </c>
      <c r="N24" s="100">
        <f t="shared" si="4"/>
        <v>69.088351765119057</v>
      </c>
      <c r="O24" s="100">
        <f t="shared" si="5"/>
        <v>681.83158310216493</v>
      </c>
      <c r="P24" s="100">
        <f t="shared" si="27"/>
        <v>215.3838096456148</v>
      </c>
      <c r="Q24" s="100">
        <f t="shared" si="28"/>
        <v>651.11539399671483</v>
      </c>
      <c r="R24" s="101">
        <f t="shared" si="6"/>
        <v>1185.1242283098265</v>
      </c>
      <c r="S24" s="101">
        <f t="shared" si="6"/>
        <v>5991.41585105992</v>
      </c>
      <c r="T24" s="65"/>
      <c r="U24" s="8">
        <v>2023</v>
      </c>
      <c r="V24" s="53">
        <f t="shared" si="31"/>
        <v>0.30822707468618687</v>
      </c>
      <c r="W24" s="53">
        <f t="shared" si="17"/>
        <v>-2.4065659206830015E-3</v>
      </c>
      <c r="X24" s="53">
        <f t="shared" si="31"/>
        <v>0.20473555612325298</v>
      </c>
      <c r="Y24" s="53">
        <f t="shared" si="17"/>
        <v>1.1730090319683972E-2</v>
      </c>
      <c r="Z24" s="53">
        <f t="shared" si="31"/>
        <v>2.5507582619897468E-2</v>
      </c>
      <c r="AA24" s="53"/>
      <c r="AB24" s="53">
        <f t="shared" si="13"/>
        <v>0.13170756862633676</v>
      </c>
      <c r="AC24" s="53">
        <f t="shared" si="18"/>
        <v>-9.4417094729949413E-3</v>
      </c>
      <c r="AD24" s="53">
        <f t="shared" si="31"/>
        <v>0.34343427263336407</v>
      </c>
      <c r="AE24" s="53">
        <f t="shared" si="18"/>
        <v>-1.2083376789665312E-2</v>
      </c>
      <c r="AF24" s="53">
        <f t="shared" si="31"/>
        <v>0.62273210129084966</v>
      </c>
      <c r="AG24" s="53">
        <f t="shared" si="19"/>
        <v>2.6954951983539921E-3</v>
      </c>
      <c r="AH24" s="53">
        <f t="shared" si="31"/>
        <v>0.20473555612325298</v>
      </c>
      <c r="AI24" s="53">
        <f t="shared" si="20"/>
        <v>1.1730090319683972E-2</v>
      </c>
      <c r="AJ24" s="53">
        <f t="shared" si="31"/>
        <v>2.5507582619897468E-2</v>
      </c>
      <c r="AK24" s="53">
        <f t="shared" si="31"/>
        <v>0.91294515763345607</v>
      </c>
      <c r="AL24" s="53">
        <f t="shared" si="21"/>
        <v>8.7072218827888292E-4</v>
      </c>
      <c r="AM24" s="53">
        <f t="shared" si="31"/>
        <v>0.65673382532756885</v>
      </c>
      <c r="AN24" s="53">
        <f t="shared" si="22"/>
        <v>5.7215631765581421E-3</v>
      </c>
      <c r="AO24" s="53">
        <f t="shared" si="31"/>
        <v>0.71776277259750398</v>
      </c>
      <c r="AP24" s="53">
        <f t="shared" si="23"/>
        <v>1.8573802856729493E-3</v>
      </c>
      <c r="AQ24" s="53">
        <f t="shared" si="31"/>
        <v>1.6767467449638513</v>
      </c>
      <c r="AR24" s="53">
        <f t="shared" si="23"/>
        <v>1.0198971046677663E-3</v>
      </c>
      <c r="AS24" s="53">
        <f t="shared" si="31"/>
        <v>0.85257420811528895</v>
      </c>
      <c r="AT24" s="53">
        <f t="shared" si="24"/>
        <v>1.6807726606846707E-3</v>
      </c>
      <c r="AU24" s="53">
        <f t="shared" si="31"/>
        <v>1.2006094583703459</v>
      </c>
      <c r="AV24" s="53"/>
      <c r="AW24" s="53">
        <f t="shared" si="31"/>
        <v>0.45994981593711359</v>
      </c>
      <c r="AX24" s="53">
        <f t="shared" si="25"/>
        <v>-1.3394628924856544E-4</v>
      </c>
      <c r="AY24" s="53">
        <f t="shared" si="31"/>
        <v>3.5133328718879504</v>
      </c>
      <c r="AZ24" s="53"/>
      <c r="BA24" s="53">
        <f t="shared" si="14"/>
        <v>0.42684528191079441</v>
      </c>
      <c r="BB24" s="53">
        <f t="shared" si="26"/>
        <v>-4.7374786086743503E-3</v>
      </c>
      <c r="BC24" s="53">
        <f t="shared" si="31"/>
        <v>1</v>
      </c>
      <c r="BD24" s="53">
        <f t="shared" si="31"/>
        <v>1</v>
      </c>
      <c r="BE24" s="105">
        <f t="shared" si="15"/>
        <v>0.20060945837034594</v>
      </c>
      <c r="BG24" s="14" t="s">
        <v>33</v>
      </c>
      <c r="BH24" s="26" t="s">
        <v>14</v>
      </c>
      <c r="BI24" s="310"/>
      <c r="BJ24" s="310"/>
      <c r="BK24" s="27">
        <f>S4</f>
        <v>3922.4950399098643</v>
      </c>
      <c r="BL24" s="27">
        <f>$BK$24</f>
        <v>3922.4950399098643</v>
      </c>
      <c r="BM24" s="27">
        <f t="shared" si="16"/>
        <v>4387.1498033673524</v>
      </c>
      <c r="BO24" s="28">
        <v>2010</v>
      </c>
      <c r="BP24" s="29">
        <f t="shared" si="29"/>
        <v>1.2219607843137255</v>
      </c>
      <c r="BQ24" s="29">
        <f t="shared" si="29"/>
        <v>1.1118143459915613</v>
      </c>
      <c r="BR24" s="29">
        <f t="shared" si="29"/>
        <v>1.2487468671679196</v>
      </c>
      <c r="BS24" s="29">
        <f t="shared" si="29"/>
        <v>1.1327913279132791</v>
      </c>
      <c r="BT24" s="29">
        <f t="shared" si="29"/>
        <v>1.1808955223880597</v>
      </c>
      <c r="BU24" s="29">
        <f t="shared" si="29"/>
        <v>1.1249112845990064</v>
      </c>
      <c r="BV24" s="29">
        <f t="shared" si="29"/>
        <v>0.96115485564304448</v>
      </c>
      <c r="BW24" s="29">
        <f t="shared" si="29"/>
        <v>0.98419452887538006</v>
      </c>
      <c r="BX24" s="29">
        <f t="shared" si="29"/>
        <v>1.0437214031520081</v>
      </c>
      <c r="BZ24" s="28">
        <v>2010</v>
      </c>
      <c r="CA24" s="29">
        <f t="shared" si="30"/>
        <v>0.89446721311475419</v>
      </c>
      <c r="CB24" s="29">
        <f t="shared" si="30"/>
        <v>0.89331770222743268</v>
      </c>
      <c r="CC24" s="29">
        <f t="shared" si="30"/>
        <v>0.79999999999999993</v>
      </c>
      <c r="CD24" s="29">
        <f t="shared" si="30"/>
        <v>0.78552278820375343</v>
      </c>
      <c r="CE24" s="29">
        <f t="shared" si="30"/>
        <v>0.80081300813008127</v>
      </c>
      <c r="CF24" s="29">
        <f t="shared" si="30"/>
        <v>0.77345537757437066</v>
      </c>
      <c r="CG24" s="29">
        <f t="shared" si="30"/>
        <v>0.76106194690265483</v>
      </c>
      <c r="CH24" s="29">
        <f t="shared" si="30"/>
        <v>0.84133915574963614</v>
      </c>
      <c r="CI24" s="29">
        <f t="shared" si="30"/>
        <v>0.8540540540540541</v>
      </c>
    </row>
    <row r="25" spans="1:87" x14ac:dyDescent="0.2">
      <c r="A25" s="26">
        <f t="shared" ref="A25:A41" si="32">A24+1</f>
        <v>2026</v>
      </c>
      <c r="B25" s="307">
        <v>8.3494125211931092</v>
      </c>
      <c r="C25" s="142">
        <v>3.6560069999999998</v>
      </c>
      <c r="D25" s="100">
        <f t="shared" si="0"/>
        <v>363.40195405575997</v>
      </c>
      <c r="E25" s="307">
        <v>14.258012834356226</v>
      </c>
      <c r="F25" s="142">
        <v>17.085235999999998</v>
      </c>
      <c r="G25" s="307">
        <v>14.30328424720304</v>
      </c>
      <c r="H25" s="307">
        <v>11.012506139039157</v>
      </c>
      <c r="I25" s="307">
        <v>0.98007867816816163</v>
      </c>
      <c r="J25" s="308">
        <v>456.87448998397741</v>
      </c>
      <c r="K25" s="308">
        <v>414.52127371504622</v>
      </c>
      <c r="L25" s="100">
        <f t="shared" si="2"/>
        <v>330.42019434888834</v>
      </c>
      <c r="M25" s="100">
        <f t="shared" si="3"/>
        <v>316.75906844902772</v>
      </c>
      <c r="N25" s="100">
        <f t="shared" si="4"/>
        <v>69.096914198654005</v>
      </c>
      <c r="O25" s="100">
        <f t="shared" si="5"/>
        <v>679.14419471165479</v>
      </c>
      <c r="P25" s="100">
        <f t="shared" si="27"/>
        <v>215.32643186869478</v>
      </c>
      <c r="Q25" s="100">
        <f t="shared" si="28"/>
        <v>653.82267965171081</v>
      </c>
      <c r="R25" s="101">
        <f t="shared" si="6"/>
        <v>1174.6918590547461</v>
      </c>
      <c r="S25" s="101">
        <f t="shared" si="6"/>
        <v>6091.6870853659957</v>
      </c>
      <c r="T25" s="65"/>
      <c r="U25" s="8">
        <v>2024</v>
      </c>
      <c r="V25" s="53">
        <f t="shared" si="31"/>
        <v>0.30750389582432758</v>
      </c>
      <c r="W25" s="53">
        <f t="shared" si="17"/>
        <v>-2.3462535294654918E-3</v>
      </c>
      <c r="X25" s="53">
        <f t="shared" si="31"/>
        <v>0.20705973829307586</v>
      </c>
      <c r="Y25" s="53">
        <f t="shared" si="17"/>
        <v>1.1352117892134528E-2</v>
      </c>
      <c r="Z25" s="53">
        <f t="shared" si="31"/>
        <v>2.6020427567496757E-2</v>
      </c>
      <c r="AA25" s="53"/>
      <c r="AB25" s="53">
        <f t="shared" si="13"/>
        <v>0.13048183933120833</v>
      </c>
      <c r="AC25" s="53">
        <f t="shared" si="18"/>
        <v>-9.3064453919570189E-3</v>
      </c>
      <c r="AD25" s="53">
        <f t="shared" si="31"/>
        <v>0.33936973777852131</v>
      </c>
      <c r="AE25" s="53">
        <f t="shared" si="18"/>
        <v>-1.1834971576007769E-2</v>
      </c>
      <c r="AF25" s="53">
        <f t="shared" si="31"/>
        <v>0.62437952052960843</v>
      </c>
      <c r="AG25" s="53">
        <f t="shared" si="19"/>
        <v>2.6454702356661919E-3</v>
      </c>
      <c r="AH25" s="53">
        <f t="shared" si="31"/>
        <v>0.20705973829307586</v>
      </c>
      <c r="AI25" s="53">
        <f t="shared" si="20"/>
        <v>1.1352117892134528E-2</v>
      </c>
      <c r="AJ25" s="53">
        <f t="shared" si="31"/>
        <v>2.6020427567496757E-2</v>
      </c>
      <c r="AK25" s="53">
        <f t="shared" si="31"/>
        <v>0.91371292876750265</v>
      </c>
      <c r="AL25" s="53">
        <f t="shared" si="21"/>
        <v>8.4098275523669663E-4</v>
      </c>
      <c r="AM25" s="53">
        <f t="shared" si="31"/>
        <v>0.66046035978549789</v>
      </c>
      <c r="AN25" s="53">
        <f t="shared" si="22"/>
        <v>5.6743452434024899E-3</v>
      </c>
      <c r="AO25" s="53">
        <f t="shared" si="31"/>
        <v>0.71906128841976313</v>
      </c>
      <c r="AP25" s="53">
        <f t="shared" si="23"/>
        <v>1.8091155906010403E-3</v>
      </c>
      <c r="AQ25" s="53">
        <f t="shared" si="31"/>
        <v>1.6785217220326545</v>
      </c>
      <c r="AR25" s="53">
        <f t="shared" si="23"/>
        <v>1.0585838762677824E-3</v>
      </c>
      <c r="AS25" s="53">
        <f t="shared" si="31"/>
        <v>0.8539668055135391</v>
      </c>
      <c r="AT25" s="53">
        <f t="shared" si="24"/>
        <v>1.6334031512970082E-3</v>
      </c>
      <c r="AU25" s="53">
        <f t="shared" si="31"/>
        <v>1.2004380176773106</v>
      </c>
      <c r="AV25" s="53"/>
      <c r="AW25" s="53">
        <f t="shared" si="31"/>
        <v>0.45987381730131294</v>
      </c>
      <c r="AX25" s="53">
        <f t="shared" si="25"/>
        <v>-1.6523245181832014E-4</v>
      </c>
      <c r="AY25" s="53">
        <f t="shared" si="31"/>
        <v>3.5289343724186826</v>
      </c>
      <c r="AZ25" s="53"/>
      <c r="BA25" s="53">
        <f t="shared" si="14"/>
        <v>0.42486931681323187</v>
      </c>
      <c r="BB25" s="53">
        <f t="shared" si="26"/>
        <v>-4.6292302651608219E-3</v>
      </c>
      <c r="BC25" s="53">
        <f t="shared" si="31"/>
        <v>1</v>
      </c>
      <c r="BD25" s="53">
        <f t="shared" si="31"/>
        <v>1</v>
      </c>
      <c r="BE25" s="105">
        <f t="shared" si="15"/>
        <v>0.20043801767731062</v>
      </c>
      <c r="BI25" s="310"/>
      <c r="BJ25" s="310"/>
      <c r="BK25" s="310"/>
      <c r="BL25" s="310"/>
      <c r="BM25" s="310"/>
      <c r="BO25" s="28">
        <v>2011</v>
      </c>
      <c r="BP25" s="29">
        <f t="shared" si="29"/>
        <v>1.2937254901960784</v>
      </c>
      <c r="BQ25" s="29">
        <f t="shared" si="29"/>
        <v>1.078902953586498</v>
      </c>
      <c r="BR25" s="29">
        <f t="shared" si="29"/>
        <v>1.1372180451127818</v>
      </c>
      <c r="BS25" s="29">
        <f t="shared" si="29"/>
        <v>1.0210027100271004</v>
      </c>
      <c r="BT25" s="29">
        <f t="shared" si="29"/>
        <v>1.0961194029850745</v>
      </c>
      <c r="BU25" s="29">
        <f t="shared" si="29"/>
        <v>1.0390347764371894</v>
      </c>
      <c r="BV25" s="29">
        <f t="shared" si="29"/>
        <v>0.8671916010498687</v>
      </c>
      <c r="BW25" s="29">
        <f t="shared" si="29"/>
        <v>0.93130699088145907</v>
      </c>
      <c r="BX25" s="29">
        <f t="shared" si="29"/>
        <v>1.0427046263345197</v>
      </c>
      <c r="BZ25" s="28">
        <v>2011</v>
      </c>
      <c r="CA25" s="29">
        <f t="shared" si="30"/>
        <v>0.81147540983606559</v>
      </c>
      <c r="CB25" s="29">
        <f t="shared" si="30"/>
        <v>0.81711606096131306</v>
      </c>
      <c r="CC25" s="29">
        <f t="shared" si="30"/>
        <v>0.73918918918918908</v>
      </c>
      <c r="CD25" s="29">
        <f t="shared" si="30"/>
        <v>0.72788203753351199</v>
      </c>
      <c r="CE25" s="29">
        <f t="shared" si="30"/>
        <v>0.76117886178861793</v>
      </c>
      <c r="CF25" s="29">
        <f t="shared" si="30"/>
        <v>0.72997711670480547</v>
      </c>
      <c r="CG25" s="29">
        <f t="shared" si="30"/>
        <v>0.73830594184576481</v>
      </c>
      <c r="CH25" s="29">
        <f t="shared" si="30"/>
        <v>0.79621542940320233</v>
      </c>
      <c r="CI25" s="29">
        <f t="shared" si="30"/>
        <v>0.79729729729729726</v>
      </c>
    </row>
    <row r="26" spans="1:87" x14ac:dyDescent="0.2">
      <c r="A26" s="26">
        <f t="shared" si="32"/>
        <v>2027</v>
      </c>
      <c r="B26" s="307">
        <v>8.3668992443359684</v>
      </c>
      <c r="C26" s="142">
        <v>3.6720199999999998</v>
      </c>
      <c r="D26" s="100">
        <f t="shared" si="0"/>
        <v>354.01670363087203</v>
      </c>
      <c r="E26" s="307">
        <v>14.292741239117538</v>
      </c>
      <c r="F26" s="142">
        <v>17.198823999999998</v>
      </c>
      <c r="G26" s="307">
        <v>14.33977331883257</v>
      </c>
      <c r="H26" s="307">
        <v>11.0365098007554</v>
      </c>
      <c r="I26" s="307">
        <v>0.98429763655557467</v>
      </c>
      <c r="J26" s="308">
        <v>453.87905072495818</v>
      </c>
      <c r="K26" s="308">
        <v>412.76444890663794</v>
      </c>
      <c r="L26" s="100">
        <f t="shared" si="2"/>
        <v>330.22830310790187</v>
      </c>
      <c r="M26" s="100">
        <f t="shared" si="3"/>
        <v>316.18866387824568</v>
      </c>
      <c r="N26" s="100">
        <f t="shared" si="4"/>
        <v>69.102726492425504</v>
      </c>
      <c r="O26" s="100">
        <f t="shared" si="5"/>
        <v>677.29312871746174</v>
      </c>
      <c r="P26" s="100">
        <f t="shared" si="27"/>
        <v>215.32191801218977</v>
      </c>
      <c r="Q26" s="100">
        <f t="shared" si="28"/>
        <v>656.22281892092496</v>
      </c>
      <c r="R26" s="101">
        <f t="shared" si="6"/>
        <v>1165.1227952647812</v>
      </c>
      <c r="S26" s="101">
        <f t="shared" si="6"/>
        <v>6194.6977557610198</v>
      </c>
      <c r="T26" s="65"/>
      <c r="U26" s="8">
        <v>2025</v>
      </c>
      <c r="V26" s="53">
        <f t="shared" si="31"/>
        <v>0.30678004798199193</v>
      </c>
      <c r="W26" s="53">
        <f t="shared" si="17"/>
        <v>-2.353946900071735E-3</v>
      </c>
      <c r="X26" s="53">
        <f t="shared" si="31"/>
        <v>0.20938308338598846</v>
      </c>
      <c r="Y26" s="53">
        <f t="shared" si="17"/>
        <v>1.1220651161183648E-2</v>
      </c>
      <c r="Z26" s="53">
        <f t="shared" si="31"/>
        <v>2.6506718466155911E-2</v>
      </c>
      <c r="AA26" s="53"/>
      <c r="AB26" s="53">
        <f t="shared" si="13"/>
        <v>0.12925963588974015</v>
      </c>
      <c r="AC26" s="53">
        <f t="shared" si="18"/>
        <v>-9.3668471239571893E-3</v>
      </c>
      <c r="AD26" s="53">
        <f t="shared" si="31"/>
        <v>0.33534772134902457</v>
      </c>
      <c r="AE26" s="53">
        <f t="shared" si="18"/>
        <v>-1.185142922826421E-2</v>
      </c>
      <c r="AF26" s="53">
        <f t="shared" si="31"/>
        <v>0.62597198088618589</v>
      </c>
      <c r="AG26" s="53">
        <f t="shared" si="19"/>
        <v>2.5504685919657266E-3</v>
      </c>
      <c r="AH26" s="53">
        <f t="shared" si="31"/>
        <v>0.20938308338598846</v>
      </c>
      <c r="AI26" s="53">
        <f t="shared" si="20"/>
        <v>1.1220651161183648E-2</v>
      </c>
      <c r="AJ26" s="53">
        <f t="shared" si="31"/>
        <v>2.6506718466155911E-2</v>
      </c>
      <c r="AK26" s="53">
        <f t="shared" si="31"/>
        <v>0.91447826988389547</v>
      </c>
      <c r="AL26" s="53">
        <f t="shared" si="21"/>
        <v>8.3761659958692114E-4</v>
      </c>
      <c r="AM26" s="53">
        <f t="shared" si="31"/>
        <v>0.66425353941236864</v>
      </c>
      <c r="AN26" s="53">
        <f t="shared" si="22"/>
        <v>5.743235866725982E-3</v>
      </c>
      <c r="AO26" s="53">
        <f t="shared" si="31"/>
        <v>0.72030114623647423</v>
      </c>
      <c r="AP26" s="53">
        <f t="shared" si="23"/>
        <v>1.7242727938195923E-3</v>
      </c>
      <c r="AQ26" s="53">
        <f t="shared" si="31"/>
        <v>1.6801985427691335</v>
      </c>
      <c r="AR26" s="53">
        <f t="shared" si="23"/>
        <v>9.9898661689556967E-4</v>
      </c>
      <c r="AS26" s="53">
        <f t="shared" si="31"/>
        <v>0.8553571252270753</v>
      </c>
      <c r="AT26" s="53">
        <f t="shared" si="24"/>
        <v>1.6280723144737053E-3</v>
      </c>
      <c r="AU26" s="53">
        <f t="shared" si="31"/>
        <v>1.2002777969749625</v>
      </c>
      <c r="AV26" s="53"/>
      <c r="AW26" s="53">
        <f t="shared" si="31"/>
        <v>0.45980027249032462</v>
      </c>
      <c r="AX26" s="53">
        <f t="shared" si="25"/>
        <v>-1.5992389264496421E-4</v>
      </c>
      <c r="AY26" s="53">
        <f t="shared" si="31"/>
        <v>3.5445559937998579</v>
      </c>
      <c r="AZ26" s="53"/>
      <c r="BA26" s="53">
        <f t="shared" si="14"/>
        <v>0.42293558960587629</v>
      </c>
      <c r="BB26" s="53">
        <f t="shared" si="26"/>
        <v>-4.5513458629106163E-3</v>
      </c>
      <c r="BC26" s="53">
        <f t="shared" si="31"/>
        <v>1</v>
      </c>
      <c r="BD26" s="53">
        <f t="shared" si="31"/>
        <v>1</v>
      </c>
      <c r="BE26" s="105">
        <f t="shared" si="15"/>
        <v>0.20027779697496251</v>
      </c>
      <c r="BI26" s="310"/>
      <c r="BJ26" s="310"/>
      <c r="BK26" s="310"/>
      <c r="BL26" s="27">
        <f>SUM(BL5:BL24)</f>
        <v>15801.66777832112</v>
      </c>
      <c r="BM26" s="27">
        <f>SUM(BM5:BM24)</f>
        <v>17673.517233594957</v>
      </c>
      <c r="BO26" s="28">
        <v>2012</v>
      </c>
      <c r="BP26" s="29">
        <f t="shared" si="29"/>
        <v>1.3160784313725491</v>
      </c>
      <c r="BQ26" s="29">
        <f t="shared" si="29"/>
        <v>1.1130801687763714</v>
      </c>
      <c r="BR26" s="29">
        <f t="shared" si="29"/>
        <v>1.131578947368421</v>
      </c>
      <c r="BS26" s="29">
        <f t="shared" si="29"/>
        <v>1.0203252032520325</v>
      </c>
      <c r="BT26" s="29">
        <f t="shared" si="29"/>
        <v>1.1002985074626865</v>
      </c>
      <c r="BU26" s="29">
        <f t="shared" si="29"/>
        <v>1.0369056068133429</v>
      </c>
      <c r="BV26" s="29">
        <f t="shared" si="29"/>
        <v>0.87611548556430452</v>
      </c>
      <c r="BW26" s="29">
        <f t="shared" si="29"/>
        <v>0.95987841945288754</v>
      </c>
      <c r="BX26" s="29">
        <f t="shared" si="29"/>
        <v>1.0416878495170308</v>
      </c>
      <c r="BZ26" s="28">
        <v>2012</v>
      </c>
      <c r="CA26" s="29">
        <f t="shared" si="30"/>
        <v>0.81045081967213117</v>
      </c>
      <c r="CB26" s="29">
        <f t="shared" si="30"/>
        <v>0.82297772567409144</v>
      </c>
      <c r="CC26" s="29">
        <f t="shared" si="30"/>
        <v>0.7121621621621621</v>
      </c>
      <c r="CD26" s="29">
        <f t="shared" si="30"/>
        <v>0.71983914209115285</v>
      </c>
      <c r="CE26" s="29">
        <f t="shared" si="30"/>
        <v>0.75406504065040647</v>
      </c>
      <c r="CF26" s="29">
        <f t="shared" si="30"/>
        <v>0.72540045766590389</v>
      </c>
      <c r="CG26" s="29">
        <f t="shared" si="30"/>
        <v>0.72945638432364091</v>
      </c>
      <c r="CH26" s="29">
        <f t="shared" si="30"/>
        <v>0.7889374090247453</v>
      </c>
      <c r="CI26" s="29">
        <f t="shared" si="30"/>
        <v>0.79054054054054046</v>
      </c>
    </row>
    <row r="27" spans="1:87" x14ac:dyDescent="0.2">
      <c r="A27" s="26">
        <f t="shared" si="32"/>
        <v>2028</v>
      </c>
      <c r="B27" s="307">
        <v>8.3820133515158552</v>
      </c>
      <c r="C27" s="142">
        <v>3.6878350000000002</v>
      </c>
      <c r="D27" s="100">
        <f t="shared" si="0"/>
        <v>345.61365104914455</v>
      </c>
      <c r="E27" s="307">
        <v>14.322822084287804</v>
      </c>
      <c r="F27" s="142">
        <v>17.310966000000001</v>
      </c>
      <c r="G27" s="307">
        <v>14.371698710856524</v>
      </c>
      <c r="H27" s="307">
        <v>11.053065298474133</v>
      </c>
      <c r="I27" s="307">
        <v>0.98810952618150916</v>
      </c>
      <c r="J27" s="308">
        <v>451.27329007356576</v>
      </c>
      <c r="K27" s="308">
        <v>411.15410932159227</v>
      </c>
      <c r="L27" s="100">
        <f t="shared" si="2"/>
        <v>330.93029938973899</v>
      </c>
      <c r="M27" s="100">
        <f t="shared" si="3"/>
        <v>316.62927262134241</v>
      </c>
      <c r="N27" s="100">
        <f t="shared" si="4"/>
        <v>69.292832204904883</v>
      </c>
      <c r="O27" s="100">
        <f t="shared" si="5"/>
        <v>677.47048870015078</v>
      </c>
      <c r="P27" s="100">
        <f t="shared" si="27"/>
        <v>215.97685260711106</v>
      </c>
      <c r="Q27" s="100">
        <f t="shared" si="28"/>
        <v>660.42299242267268</v>
      </c>
      <c r="R27" s="101">
        <f t="shared" si="6"/>
        <v>1159.4596184884074</v>
      </c>
      <c r="S27" s="101">
        <f t="shared" si="6"/>
        <v>6317.2391123234102</v>
      </c>
      <c r="T27" s="65"/>
      <c r="U27" s="23">
        <v>2026</v>
      </c>
      <c r="V27" s="53">
        <f t="shared" si="31"/>
        <v>0.30611690453485013</v>
      </c>
      <c r="W27" s="53">
        <f t="shared" si="17"/>
        <v>-2.1616250844993523E-3</v>
      </c>
      <c r="X27" s="53">
        <f t="shared" si="31"/>
        <v>0.21166089611761774</v>
      </c>
      <c r="Y27" s="53">
        <f t="shared" si="17"/>
        <v>1.0878685588129544E-2</v>
      </c>
      <c r="Z27" s="53">
        <f t="shared" si="31"/>
        <v>2.6955902417552469E-2</v>
      </c>
      <c r="AA27" s="53"/>
      <c r="AB27" s="53">
        <f t="shared" si="13"/>
        <v>0.12806293121343776</v>
      </c>
      <c r="AC27" s="53">
        <f t="shared" si="18"/>
        <v>-9.2581467374950321E-3</v>
      </c>
      <c r="AD27" s="53">
        <f t="shared" si="31"/>
        <v>0.33140083049830144</v>
      </c>
      <c r="AE27" s="53">
        <f t="shared" si="18"/>
        <v>-1.1769547247393652E-2</v>
      </c>
      <c r="AF27" s="53">
        <f t="shared" si="31"/>
        <v>0.62755204951912913</v>
      </c>
      <c r="AG27" s="53">
        <f t="shared" si="19"/>
        <v>2.5241842785141966E-3</v>
      </c>
      <c r="AH27" s="53">
        <f t="shared" si="31"/>
        <v>0.21166089611761774</v>
      </c>
      <c r="AI27" s="53">
        <f t="shared" si="20"/>
        <v>1.0878685588129544E-2</v>
      </c>
      <c r="AJ27" s="53">
        <f t="shared" si="31"/>
        <v>2.6955902417552469E-2</v>
      </c>
      <c r="AK27" s="53">
        <f t="shared" si="31"/>
        <v>0.91523064672549215</v>
      </c>
      <c r="AL27" s="53">
        <f t="shared" si="21"/>
        <v>8.2273889536188527E-4</v>
      </c>
      <c r="AM27" s="53">
        <f t="shared" si="31"/>
        <v>0.66807529825123813</v>
      </c>
      <c r="AN27" s="53">
        <f t="shared" si="22"/>
        <v>5.7534640195524567E-3</v>
      </c>
      <c r="AO27" s="53">
        <f t="shared" si="31"/>
        <v>0.72149974964468666</v>
      </c>
      <c r="AP27" s="53">
        <f t="shared" si="23"/>
        <v>1.6640309604878389E-3</v>
      </c>
      <c r="AQ27" s="53">
        <f t="shared" si="31"/>
        <v>1.6818537861247522</v>
      </c>
      <c r="AR27" s="53">
        <f t="shared" si="23"/>
        <v>9.8514747720868101E-4</v>
      </c>
      <c r="AS27" s="53">
        <f t="shared" si="31"/>
        <v>0.85672936210740602</v>
      </c>
      <c r="AT27" s="53">
        <f t="shared" si="24"/>
        <v>1.6042853211357677E-3</v>
      </c>
      <c r="AU27" s="53">
        <f t="shared" si="31"/>
        <v>1.2001003136855268</v>
      </c>
      <c r="AV27" s="53"/>
      <c r="AW27" s="53">
        <f t="shared" si="31"/>
        <v>0.45971914128740227</v>
      </c>
      <c r="AX27" s="53">
        <f t="shared" si="25"/>
        <v>-1.7644879260936275E-4</v>
      </c>
      <c r="AY27" s="53">
        <f t="shared" si="31"/>
        <v>3.5604498405838338</v>
      </c>
      <c r="AZ27" s="53"/>
      <c r="BA27" s="53">
        <f t="shared" si="14"/>
        <v>0.42101124429899411</v>
      </c>
      <c r="BB27" s="53">
        <f t="shared" si="26"/>
        <v>-4.5499725115955014E-3</v>
      </c>
      <c r="BC27" s="53">
        <f t="shared" si="31"/>
        <v>1</v>
      </c>
      <c r="BD27" s="53">
        <f t="shared" si="31"/>
        <v>1</v>
      </c>
      <c r="BE27" s="105">
        <f t="shared" si="15"/>
        <v>0.20010031368552683</v>
      </c>
      <c r="BI27" s="310"/>
      <c r="BJ27" s="310"/>
      <c r="BK27" s="310" t="s">
        <v>151</v>
      </c>
      <c r="BL27" s="27">
        <v>17673.517233594957</v>
      </c>
      <c r="BM27" s="27"/>
      <c r="BO27" s="28">
        <v>2013</v>
      </c>
      <c r="BP27" s="29">
        <f t="shared" si="29"/>
        <v>1.328235294117647</v>
      </c>
      <c r="BQ27" s="29">
        <f t="shared" si="29"/>
        <v>1.1295358649789029</v>
      </c>
      <c r="BR27" s="29">
        <f t="shared" si="29"/>
        <v>1.1409774436090225</v>
      </c>
      <c r="BS27" s="29">
        <f t="shared" si="29"/>
        <v>1.046070460704607</v>
      </c>
      <c r="BT27" s="29">
        <f t="shared" si="29"/>
        <v>1.1062686567164179</v>
      </c>
      <c r="BU27" s="29">
        <f t="shared" si="29"/>
        <v>1.0312278211497516</v>
      </c>
      <c r="BV27" s="29">
        <f t="shared" si="29"/>
        <v>0.87874015748031487</v>
      </c>
      <c r="BW27" s="29">
        <f t="shared" si="29"/>
        <v>0.98723404255319147</v>
      </c>
      <c r="BX27" s="29">
        <f t="shared" si="29"/>
        <v>1.0350788002033553</v>
      </c>
      <c r="BZ27" s="28">
        <v>2013</v>
      </c>
      <c r="CA27" s="29">
        <f t="shared" si="30"/>
        <v>0.82274590163934425</v>
      </c>
      <c r="CB27" s="29">
        <f t="shared" si="30"/>
        <v>0.8429073856975382</v>
      </c>
      <c r="CC27" s="29">
        <f t="shared" si="30"/>
        <v>0.70540540540540531</v>
      </c>
      <c r="CD27" s="29">
        <f t="shared" si="30"/>
        <v>0.71447721179624668</v>
      </c>
      <c r="CE27" s="29">
        <f t="shared" si="30"/>
        <v>0.75508130081300806</v>
      </c>
      <c r="CF27" s="29">
        <f t="shared" si="30"/>
        <v>0.72540045766590389</v>
      </c>
      <c r="CG27" s="29">
        <f t="shared" si="30"/>
        <v>0.72566371681415931</v>
      </c>
      <c r="CH27" s="29">
        <f t="shared" si="30"/>
        <v>0.79184861717612809</v>
      </c>
      <c r="CI27" s="29">
        <f t="shared" si="30"/>
        <v>0.78783783783783778</v>
      </c>
    </row>
    <row r="28" spans="1:87" x14ac:dyDescent="0.2">
      <c r="A28" s="26">
        <f t="shared" si="32"/>
        <v>2029</v>
      </c>
      <c r="B28" s="307">
        <v>8.3945062409389717</v>
      </c>
      <c r="C28" s="142">
        <v>3.7035469999999999</v>
      </c>
      <c r="D28" s="100">
        <f t="shared" si="0"/>
        <v>335.31520701696746</v>
      </c>
      <c r="E28" s="307">
        <v>14.347722981616645</v>
      </c>
      <c r="F28" s="142">
        <v>17.422353999999999</v>
      </c>
      <c r="G28" s="307">
        <v>14.398754962505095</v>
      </c>
      <c r="H28" s="307">
        <v>11.06150710486053</v>
      </c>
      <c r="I28" s="307">
        <v>0.99146862554272841</v>
      </c>
      <c r="J28" s="308">
        <v>448.92414645913277</v>
      </c>
      <c r="K28" s="308">
        <v>409.68696562672051</v>
      </c>
      <c r="L28" s="100">
        <f t="shared" si="2"/>
        <v>329.81921028319863</v>
      </c>
      <c r="M28" s="100">
        <f t="shared" si="3"/>
        <v>315.48431158699367</v>
      </c>
      <c r="N28" s="100">
        <f t="shared" si="4"/>
        <v>69.10064719926315</v>
      </c>
      <c r="O28" s="100">
        <f t="shared" si="5"/>
        <v>674.29231234221595</v>
      </c>
      <c r="P28" s="100">
        <f t="shared" si="27"/>
        <v>215.54449635579306</v>
      </c>
      <c r="Q28" s="100">
        <f t="shared" si="28"/>
        <v>660.41878387762711</v>
      </c>
      <c r="R28" s="101">
        <f t="shared" si="6"/>
        <v>1148.3961477918631</v>
      </c>
      <c r="S28" s="101">
        <f t="shared" si="6"/>
        <v>6396.5913263988132</v>
      </c>
      <c r="T28" s="65"/>
      <c r="U28" s="23">
        <v>2027</v>
      </c>
      <c r="V28" s="53">
        <f t="shared" si="31"/>
        <v>0.30556721996115327</v>
      </c>
      <c r="W28" s="53">
        <f t="shared" si="17"/>
        <v>-1.7956687969653551E-3</v>
      </c>
      <c r="X28" s="53">
        <f t="shared" si="31"/>
        <v>0.2138286985274124</v>
      </c>
      <c r="Y28" s="53">
        <f t="shared" si="17"/>
        <v>1.0241865406211081E-2</v>
      </c>
      <c r="Z28" s="53">
        <f t="shared" si="31"/>
        <v>2.7354471427156052E-2</v>
      </c>
      <c r="AA28" s="53"/>
      <c r="AB28" s="53">
        <f t="shared" si="13"/>
        <v>0.12692301419276186</v>
      </c>
      <c r="AC28" s="53">
        <f t="shared" si="18"/>
        <v>-8.9012254356105602E-3</v>
      </c>
      <c r="AD28" s="53">
        <f t="shared" si="31"/>
        <v>0.32760710419507205</v>
      </c>
      <c r="AE28" s="53">
        <f t="shared" si="18"/>
        <v>-1.1447546155889388E-2</v>
      </c>
      <c r="AF28" s="53">
        <f t="shared" si="31"/>
        <v>0.6291689092754299</v>
      </c>
      <c r="AG28" s="53">
        <f t="shared" si="19"/>
        <v>2.5764552239766481E-3</v>
      </c>
      <c r="AH28" s="53">
        <f t="shared" si="31"/>
        <v>0.2138286985274124</v>
      </c>
      <c r="AI28" s="53">
        <f t="shared" si="20"/>
        <v>1.0241865406211081E-2</v>
      </c>
      <c r="AJ28" s="53">
        <f t="shared" si="31"/>
        <v>2.7354471427156052E-2</v>
      </c>
      <c r="AK28" s="53">
        <f t="shared" si="31"/>
        <v>0.91595420477275835</v>
      </c>
      <c r="AL28" s="53">
        <f t="shared" si="21"/>
        <v>7.9057453971298486E-4</v>
      </c>
      <c r="AM28" s="53">
        <f t="shared" si="31"/>
        <v>0.67177993636224875</v>
      </c>
      <c r="AN28" s="53">
        <f t="shared" si="22"/>
        <v>5.5452403654316917E-3</v>
      </c>
      <c r="AO28" s="53">
        <f t="shared" si="31"/>
        <v>0.72269573623172112</v>
      </c>
      <c r="AP28" s="53">
        <f t="shared" si="23"/>
        <v>1.6576396424579087E-3</v>
      </c>
      <c r="AQ28" s="53">
        <f t="shared" si="31"/>
        <v>1.6835650432004954</v>
      </c>
      <c r="AR28" s="53">
        <f t="shared" si="23"/>
        <v>1.0174826669600012E-3</v>
      </c>
      <c r="AS28" s="53">
        <f t="shared" si="31"/>
        <v>0.85805448912459503</v>
      </c>
      <c r="AT28" s="53">
        <f t="shared" si="24"/>
        <v>1.5467276783061035E-3</v>
      </c>
      <c r="AU28" s="53">
        <f t="shared" si="31"/>
        <v>1.1998880703924766</v>
      </c>
      <c r="AV28" s="53"/>
      <c r="AW28" s="53">
        <f t="shared" si="31"/>
        <v>0.4596163672342749</v>
      </c>
      <c r="AX28" s="53">
        <f t="shared" si="25"/>
        <v>-2.2355835095222432E-4</v>
      </c>
      <c r="AY28" s="53">
        <f t="shared" si="31"/>
        <v>3.5762501585344864</v>
      </c>
      <c r="AZ28" s="53"/>
      <c r="BA28" s="53">
        <f t="shared" si="14"/>
        <v>0.4191200258815917</v>
      </c>
      <c r="BB28" s="53">
        <f t="shared" si="26"/>
        <v>-4.492085289910519E-3</v>
      </c>
      <c r="BC28" s="53">
        <f t="shared" si="31"/>
        <v>1</v>
      </c>
      <c r="BD28" s="53">
        <f t="shared" si="31"/>
        <v>1</v>
      </c>
      <c r="BE28" s="105">
        <f t="shared" si="15"/>
        <v>0.19988807039247658</v>
      </c>
      <c r="BI28" s="309"/>
      <c r="BJ28" s="309"/>
      <c r="BK28" s="309" t="s">
        <v>76</v>
      </c>
      <c r="BL28" s="69">
        <f>BL27/BL26</f>
        <v>1.1184589805034311</v>
      </c>
      <c r="BM28" s="13"/>
      <c r="BO28" s="28">
        <v>2014</v>
      </c>
      <c r="BP28" s="29">
        <f t="shared" si="29"/>
        <v>1.3203921568627452</v>
      </c>
      <c r="BQ28" s="29">
        <f t="shared" si="29"/>
        <v>1.1358649789029538</v>
      </c>
      <c r="BR28" s="29">
        <f t="shared" si="29"/>
        <v>1.1416040100250626</v>
      </c>
      <c r="BS28" s="29">
        <f t="shared" si="29"/>
        <v>1.0420054200542006</v>
      </c>
      <c r="BT28" s="29">
        <f t="shared" si="29"/>
        <v>1.102686567164179</v>
      </c>
      <c r="BU28" s="29">
        <f t="shared" si="29"/>
        <v>1.0198722498225692</v>
      </c>
      <c r="BV28" s="29">
        <f t="shared" si="29"/>
        <v>0.88136482939632543</v>
      </c>
      <c r="BW28" s="29">
        <f t="shared" si="29"/>
        <v>0.99209726443769009</v>
      </c>
      <c r="BX28" s="29">
        <f t="shared" si="29"/>
        <v>1.0366039654295882</v>
      </c>
      <c r="BZ28" s="28">
        <v>2014</v>
      </c>
      <c r="CA28" s="29">
        <f t="shared" si="30"/>
        <v>0.82889344262295084</v>
      </c>
      <c r="CB28" s="29">
        <f t="shared" si="30"/>
        <v>0.85932004689331776</v>
      </c>
      <c r="CC28" s="29">
        <f t="shared" si="30"/>
        <v>0.69729729729729728</v>
      </c>
      <c r="CD28" s="29">
        <f t="shared" si="30"/>
        <v>0.70643431635388731</v>
      </c>
      <c r="CE28" s="29">
        <f t="shared" si="30"/>
        <v>0.74288617886178854</v>
      </c>
      <c r="CF28" s="29">
        <f t="shared" si="30"/>
        <v>0.72311212814645309</v>
      </c>
      <c r="CG28" s="29">
        <f t="shared" si="30"/>
        <v>0.7193426042983565</v>
      </c>
      <c r="CH28" s="29">
        <f t="shared" si="30"/>
        <v>0.7831149927219796</v>
      </c>
      <c r="CI28" s="29">
        <f t="shared" si="30"/>
        <v>0.77567567567567564</v>
      </c>
    </row>
    <row r="29" spans="1:87" x14ac:dyDescent="0.2">
      <c r="A29" s="26">
        <f t="shared" si="32"/>
        <v>2030</v>
      </c>
      <c r="B29" s="307">
        <v>8.405648247040185</v>
      </c>
      <c r="C29" s="142">
        <v>3.7192210000000001</v>
      </c>
      <c r="D29" s="100">
        <f t="shared" si="0"/>
        <v>326.32083832269967</v>
      </c>
      <c r="E29" s="307">
        <v>14.374589757458491</v>
      </c>
      <c r="F29" s="142">
        <v>17.533472</v>
      </c>
      <c r="G29" s="307">
        <v>14.421297347885083</v>
      </c>
      <c r="H29" s="307">
        <v>11.061324610560973</v>
      </c>
      <c r="I29" s="307">
        <v>0.99435966112915053</v>
      </c>
      <c r="J29" s="308">
        <v>446.81914432469313</v>
      </c>
      <c r="K29" s="308">
        <v>408.35116049756937</v>
      </c>
      <c r="L29" s="100">
        <f t="shared" si="2"/>
        <v>329.70775549960115</v>
      </c>
      <c r="M29" s="100">
        <f t="shared" si="3"/>
        <v>315.35039504397855</v>
      </c>
      <c r="N29" s="100">
        <f t="shared" si="4"/>
        <v>69.099013800494049</v>
      </c>
      <c r="O29" s="100">
        <f t="shared" si="5"/>
        <v>674.08999057112578</v>
      </c>
      <c r="P29" s="100">
        <f t="shared" si="27"/>
        <v>216.09082431746859</v>
      </c>
      <c r="Q29" s="100">
        <f t="shared" si="28"/>
        <v>661.87033342277857</v>
      </c>
      <c r="R29" s="101">
        <f t="shared" si="6"/>
        <v>1142.7026533663559</v>
      </c>
      <c r="S29" s="101">
        <f t="shared" si="6"/>
        <v>6512.5928463861974</v>
      </c>
      <c r="T29" s="72"/>
      <c r="U29" s="23">
        <v>2028</v>
      </c>
      <c r="V29" s="53">
        <f t="shared" si="31"/>
        <v>0.30511913566547072</v>
      </c>
      <c r="W29" s="53">
        <f t="shared" si="17"/>
        <v>-1.4664017159284892E-3</v>
      </c>
      <c r="X29" s="53">
        <f t="shared" si="31"/>
        <v>0.21587651085286272</v>
      </c>
      <c r="Y29" s="53">
        <f t="shared" si="17"/>
        <v>9.57688252116351E-3</v>
      </c>
      <c r="Z29" s="53">
        <f t="shared" si="31"/>
        <v>2.7703479459295036E-2</v>
      </c>
      <c r="AA29" s="53"/>
      <c r="AB29" s="53">
        <f t="shared" si="13"/>
        <v>0.12584603829539937</v>
      </c>
      <c r="AC29" s="53">
        <f t="shared" ref="AC29:AE43" si="33">AB29/AB28-1</f>
        <v>-8.4852688396358511E-3</v>
      </c>
      <c r="AD29" s="53">
        <f t="shared" si="31"/>
        <v>0.32400885572795185</v>
      </c>
      <c r="AE29" s="53">
        <f t="shared" si="33"/>
        <v>-1.0983426247611616E-2</v>
      </c>
      <c r="AF29" s="53">
        <f t="shared" si="31"/>
        <v>0.63082161005648818</v>
      </c>
      <c r="AG29" s="53">
        <f t="shared" si="19"/>
        <v>2.6267998254421165E-3</v>
      </c>
      <c r="AH29" s="53">
        <f t="shared" si="31"/>
        <v>0.21587651085286272</v>
      </c>
      <c r="AI29" s="53">
        <f t="shared" si="20"/>
        <v>9.57688252116351E-3</v>
      </c>
      <c r="AJ29" s="53">
        <f t="shared" si="31"/>
        <v>2.7703479459295036E-2</v>
      </c>
      <c r="AK29" s="53">
        <f t="shared" si="31"/>
        <v>0.91663448472713482</v>
      </c>
      <c r="AL29" s="53">
        <f t="shared" si="21"/>
        <v>7.4270083682326238E-4</v>
      </c>
      <c r="AM29" s="53">
        <f t="shared" si="31"/>
        <v>0.67531988928525855</v>
      </c>
      <c r="AN29" s="53">
        <f t="shared" si="22"/>
        <v>5.2695127249244855E-3</v>
      </c>
      <c r="AO29" s="53">
        <f t="shared" si="31"/>
        <v>0.72387980544490604</v>
      </c>
      <c r="AP29" s="53">
        <f t="shared" si="23"/>
        <v>1.638406252898239E-3</v>
      </c>
      <c r="AQ29" s="53">
        <f t="shared" si="31"/>
        <v>1.6851874585379099</v>
      </c>
      <c r="AR29" s="53">
        <f t="shared" si="23"/>
        <v>9.636784417490496E-4</v>
      </c>
      <c r="AS29" s="53">
        <f t="shared" si="31"/>
        <v>0.85930918790846023</v>
      </c>
      <c r="AT29" s="53">
        <f t="shared" si="24"/>
        <v>1.4622600309979195E-3</v>
      </c>
      <c r="AU29" s="53">
        <f t="shared" si="31"/>
        <v>1.1996469561610019</v>
      </c>
      <c r="AV29" s="53"/>
      <c r="AW29" s="53">
        <f t="shared" si="31"/>
        <v>0.45947282898902347</v>
      </c>
      <c r="AX29" s="53">
        <f t="shared" si="25"/>
        <v>-3.1230011697613858E-4</v>
      </c>
      <c r="AY29" s="53">
        <f t="shared" si="31"/>
        <v>3.5919593328330164</v>
      </c>
      <c r="AZ29" s="53"/>
      <c r="BA29" s="53">
        <f t="shared" si="14"/>
        <v>0.41726794382502863</v>
      </c>
      <c r="BB29" s="53">
        <f t="shared" si="26"/>
        <v>-4.4189777204449721E-3</v>
      </c>
      <c r="BC29" s="53">
        <f t="shared" si="31"/>
        <v>1</v>
      </c>
      <c r="BD29" s="53">
        <f t="shared" si="31"/>
        <v>1</v>
      </c>
      <c r="BE29" s="105">
        <f t="shared" si="15"/>
        <v>0.19964695616100192</v>
      </c>
      <c r="BK29" s="15"/>
      <c r="BL29" s="65"/>
      <c r="BO29" s="28">
        <v>2015</v>
      </c>
      <c r="BP29" s="29">
        <f t="shared" si="29"/>
        <v>1.3094117647058823</v>
      </c>
      <c r="BQ29" s="29">
        <f t="shared" si="29"/>
        <v>1.131223628691983</v>
      </c>
      <c r="BR29" s="29">
        <f t="shared" si="29"/>
        <v>1.1447368421052631</v>
      </c>
      <c r="BS29" s="29">
        <f t="shared" si="29"/>
        <v>1.0392953929539295</v>
      </c>
      <c r="BT29" s="29">
        <f t="shared" si="29"/>
        <v>1.1032835820895524</v>
      </c>
      <c r="BU29" s="29">
        <f t="shared" si="29"/>
        <v>1.0127750177430801</v>
      </c>
      <c r="BV29" s="29">
        <f t="shared" si="29"/>
        <v>0.88713910761154846</v>
      </c>
      <c r="BW29" s="29">
        <f t="shared" si="29"/>
        <v>1.0024316109422491</v>
      </c>
      <c r="BX29" s="29">
        <f t="shared" si="29"/>
        <v>1.0325368581596337</v>
      </c>
      <c r="BZ29" s="28">
        <v>2015</v>
      </c>
      <c r="CA29" s="29">
        <f t="shared" si="30"/>
        <v>0.82172131147540983</v>
      </c>
      <c r="CB29" s="29">
        <f t="shared" si="30"/>
        <v>0.8440797186400939</v>
      </c>
      <c r="CC29" s="29">
        <f t="shared" si="30"/>
        <v>0.70945945945945943</v>
      </c>
      <c r="CD29" s="29">
        <f t="shared" si="30"/>
        <v>0.71715817694369965</v>
      </c>
      <c r="CE29" s="29">
        <f t="shared" si="30"/>
        <v>0.75406504065040647</v>
      </c>
      <c r="CF29" s="29">
        <f t="shared" si="30"/>
        <v>0.73798627002288331</v>
      </c>
      <c r="CG29" s="29">
        <f t="shared" si="30"/>
        <v>0.73072060682680151</v>
      </c>
      <c r="CH29" s="29">
        <f t="shared" si="30"/>
        <v>0.79621542940320233</v>
      </c>
      <c r="CI29" s="29">
        <f t="shared" si="30"/>
        <v>0.78243243243243243</v>
      </c>
    </row>
    <row r="30" spans="1:87" x14ac:dyDescent="0.2">
      <c r="A30" s="26">
        <f t="shared" si="32"/>
        <v>2031</v>
      </c>
      <c r="B30" s="307">
        <v>8.4157941304593287</v>
      </c>
      <c r="C30" s="142">
        <v>3.7342439999999999</v>
      </c>
      <c r="D30" s="100">
        <f t="shared" si="0"/>
        <v>317.27929729435795</v>
      </c>
      <c r="E30" s="307">
        <v>14.396076002539097</v>
      </c>
      <c r="F30" s="142">
        <v>17.640267999999999</v>
      </c>
      <c r="G30" s="307">
        <v>14.442716324292093</v>
      </c>
      <c r="H30" s="307">
        <v>11.061161808558927</v>
      </c>
      <c r="I30" s="307">
        <v>0.99678594057528325</v>
      </c>
      <c r="J30" s="308">
        <v>444.93363732543077</v>
      </c>
      <c r="K30" s="308">
        <v>407.18001880876142</v>
      </c>
      <c r="L30" s="100">
        <f t="shared" si="2"/>
        <v>329.59197692239553</v>
      </c>
      <c r="M30" s="100">
        <f t="shared" si="3"/>
        <v>315.35075649430536</v>
      </c>
      <c r="N30" s="100">
        <f t="shared" si="4"/>
        <v>69.098269733041036</v>
      </c>
      <c r="O30" s="100">
        <f t="shared" si="5"/>
        <v>673.74294545438158</v>
      </c>
      <c r="P30" s="100">
        <f t="shared" si="27"/>
        <v>216.56805681692848</v>
      </c>
      <c r="Q30" s="100">
        <f t="shared" si="28"/>
        <v>662.45367395940343</v>
      </c>
      <c r="R30" s="101">
        <f t="shared" si="6"/>
        <v>1138.2527795901376</v>
      </c>
      <c r="S30" s="101">
        <f t="shared" si="6"/>
        <v>6610.9367706067169</v>
      </c>
      <c r="T30" s="72"/>
      <c r="U30" s="23">
        <v>2029</v>
      </c>
      <c r="V30" s="53">
        <f t="shared" si="31"/>
        <v>0.30471274551448346</v>
      </c>
      <c r="W30" s="53">
        <f t="shared" si="17"/>
        <v>-1.3319064702412842E-3</v>
      </c>
      <c r="X30" s="53">
        <f t="shared" si="31"/>
        <v>0.21783708116773778</v>
      </c>
      <c r="Y30" s="53">
        <f t="shared" si="17"/>
        <v>9.0819066286065286E-3</v>
      </c>
      <c r="Z30" s="53">
        <f t="shared" si="31"/>
        <v>2.8017833979229759E-2</v>
      </c>
      <c r="AA30" s="53"/>
      <c r="AB30" s="53">
        <f t="shared" si="13"/>
        <v>0.12481549179964221</v>
      </c>
      <c r="AC30" s="53">
        <f t="shared" si="33"/>
        <v>-8.1889466662282695E-3</v>
      </c>
      <c r="AD30" s="53">
        <f t="shared" si="31"/>
        <v>0.32058240448525804</v>
      </c>
      <c r="AE30" s="53">
        <f t="shared" si="33"/>
        <v>-1.0575177752458642E-2</v>
      </c>
      <c r="AF30" s="53">
        <f t="shared" si="31"/>
        <v>0.63247481388672711</v>
      </c>
      <c r="AG30" s="53">
        <f t="shared" si="19"/>
        <v>2.6207152765278519E-3</v>
      </c>
      <c r="AH30" s="53">
        <f t="shared" si="31"/>
        <v>0.21783708116773778</v>
      </c>
      <c r="AI30" s="53">
        <f t="shared" si="20"/>
        <v>9.0819066286065286E-3</v>
      </c>
      <c r="AJ30" s="53">
        <f t="shared" si="31"/>
        <v>2.8017833979229759E-2</v>
      </c>
      <c r="AK30" s="53">
        <f t="shared" si="31"/>
        <v>0.91727660425799895</v>
      </c>
      <c r="AL30" s="53">
        <f t="shared" si="21"/>
        <v>7.0051862717690483E-4</v>
      </c>
      <c r="AM30" s="53">
        <f t="shared" si="31"/>
        <v>0.67873492869931051</v>
      </c>
      <c r="AN30" s="53">
        <f t="shared" si="22"/>
        <v>5.0569211246929147E-3</v>
      </c>
      <c r="AO30" s="53">
        <f t="shared" si="31"/>
        <v>0.72503724429601102</v>
      </c>
      <c r="AP30" s="53">
        <f t="shared" si="23"/>
        <v>1.5989378932785847E-3</v>
      </c>
      <c r="AQ30" s="53">
        <f t="shared" si="31"/>
        <v>1.686888216374842</v>
      </c>
      <c r="AR30" s="53">
        <f t="shared" si="23"/>
        <v>1.0092395527365738E-3</v>
      </c>
      <c r="AS30" s="53">
        <f t="shared" si="31"/>
        <v>0.86050633005750243</v>
      </c>
      <c r="AT30" s="53">
        <f t="shared" si="24"/>
        <v>1.3931448259689727E-3</v>
      </c>
      <c r="AU30" s="53">
        <f t="shared" si="31"/>
        <v>1.1994078424446348</v>
      </c>
      <c r="AV30" s="53"/>
      <c r="AW30" s="53">
        <f t="shared" si="31"/>
        <v>0.45930792397270248</v>
      </c>
      <c r="AX30" s="53">
        <f t="shared" si="25"/>
        <v>-3.5890047444986362E-4</v>
      </c>
      <c r="AY30" s="53">
        <f t="shared" si="31"/>
        <v>3.6079874181548255</v>
      </c>
      <c r="AZ30" s="53"/>
      <c r="BA30" s="53">
        <f t="shared" si="14"/>
        <v>0.41546996584622009</v>
      </c>
      <c r="BB30" s="53">
        <f t="shared" si="26"/>
        <v>-4.308929083616575E-3</v>
      </c>
      <c r="BC30" s="53">
        <f t="shared" si="31"/>
        <v>1</v>
      </c>
      <c r="BD30" s="53">
        <f t="shared" si="31"/>
        <v>1</v>
      </c>
      <c r="BE30" s="105">
        <f t="shared" si="15"/>
        <v>0.19940784244463483</v>
      </c>
      <c r="BK30" s="15"/>
      <c r="BL30" s="65"/>
      <c r="BO30" s="28">
        <v>2016</v>
      </c>
      <c r="BP30" s="29">
        <f t="shared" si="29"/>
        <v>1.2788235294117647</v>
      </c>
      <c r="BQ30" s="29">
        <f t="shared" si="29"/>
        <v>1.1172995780590718</v>
      </c>
      <c r="BR30" s="29">
        <f t="shared" si="29"/>
        <v>1.1416040100250626</v>
      </c>
      <c r="BS30" s="29">
        <f t="shared" si="29"/>
        <v>1.0284552845528456</v>
      </c>
      <c r="BT30" s="29">
        <f t="shared" si="29"/>
        <v>1.1020895522388061</v>
      </c>
      <c r="BU30" s="29">
        <f t="shared" si="29"/>
        <v>1.0113555713271825</v>
      </c>
      <c r="BV30" s="29">
        <f t="shared" si="29"/>
        <v>0.89553805774278206</v>
      </c>
      <c r="BW30" s="29">
        <f t="shared" si="29"/>
        <v>1.0012158054711247</v>
      </c>
      <c r="BX30" s="29">
        <f t="shared" si="29"/>
        <v>1.0157600406710727</v>
      </c>
      <c r="BZ30" s="28">
        <v>2016</v>
      </c>
      <c r="CA30" s="29">
        <f t="shared" si="30"/>
        <v>0.81967213114754101</v>
      </c>
      <c r="CB30" s="29">
        <f t="shared" si="30"/>
        <v>0.82297772567409144</v>
      </c>
      <c r="CC30" s="29">
        <f t="shared" si="30"/>
        <v>0.72297297297297292</v>
      </c>
      <c r="CD30" s="29">
        <f t="shared" si="30"/>
        <v>0.73056300268096519</v>
      </c>
      <c r="CE30" s="29">
        <f t="shared" si="30"/>
        <v>0.76219512195121952</v>
      </c>
      <c r="CF30" s="29">
        <f t="shared" si="30"/>
        <v>0.74485125858123569</v>
      </c>
      <c r="CG30" s="29">
        <f t="shared" si="30"/>
        <v>0.73577749683944371</v>
      </c>
      <c r="CH30" s="29">
        <f t="shared" si="30"/>
        <v>0.80640465793304217</v>
      </c>
      <c r="CI30" s="29">
        <f t="shared" si="30"/>
        <v>0.7986486486486486</v>
      </c>
    </row>
    <row r="31" spans="1:87" x14ac:dyDescent="0.2">
      <c r="A31" s="26">
        <f t="shared" si="32"/>
        <v>2032</v>
      </c>
      <c r="B31" s="307">
        <v>8.4249576911533275</v>
      </c>
      <c r="C31" s="142">
        <v>3.7486199999999998</v>
      </c>
      <c r="D31" s="100">
        <f t="shared" si="0"/>
        <v>309.0327885386979</v>
      </c>
      <c r="E31" s="307">
        <v>14.415573627853872</v>
      </c>
      <c r="F31" s="142">
        <v>17.742751999999999</v>
      </c>
      <c r="G31" s="307">
        <v>14.463387768104882</v>
      </c>
      <c r="H31" s="307">
        <v>11.060984269870238</v>
      </c>
      <c r="I31" s="307">
        <v>0.99883765299838911</v>
      </c>
      <c r="J31" s="308">
        <v>443.23224032927942</v>
      </c>
      <c r="K31" s="308">
        <v>406.16617227636692</v>
      </c>
      <c r="L31" s="100">
        <f t="shared" si="2"/>
        <v>330.38425668389834</v>
      </c>
      <c r="M31" s="100">
        <f t="shared" si="3"/>
        <v>316.21501157090557</v>
      </c>
      <c r="N31" s="100">
        <f t="shared" si="4"/>
        <v>69.287929119915759</v>
      </c>
      <c r="O31" s="100">
        <f t="shared" si="5"/>
        <v>676.01698519000036</v>
      </c>
      <c r="P31" s="100">
        <f t="shared" si="27"/>
        <v>217.86563789678891</v>
      </c>
      <c r="Q31" s="100">
        <f t="shared" si="28"/>
        <v>664.09491960269349</v>
      </c>
      <c r="R31" s="101">
        <f t="shared" si="6"/>
        <v>1139.0083511970365</v>
      </c>
      <c r="S31" s="101">
        <f t="shared" si="6"/>
        <v>6731.9791840402013</v>
      </c>
      <c r="T31" s="72"/>
      <c r="U31" s="23">
        <v>2030</v>
      </c>
      <c r="V31" s="53">
        <f t="shared" si="31"/>
        <v>0.30429586198850989</v>
      </c>
      <c r="W31" s="53">
        <f t="shared" si="17"/>
        <v>-1.368119752489183E-3</v>
      </c>
      <c r="X31" s="53">
        <f t="shared" si="31"/>
        <v>0.2197814787792321</v>
      </c>
      <c r="Y31" s="53">
        <f t="shared" si="17"/>
        <v>8.9259257472198428E-3</v>
      </c>
      <c r="Z31" s="53">
        <f t="shared" si="31"/>
        <v>2.8318541971068152E-2</v>
      </c>
      <c r="AA31" s="53"/>
      <c r="AB31" s="53">
        <f t="shared" si="13"/>
        <v>0.12379729538482723</v>
      </c>
      <c r="AC31" s="53">
        <f t="shared" si="33"/>
        <v>-8.1576124897174696E-3</v>
      </c>
      <c r="AD31" s="53">
        <f t="shared" si="31"/>
        <v>0.31723097283527513</v>
      </c>
      <c r="AE31" s="53">
        <f t="shared" si="33"/>
        <v>-1.0454197120906006E-2</v>
      </c>
      <c r="AF31" s="53">
        <f t="shared" si="31"/>
        <v>0.63407682201023552</v>
      </c>
      <c r="AG31" s="53">
        <f t="shared" si="19"/>
        <v>2.5329200283306097E-3</v>
      </c>
      <c r="AH31" s="53">
        <f t="shared" si="31"/>
        <v>0.2197814787792321</v>
      </c>
      <c r="AI31" s="53">
        <f t="shared" si="20"/>
        <v>8.9259257472198428E-3</v>
      </c>
      <c r="AJ31" s="53">
        <f t="shared" si="31"/>
        <v>2.8318541971068152E-2</v>
      </c>
      <c r="AK31" s="53">
        <f t="shared" si="31"/>
        <v>0.91790471213500513</v>
      </c>
      <c r="AL31" s="53">
        <f t="shared" si="21"/>
        <v>6.8475296774228589E-4</v>
      </c>
      <c r="AM31" s="53">
        <f t="shared" si="31"/>
        <v>0.68211412569518282</v>
      </c>
      <c r="AN31" s="53">
        <f t="shared" si="22"/>
        <v>4.9786696587841295E-3</v>
      </c>
      <c r="AO31" s="53">
        <f t="shared" si="31"/>
        <v>0.72608241024777964</v>
      </c>
      <c r="AP31" s="53">
        <f t="shared" si="23"/>
        <v>1.4415341556466288E-3</v>
      </c>
      <c r="AQ31" s="53">
        <f t="shared" si="31"/>
        <v>1.6885051225510821</v>
      </c>
      <c r="AR31" s="53">
        <f t="shared" si="23"/>
        <v>9.5851412117564649E-4</v>
      </c>
      <c r="AS31" s="53">
        <f t="shared" si="31"/>
        <v>0.86168239513926603</v>
      </c>
      <c r="AT31" s="53">
        <f t="shared" si="24"/>
        <v>1.3667128766907677E-3</v>
      </c>
      <c r="AU31" s="53">
        <f t="shared" si="31"/>
        <v>1.1991833991860528</v>
      </c>
      <c r="AV31" s="53"/>
      <c r="AW31" s="53">
        <f t="shared" si="31"/>
        <v>0.4591384035464845</v>
      </c>
      <c r="AX31" s="53">
        <f t="shared" si="25"/>
        <v>-3.6907794830043361E-4</v>
      </c>
      <c r="AY31" s="53">
        <f t="shared" si="31"/>
        <v>3.624044960258872</v>
      </c>
      <c r="AZ31" s="53"/>
      <c r="BA31" s="53">
        <f t="shared" si="14"/>
        <v>0.41369823421638452</v>
      </c>
      <c r="BB31" s="53">
        <f t="shared" si="26"/>
        <v>-4.2644036283753239E-3</v>
      </c>
      <c r="BC31" s="53">
        <f t="shared" si="31"/>
        <v>1</v>
      </c>
      <c r="BD31" s="53">
        <f t="shared" si="31"/>
        <v>1</v>
      </c>
      <c r="BE31" s="105">
        <f t="shared" si="15"/>
        <v>0.19918339918605277</v>
      </c>
      <c r="BH31" s="26"/>
      <c r="BI31" s="70"/>
      <c r="BJ31" s="70"/>
      <c r="BK31" s="15"/>
      <c r="BL31" s="65"/>
      <c r="BO31" s="28">
        <v>2017</v>
      </c>
      <c r="BP31" s="29">
        <f t="shared" si="29"/>
        <v>1.2521568627450981</v>
      </c>
      <c r="BQ31" s="29">
        <f t="shared" si="29"/>
        <v>1.1012658227848102</v>
      </c>
      <c r="BR31" s="29">
        <f t="shared" si="29"/>
        <v>1.1303258145363408</v>
      </c>
      <c r="BS31" s="29">
        <f t="shared" si="29"/>
        <v>1.0230352303523036</v>
      </c>
      <c r="BT31" s="29">
        <f t="shared" si="29"/>
        <v>1.1092537313432835</v>
      </c>
      <c r="BU31" s="29">
        <f t="shared" si="29"/>
        <v>1.0269694819020583</v>
      </c>
      <c r="BV31" s="29">
        <f t="shared" si="29"/>
        <v>0.8971128608923884</v>
      </c>
      <c r="BW31" s="29">
        <f t="shared" si="29"/>
        <v>1.003647416413374</v>
      </c>
      <c r="BX31" s="29">
        <f t="shared" si="29"/>
        <v>1.0035587188612098</v>
      </c>
      <c r="BZ31" s="28">
        <v>2017</v>
      </c>
      <c r="CA31" s="29">
        <f t="shared" si="30"/>
        <v>0.83094262295081966</v>
      </c>
      <c r="CB31" s="29">
        <f t="shared" si="30"/>
        <v>0.82297772567409144</v>
      </c>
      <c r="CC31" s="29">
        <f t="shared" si="30"/>
        <v>0.73648648648648651</v>
      </c>
      <c r="CD31" s="29">
        <f t="shared" si="30"/>
        <v>0.74798927613941024</v>
      </c>
      <c r="CE31" s="29">
        <f t="shared" si="30"/>
        <v>0.77134146341463417</v>
      </c>
      <c r="CF31" s="29">
        <f t="shared" si="30"/>
        <v>0.75171624713958807</v>
      </c>
      <c r="CG31" s="29">
        <f t="shared" si="30"/>
        <v>0.74083438685208602</v>
      </c>
      <c r="CH31" s="29">
        <f t="shared" si="30"/>
        <v>0.81804949053857356</v>
      </c>
      <c r="CI31" s="29">
        <f t="shared" si="30"/>
        <v>0.81756756756756754</v>
      </c>
    </row>
    <row r="32" spans="1:87" x14ac:dyDescent="0.2">
      <c r="A32" s="26">
        <f t="shared" si="32"/>
        <v>2033</v>
      </c>
      <c r="B32" s="307">
        <v>8.4317027270645557</v>
      </c>
      <c r="C32" s="142">
        <v>3.7624629999999999</v>
      </c>
      <c r="D32" s="100">
        <f t="shared" si="0"/>
        <v>299.08207866584496</v>
      </c>
      <c r="E32" s="307">
        <v>14.430632056057418</v>
      </c>
      <c r="F32" s="142">
        <v>17.841685999999999</v>
      </c>
      <c r="G32" s="307">
        <v>14.479360058071141</v>
      </c>
      <c r="H32" s="307">
        <v>11.060819877644116</v>
      </c>
      <c r="I32" s="307">
        <v>1.000515791422204</v>
      </c>
      <c r="J32" s="308">
        <v>441.72625620838903</v>
      </c>
      <c r="K32" s="308">
        <v>405.24884432213236</v>
      </c>
      <c r="L32" s="100">
        <f t="shared" si="2"/>
        <v>329.30082876880681</v>
      </c>
      <c r="M32" s="100">
        <f t="shared" si="3"/>
        <v>315.35133277187407</v>
      </c>
      <c r="N32" s="100">
        <f t="shared" si="4"/>
        <v>69.099841707048881</v>
      </c>
      <c r="O32" s="100">
        <f t="shared" si="5"/>
        <v>674.18015291632946</v>
      </c>
      <c r="P32" s="100">
        <f t="shared" si="27"/>
        <v>217.82135298035433</v>
      </c>
      <c r="Q32" s="100">
        <f t="shared" si="28"/>
        <v>662.19985842912183</v>
      </c>
      <c r="R32" s="101">
        <f t="shared" si="6"/>
        <v>1133.2958452543965</v>
      </c>
      <c r="S32" s="101">
        <f t="shared" si="6"/>
        <v>6806.7880342934886</v>
      </c>
      <c r="T32" s="72"/>
      <c r="U32" s="23">
        <v>2031</v>
      </c>
      <c r="V32" s="53">
        <f>V74/$BC74</f>
        <v>0.30390313043219874</v>
      </c>
      <c r="W32" s="53">
        <f t="shared" si="17"/>
        <v>-1.2906240451142637E-3</v>
      </c>
      <c r="X32" s="53">
        <f>X74/$BC74</f>
        <v>0.22167524923113494</v>
      </c>
      <c r="Y32" s="53">
        <f t="shared" si="17"/>
        <v>8.6166061963988128E-3</v>
      </c>
      <c r="Z32" s="53">
        <f>Z74/$BC74</f>
        <v>2.859827358224256E-2</v>
      </c>
      <c r="AA32" s="53"/>
      <c r="AB32" s="53">
        <f t="shared" si="13"/>
        <v>0.12280755344912118</v>
      </c>
      <c r="AC32" s="53">
        <f t="shared" si="33"/>
        <v>-7.9948591173126804E-3</v>
      </c>
      <c r="AD32" s="53">
        <f t="shared" si="31"/>
        <v>0.31399016447026312</v>
      </c>
      <c r="AE32" s="53">
        <f t="shared" si="33"/>
        <v>-1.0215926698603939E-2</v>
      </c>
      <c r="AF32" s="53">
        <f t="shared" si="31"/>
        <v>0.63565893592048373</v>
      </c>
      <c r="AG32" s="53">
        <f t="shared" si="19"/>
        <v>2.495145470279736E-3</v>
      </c>
      <c r="AH32" s="53">
        <f t="shared" si="31"/>
        <v>0.22167524923113494</v>
      </c>
      <c r="AI32" s="53">
        <f t="shared" si="20"/>
        <v>8.6166061963988128E-3</v>
      </c>
      <c r="AJ32" s="53">
        <f t="shared" si="31"/>
        <v>2.859827358224256E-2</v>
      </c>
      <c r="AK32" s="53">
        <f t="shared" si="31"/>
        <v>0.91851034810643761</v>
      </c>
      <c r="AL32" s="53">
        <f t="shared" si="21"/>
        <v>6.59802660805342E-4</v>
      </c>
      <c r="AM32" s="53">
        <f t="shared" si="31"/>
        <v>0.68542006032062042</v>
      </c>
      <c r="AN32" s="53">
        <f t="shared" si="22"/>
        <v>4.8466004454434941E-3</v>
      </c>
      <c r="AO32" s="53">
        <f t="shared" si="31"/>
        <v>0.72711890293728731</v>
      </c>
      <c r="AP32" s="53">
        <f t="shared" si="23"/>
        <v>1.4275138398600618E-3</v>
      </c>
      <c r="AQ32" s="53">
        <f t="shared" si="31"/>
        <v>1.6897809737471585</v>
      </c>
      <c r="AR32" s="53">
        <f t="shared" si="23"/>
        <v>7.5560990549372598E-4</v>
      </c>
      <c r="AS32" s="53">
        <f t="shared" si="31"/>
        <v>0.86282686793349872</v>
      </c>
      <c r="AT32" s="53">
        <f t="shared" si="24"/>
        <v>1.3281840277679091E-3</v>
      </c>
      <c r="AU32" s="53">
        <f t="shared" si="31"/>
        <v>1.1989628419035168</v>
      </c>
      <c r="AV32" s="53"/>
      <c r="AW32" s="53">
        <f t="shared" si="31"/>
        <v>0.4589583847148142</v>
      </c>
      <c r="AX32" s="53">
        <f t="shared" si="25"/>
        <v>-3.9207966547727402E-4</v>
      </c>
      <c r="AY32" s="53">
        <f t="shared" si="31"/>
        <v>3.6401037633529945</v>
      </c>
      <c r="AZ32" s="53"/>
      <c r="BA32" s="53">
        <f t="shared" si="14"/>
        <v>0.41196772995379383</v>
      </c>
      <c r="BB32" s="53">
        <f t="shared" si="26"/>
        <v>-4.1830109956079164E-3</v>
      </c>
      <c r="BC32" s="53">
        <f t="shared" si="31"/>
        <v>1</v>
      </c>
      <c r="BD32" s="53">
        <f t="shared" si="31"/>
        <v>1</v>
      </c>
      <c r="BE32" s="105">
        <f>AU32-1</f>
        <v>0.19896284190351676</v>
      </c>
      <c r="BK32" s="15"/>
      <c r="BL32" s="65"/>
      <c r="BO32" s="28">
        <v>2018</v>
      </c>
      <c r="BP32" s="29">
        <f t="shared" si="29"/>
        <v>1.2313725490196077</v>
      </c>
      <c r="BQ32" s="29">
        <f t="shared" si="29"/>
        <v>1.0886075949367089</v>
      </c>
      <c r="BR32" s="29">
        <f t="shared" si="29"/>
        <v>1.1177944862155387</v>
      </c>
      <c r="BS32" s="29">
        <f t="shared" si="29"/>
        <v>1.0142276422764229</v>
      </c>
      <c r="BT32" s="29">
        <f t="shared" si="29"/>
        <v>1.1164179104477612</v>
      </c>
      <c r="BU32" s="29">
        <f t="shared" si="29"/>
        <v>1.0262597586941093</v>
      </c>
      <c r="BV32" s="29">
        <f t="shared" si="29"/>
        <v>0.90393700787401565</v>
      </c>
      <c r="BW32" s="29">
        <f t="shared" si="29"/>
        <v>1.0042553191489363</v>
      </c>
      <c r="BX32" s="29">
        <f t="shared" si="29"/>
        <v>0.98678190137264865</v>
      </c>
      <c r="BZ32" s="28">
        <v>2018</v>
      </c>
      <c r="CA32" s="29">
        <f t="shared" si="30"/>
        <v>0.83913934426229508</v>
      </c>
      <c r="CB32" s="29">
        <f t="shared" si="30"/>
        <v>0.82415005861664725</v>
      </c>
      <c r="CC32" s="29">
        <f t="shared" si="30"/>
        <v>0.74729729729729732</v>
      </c>
      <c r="CD32" s="29">
        <f t="shared" si="30"/>
        <v>0.76005361930294901</v>
      </c>
      <c r="CE32" s="29">
        <f t="shared" si="30"/>
        <v>0.77947154471544711</v>
      </c>
      <c r="CF32" s="29">
        <f t="shared" si="30"/>
        <v>0.75858123569794045</v>
      </c>
      <c r="CG32" s="29">
        <f t="shared" si="30"/>
        <v>0.74462705436156762</v>
      </c>
      <c r="CH32" s="29">
        <f t="shared" si="30"/>
        <v>0.8340611353711791</v>
      </c>
      <c r="CI32" s="29">
        <f t="shared" si="30"/>
        <v>0.83513513513513504</v>
      </c>
    </row>
    <row r="33" spans="1:87" x14ac:dyDescent="0.2">
      <c r="A33" s="26">
        <f t="shared" si="32"/>
        <v>2034</v>
      </c>
      <c r="B33" s="307">
        <v>8.436276245805697</v>
      </c>
      <c r="C33" s="142">
        <v>3.7758560000000001</v>
      </c>
      <c r="D33" s="100">
        <f t="shared" si="0"/>
        <v>289.94106646626875</v>
      </c>
      <c r="E33" s="307">
        <v>14.441786791770996</v>
      </c>
      <c r="F33" s="142">
        <v>17.937657999999999</v>
      </c>
      <c r="G33" s="307">
        <v>14.490826281137791</v>
      </c>
      <c r="H33" s="307">
        <v>11.060728336680551</v>
      </c>
      <c r="I33" s="307">
        <v>1.0017630316729063</v>
      </c>
      <c r="J33" s="308">
        <v>440.43760058613827</v>
      </c>
      <c r="K33" s="308">
        <v>404.44344892440404</v>
      </c>
      <c r="L33" s="100">
        <f t="shared" si="2"/>
        <v>329.08521921166783</v>
      </c>
      <c r="M33" s="100">
        <f t="shared" si="3"/>
        <v>315.35172316890521</v>
      </c>
      <c r="N33" s="100">
        <f t="shared" si="4"/>
        <v>69.101084056966499</v>
      </c>
      <c r="O33" s="100">
        <f t="shared" si="5"/>
        <v>674.11916095875756</v>
      </c>
      <c r="P33" s="100">
        <f t="shared" si="27"/>
        <v>218.30877179722594</v>
      </c>
      <c r="Q33" s="100">
        <f t="shared" si="28"/>
        <v>662.10923900502735</v>
      </c>
      <c r="R33" s="101">
        <f t="shared" si="6"/>
        <v>1130.9268049418979</v>
      </c>
      <c r="S33" s="101">
        <f t="shared" si="6"/>
        <v>6899.8315882134048</v>
      </c>
      <c r="T33" s="72"/>
      <c r="U33" s="23">
        <v>2032</v>
      </c>
      <c r="V33" s="53">
        <f t="shared" ref="V33:BD36" si="34">V75/$BC75</f>
        <v>0.30358259601199106</v>
      </c>
      <c r="W33" s="53">
        <f t="shared" si="17"/>
        <v>-1.0547256283666151E-3</v>
      </c>
      <c r="X33" s="53">
        <f t="shared" si="34"/>
        <v>0.22346385130105897</v>
      </c>
      <c r="Y33" s="53">
        <f t="shared" si="17"/>
        <v>8.068569116884694E-3</v>
      </c>
      <c r="Z33" s="53">
        <f t="shared" si="34"/>
        <v>2.8844301782731445E-2</v>
      </c>
      <c r="AA33" s="53"/>
      <c r="AB33" s="53">
        <f t="shared" si="34"/>
        <v>0.12187194901258711</v>
      </c>
      <c r="AC33" s="53">
        <f t="shared" si="33"/>
        <v>-7.6184600234846522E-3</v>
      </c>
      <c r="AD33" s="53">
        <f t="shared" si="34"/>
        <v>0.31092228811005118</v>
      </c>
      <c r="AE33" s="53">
        <f t="shared" si="33"/>
        <v>-9.7706129279170328E-3</v>
      </c>
      <c r="AF33" s="53">
        <f t="shared" si="34"/>
        <v>0.63726568623590762</v>
      </c>
      <c r="AG33" s="53">
        <f t="shared" si="19"/>
        <v>2.5276924851174165E-3</v>
      </c>
      <c r="AH33" s="53">
        <f t="shared" si="34"/>
        <v>0.22346385130105897</v>
      </c>
      <c r="AI33" s="53">
        <f t="shared" si="20"/>
        <v>8.068569116884694E-3</v>
      </c>
      <c r="AJ33" s="53">
        <f t="shared" si="34"/>
        <v>2.8844301782731445E-2</v>
      </c>
      <c r="AK33" s="53">
        <f t="shared" si="34"/>
        <v>0.91907774854466018</v>
      </c>
      <c r="AL33" s="53">
        <f t="shared" si="21"/>
        <v>6.1773984298851836E-4</v>
      </c>
      <c r="AM33" s="53">
        <f t="shared" si="34"/>
        <v>0.68859245080849063</v>
      </c>
      <c r="AN33" s="53">
        <f t="shared" si="22"/>
        <v>4.6283887378293365E-3</v>
      </c>
      <c r="AO33" s="53">
        <f t="shared" si="34"/>
        <v>0.7281658230762218</v>
      </c>
      <c r="AP33" s="53">
        <f t="shared" si="23"/>
        <v>1.4398197250893308E-3</v>
      </c>
      <c r="AQ33" s="53">
        <f t="shared" si="34"/>
        <v>1.6913866039800158</v>
      </c>
      <c r="AR33" s="53">
        <f t="shared" si="23"/>
        <v>9.50200208075902E-4</v>
      </c>
      <c r="AS33" s="53">
        <f t="shared" si="34"/>
        <v>0.86391772885516815</v>
      </c>
      <c r="AT33" s="53">
        <f t="shared" si="24"/>
        <v>1.2642871498451669E-3</v>
      </c>
      <c r="AU33" s="53">
        <f t="shared" si="34"/>
        <v>1.1987265916805865</v>
      </c>
      <c r="AV33" s="53"/>
      <c r="AW33" s="53">
        <f t="shared" si="34"/>
        <v>0.45875274895554763</v>
      </c>
      <c r="AX33" s="53">
        <f t="shared" si="25"/>
        <v>-4.4804881251780948E-4</v>
      </c>
      <c r="AY33" s="53">
        <f t="shared" si="34"/>
        <v>3.6564327895074826</v>
      </c>
      <c r="AZ33" s="53"/>
      <c r="BA33" s="53">
        <f t="shared" si="14"/>
        <v>0.41044491370357666</v>
      </c>
      <c r="BB33" s="53">
        <f t="shared" si="26"/>
        <v>-3.6964454725324503E-3</v>
      </c>
      <c r="BC33" s="53">
        <f t="shared" si="34"/>
        <v>1</v>
      </c>
      <c r="BD33" s="53">
        <f t="shared" si="34"/>
        <v>1</v>
      </c>
      <c r="BE33" s="105">
        <f>AU33-1</f>
        <v>0.19872659168058648</v>
      </c>
      <c r="BO33" s="28">
        <v>2019</v>
      </c>
      <c r="BP33" s="29">
        <f t="shared" si="29"/>
        <v>1.2176470588235295</v>
      </c>
      <c r="BQ33" s="29">
        <f t="shared" si="29"/>
        <v>1.0839662447257385</v>
      </c>
      <c r="BR33" s="29">
        <f t="shared" si="29"/>
        <v>1.1077694235588971</v>
      </c>
      <c r="BS33" s="29">
        <f t="shared" si="29"/>
        <v>1.0060975609756098</v>
      </c>
      <c r="BT33" s="29">
        <f t="shared" si="29"/>
        <v>1.1200000000000001</v>
      </c>
      <c r="BU33" s="29">
        <f t="shared" si="29"/>
        <v>1.0262597586941093</v>
      </c>
      <c r="BV33" s="29">
        <f t="shared" si="29"/>
        <v>0.89606299212598428</v>
      </c>
      <c r="BW33" s="29">
        <f t="shared" si="29"/>
        <v>1.0072948328267477</v>
      </c>
      <c r="BX33" s="29">
        <f t="shared" si="29"/>
        <v>0.97559735638027456</v>
      </c>
      <c r="BZ33" s="28">
        <v>2019</v>
      </c>
      <c r="CA33" s="29">
        <f t="shared" si="30"/>
        <v>0.8473360655737705</v>
      </c>
      <c r="CB33" s="29">
        <f t="shared" si="30"/>
        <v>0.82766705744431424</v>
      </c>
      <c r="CC33" s="29">
        <f t="shared" si="30"/>
        <v>0.75675675675675669</v>
      </c>
      <c r="CD33" s="29">
        <f t="shared" si="30"/>
        <v>0.77077747989276135</v>
      </c>
      <c r="CE33" s="29">
        <f t="shared" si="30"/>
        <v>0.78556910569105698</v>
      </c>
      <c r="CF33" s="29">
        <f t="shared" si="30"/>
        <v>0.76544622425629294</v>
      </c>
      <c r="CG33" s="29">
        <f t="shared" si="30"/>
        <v>0.74968394437420982</v>
      </c>
      <c r="CH33" s="29">
        <f t="shared" si="30"/>
        <v>0.85007278020378452</v>
      </c>
      <c r="CI33" s="29">
        <f t="shared" si="30"/>
        <v>0.85135135135135132</v>
      </c>
    </row>
    <row r="34" spans="1:87" x14ac:dyDescent="0.2">
      <c r="A34" s="26">
        <f t="shared" si="32"/>
        <v>2035</v>
      </c>
      <c r="B34" s="307">
        <v>8.4384683863519196</v>
      </c>
      <c r="C34" s="142">
        <v>3.7888030000000001</v>
      </c>
      <c r="D34" s="100">
        <f t="shared" si="0"/>
        <v>281.05143254228147</v>
      </c>
      <c r="E34" s="307">
        <v>14.448640967099756</v>
      </c>
      <c r="F34" s="142">
        <v>18.030645</v>
      </c>
      <c r="G34" s="307">
        <v>14.497546310944491</v>
      </c>
      <c r="H34" s="307">
        <v>11.060691187179341</v>
      </c>
      <c r="I34" s="307">
        <v>1.0025683368435454</v>
      </c>
      <c r="J34" s="308">
        <v>439.3508566860047</v>
      </c>
      <c r="K34" s="308">
        <v>403.74965954711087</v>
      </c>
      <c r="L34" s="100">
        <f t="shared" si="2"/>
        <v>329.01940173233208</v>
      </c>
      <c r="M34" s="100">
        <f t="shared" si="3"/>
        <v>315.35202464956387</v>
      </c>
      <c r="N34" s="100">
        <f t="shared" si="4"/>
        <v>69.102773757170596</v>
      </c>
      <c r="O34" s="100">
        <f t="shared" si="5"/>
        <v>675.82131711470868</v>
      </c>
      <c r="P34" s="100">
        <f t="shared" si="27"/>
        <v>219.32918139597865</v>
      </c>
      <c r="Q34" s="100">
        <f t="shared" si="28"/>
        <v>661.47069408085599</v>
      </c>
      <c r="R34" s="101">
        <f t="shared" si="6"/>
        <v>1131.8971653838944</v>
      </c>
      <c r="S34" s="101">
        <f t="shared" si="6"/>
        <v>7007.5833776881846</v>
      </c>
      <c r="T34" s="72"/>
      <c r="U34" s="23">
        <v>2033</v>
      </c>
      <c r="V34" s="53">
        <f t="shared" si="34"/>
        <v>0.3032693472953496</v>
      </c>
      <c r="W34" s="53">
        <f t="shared" si="17"/>
        <v>-1.0318401672442246E-3</v>
      </c>
      <c r="X34" s="53">
        <f t="shared" si="34"/>
        <v>0.22520769479659969</v>
      </c>
      <c r="Y34" s="53">
        <f t="shared" si="17"/>
        <v>7.8036939101677749E-3</v>
      </c>
      <c r="Z34" s="53">
        <f t="shared" si="34"/>
        <v>2.9075977292114009E-2</v>
      </c>
      <c r="AA34" s="53"/>
      <c r="AB34" s="53">
        <f t="shared" si="34"/>
        <v>0.1209624378621643</v>
      </c>
      <c r="AC34" s="53">
        <f t="shared" si="33"/>
        <v>-7.4628424160908535E-3</v>
      </c>
      <c r="AD34" s="53">
        <f t="shared" si="34"/>
        <v>0.30796823249110217</v>
      </c>
      <c r="AE34" s="53">
        <f t="shared" si="33"/>
        <v>-9.5009451940718526E-3</v>
      </c>
      <c r="AF34" s="53">
        <f t="shared" si="34"/>
        <v>0.63884566285260469</v>
      </c>
      <c r="AG34" s="53">
        <f t="shared" si="19"/>
        <v>2.479305964250722E-3</v>
      </c>
      <c r="AH34" s="53">
        <f t="shared" si="34"/>
        <v>0.22520769479659969</v>
      </c>
      <c r="AI34" s="53">
        <f t="shared" si="20"/>
        <v>7.8036939101677749E-3</v>
      </c>
      <c r="AJ34" s="53">
        <f t="shared" si="34"/>
        <v>2.9075977292114009E-2</v>
      </c>
      <c r="AK34" s="53">
        <f t="shared" si="34"/>
        <v>0.91961961349530841</v>
      </c>
      <c r="AL34" s="53">
        <f t="shared" si="21"/>
        <v>5.8957465949571741E-4</v>
      </c>
      <c r="AM34" s="53">
        <f t="shared" si="34"/>
        <v>0.69168632526399387</v>
      </c>
      <c r="AN34" s="53">
        <f t="shared" si="22"/>
        <v>4.4930414962736087E-3</v>
      </c>
      <c r="AO34" s="53">
        <f t="shared" si="34"/>
        <v>0.72919069329646735</v>
      </c>
      <c r="AP34" s="53">
        <f t="shared" si="23"/>
        <v>1.407468172449855E-3</v>
      </c>
      <c r="AQ34" s="53">
        <f t="shared" si="34"/>
        <v>1.6929886754713652</v>
      </c>
      <c r="AR34" s="53">
        <f t="shared" si="23"/>
        <v>9.4719414684951708E-4</v>
      </c>
      <c r="AS34" s="53">
        <f t="shared" si="34"/>
        <v>0.86497232108715472</v>
      </c>
      <c r="AT34" s="53">
        <f t="shared" si="24"/>
        <v>1.220709098520345E-3</v>
      </c>
      <c r="AU34" s="53">
        <f t="shared" si="34"/>
        <v>1.1984992793481777</v>
      </c>
      <c r="AV34" s="53"/>
      <c r="AW34" s="53">
        <f t="shared" si="34"/>
        <v>0.45853045856987379</v>
      </c>
      <c r="AX34" s="53">
        <f t="shared" si="25"/>
        <v>-4.8455379543754784E-4</v>
      </c>
      <c r="AY34" s="53">
        <f t="shared" si="34"/>
        <v>3.6730932729358474</v>
      </c>
      <c r="AZ34" s="53"/>
      <c r="BA34" s="53">
        <f t="shared" si="14"/>
        <v>0.40899926464099773</v>
      </c>
      <c r="BB34" s="53">
        <f t="shared" si="26"/>
        <v>-3.5221512420129386E-3</v>
      </c>
      <c r="BC34" s="53">
        <f t="shared" si="34"/>
        <v>1</v>
      </c>
      <c r="BD34" s="53">
        <f t="shared" si="34"/>
        <v>1</v>
      </c>
      <c r="BE34" s="105">
        <f>AU34-1</f>
        <v>0.19849927934817768</v>
      </c>
      <c r="BO34" s="28">
        <v>2020</v>
      </c>
      <c r="BP34" s="29">
        <f t="shared" si="29"/>
        <v>1.2047058823529411</v>
      </c>
      <c r="BQ34" s="29">
        <f t="shared" si="29"/>
        <v>1.0767932489451477</v>
      </c>
      <c r="BR34" s="29">
        <f t="shared" si="29"/>
        <v>1.0971177944862156</v>
      </c>
      <c r="BS34" s="29">
        <f t="shared" si="29"/>
        <v>0.99796747967479682</v>
      </c>
      <c r="BT34" s="29">
        <f t="shared" si="29"/>
        <v>1.1247761194029851</v>
      </c>
      <c r="BU34" s="29">
        <f t="shared" si="29"/>
        <v>1.022001419446416</v>
      </c>
      <c r="BV34" s="29">
        <f t="shared" si="29"/>
        <v>0.90026246719160097</v>
      </c>
      <c r="BW34" s="29">
        <f t="shared" si="29"/>
        <v>1.0072948328267477</v>
      </c>
      <c r="BX34" s="29">
        <f t="shared" si="29"/>
        <v>0.96593797661413316</v>
      </c>
      <c r="BZ34" s="28">
        <v>2020</v>
      </c>
      <c r="CA34" s="29">
        <f t="shared" si="30"/>
        <v>0.85655737704918034</v>
      </c>
      <c r="CB34" s="29">
        <f t="shared" si="30"/>
        <v>0.83235638921453692</v>
      </c>
      <c r="CC34" s="29">
        <f t="shared" si="30"/>
        <v>0.77162162162162162</v>
      </c>
      <c r="CD34" s="29">
        <f t="shared" si="30"/>
        <v>0.78686327077747986</v>
      </c>
      <c r="CE34" s="29">
        <f t="shared" si="30"/>
        <v>0.7967479674796748</v>
      </c>
      <c r="CF34" s="29">
        <f t="shared" si="30"/>
        <v>0.78146453089244849</v>
      </c>
      <c r="CG34" s="29">
        <f t="shared" si="30"/>
        <v>0.76359039190897593</v>
      </c>
      <c r="CH34" s="29">
        <f t="shared" si="30"/>
        <v>0.86462882096069871</v>
      </c>
      <c r="CI34" s="29">
        <f t="shared" si="30"/>
        <v>0.86486486486486491</v>
      </c>
    </row>
    <row r="35" spans="1:87" x14ac:dyDescent="0.2">
      <c r="A35" s="26">
        <f t="shared" si="32"/>
        <v>2036</v>
      </c>
      <c r="B35" s="232">
        <f>(B34+(B34-B33))</f>
        <v>8.4406605268981423</v>
      </c>
      <c r="C35" s="232">
        <f>(C34+(C34-C33))</f>
        <v>3.8017500000000002</v>
      </c>
      <c r="D35" s="100">
        <f t="shared" si="0"/>
        <v>272.43435604613853</v>
      </c>
      <c r="E35" s="232">
        <f t="shared" ref="E35:K41" si="35">(E34+(E34-E33))</f>
        <v>14.455495142428516</v>
      </c>
      <c r="F35" s="232">
        <f t="shared" si="35"/>
        <v>18.123632000000001</v>
      </c>
      <c r="G35" s="232">
        <f t="shared" si="35"/>
        <v>14.504266340751192</v>
      </c>
      <c r="H35" s="232">
        <f t="shared" si="35"/>
        <v>11.06065403767813</v>
      </c>
      <c r="I35" s="232">
        <f t="shared" si="35"/>
        <v>1.0033736420141846</v>
      </c>
      <c r="J35" s="232">
        <f t="shared" si="35"/>
        <v>438.26411278587113</v>
      </c>
      <c r="K35" s="232">
        <f t="shared" si="35"/>
        <v>403.05587016981769</v>
      </c>
      <c r="L35" s="100">
        <f t="shared" si="2"/>
        <v>328.95359741657933</v>
      </c>
      <c r="M35" s="100">
        <f t="shared" si="3"/>
        <v>315.35232613051073</v>
      </c>
      <c r="N35" s="100">
        <f t="shared" si="4"/>
        <v>69.104463498692226</v>
      </c>
      <c r="O35" s="100">
        <f t="shared" si="5"/>
        <v>677.52777122827206</v>
      </c>
      <c r="P35" s="100">
        <f t="shared" si="27"/>
        <v>220.35436054998397</v>
      </c>
      <c r="Q35" s="100">
        <f t="shared" si="28"/>
        <v>660.83276497594238</v>
      </c>
      <c r="R35" s="101">
        <f t="shared" ref="R35:S41" si="36">1000*(BC123/BC79)/ 3.412</f>
        <v>1132.8683584168095</v>
      </c>
      <c r="S35" s="101">
        <f t="shared" si="36"/>
        <v>7117.0178818765871</v>
      </c>
      <c r="T35" s="72"/>
      <c r="U35" s="23">
        <v>2034</v>
      </c>
      <c r="V35" s="53">
        <f t="shared" si="34"/>
        <v>0.30292982867189899</v>
      </c>
      <c r="W35" s="53">
        <f t="shared" si="17"/>
        <v>-1.1195283218647933E-3</v>
      </c>
      <c r="X35" s="53">
        <f t="shared" si="34"/>
        <v>0.22694536331273593</v>
      </c>
      <c r="Y35" s="53">
        <f t="shared" si="17"/>
        <v>7.7158487755297767E-3</v>
      </c>
      <c r="Z35" s="53">
        <f t="shared" si="34"/>
        <v>2.929887217186742E-2</v>
      </c>
      <c r="AA35" s="53"/>
      <c r="AB35" s="53">
        <f t="shared" si="34"/>
        <v>0.12006034379900607</v>
      </c>
      <c r="AC35" s="53">
        <f t="shared" si="33"/>
        <v>-7.4576379172033302E-3</v>
      </c>
      <c r="AD35" s="53">
        <f t="shared" si="34"/>
        <v>0.30508335853707974</v>
      </c>
      <c r="AE35" s="53">
        <f t="shared" si="33"/>
        <v>-9.3674400462904206E-3</v>
      </c>
      <c r="AF35" s="53">
        <f t="shared" si="34"/>
        <v>0.64036894303625469</v>
      </c>
      <c r="AG35" s="53">
        <f t="shared" si="19"/>
        <v>2.3844259611127683E-3</v>
      </c>
      <c r="AH35" s="53">
        <f t="shared" si="34"/>
        <v>0.22694536331273593</v>
      </c>
      <c r="AI35" s="53">
        <f t="shared" si="20"/>
        <v>7.7158487755297767E-3</v>
      </c>
      <c r="AJ35" s="53">
        <f t="shared" si="34"/>
        <v>2.929887217186742E-2</v>
      </c>
      <c r="AK35" s="53">
        <f t="shared" si="34"/>
        <v>0.92014867692918723</v>
      </c>
      <c r="AL35" s="53">
        <f t="shared" si="21"/>
        <v>5.7530681829187635E-4</v>
      </c>
      <c r="AM35" s="53">
        <f t="shared" si="34"/>
        <v>0.69474182523365136</v>
      </c>
      <c r="AN35" s="53">
        <f t="shared" si="22"/>
        <v>4.4174647640913278E-3</v>
      </c>
      <c r="AO35" s="53">
        <f t="shared" si="34"/>
        <v>0.73019661732352725</v>
      </c>
      <c r="AP35" s="53">
        <f t="shared" si="23"/>
        <v>1.3795074955118558E-3</v>
      </c>
      <c r="AQ35" s="53">
        <f t="shared" si="34"/>
        <v>1.694597101282294</v>
      </c>
      <c r="AR35" s="53">
        <f t="shared" si="23"/>
        <v>9.5005113396928742E-4</v>
      </c>
      <c r="AS35" s="53">
        <f t="shared" si="34"/>
        <v>0.8660106784263073</v>
      </c>
      <c r="AT35" s="53">
        <f t="shared" si="24"/>
        <v>1.2004515217869383E-3</v>
      </c>
      <c r="AU35" s="53">
        <f t="shared" si="34"/>
        <v>1.1982924213007897</v>
      </c>
      <c r="AV35" s="53">
        <f t="shared" ref="AV35:AV43" si="37">AU35/AU34-1</f>
        <v>-1.725975567549165E-4</v>
      </c>
      <c r="AW35" s="53">
        <f t="shared" si="34"/>
        <v>0.45830164569633003</v>
      </c>
      <c r="AX35" s="53">
        <f t="shared" si="25"/>
        <v>-4.9901346631897603E-4</v>
      </c>
      <c r="AY35" s="53">
        <f t="shared" si="34"/>
        <v>3.6897892451603829</v>
      </c>
      <c r="AZ35" s="53">
        <f t="shared" ref="AZ35:AZ43" si="38">AY35/AY34-1</f>
        <v>4.5454800583353272E-3</v>
      </c>
      <c r="BA35" s="53">
        <f t="shared" si="14"/>
        <v>0.40748550682128709</v>
      </c>
      <c r="BB35" s="53">
        <f t="shared" si="26"/>
        <v>-3.7011260180122019E-3</v>
      </c>
      <c r="BC35" s="53">
        <f t="shared" si="34"/>
        <v>1</v>
      </c>
      <c r="BD35" s="53">
        <f t="shared" si="34"/>
        <v>1</v>
      </c>
      <c r="BE35" s="105">
        <f>AU35-1</f>
        <v>0.19829242130078972</v>
      </c>
      <c r="BO35" s="26">
        <v>2021</v>
      </c>
      <c r="BP35" s="29">
        <f t="shared" si="29"/>
        <v>1.1945098039215687</v>
      </c>
      <c r="BQ35" s="29">
        <f t="shared" si="29"/>
        <v>1.0713080168776372</v>
      </c>
      <c r="BR35" s="29">
        <f t="shared" si="29"/>
        <v>1.0883458646616542</v>
      </c>
      <c r="BS35" s="29">
        <f t="shared" si="29"/>
        <v>0.99390243902439024</v>
      </c>
      <c r="BT35" s="29">
        <f t="shared" si="29"/>
        <v>1.1247761194029851</v>
      </c>
      <c r="BU35" s="29">
        <f t="shared" si="29"/>
        <v>1.0163236337828248</v>
      </c>
      <c r="BV35" s="29">
        <f t="shared" si="29"/>
        <v>0.89921259842519674</v>
      </c>
      <c r="BW35" s="29">
        <f t="shared" si="29"/>
        <v>1.0121580547112461</v>
      </c>
      <c r="BX35" s="29">
        <f t="shared" si="29"/>
        <v>0.95678698525673611</v>
      </c>
      <c r="BZ35" s="26">
        <v>2021</v>
      </c>
      <c r="CA35" s="29">
        <f t="shared" si="30"/>
        <v>0.86680327868852469</v>
      </c>
      <c r="CB35" s="29">
        <f t="shared" si="30"/>
        <v>0.84056271981242681</v>
      </c>
      <c r="CC35" s="29">
        <f t="shared" si="30"/>
        <v>0.78648648648648645</v>
      </c>
      <c r="CD35" s="29">
        <f t="shared" si="30"/>
        <v>0.80160857908847194</v>
      </c>
      <c r="CE35" s="29">
        <f t="shared" si="30"/>
        <v>0.80894308943089432</v>
      </c>
      <c r="CF35" s="29">
        <f t="shared" si="30"/>
        <v>0.79633867276887871</v>
      </c>
      <c r="CG35" s="29">
        <f t="shared" si="30"/>
        <v>0.77623261694058154</v>
      </c>
      <c r="CH35" s="29">
        <f t="shared" si="30"/>
        <v>0.88355167394468703</v>
      </c>
      <c r="CI35" s="29">
        <f t="shared" si="30"/>
        <v>0.88243243243243241</v>
      </c>
    </row>
    <row r="36" spans="1:87" x14ac:dyDescent="0.2">
      <c r="A36" s="26">
        <f t="shared" si="32"/>
        <v>2037</v>
      </c>
      <c r="B36" s="232">
        <f t="shared" ref="B36:C41" si="39">(B35+(B35-B34))</f>
        <v>8.4428526674443649</v>
      </c>
      <c r="C36" s="232">
        <f t="shared" si="39"/>
        <v>3.8146970000000002</v>
      </c>
      <c r="D36" s="100">
        <f t="shared" si="0"/>
        <v>264.08148032872396</v>
      </c>
      <c r="E36" s="232">
        <f t="shared" si="35"/>
        <v>14.462349317757276</v>
      </c>
      <c r="F36" s="232">
        <f t="shared" si="35"/>
        <v>18.216619000000001</v>
      </c>
      <c r="G36" s="232">
        <f t="shared" si="35"/>
        <v>14.510986370557893</v>
      </c>
      <c r="H36" s="232">
        <f t="shared" si="35"/>
        <v>11.06061688817692</v>
      </c>
      <c r="I36" s="232">
        <f t="shared" si="35"/>
        <v>1.0041789471848237</v>
      </c>
      <c r="J36" s="232">
        <f t="shared" si="35"/>
        <v>437.17736888573756</v>
      </c>
      <c r="K36" s="232">
        <f t="shared" si="35"/>
        <v>402.36208079252452</v>
      </c>
      <c r="L36" s="100">
        <f t="shared" si="2"/>
        <v>328.88780626177669</v>
      </c>
      <c r="M36" s="100">
        <f t="shared" si="3"/>
        <v>315.35262761174585</v>
      </c>
      <c r="N36" s="100">
        <f t="shared" si="4"/>
        <v>69.106153281532414</v>
      </c>
      <c r="O36" s="100">
        <f t="shared" si="5"/>
        <v>679.23853415182384</v>
      </c>
      <c r="P36" s="100">
        <f t="shared" si="27"/>
        <v>221.38433155289479</v>
      </c>
      <c r="Q36" s="100">
        <f t="shared" si="28"/>
        <v>660.19545109638432</v>
      </c>
      <c r="R36" s="101">
        <f t="shared" si="36"/>
        <v>1133.8403847550246</v>
      </c>
      <c r="S36" s="101">
        <f t="shared" si="36"/>
        <v>7228.1613790318224</v>
      </c>
      <c r="T36" s="72"/>
      <c r="U36" s="23">
        <v>2035</v>
      </c>
      <c r="V36" s="53">
        <f t="shared" si="34"/>
        <v>0.30256344756474346</v>
      </c>
      <c r="W36" s="53">
        <f t="shared" si="17"/>
        <v>-1.2094586682395159E-3</v>
      </c>
      <c r="X36" s="53">
        <f t="shared" si="34"/>
        <v>0.22867967673486739</v>
      </c>
      <c r="Y36" s="53">
        <f t="shared" si="17"/>
        <v>7.6419865857384472E-3</v>
      </c>
      <c r="Z36" s="53">
        <f t="shared" si="34"/>
        <v>2.9518080994352137E-2</v>
      </c>
      <c r="AA36" s="53">
        <f t="shared" si="17"/>
        <v>7.4818177709652378E-3</v>
      </c>
      <c r="AB36" s="53">
        <f t="shared" si="34"/>
        <v>0.11916451150362944</v>
      </c>
      <c r="AC36" s="53">
        <f t="shared" si="33"/>
        <v>-7.461516992457895E-3</v>
      </c>
      <c r="AD36" s="53">
        <f t="shared" si="34"/>
        <v>0.3022591686882003</v>
      </c>
      <c r="AE36" s="53">
        <f t="shared" si="33"/>
        <v>-9.2571088191170103E-3</v>
      </c>
      <c r="AF36" s="53">
        <f t="shared" si="34"/>
        <v>0.64183462798498625</v>
      </c>
      <c r="AG36" s="53">
        <f t="shared" si="19"/>
        <v>2.2888132921969895E-3</v>
      </c>
      <c r="AH36" s="53">
        <f t="shared" si="34"/>
        <v>0.22867967673486739</v>
      </c>
      <c r="AI36" s="53">
        <f t="shared" si="20"/>
        <v>7.6419865857384472E-3</v>
      </c>
      <c r="AJ36" s="53">
        <f t="shared" si="34"/>
        <v>2.9518080994352137E-2</v>
      </c>
      <c r="AK36" s="53">
        <f t="shared" si="34"/>
        <v>0.92066467279124531</v>
      </c>
      <c r="AL36" s="53">
        <f t="shared" si="21"/>
        <v>5.607744432998274E-4</v>
      </c>
      <c r="AM36" s="53">
        <f t="shared" si="34"/>
        <v>0.69777183023219824</v>
      </c>
      <c r="AN36" s="53">
        <f t="shared" si="22"/>
        <v>4.3613395487278606E-3</v>
      </c>
      <c r="AO36" s="53">
        <f t="shared" si="34"/>
        <v>0.73120428241927693</v>
      </c>
      <c r="AP36" s="53">
        <f t="shared" si="23"/>
        <v>1.379991459619756E-3</v>
      </c>
      <c r="AQ36" s="53">
        <f t="shared" si="34"/>
        <v>1.6962082493487896</v>
      </c>
      <c r="AR36" s="53">
        <f t="shared" si="23"/>
        <v>9.507558258399218E-4</v>
      </c>
      <c r="AS36" s="53">
        <f t="shared" si="34"/>
        <v>0.86703619088995332</v>
      </c>
      <c r="AT36" s="53">
        <f t="shared" si="24"/>
        <v>1.1841799289467048E-3</v>
      </c>
      <c r="AU36" s="53">
        <f t="shared" si="34"/>
        <v>1.1981055930443083</v>
      </c>
      <c r="AV36" s="53">
        <f t="shared" si="37"/>
        <v>-1.5591207384801908E-4</v>
      </c>
      <c r="AW36" s="53">
        <f t="shared" si="34"/>
        <v>0.45806871598276366</v>
      </c>
      <c r="AX36" s="53">
        <f t="shared" si="25"/>
        <v>-5.0824542253702365E-4</v>
      </c>
      <c r="AY36" s="53">
        <f t="shared" si="34"/>
        <v>3.7065297244685431</v>
      </c>
      <c r="AZ36" s="53">
        <f t="shared" si="38"/>
        <v>4.5369743895582459E-3</v>
      </c>
      <c r="BA36" s="53">
        <f t="shared" si="14"/>
        <v>0.40601138988903784</v>
      </c>
      <c r="BB36" s="53">
        <f t="shared" si="26"/>
        <v>-3.6175935280460259E-3</v>
      </c>
      <c r="BC36" s="53">
        <f t="shared" si="34"/>
        <v>1</v>
      </c>
      <c r="BD36" s="53">
        <f t="shared" si="34"/>
        <v>1</v>
      </c>
      <c r="BE36" s="105">
        <f>AU36-1</f>
        <v>0.1981055930443083</v>
      </c>
      <c r="BO36" s="26">
        <v>2022</v>
      </c>
      <c r="BP36" s="29">
        <f t="shared" ref="BP36:BX36" si="40">BP102/BP$79</f>
        <v>1.1823529411764706</v>
      </c>
      <c r="BQ36" s="29">
        <f t="shared" si="40"/>
        <v>1.0649789029535865</v>
      </c>
      <c r="BR36" s="29">
        <f t="shared" si="40"/>
        <v>1.0808270676691729</v>
      </c>
      <c r="BS36" s="29">
        <f t="shared" si="40"/>
        <v>0.99119241192411933</v>
      </c>
      <c r="BT36" s="29">
        <f t="shared" si="40"/>
        <v>1.120597014925373</v>
      </c>
      <c r="BU36" s="29">
        <f t="shared" si="40"/>
        <v>1.0056777856635912</v>
      </c>
      <c r="BV36" s="29">
        <f t="shared" si="40"/>
        <v>0.91076115485564313</v>
      </c>
      <c r="BW36" s="29">
        <f t="shared" si="40"/>
        <v>1.0206686930091184</v>
      </c>
      <c r="BX36" s="29">
        <f t="shared" si="40"/>
        <v>0.9527198779867817</v>
      </c>
      <c r="BZ36" s="26">
        <v>2022</v>
      </c>
      <c r="CA36" s="29">
        <f t="shared" ref="CA36:CI36" si="41">CA102/CA$79</f>
        <v>0.88012295081967218</v>
      </c>
      <c r="CB36" s="29">
        <f t="shared" si="41"/>
        <v>0.84994138335287228</v>
      </c>
      <c r="CC36" s="29">
        <f t="shared" si="41"/>
        <v>0.80135135135135127</v>
      </c>
      <c r="CD36" s="29">
        <f t="shared" si="41"/>
        <v>0.8163538873994638</v>
      </c>
      <c r="CE36" s="29">
        <f t="shared" si="41"/>
        <v>0.82113821138211385</v>
      </c>
      <c r="CF36" s="29">
        <f t="shared" si="41"/>
        <v>0.81006864988558347</v>
      </c>
      <c r="CG36" s="29">
        <f t="shared" si="41"/>
        <v>0.78761061946902655</v>
      </c>
      <c r="CH36" s="29">
        <f t="shared" si="41"/>
        <v>0.90393013100436681</v>
      </c>
      <c r="CI36" s="29">
        <f t="shared" si="41"/>
        <v>0.9</v>
      </c>
    </row>
    <row r="37" spans="1:87" x14ac:dyDescent="0.2">
      <c r="A37" s="26">
        <f t="shared" si="32"/>
        <v>2038</v>
      </c>
      <c r="B37" s="232">
        <f t="shared" si="39"/>
        <v>8.4450448079905875</v>
      </c>
      <c r="C37" s="232">
        <f t="shared" si="39"/>
        <v>3.8276440000000003</v>
      </c>
      <c r="D37" s="100">
        <f t="shared" si="0"/>
        <v>255.98470495696014</v>
      </c>
      <c r="E37" s="232">
        <f t="shared" si="35"/>
        <v>14.469203493086036</v>
      </c>
      <c r="F37" s="232">
        <f t="shared" si="35"/>
        <v>18.309606000000002</v>
      </c>
      <c r="G37" s="232">
        <f t="shared" si="35"/>
        <v>14.517706400364593</v>
      </c>
      <c r="H37" s="232">
        <f t="shared" si="35"/>
        <v>11.06057973867571</v>
      </c>
      <c r="I37" s="232">
        <f t="shared" si="35"/>
        <v>1.0049842523554628</v>
      </c>
      <c r="J37" s="232">
        <f t="shared" si="35"/>
        <v>436.09062498560399</v>
      </c>
      <c r="K37" s="232">
        <f t="shared" si="35"/>
        <v>401.66829141523135</v>
      </c>
      <c r="L37" s="100">
        <f t="shared" si="2"/>
        <v>328.8220282652922</v>
      </c>
      <c r="M37" s="100">
        <f t="shared" si="3"/>
        <v>315.35292909326915</v>
      </c>
      <c r="N37" s="100">
        <f t="shared" si="4"/>
        <v>69.107843105692154</v>
      </c>
      <c r="O37" s="100">
        <f t="shared" si="5"/>
        <v>680.95361676514312</v>
      </c>
      <c r="P37" s="100">
        <f t="shared" si="27"/>
        <v>222.41911680256794</v>
      </c>
      <c r="Q37" s="100">
        <f t="shared" si="28"/>
        <v>659.55875184885201</v>
      </c>
      <c r="R37" s="101">
        <f t="shared" si="36"/>
        <v>1134.813245113535</v>
      </c>
      <c r="S37" s="101">
        <f t="shared" si="36"/>
        <v>7341.0405577836091</v>
      </c>
      <c r="T37" s="72"/>
      <c r="U37" s="23">
        <v>2036</v>
      </c>
      <c r="V37" s="229">
        <f>V36*(1+W36)</f>
        <v>0.30219750958039387</v>
      </c>
      <c r="W37" s="53">
        <f t="shared" si="17"/>
        <v>-1.2094586682394048E-3</v>
      </c>
      <c r="X37" s="229">
        <f>X36*(1+Y36)</f>
        <v>0.23042724375690624</v>
      </c>
      <c r="Y37" s="53">
        <f t="shared" si="17"/>
        <v>7.6419865857384472E-3</v>
      </c>
      <c r="Z37" s="229">
        <f>Z36*(1+AA36)</f>
        <v>2.9738929897300471E-2</v>
      </c>
      <c r="AA37" s="53">
        <f t="shared" si="17"/>
        <v>7.4818177709652378E-3</v>
      </c>
      <c r="AB37" s="229">
        <f>AB36*(1+AC36)</f>
        <v>0.11827536347614717</v>
      </c>
      <c r="AC37" s="53">
        <f t="shared" si="33"/>
        <v>-7.461516992457895E-3</v>
      </c>
      <c r="AD37" s="229">
        <f>AD36*(1+AE36)</f>
        <v>0.29946112267207781</v>
      </c>
      <c r="AE37" s="53">
        <f t="shared" si="33"/>
        <v>-9.2571088191168993E-3</v>
      </c>
      <c r="AF37" s="229">
        <f>AF36*(1+AG36)</f>
        <v>0.64330366761291058</v>
      </c>
      <c r="AG37" s="53">
        <f t="shared" si="19"/>
        <v>2.2888132921969895E-3</v>
      </c>
      <c r="AH37" s="229">
        <f>AH36*(1+AI36)</f>
        <v>0.23042724375690624</v>
      </c>
      <c r="AI37" s="53">
        <f t="shared" si="20"/>
        <v>7.6419865857384472E-3</v>
      </c>
      <c r="AJ37" s="229">
        <f>AJ36*(1+AK36)</f>
        <v>5.6694335374442822E-2</v>
      </c>
      <c r="AK37" s="229">
        <f>AK36*(1+AL36)</f>
        <v>0.92118095801059563</v>
      </c>
      <c r="AL37" s="53">
        <f t="shared" si="21"/>
        <v>5.607744432998274E-4</v>
      </c>
      <c r="AM37" s="229">
        <f>AM36*(1+AN36)</f>
        <v>0.70081505011137812</v>
      </c>
      <c r="AN37" s="53">
        <f t="shared" si="22"/>
        <v>4.3613395487278606E-3</v>
      </c>
      <c r="AO37" s="229">
        <f>AO36*(1+AP36)</f>
        <v>0.73221333808425293</v>
      </c>
      <c r="AP37" s="53">
        <f t="shared" ref="AP37:AP43" si="42">AO37/AO36-1</f>
        <v>1.379991459619756E-3</v>
      </c>
      <c r="AQ37" s="229">
        <f>AQ36*(1+AR36)</f>
        <v>1.6978209292236957</v>
      </c>
      <c r="AR37" s="53">
        <f t="shared" ref="AR37:AR43" si="43">AQ37/AQ36-1</f>
        <v>9.507558258399218E-4</v>
      </c>
      <c r="AS37" s="229">
        <f>AS36*(1+AT36)</f>
        <v>0.86806291774487565</v>
      </c>
      <c r="AT37" s="53">
        <f t="shared" si="24"/>
        <v>1.1841799289467048E-3</v>
      </c>
      <c r="AU37" s="229">
        <f>AU36*(1+AV36)</f>
        <v>1.1979187939166078</v>
      </c>
      <c r="AV37" s="53">
        <f t="shared" si="37"/>
        <v>-1.5591207384801908E-4</v>
      </c>
      <c r="AW37" s="229">
        <f>AW36*(1+AX36)</f>
        <v>0.45783590465465801</v>
      </c>
      <c r="AX37" s="53">
        <f t="shared" si="25"/>
        <v>-5.0824542253702365E-4</v>
      </c>
      <c r="AY37" s="229">
        <f>AY36*(1+AZ36)</f>
        <v>3.7233461549025932</v>
      </c>
      <c r="AZ37" s="53">
        <f t="shared" si="38"/>
        <v>4.5369743895582459E-3</v>
      </c>
      <c r="BA37" s="229">
        <f>BA36*(1+BB36)</f>
        <v>0.40454260571266226</v>
      </c>
      <c r="BB37" s="53">
        <f t="shared" si="26"/>
        <v>-3.6175935280461369E-3</v>
      </c>
      <c r="BC37" s="230">
        <f>BC36</f>
        <v>1</v>
      </c>
      <c r="BD37" s="230">
        <f>BD36</f>
        <v>1</v>
      </c>
      <c r="BE37" s="105">
        <f t="shared" ref="BE37:BE43" si="44">AU37-1</f>
        <v>0.19791879391660783</v>
      </c>
      <c r="BO37" s="26"/>
      <c r="BP37" s="29"/>
      <c r="BQ37" s="29"/>
      <c r="BR37" s="29"/>
      <c r="BS37" s="29"/>
      <c r="BT37" s="29"/>
      <c r="BU37" s="29"/>
      <c r="BV37" s="29"/>
      <c r="BW37" s="29"/>
      <c r="BX37" s="29"/>
      <c r="BZ37" s="26"/>
      <c r="CA37" s="29"/>
      <c r="CB37" s="29"/>
      <c r="CC37" s="29"/>
      <c r="CD37" s="29"/>
      <c r="CE37" s="29"/>
      <c r="CF37" s="29"/>
      <c r="CG37" s="29"/>
      <c r="CH37" s="29"/>
      <c r="CI37" s="29"/>
    </row>
    <row r="38" spans="1:87" x14ac:dyDescent="0.2">
      <c r="A38" s="26">
        <f t="shared" si="32"/>
        <v>2039</v>
      </c>
      <c r="B38" s="232">
        <f t="shared" si="39"/>
        <v>8.4472369485368102</v>
      </c>
      <c r="C38" s="232">
        <f t="shared" si="39"/>
        <v>3.8405910000000003</v>
      </c>
      <c r="D38" s="100">
        <f t="shared" si="0"/>
        <v>248.13617785818846</v>
      </c>
      <c r="E38" s="232">
        <f t="shared" si="35"/>
        <v>14.476057668414796</v>
      </c>
      <c r="F38" s="232">
        <f t="shared" si="35"/>
        <v>18.402593000000003</v>
      </c>
      <c r="G38" s="232">
        <f t="shared" si="35"/>
        <v>14.524426430171294</v>
      </c>
      <c r="H38" s="232">
        <f t="shared" si="35"/>
        <v>11.060542589174499</v>
      </c>
      <c r="I38" s="232">
        <f t="shared" si="35"/>
        <v>1.005789557526102</v>
      </c>
      <c r="J38" s="232">
        <f t="shared" si="35"/>
        <v>435.00388108547043</v>
      </c>
      <c r="K38" s="232">
        <f t="shared" si="35"/>
        <v>400.97450203793818</v>
      </c>
      <c r="L38" s="100">
        <f t="shared" si="2"/>
        <v>328.75626342449397</v>
      </c>
      <c r="M38" s="100">
        <f t="shared" si="3"/>
        <v>315.35323057508066</v>
      </c>
      <c r="N38" s="100">
        <f t="shared" si="4"/>
        <v>69.10953297117247</v>
      </c>
      <c r="O38" s="100">
        <f t="shared" si="5"/>
        <v>682.67302997548063</v>
      </c>
      <c r="P38" s="100">
        <f t="shared" si="27"/>
        <v>223.45873880155131</v>
      </c>
      <c r="Q38" s="100">
        <f t="shared" si="28"/>
        <v>658.9226666405882</v>
      </c>
      <c r="R38" s="101">
        <f t="shared" si="36"/>
        <v>1135.7869402079475</v>
      </c>
      <c r="S38" s="101">
        <f t="shared" si="36"/>
        <v>7455.6825235468532</v>
      </c>
      <c r="T38" s="72"/>
      <c r="U38" s="23">
        <v>2037</v>
      </c>
      <c r="V38" s="229">
        <f t="shared" ref="V38:V43" si="45">V37*(1+W37)</f>
        <v>0.3018320141829115</v>
      </c>
      <c r="W38" s="53">
        <f t="shared" ref="W38:W43" si="46">V38/V37-1</f>
        <v>-1.2094586682394048E-3</v>
      </c>
      <c r="X38" s="229">
        <f t="shared" ref="X38:X43" si="47">X37*(1+Y37)</f>
        <v>0.23218816566268519</v>
      </c>
      <c r="Y38" s="53">
        <f t="shared" ref="Y38:AA43" si="48">X38/X37-1</f>
        <v>7.6419865857384472E-3</v>
      </c>
      <c r="Z38" s="229">
        <f t="shared" ref="Z38:AB43" si="49">Z37*(1+AA37)</f>
        <v>2.9961431151495584E-2</v>
      </c>
      <c r="AA38" s="53">
        <f t="shared" si="48"/>
        <v>7.4818177709652378E-3</v>
      </c>
      <c r="AB38" s="229">
        <f t="shared" si="49"/>
        <v>0.11739284984178076</v>
      </c>
      <c r="AC38" s="53">
        <f t="shared" si="33"/>
        <v>-7.461516992457895E-3</v>
      </c>
      <c r="AD38" s="229">
        <f t="shared" ref="AD38:AD43" si="50">AD37*(1+AE37)</f>
        <v>0.29668897847240749</v>
      </c>
      <c r="AE38" s="53">
        <f t="shared" si="33"/>
        <v>-9.2571088191167883E-3</v>
      </c>
      <c r="AF38" s="229">
        <f t="shared" ref="AF38:AF43" si="51">AF37*(1+AG37)</f>
        <v>0.64477606959826206</v>
      </c>
      <c r="AG38" s="53">
        <f t="shared" si="19"/>
        <v>2.2888132921969895E-3</v>
      </c>
      <c r="AH38" s="229">
        <f t="shared" ref="AH38:AH43" si="52">AH37*(1+AI37)</f>
        <v>0.23218816566268519</v>
      </c>
      <c r="AI38" s="53">
        <f t="shared" si="20"/>
        <v>7.6419865857384472E-3</v>
      </c>
      <c r="AJ38" s="229">
        <f t="shared" ref="AJ38:AK43" si="53">AJ37*(1+AK37)</f>
        <v>0.10892007754844606</v>
      </c>
      <c r="AK38" s="229">
        <f t="shared" si="53"/>
        <v>0.92169753274950239</v>
      </c>
      <c r="AL38" s="53">
        <f t="shared" si="21"/>
        <v>5.607744432998274E-4</v>
      </c>
      <c r="AM38" s="229">
        <f t="shared" ref="AM38:AM43" si="54">AM37*(1+AN37)</f>
        <v>0.70387154250577255</v>
      </c>
      <c r="AN38" s="53">
        <f t="shared" si="22"/>
        <v>4.3613395487278606E-3</v>
      </c>
      <c r="AO38" s="229">
        <f t="shared" ref="AO38:AO43" si="55">AO37*(1+AP37)</f>
        <v>0.7332237862374289</v>
      </c>
      <c r="AP38" s="53">
        <f t="shared" si="42"/>
        <v>1.379991459619756E-3</v>
      </c>
      <c r="AQ38" s="229">
        <f t="shared" ref="AQ38:AQ43" si="56">AQ37*(1+AR37)</f>
        <v>1.699435142363388</v>
      </c>
      <c r="AR38" s="53">
        <f t="shared" si="43"/>
        <v>9.507558258399218E-4</v>
      </c>
      <c r="AS38" s="229">
        <f t="shared" ref="AS38:AS43" si="57">AS37*(1+AT37)</f>
        <v>0.86909086042913208</v>
      </c>
      <c r="AT38" s="53">
        <f t="shared" si="24"/>
        <v>1.1841799289467048E-3</v>
      </c>
      <c r="AU38" s="229">
        <f t="shared" ref="AU38:AU43" si="58">AU37*(1+AV37)</f>
        <v>1.1977320239131468</v>
      </c>
      <c r="AV38" s="53">
        <f t="shared" si="37"/>
        <v>-1.5591207384801908E-4</v>
      </c>
      <c r="AW38" s="229">
        <f t="shared" ref="AW38:AW43" si="59">AW37*(1+AX37)</f>
        <v>0.4576032116518442</v>
      </c>
      <c r="AX38" s="53">
        <f t="shared" si="25"/>
        <v>-5.0824542253702365E-4</v>
      </c>
      <c r="AY38" s="229">
        <f t="shared" ref="AY38:BA43" si="60">AY37*(1+AZ37)</f>
        <v>3.7402388810508467</v>
      </c>
      <c r="AZ38" s="53">
        <f t="shared" si="38"/>
        <v>4.5369743895582459E-3</v>
      </c>
      <c r="BA38" s="229">
        <f t="shared" si="60"/>
        <v>0.4030791350004172</v>
      </c>
      <c r="BB38" s="53">
        <f t="shared" si="26"/>
        <v>-3.6175935280461369E-3</v>
      </c>
      <c r="BC38" s="230">
        <f t="shared" ref="BC38:BD43" si="61">BC37</f>
        <v>1</v>
      </c>
      <c r="BD38" s="230">
        <f t="shared" si="61"/>
        <v>1</v>
      </c>
      <c r="BE38" s="105">
        <f t="shared" si="44"/>
        <v>0.19773202391314681</v>
      </c>
      <c r="BO38" s="26"/>
      <c r="BP38" s="29"/>
      <c r="BQ38" s="29"/>
      <c r="BR38" s="29"/>
      <c r="BS38" s="29"/>
      <c r="BT38" s="29"/>
      <c r="BU38" s="29"/>
      <c r="BV38" s="29"/>
      <c r="BW38" s="29"/>
      <c r="BX38" s="29"/>
      <c r="BZ38" s="26"/>
      <c r="CA38" s="29"/>
      <c r="CB38" s="29"/>
      <c r="CC38" s="29"/>
      <c r="CD38" s="29"/>
      <c r="CE38" s="29"/>
      <c r="CF38" s="29"/>
      <c r="CG38" s="29"/>
      <c r="CH38" s="29"/>
      <c r="CI38" s="29"/>
    </row>
    <row r="39" spans="1:87" x14ac:dyDescent="0.2">
      <c r="A39" s="26">
        <f t="shared" si="32"/>
        <v>2040</v>
      </c>
      <c r="B39" s="232">
        <f t="shared" si="39"/>
        <v>8.4494290890830328</v>
      </c>
      <c r="C39" s="232">
        <f t="shared" si="39"/>
        <v>3.8535380000000004</v>
      </c>
      <c r="D39" s="100">
        <f t="shared" si="0"/>
        <v>240.52828770540347</v>
      </c>
      <c r="E39" s="232">
        <f t="shared" si="35"/>
        <v>14.482911843743556</v>
      </c>
      <c r="F39" s="232">
        <f t="shared" si="35"/>
        <v>18.495580000000004</v>
      </c>
      <c r="G39" s="232">
        <f t="shared" si="35"/>
        <v>14.531146459977995</v>
      </c>
      <c r="H39" s="232">
        <f t="shared" si="35"/>
        <v>11.060505439673289</v>
      </c>
      <c r="I39" s="232">
        <f t="shared" si="35"/>
        <v>1.0065948626967411</v>
      </c>
      <c r="J39" s="232">
        <f t="shared" si="35"/>
        <v>433.91713718533686</v>
      </c>
      <c r="K39" s="232">
        <f t="shared" si="35"/>
        <v>400.28071266064501</v>
      </c>
      <c r="L39" s="100">
        <f t="shared" si="2"/>
        <v>328.69051173675098</v>
      </c>
      <c r="M39" s="100">
        <f t="shared" si="3"/>
        <v>315.35353205718042</v>
      </c>
      <c r="N39" s="100">
        <f t="shared" si="4"/>
        <v>69.111222877974356</v>
      </c>
      <c r="O39" s="100">
        <f t="shared" si="5"/>
        <v>684.39678471762738</v>
      </c>
      <c r="P39" s="100">
        <f t="shared" si="27"/>
        <v>224.50322015757334</v>
      </c>
      <c r="Q39" s="100">
        <f t="shared" si="28"/>
        <v>658.28719487940702</v>
      </c>
      <c r="R39" s="101">
        <f t="shared" si="36"/>
        <v>1136.7614707544849</v>
      </c>
      <c r="S39" s="101">
        <f t="shared" si="36"/>
        <v>7572.1148050304091</v>
      </c>
      <c r="T39" s="72"/>
      <c r="U39" s="23">
        <v>2038</v>
      </c>
      <c r="V39" s="229">
        <f t="shared" si="45"/>
        <v>0.3014669608370058</v>
      </c>
      <c r="W39" s="53">
        <f t="shared" si="46"/>
        <v>-1.2094586682394048E-3</v>
      </c>
      <c r="X39" s="229">
        <f t="shared" si="47"/>
        <v>0.23396254451004664</v>
      </c>
      <c r="Y39" s="53">
        <f t="shared" si="48"/>
        <v>7.6419865857384472E-3</v>
      </c>
      <c r="Z39" s="229">
        <f t="shared" si="49"/>
        <v>3.0185597119528396E-2</v>
      </c>
      <c r="AA39" s="53">
        <f t="shared" si="48"/>
        <v>7.4818177709652378E-3</v>
      </c>
      <c r="AB39" s="229">
        <f t="shared" si="49"/>
        <v>0.11651692109789326</v>
      </c>
      <c r="AC39" s="53">
        <f t="shared" si="33"/>
        <v>-7.461516992457895E-3</v>
      </c>
      <c r="AD39" s="229">
        <f t="shared" si="50"/>
        <v>0.29394249631325581</v>
      </c>
      <c r="AE39" s="53">
        <f t="shared" si="33"/>
        <v>-9.2571088191167883E-3</v>
      </c>
      <c r="AF39" s="229">
        <f t="shared" si="51"/>
        <v>0.64625184163684912</v>
      </c>
      <c r="AG39" s="53">
        <f t="shared" si="19"/>
        <v>2.2888132921969895E-3</v>
      </c>
      <c r="AH39" s="229">
        <f t="shared" si="52"/>
        <v>0.23396254451004664</v>
      </c>
      <c r="AI39" s="53">
        <f t="shared" si="20"/>
        <v>7.6419865857384472E-3</v>
      </c>
      <c r="AJ39" s="229">
        <f t="shared" si="53"/>
        <v>0.20931144429173323</v>
      </c>
      <c r="AK39" s="229">
        <f t="shared" si="53"/>
        <v>0.92221439717032083</v>
      </c>
      <c r="AL39" s="53">
        <f t="shared" si="21"/>
        <v>5.607744432998274E-4</v>
      </c>
      <c r="AM39" s="229">
        <f t="shared" si="54"/>
        <v>0.70694136530132701</v>
      </c>
      <c r="AN39" s="53">
        <f t="shared" si="22"/>
        <v>4.3613395487278606E-3</v>
      </c>
      <c r="AO39" s="229">
        <f t="shared" si="55"/>
        <v>0.73423562880042659</v>
      </c>
      <c r="AP39" s="53">
        <f t="shared" si="42"/>
        <v>1.379991459619756E-3</v>
      </c>
      <c r="AQ39" s="229">
        <f t="shared" si="56"/>
        <v>1.7010508902256272</v>
      </c>
      <c r="AR39" s="53">
        <f t="shared" si="43"/>
        <v>9.507558258399218E-4</v>
      </c>
      <c r="AS39" s="229">
        <f t="shared" si="57"/>
        <v>0.87012002038248326</v>
      </c>
      <c r="AT39" s="53">
        <f t="shared" si="24"/>
        <v>1.1841799289467048E-3</v>
      </c>
      <c r="AU39" s="229">
        <f t="shared" si="58"/>
        <v>1.1975452830293842</v>
      </c>
      <c r="AV39" s="53">
        <f t="shared" si="37"/>
        <v>-1.5591207384813011E-4</v>
      </c>
      <c r="AW39" s="229">
        <f t="shared" si="59"/>
        <v>0.45737063691418389</v>
      </c>
      <c r="AX39" s="53">
        <f t="shared" si="25"/>
        <v>-5.0824542253702365E-4</v>
      </c>
      <c r="AY39" s="229">
        <f t="shared" si="60"/>
        <v>3.7572082490650045</v>
      </c>
      <c r="AZ39" s="53">
        <f t="shared" si="38"/>
        <v>4.5369743895582459E-3</v>
      </c>
      <c r="BA39" s="229">
        <f t="shared" si="60"/>
        <v>0.40162095853034924</v>
      </c>
      <c r="BB39" s="53">
        <f t="shared" si="26"/>
        <v>-3.6175935280461369E-3</v>
      </c>
      <c r="BC39" s="230">
        <f t="shared" si="61"/>
        <v>1</v>
      </c>
      <c r="BD39" s="230">
        <f t="shared" si="61"/>
        <v>1</v>
      </c>
      <c r="BE39" s="105">
        <f t="shared" si="44"/>
        <v>0.19754528302938423</v>
      </c>
      <c r="BO39" s="26"/>
      <c r="BP39" s="29"/>
      <c r="BQ39" s="29"/>
      <c r="BR39" s="29"/>
      <c r="BS39" s="29"/>
      <c r="BT39" s="29"/>
      <c r="BU39" s="29"/>
      <c r="BV39" s="29"/>
      <c r="BW39" s="29"/>
      <c r="BX39" s="29"/>
      <c r="BZ39" s="26"/>
      <c r="CA39" s="29"/>
      <c r="CB39" s="29"/>
      <c r="CC39" s="29"/>
      <c r="CD39" s="29"/>
      <c r="CE39" s="29"/>
      <c r="CF39" s="29"/>
      <c r="CG39" s="29"/>
      <c r="CH39" s="29"/>
      <c r="CI39" s="29"/>
    </row>
    <row r="40" spans="1:87" x14ac:dyDescent="0.2">
      <c r="A40" s="26">
        <f t="shared" si="32"/>
        <v>2041</v>
      </c>
      <c r="B40" s="232">
        <f t="shared" si="39"/>
        <v>8.4516212296292554</v>
      </c>
      <c r="C40" s="232">
        <f t="shared" si="39"/>
        <v>3.8664850000000004</v>
      </c>
      <c r="D40" s="100">
        <f t="shared" si="0"/>
        <v>233.15365653595757</v>
      </c>
      <c r="E40" s="232">
        <f t="shared" si="35"/>
        <v>14.489766019072317</v>
      </c>
      <c r="F40" s="232">
        <f t="shared" si="35"/>
        <v>18.588567000000005</v>
      </c>
      <c r="G40" s="232">
        <f t="shared" si="35"/>
        <v>14.537866489784696</v>
      </c>
      <c r="H40" s="232">
        <f t="shared" si="35"/>
        <v>11.060468290172079</v>
      </c>
      <c r="I40" s="232">
        <f t="shared" si="35"/>
        <v>1.0074001678673803</v>
      </c>
      <c r="J40" s="232">
        <f t="shared" si="35"/>
        <v>432.83039328520329</v>
      </c>
      <c r="K40" s="232">
        <f t="shared" si="35"/>
        <v>399.58692328335184</v>
      </c>
      <c r="L40" s="100">
        <f t="shared" si="2"/>
        <v>328.62477319943252</v>
      </c>
      <c r="M40" s="100">
        <f t="shared" si="3"/>
        <v>315.35383353956837</v>
      </c>
      <c r="N40" s="100">
        <f t="shared" si="4"/>
        <v>69.112912826098835</v>
      </c>
      <c r="O40" s="100">
        <f t="shared" si="5"/>
        <v>686.12489195398507</v>
      </c>
      <c r="P40" s="100">
        <f t="shared" si="27"/>
        <v>225.55258358403458</v>
      </c>
      <c r="Q40" s="100">
        <f t="shared" si="28"/>
        <v>657.65233597369388</v>
      </c>
      <c r="R40" s="101">
        <f t="shared" si="36"/>
        <v>1137.7368374699838</v>
      </c>
      <c r="S40" s="101">
        <f t="shared" si="36"/>
        <v>7690.3653608474915</v>
      </c>
      <c r="T40" s="72"/>
      <c r="U40" s="23">
        <v>2039</v>
      </c>
      <c r="V40" s="229">
        <f t="shared" si="45"/>
        <v>0.30110234900803368</v>
      </c>
      <c r="W40" s="53">
        <f t="shared" si="46"/>
        <v>-1.2094586682395159E-3</v>
      </c>
      <c r="X40" s="229">
        <f t="shared" si="47"/>
        <v>0.23575048313675764</v>
      </c>
      <c r="Y40" s="53">
        <f t="shared" si="48"/>
        <v>7.6419865857384472E-3</v>
      </c>
      <c r="Z40" s="229">
        <f t="shared" si="49"/>
        <v>3.0411440256484481E-2</v>
      </c>
      <c r="AA40" s="53">
        <f t="shared" si="48"/>
        <v>7.4818177709652378E-3</v>
      </c>
      <c r="AB40" s="229">
        <f t="shared" si="49"/>
        <v>0.11564752811121246</v>
      </c>
      <c r="AC40" s="53">
        <f t="shared" si="33"/>
        <v>-7.461516992457895E-3</v>
      </c>
      <c r="AD40" s="229">
        <f t="shared" si="50"/>
        <v>0.29122143863832117</v>
      </c>
      <c r="AE40" s="53">
        <f t="shared" si="33"/>
        <v>-9.2571088191167883E-3</v>
      </c>
      <c r="AF40" s="229">
        <f t="shared" si="51"/>
        <v>0.64773099144209434</v>
      </c>
      <c r="AG40" s="53">
        <f t="shared" si="19"/>
        <v>2.2888132921969895E-3</v>
      </c>
      <c r="AH40" s="229">
        <f t="shared" si="52"/>
        <v>0.23575048313675764</v>
      </c>
      <c r="AI40" s="53">
        <f t="shared" si="20"/>
        <v>7.6419865857384472E-3</v>
      </c>
      <c r="AJ40" s="229">
        <f t="shared" si="53"/>
        <v>0.40234147171008322</v>
      </c>
      <c r="AK40" s="229">
        <f t="shared" si="53"/>
        <v>0.92273155143549712</v>
      </c>
      <c r="AL40" s="53">
        <f t="shared" si="21"/>
        <v>5.607744432998274E-4</v>
      </c>
      <c r="AM40" s="229">
        <f t="shared" si="54"/>
        <v>0.71002457663644736</v>
      </c>
      <c r="AN40" s="53">
        <f t="shared" si="22"/>
        <v>4.3613395487278606E-3</v>
      </c>
      <c r="AO40" s="229">
        <f t="shared" si="55"/>
        <v>0.73524886769751974</v>
      </c>
      <c r="AP40" s="53">
        <f t="shared" si="42"/>
        <v>1.379991459619756E-3</v>
      </c>
      <c r="AQ40" s="229">
        <f t="shared" si="56"/>
        <v>1.7026681742695593</v>
      </c>
      <c r="AR40" s="53">
        <f t="shared" si="43"/>
        <v>9.507558258399218E-4</v>
      </c>
      <c r="AS40" s="229">
        <f t="shared" si="57"/>
        <v>0.87115039904639491</v>
      </c>
      <c r="AT40" s="53">
        <f t="shared" si="24"/>
        <v>1.1841799289467048E-3</v>
      </c>
      <c r="AU40" s="229">
        <f t="shared" si="58"/>
        <v>1.1973585712607802</v>
      </c>
      <c r="AV40" s="53">
        <f t="shared" si="37"/>
        <v>-1.5591207384801908E-4</v>
      </c>
      <c r="AW40" s="229">
        <f t="shared" si="59"/>
        <v>0.45713818038156939</v>
      </c>
      <c r="AX40" s="53">
        <f t="shared" si="25"/>
        <v>-5.0824542253702365E-4</v>
      </c>
      <c r="AY40" s="229">
        <f t="shared" si="60"/>
        <v>3.7742546066672493</v>
      </c>
      <c r="AZ40" s="53">
        <f t="shared" si="38"/>
        <v>4.5369743895582459E-3</v>
      </c>
      <c r="BA40" s="229">
        <f t="shared" si="60"/>
        <v>0.40016805715004217</v>
      </c>
      <c r="BB40" s="53">
        <f t="shared" si="26"/>
        <v>-3.6175935280461369E-3</v>
      </c>
      <c r="BC40" s="230">
        <f t="shared" si="61"/>
        <v>1</v>
      </c>
      <c r="BD40" s="230">
        <f t="shared" si="61"/>
        <v>1</v>
      </c>
      <c r="BE40" s="105">
        <f t="shared" si="44"/>
        <v>0.19735857126078016</v>
      </c>
      <c r="BO40" s="26"/>
      <c r="BP40" s="29"/>
      <c r="BQ40" s="29"/>
      <c r="BR40" s="29"/>
      <c r="BS40" s="29"/>
      <c r="BT40" s="29"/>
      <c r="BU40" s="29"/>
      <c r="BV40" s="29"/>
      <c r="BW40" s="29"/>
      <c r="BX40" s="29"/>
      <c r="BZ40" s="26"/>
      <c r="CA40" s="29"/>
      <c r="CB40" s="29"/>
      <c r="CC40" s="29"/>
      <c r="CD40" s="29"/>
      <c r="CE40" s="29"/>
      <c r="CF40" s="29"/>
      <c r="CG40" s="29"/>
      <c r="CH40" s="29"/>
      <c r="CI40" s="29"/>
    </row>
    <row r="41" spans="1:87" x14ac:dyDescent="0.2">
      <c r="A41" s="26">
        <f t="shared" si="32"/>
        <v>2042</v>
      </c>
      <c r="B41" s="232">
        <f t="shared" si="39"/>
        <v>8.4538133701754781</v>
      </c>
      <c r="C41" s="232">
        <f t="shared" si="39"/>
        <v>3.8794320000000004</v>
      </c>
      <c r="D41" s="100">
        <f t="shared" si="0"/>
        <v>226.00513259657671</v>
      </c>
      <c r="E41" s="232">
        <f t="shared" si="35"/>
        <v>14.496620194401077</v>
      </c>
      <c r="F41" s="232">
        <f t="shared" si="35"/>
        <v>18.681554000000006</v>
      </c>
      <c r="G41" s="232">
        <f t="shared" si="35"/>
        <v>14.544586519591396</v>
      </c>
      <c r="H41" s="232">
        <f t="shared" si="35"/>
        <v>11.060431140670868</v>
      </c>
      <c r="I41" s="232">
        <f t="shared" si="35"/>
        <v>1.0082054730380194</v>
      </c>
      <c r="J41" s="232">
        <f t="shared" si="35"/>
        <v>431.74364938506972</v>
      </c>
      <c r="K41" s="232">
        <f t="shared" si="35"/>
        <v>398.89313390605867</v>
      </c>
      <c r="L41" s="100">
        <f t="shared" si="2"/>
        <v>328.55904780990846</v>
      </c>
      <c r="M41" s="100">
        <f t="shared" si="3"/>
        <v>315.35413502224458</v>
      </c>
      <c r="N41" s="100">
        <f t="shared" si="4"/>
        <v>69.114602815546931</v>
      </c>
      <c r="O41" s="100">
        <f t="shared" si="5"/>
        <v>687.85736267463608</v>
      </c>
      <c r="P41" s="100">
        <f t="shared" si="27"/>
        <v>226.60685190050145</v>
      </c>
      <c r="Q41" s="100">
        <f t="shared" si="28"/>
        <v>657.01808933240477</v>
      </c>
      <c r="R41" s="101">
        <f t="shared" si="36"/>
        <v>1138.7130410718958</v>
      </c>
      <c r="S41" s="101">
        <f t="shared" si="36"/>
        <v>7810.4625862292987</v>
      </c>
      <c r="T41" s="72"/>
      <c r="U41" s="23">
        <v>2040</v>
      </c>
      <c r="V41" s="229">
        <f t="shared" si="45"/>
        <v>0.3007381781619986</v>
      </c>
      <c r="W41" s="53">
        <f t="shared" si="46"/>
        <v>-1.2094586682396269E-3</v>
      </c>
      <c r="X41" s="229">
        <f t="shared" si="47"/>
        <v>0.23755208516647011</v>
      </c>
      <c r="Y41" s="53">
        <f t="shared" si="48"/>
        <v>7.6419865857384472E-3</v>
      </c>
      <c r="Z41" s="229">
        <f t="shared" si="49"/>
        <v>3.0638973110636094E-2</v>
      </c>
      <c r="AA41" s="53">
        <f t="shared" si="48"/>
        <v>7.4818177709652378E-3</v>
      </c>
      <c r="AB41" s="229">
        <f t="shared" si="49"/>
        <v>0.1147846221150749</v>
      </c>
      <c r="AC41" s="53">
        <f t="shared" si="33"/>
        <v>-7.461516992457895E-3</v>
      </c>
      <c r="AD41" s="229">
        <f t="shared" si="50"/>
        <v>0.28852557009038649</v>
      </c>
      <c r="AE41" s="53">
        <f t="shared" si="33"/>
        <v>-9.2571088191167883E-3</v>
      </c>
      <c r="AF41" s="229">
        <f t="shared" si="51"/>
        <v>0.64921352674507493</v>
      </c>
      <c r="AG41" s="53">
        <f t="shared" si="19"/>
        <v>2.2888132921969895E-3</v>
      </c>
      <c r="AH41" s="229">
        <f t="shared" si="52"/>
        <v>0.23755208516647011</v>
      </c>
      <c r="AI41" s="53">
        <f t="shared" si="20"/>
        <v>7.6419865857384472E-3</v>
      </c>
      <c r="AJ41" s="229">
        <f t="shared" si="53"/>
        <v>0.77359464210796947</v>
      </c>
      <c r="AK41" s="229">
        <f t="shared" si="53"/>
        <v>0.92324899570756858</v>
      </c>
      <c r="AL41" s="53">
        <f t="shared" si="21"/>
        <v>5.607744432998274E-4</v>
      </c>
      <c r="AM41" s="229">
        <f t="shared" si="54"/>
        <v>0.71312123490310064</v>
      </c>
      <c r="AN41" s="53">
        <f t="shared" si="22"/>
        <v>4.3613395487278606E-3</v>
      </c>
      <c r="AO41" s="229">
        <f t="shared" si="55"/>
        <v>0.73626350485563741</v>
      </c>
      <c r="AP41" s="53">
        <f t="shared" si="42"/>
        <v>1.379991459619756E-3</v>
      </c>
      <c r="AQ41" s="229">
        <f t="shared" si="56"/>
        <v>1.7042869959557183</v>
      </c>
      <c r="AR41" s="53">
        <f t="shared" si="43"/>
        <v>9.507558258399218E-4</v>
      </c>
      <c r="AS41" s="229">
        <f t="shared" si="57"/>
        <v>0.8721819978640396</v>
      </c>
      <c r="AT41" s="53">
        <f t="shared" si="24"/>
        <v>1.1841799289467048E-3</v>
      </c>
      <c r="AU41" s="229">
        <f t="shared" si="58"/>
        <v>1.1971718886027951</v>
      </c>
      <c r="AV41" s="53">
        <f t="shared" si="37"/>
        <v>-1.5591207384813011E-4</v>
      </c>
      <c r="AW41" s="229">
        <f t="shared" si="59"/>
        <v>0.45690584199392353</v>
      </c>
      <c r="AX41" s="53">
        <f t="shared" si="25"/>
        <v>-5.0824542253702365E-4</v>
      </c>
      <c r="AY41" s="229">
        <f t="shared" si="60"/>
        <v>3.7913783031573707</v>
      </c>
      <c r="AZ41" s="53">
        <f t="shared" si="38"/>
        <v>4.5369743895582459E-3</v>
      </c>
      <c r="BA41" s="229">
        <f t="shared" si="60"/>
        <v>0.39872041177636536</v>
      </c>
      <c r="BB41" s="53">
        <f t="shared" si="26"/>
        <v>-3.6175935280461369E-3</v>
      </c>
      <c r="BC41" s="230">
        <f t="shared" si="61"/>
        <v>1</v>
      </c>
      <c r="BD41" s="230">
        <f t="shared" si="61"/>
        <v>1</v>
      </c>
      <c r="BE41" s="105">
        <f t="shared" si="44"/>
        <v>0.19717188860279511</v>
      </c>
      <c r="BO41" s="26"/>
      <c r="BP41" s="29"/>
      <c r="BQ41" s="29"/>
      <c r="BR41" s="29"/>
      <c r="BS41" s="29"/>
      <c r="BT41" s="29"/>
      <c r="BU41" s="29"/>
      <c r="BV41" s="29"/>
      <c r="BW41" s="29"/>
      <c r="BX41" s="29"/>
      <c r="BZ41" s="26"/>
      <c r="CA41" s="29"/>
      <c r="CB41" s="29"/>
      <c r="CC41" s="29"/>
      <c r="CD41" s="29"/>
      <c r="CE41" s="29"/>
      <c r="CF41" s="29"/>
      <c r="CG41" s="29"/>
      <c r="CH41" s="29"/>
      <c r="CI41" s="29"/>
    </row>
    <row r="42" spans="1:87" x14ac:dyDescent="0.2">
      <c r="R42" s="73"/>
      <c r="S42" s="73"/>
      <c r="T42" s="72"/>
      <c r="U42" s="23">
        <v>2041</v>
      </c>
      <c r="V42" s="229">
        <f t="shared" si="45"/>
        <v>0.30037444776555</v>
      </c>
      <c r="W42" s="53">
        <f t="shared" si="46"/>
        <v>-1.2094586682395159E-3</v>
      </c>
      <c r="X42" s="229">
        <f t="shared" si="47"/>
        <v>0.23936745501472648</v>
      </c>
      <c r="Y42" s="53">
        <f t="shared" si="48"/>
        <v>7.6419865857384472E-3</v>
      </c>
      <c r="Z42" s="229">
        <f t="shared" si="49"/>
        <v>3.0868208324139376E-2</v>
      </c>
      <c r="AA42" s="53">
        <f t="shared" si="48"/>
        <v>7.4818177709652378E-3</v>
      </c>
      <c r="AB42" s="229">
        <f t="shared" si="49"/>
        <v>0.1139281547066904</v>
      </c>
      <c r="AC42" s="53">
        <f t="shared" si="33"/>
        <v>-7.461516992457895E-3</v>
      </c>
      <c r="AD42" s="229">
        <f t="shared" si="50"/>
        <v>0.28585465749096206</v>
      </c>
      <c r="AE42" s="53">
        <f t="shared" si="33"/>
        <v>-9.2571088191167883E-3</v>
      </c>
      <c r="AF42" s="229">
        <f t="shared" si="51"/>
        <v>0.65069945529456319</v>
      </c>
      <c r="AG42" s="53">
        <f t="shared" si="19"/>
        <v>2.2888132921969895E-3</v>
      </c>
      <c r="AH42" s="229">
        <f t="shared" si="52"/>
        <v>0.23936745501472648</v>
      </c>
      <c r="AI42" s="53">
        <f t="shared" si="20"/>
        <v>7.6419865857384472E-3</v>
      </c>
      <c r="AJ42" s="229">
        <f t="shared" si="53"/>
        <v>1.4878151185189081</v>
      </c>
      <c r="AK42" s="229">
        <f t="shared" si="53"/>
        <v>0.92376673014916366</v>
      </c>
      <c r="AL42" s="53">
        <f t="shared" si="21"/>
        <v>5.607744432998274E-4</v>
      </c>
      <c r="AM42" s="229">
        <f t="shared" si="54"/>
        <v>0.71623139874792119</v>
      </c>
      <c r="AN42" s="53">
        <f t="shared" si="22"/>
        <v>4.3613395487278606E-3</v>
      </c>
      <c r="AO42" s="229">
        <f t="shared" si="55"/>
        <v>0.73727954220436787</v>
      </c>
      <c r="AP42" s="53">
        <f t="shared" si="42"/>
        <v>1.379991459619756E-3</v>
      </c>
      <c r="AQ42" s="229">
        <f t="shared" si="56"/>
        <v>1.7059073567460263</v>
      </c>
      <c r="AR42" s="53">
        <f t="shared" si="43"/>
        <v>9.507558258399218E-4</v>
      </c>
      <c r="AS42" s="229">
        <f t="shared" si="57"/>
        <v>0.87321481828029879</v>
      </c>
      <c r="AT42" s="53">
        <f t="shared" si="24"/>
        <v>1.1841799289467048E-3</v>
      </c>
      <c r="AU42" s="229">
        <f t="shared" si="58"/>
        <v>1.1969852350508903</v>
      </c>
      <c r="AV42" s="53">
        <f t="shared" si="37"/>
        <v>-1.5591207384824113E-4</v>
      </c>
      <c r="AW42" s="229">
        <f t="shared" si="59"/>
        <v>0.45667362169119968</v>
      </c>
      <c r="AX42" s="53">
        <f t="shared" si="25"/>
        <v>-5.0824542253702365E-4</v>
      </c>
      <c r="AY42" s="229">
        <f t="shared" si="60"/>
        <v>3.8085796894199224</v>
      </c>
      <c r="AZ42" s="53">
        <f t="shared" si="38"/>
        <v>4.5369743895582459E-3</v>
      </c>
      <c r="BA42" s="229">
        <f t="shared" si="60"/>
        <v>0.39727800339522329</v>
      </c>
      <c r="BB42" s="53">
        <f t="shared" si="26"/>
        <v>-3.6175935280461369E-3</v>
      </c>
      <c r="BC42" s="230">
        <f t="shared" si="61"/>
        <v>1</v>
      </c>
      <c r="BD42" s="230">
        <f t="shared" si="61"/>
        <v>1</v>
      </c>
      <c r="BE42" s="105">
        <f t="shared" si="44"/>
        <v>0.19698523505089027</v>
      </c>
      <c r="BO42" s="26">
        <v>2023</v>
      </c>
      <c r="BP42" s="29">
        <f t="shared" ref="BP42:BX54" si="62">BP103/BP$79</f>
        <v>1.1741176470588235</v>
      </c>
      <c r="BQ42" s="29">
        <f t="shared" si="62"/>
        <v>1.0565400843881856</v>
      </c>
      <c r="BR42" s="29">
        <f t="shared" si="62"/>
        <v>1.0739348370927317</v>
      </c>
      <c r="BS42" s="29">
        <f t="shared" si="62"/>
        <v>0.99119241192411933</v>
      </c>
      <c r="BT42" s="29">
        <f t="shared" si="62"/>
        <v>1.1194029850746268</v>
      </c>
      <c r="BU42" s="29">
        <f t="shared" si="62"/>
        <v>0.99361249112845995</v>
      </c>
      <c r="BV42" s="29">
        <f t="shared" si="62"/>
        <v>0.92073490813648284</v>
      </c>
      <c r="BW42" s="29">
        <f t="shared" si="62"/>
        <v>1.0279635258358664</v>
      </c>
      <c r="BX42" s="29">
        <f t="shared" si="62"/>
        <v>0.9527198779867817</v>
      </c>
      <c r="BZ42" s="26">
        <v>2023</v>
      </c>
      <c r="CA42" s="29">
        <f t="shared" ref="CA42:CI54" si="63">CA103/CA$79</f>
        <v>0.89446721311475419</v>
      </c>
      <c r="CB42" s="29">
        <f t="shared" si="63"/>
        <v>0.86283704572098485</v>
      </c>
      <c r="CC42" s="29">
        <f t="shared" si="63"/>
        <v>0.81756756756756754</v>
      </c>
      <c r="CD42" s="29">
        <f t="shared" si="63"/>
        <v>0.83243967828418231</v>
      </c>
      <c r="CE42" s="29">
        <f t="shared" si="63"/>
        <v>0.83536585365853666</v>
      </c>
      <c r="CF42" s="29">
        <f t="shared" si="63"/>
        <v>0.82723112128146459</v>
      </c>
      <c r="CG42" s="29">
        <f t="shared" si="63"/>
        <v>0.80278128950695316</v>
      </c>
      <c r="CH42" s="29">
        <f t="shared" si="63"/>
        <v>0.91994177583697234</v>
      </c>
      <c r="CI42" s="29">
        <f t="shared" si="63"/>
        <v>0.91486486486486474</v>
      </c>
    </row>
    <row r="43" spans="1:87" x14ac:dyDescent="0.2">
      <c r="A43" s="74" t="s">
        <v>126</v>
      </c>
      <c r="B43" s="309" t="s">
        <v>127</v>
      </c>
      <c r="C43" s="309"/>
      <c r="D43" s="309"/>
      <c r="E43" s="309"/>
      <c r="F43" s="309"/>
      <c r="S43" s="311"/>
      <c r="T43" s="72"/>
      <c r="U43" s="23">
        <v>2042</v>
      </c>
      <c r="V43" s="229">
        <f t="shared" si="45"/>
        <v>0.30001115728598232</v>
      </c>
      <c r="W43" s="53">
        <f t="shared" si="46"/>
        <v>-1.2094586682394048E-3</v>
      </c>
      <c r="X43" s="229">
        <f t="shared" si="47"/>
        <v>0.24119669789501136</v>
      </c>
      <c r="Y43" s="53">
        <f t="shared" si="48"/>
        <v>7.6419865857384472E-3</v>
      </c>
      <c r="Z43" s="229">
        <f t="shared" si="49"/>
        <v>3.109915863373678E-2</v>
      </c>
      <c r="AA43" s="53">
        <f t="shared" si="48"/>
        <v>7.4818177709652378E-3</v>
      </c>
      <c r="AB43" s="229">
        <f t="shared" si="49"/>
        <v>0.11307807784442706</v>
      </c>
      <c r="AC43" s="53">
        <f t="shared" si="33"/>
        <v>-7.461516992458006E-3</v>
      </c>
      <c r="AD43" s="229">
        <f t="shared" si="50"/>
        <v>0.28320846982011688</v>
      </c>
      <c r="AE43" s="53">
        <f t="shared" si="33"/>
        <v>-9.2571088191167883E-3</v>
      </c>
      <c r="AF43" s="229">
        <f t="shared" si="51"/>
        <v>0.65218878485706677</v>
      </c>
      <c r="AG43" s="53">
        <f t="shared" si="19"/>
        <v>2.2888132921969895E-3</v>
      </c>
      <c r="AH43" s="229">
        <f t="shared" si="52"/>
        <v>0.24119669789501136</v>
      </c>
      <c r="AI43" s="53">
        <f t="shared" si="20"/>
        <v>7.6419865857384472E-3</v>
      </c>
      <c r="AJ43" s="229">
        <f t="shared" si="53"/>
        <v>2.8622092256196101</v>
      </c>
      <c r="AK43" s="229">
        <f t="shared" si="53"/>
        <v>0.92428475492300199</v>
      </c>
      <c r="AL43" s="53">
        <f t="shared" si="21"/>
        <v>5.607744432998274E-4</v>
      </c>
      <c r="AM43" s="229">
        <f t="shared" si="54"/>
        <v>0.71935512707332117</v>
      </c>
      <c r="AN43" s="53">
        <f t="shared" si="22"/>
        <v>4.3613395487278606E-3</v>
      </c>
      <c r="AO43" s="229">
        <f t="shared" si="55"/>
        <v>0.73829698167596225</v>
      </c>
      <c r="AP43" s="53">
        <f t="shared" si="42"/>
        <v>1.379991459619756E-3</v>
      </c>
      <c r="AQ43" s="229">
        <f t="shared" si="56"/>
        <v>1.7075292581037957</v>
      </c>
      <c r="AR43" s="53">
        <f t="shared" si="43"/>
        <v>9.507558258399218E-4</v>
      </c>
      <c r="AS43" s="229">
        <f t="shared" si="57"/>
        <v>0.87424886174176519</v>
      </c>
      <c r="AT43" s="53">
        <f t="shared" si="24"/>
        <v>1.1841799289467048E-3</v>
      </c>
      <c r="AU43" s="229">
        <f t="shared" si="58"/>
        <v>1.1967986106005277</v>
      </c>
      <c r="AV43" s="53">
        <f t="shared" si="37"/>
        <v>-1.5591207384824113E-4</v>
      </c>
      <c r="AW43" s="229">
        <f t="shared" si="59"/>
        <v>0.45644151941338174</v>
      </c>
      <c r="AX43" s="53">
        <f t="shared" si="25"/>
        <v>-5.0824542253702365E-4</v>
      </c>
      <c r="AY43" s="229">
        <f t="shared" si="60"/>
        <v>3.8258591179314121</v>
      </c>
      <c r="AZ43" s="53">
        <f t="shared" si="38"/>
        <v>4.5369743895582459E-3</v>
      </c>
      <c r="BA43" s="229">
        <f t="shared" si="60"/>
        <v>0.39584081306130564</v>
      </c>
      <c r="BB43" s="53">
        <f t="shared" si="26"/>
        <v>-3.6175935280461369E-3</v>
      </c>
      <c r="BC43" s="230">
        <f t="shared" si="61"/>
        <v>1</v>
      </c>
      <c r="BD43" s="230">
        <f t="shared" si="61"/>
        <v>1</v>
      </c>
      <c r="BE43" s="105">
        <f t="shared" si="44"/>
        <v>0.19679861060052772</v>
      </c>
      <c r="BO43" s="26">
        <v>2024</v>
      </c>
      <c r="BP43" s="29">
        <f t="shared" si="62"/>
        <v>1.1592156862745098</v>
      </c>
      <c r="BQ43" s="29">
        <f t="shared" si="62"/>
        <v>1.0510548523206751</v>
      </c>
      <c r="BR43" s="29">
        <f t="shared" si="62"/>
        <v>1.0689223057644108</v>
      </c>
      <c r="BS43" s="29">
        <f t="shared" si="62"/>
        <v>0.98644986449864502</v>
      </c>
      <c r="BT43" s="29">
        <f t="shared" si="62"/>
        <v>1.1170149253731343</v>
      </c>
      <c r="BU43" s="29">
        <f t="shared" si="62"/>
        <v>0.98367636621717525</v>
      </c>
      <c r="BV43" s="29">
        <f t="shared" si="62"/>
        <v>0.92965879265091866</v>
      </c>
      <c r="BW43" s="29">
        <f t="shared" si="62"/>
        <v>1.0358662613981764</v>
      </c>
      <c r="BX43" s="29">
        <f t="shared" si="62"/>
        <v>0.9527198779867817</v>
      </c>
      <c r="BZ43" s="26">
        <v>2024</v>
      </c>
      <c r="CA43" s="29">
        <f t="shared" si="63"/>
        <v>0.90573770491803274</v>
      </c>
      <c r="CB43" s="29">
        <f t="shared" si="63"/>
        <v>0.87221570926143033</v>
      </c>
      <c r="CC43" s="29">
        <f t="shared" si="63"/>
        <v>0.83378378378378371</v>
      </c>
      <c r="CD43" s="29">
        <f t="shared" si="63"/>
        <v>0.84584450402144762</v>
      </c>
      <c r="CE43" s="29">
        <f t="shared" si="63"/>
        <v>0.84857723577235766</v>
      </c>
      <c r="CF43" s="29">
        <f t="shared" si="63"/>
        <v>0.84324942791762014</v>
      </c>
      <c r="CG43" s="29">
        <f t="shared" si="63"/>
        <v>0.81668773704171937</v>
      </c>
      <c r="CH43" s="29">
        <f t="shared" si="63"/>
        <v>0.93595342066957787</v>
      </c>
      <c r="CI43" s="29">
        <f t="shared" si="63"/>
        <v>0.92837837837837833</v>
      </c>
    </row>
    <row r="44" spans="1:87" x14ac:dyDescent="0.2">
      <c r="A44" s="74"/>
      <c r="B44" s="312" t="s">
        <v>128</v>
      </c>
      <c r="C44" s="312"/>
      <c r="D44" s="312"/>
      <c r="E44" s="312"/>
      <c r="F44" s="312"/>
      <c r="S44" s="311"/>
      <c r="T44" s="30"/>
      <c r="BO44" s="26">
        <v>2025</v>
      </c>
      <c r="BP44" s="29">
        <f t="shared" si="62"/>
        <v>1.1439215686274511</v>
      </c>
      <c r="BQ44" s="29">
        <f t="shared" si="62"/>
        <v>1.0464135021097047</v>
      </c>
      <c r="BR44" s="29">
        <f t="shared" si="62"/>
        <v>1.0670426065162908</v>
      </c>
      <c r="BS44" s="29">
        <f t="shared" si="62"/>
        <v>0.98170731707317072</v>
      </c>
      <c r="BT44" s="29">
        <f t="shared" si="62"/>
        <v>1.1200000000000001</v>
      </c>
      <c r="BU44" s="29">
        <f t="shared" si="62"/>
        <v>0.98225691980127749</v>
      </c>
      <c r="BV44" s="29">
        <f t="shared" si="62"/>
        <v>0.93910761154855638</v>
      </c>
      <c r="BW44" s="29">
        <f t="shared" si="62"/>
        <v>1.0486322188449848</v>
      </c>
      <c r="BX44" s="29">
        <f t="shared" si="62"/>
        <v>0.9537366548042705</v>
      </c>
      <c r="BZ44" s="26">
        <v>2025</v>
      </c>
      <c r="CA44" s="29">
        <f t="shared" si="63"/>
        <v>0.91905737704918045</v>
      </c>
      <c r="CB44" s="29">
        <f t="shared" si="63"/>
        <v>0.88511137162954279</v>
      </c>
      <c r="CC44" s="29">
        <f t="shared" si="63"/>
        <v>0.84864864864864864</v>
      </c>
      <c r="CD44" s="29">
        <f t="shared" si="63"/>
        <v>0.85924932975871315</v>
      </c>
      <c r="CE44" s="29">
        <f t="shared" si="63"/>
        <v>0.86178861788617889</v>
      </c>
      <c r="CF44" s="29">
        <f t="shared" si="63"/>
        <v>0.85812356979405036</v>
      </c>
      <c r="CG44" s="29">
        <f t="shared" si="63"/>
        <v>0.82932996207332488</v>
      </c>
      <c r="CH44" s="29">
        <f t="shared" si="63"/>
        <v>0.95050946142649206</v>
      </c>
      <c r="CI44" s="29">
        <f t="shared" si="63"/>
        <v>0.94189189189189182</v>
      </c>
    </row>
    <row r="45" spans="1:87" x14ac:dyDescent="0.2">
      <c r="A45" s="309" t="s">
        <v>171</v>
      </c>
      <c r="B45" s="313" t="s">
        <v>172</v>
      </c>
      <c r="C45" s="314"/>
      <c r="D45" s="314"/>
      <c r="E45" s="315"/>
      <c r="F45" s="315"/>
      <c r="S45" s="311"/>
      <c r="T45" s="30"/>
      <c r="U45" s="8"/>
      <c r="V45" s="76" t="s">
        <v>78</v>
      </c>
      <c r="W45" s="76"/>
      <c r="X45" s="8"/>
      <c r="Y45" s="76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O45" s="26">
        <v>2026</v>
      </c>
      <c r="BP45" s="29">
        <f t="shared" si="62"/>
        <v>1.1199999999999999</v>
      </c>
      <c r="BQ45" s="29">
        <f t="shared" si="62"/>
        <v>1.0400843881856541</v>
      </c>
      <c r="BR45" s="29">
        <f t="shared" si="62"/>
        <v>1.0651629072681703</v>
      </c>
      <c r="BS45" s="29">
        <f t="shared" si="62"/>
        <v>0.98306233062330628</v>
      </c>
      <c r="BT45" s="29">
        <f t="shared" si="62"/>
        <v>1.1241791044776119</v>
      </c>
      <c r="BU45" s="29">
        <f t="shared" si="62"/>
        <v>0.98509581263307322</v>
      </c>
      <c r="BV45" s="29">
        <f t="shared" si="62"/>
        <v>0.94803149606299197</v>
      </c>
      <c r="BW45" s="29">
        <f t="shared" si="62"/>
        <v>1.0595744680851065</v>
      </c>
      <c r="BX45" s="29">
        <f t="shared" si="62"/>
        <v>0.94661921708185048</v>
      </c>
      <c r="BZ45" s="26">
        <v>2026</v>
      </c>
      <c r="CA45" s="29">
        <f t="shared" si="63"/>
        <v>0.92930327868852469</v>
      </c>
      <c r="CB45" s="29">
        <f t="shared" si="63"/>
        <v>0.89449003516998837</v>
      </c>
      <c r="CC45" s="29">
        <f t="shared" si="63"/>
        <v>0.86081081081081079</v>
      </c>
      <c r="CD45" s="29">
        <f t="shared" si="63"/>
        <v>0.87131367292225204</v>
      </c>
      <c r="CE45" s="29">
        <f t="shared" si="63"/>
        <v>0.87296747967479671</v>
      </c>
      <c r="CF45" s="29">
        <f t="shared" si="63"/>
        <v>0.86956521739130432</v>
      </c>
      <c r="CG45" s="29">
        <f t="shared" si="63"/>
        <v>0.83944374209860928</v>
      </c>
      <c r="CH45" s="29">
        <f t="shared" si="63"/>
        <v>0.96797671033478894</v>
      </c>
      <c r="CI45" s="29">
        <f t="shared" si="63"/>
        <v>0.95405405405405397</v>
      </c>
    </row>
    <row r="46" spans="1:87" x14ac:dyDescent="0.2">
      <c r="A46" s="74" t="s">
        <v>129</v>
      </c>
      <c r="B46" s="314" t="s">
        <v>130</v>
      </c>
      <c r="C46" s="74"/>
      <c r="D46" s="74"/>
      <c r="E46" s="315"/>
      <c r="F46" s="315"/>
      <c r="G46" s="30"/>
      <c r="H46" s="30"/>
      <c r="I46" s="30"/>
      <c r="J46" s="30"/>
      <c r="K46" s="30"/>
      <c r="L46" s="30"/>
      <c r="S46" s="311"/>
      <c r="T46" s="30"/>
      <c r="U46" s="8"/>
      <c r="V46" s="8" t="s">
        <v>36</v>
      </c>
      <c r="W46" s="8"/>
      <c r="X46" s="8" t="s">
        <v>39</v>
      </c>
      <c r="Y46" s="8"/>
      <c r="Z46" s="66" t="s">
        <v>166</v>
      </c>
      <c r="AA46" s="66"/>
      <c r="AB46" s="66" t="s">
        <v>145</v>
      </c>
      <c r="AC46" s="66"/>
      <c r="AD46" s="8" t="s">
        <v>4</v>
      </c>
      <c r="AE46" s="66"/>
      <c r="AF46" s="8" t="s">
        <v>2</v>
      </c>
      <c r="AG46" s="66"/>
      <c r="AH46" s="8" t="s">
        <v>40</v>
      </c>
      <c r="AI46" s="66"/>
      <c r="AJ46" s="66" t="s">
        <v>167</v>
      </c>
      <c r="AK46" s="8" t="s">
        <v>41</v>
      </c>
      <c r="AL46" s="66"/>
      <c r="AM46" s="8" t="s">
        <v>42</v>
      </c>
      <c r="AN46" s="66"/>
      <c r="AO46" s="8" t="s">
        <v>5</v>
      </c>
      <c r="AP46" s="66"/>
      <c r="AQ46" s="8" t="s">
        <v>43</v>
      </c>
      <c r="AR46" s="66"/>
      <c r="AS46" s="8" t="s">
        <v>44</v>
      </c>
      <c r="AT46" s="66"/>
      <c r="AU46" s="8" t="s">
        <v>45</v>
      </c>
      <c r="AV46" s="8"/>
      <c r="AW46" s="8" t="s">
        <v>9</v>
      </c>
      <c r="AX46" s="66"/>
      <c r="AY46" s="66" t="s">
        <v>100</v>
      </c>
      <c r="AZ46" s="66"/>
      <c r="BA46" s="66" t="s">
        <v>173</v>
      </c>
      <c r="BB46" s="66"/>
      <c r="BC46" s="8" t="s">
        <v>46</v>
      </c>
      <c r="BD46" s="8" t="s">
        <v>14</v>
      </c>
      <c r="BE46" s="111"/>
      <c r="BO46" s="26">
        <v>2027</v>
      </c>
      <c r="BP46" s="29">
        <f t="shared" si="62"/>
        <v>1.0992156862745099</v>
      </c>
      <c r="BQ46" s="29">
        <f t="shared" si="62"/>
        <v>1.0350210970464135</v>
      </c>
      <c r="BR46" s="29">
        <f t="shared" si="62"/>
        <v>1.0639097744360901</v>
      </c>
      <c r="BS46" s="29">
        <f t="shared" si="62"/>
        <v>0.97831978319783197</v>
      </c>
      <c r="BT46" s="29">
        <f t="shared" si="62"/>
        <v>1.1259701492537313</v>
      </c>
      <c r="BU46" s="29">
        <f t="shared" si="62"/>
        <v>0.98509581263307322</v>
      </c>
      <c r="BV46" s="29">
        <f t="shared" si="62"/>
        <v>0.95800524934383202</v>
      </c>
      <c r="BW46" s="29">
        <f t="shared" si="62"/>
        <v>1.0711246200607905</v>
      </c>
      <c r="BX46" s="29">
        <f t="shared" si="62"/>
        <v>0.93085917641077764</v>
      </c>
      <c r="BZ46" s="26">
        <v>2027</v>
      </c>
      <c r="CA46" s="29">
        <f t="shared" si="63"/>
        <v>0.94057377049180324</v>
      </c>
      <c r="CB46" s="29">
        <f t="shared" si="63"/>
        <v>0.90504103165298944</v>
      </c>
      <c r="CC46" s="29">
        <f t="shared" si="63"/>
        <v>0.8716216216216216</v>
      </c>
      <c r="CD46" s="29">
        <f t="shared" si="63"/>
        <v>0.88203753351206438</v>
      </c>
      <c r="CE46" s="29">
        <f t="shared" si="63"/>
        <v>0.88516260162601634</v>
      </c>
      <c r="CF46" s="29">
        <f t="shared" si="63"/>
        <v>0.88215102974828374</v>
      </c>
      <c r="CG46" s="29">
        <f t="shared" si="63"/>
        <v>0.84829329962073319</v>
      </c>
      <c r="CH46" s="29">
        <f t="shared" si="63"/>
        <v>0.98398835516739447</v>
      </c>
      <c r="CI46" s="29">
        <f t="shared" si="63"/>
        <v>0.96486486486486478</v>
      </c>
    </row>
    <row r="47" spans="1:87" x14ac:dyDescent="0.2">
      <c r="A47" s="309"/>
      <c r="B47" s="74" t="s">
        <v>131</v>
      </c>
      <c r="C47" s="314"/>
      <c r="D47" s="314"/>
      <c r="E47" s="315"/>
      <c r="F47" s="315"/>
      <c r="G47" s="30"/>
      <c r="H47" s="77"/>
      <c r="I47" s="30"/>
      <c r="J47" s="23"/>
      <c r="K47" s="30"/>
      <c r="L47" s="77"/>
      <c r="N47" s="23"/>
      <c r="P47" s="77"/>
      <c r="Q47" s="77"/>
      <c r="R47" s="77"/>
      <c r="S47" s="311"/>
      <c r="T47" s="20"/>
      <c r="U47" s="8" t="s">
        <v>15</v>
      </c>
      <c r="V47" s="78" t="s">
        <v>47</v>
      </c>
      <c r="W47" s="78"/>
      <c r="X47" s="78" t="s">
        <v>47</v>
      </c>
      <c r="Y47" s="78"/>
      <c r="Z47" s="78" t="s">
        <v>47</v>
      </c>
      <c r="AA47" s="78"/>
      <c r="AB47" s="78" t="s">
        <v>47</v>
      </c>
      <c r="AC47" s="78"/>
      <c r="AD47" s="78" t="s">
        <v>47</v>
      </c>
      <c r="AE47" s="78"/>
      <c r="AF47" s="78" t="s">
        <v>47</v>
      </c>
      <c r="AG47" s="78"/>
      <c r="AH47" s="78" t="s">
        <v>47</v>
      </c>
      <c r="AI47" s="78"/>
      <c r="AJ47" s="78" t="s">
        <v>47</v>
      </c>
      <c r="AK47" s="78" t="s">
        <v>47</v>
      </c>
      <c r="AL47" s="78"/>
      <c r="AM47" s="78" t="s">
        <v>47</v>
      </c>
      <c r="AN47" s="78"/>
      <c r="AO47" s="78" t="s">
        <v>47</v>
      </c>
      <c r="AP47" s="78"/>
      <c r="AQ47" s="78" t="s">
        <v>47</v>
      </c>
      <c r="AR47" s="78"/>
      <c r="AS47" s="78" t="s">
        <v>47</v>
      </c>
      <c r="AT47" s="78"/>
      <c r="AU47" s="78" t="s">
        <v>47</v>
      </c>
      <c r="AV47" s="78"/>
      <c r="AW47" s="78" t="s">
        <v>47</v>
      </c>
      <c r="AX47" s="78"/>
      <c r="AY47" s="78" t="s">
        <v>47</v>
      </c>
      <c r="AZ47" s="78"/>
      <c r="BA47" s="78" t="s">
        <v>47</v>
      </c>
      <c r="BB47" s="78"/>
      <c r="BC47" s="78" t="s">
        <v>47</v>
      </c>
      <c r="BD47" s="78" t="s">
        <v>47</v>
      </c>
      <c r="BE47" s="47"/>
      <c r="BO47" s="26">
        <v>2028</v>
      </c>
      <c r="BP47" s="29">
        <f t="shared" si="62"/>
        <v>1.083921568627451</v>
      </c>
      <c r="BQ47" s="29">
        <f t="shared" si="62"/>
        <v>1.029957805907173</v>
      </c>
      <c r="BR47" s="29">
        <f t="shared" si="62"/>
        <v>1.068295739348371</v>
      </c>
      <c r="BS47" s="29">
        <f t="shared" si="62"/>
        <v>0.9789972899728997</v>
      </c>
      <c r="BT47" s="29">
        <f t="shared" si="62"/>
        <v>1.1253731343283584</v>
      </c>
      <c r="BU47" s="29">
        <f t="shared" si="62"/>
        <v>0.98651525904897097</v>
      </c>
      <c r="BV47" s="29">
        <f t="shared" si="62"/>
        <v>0.96902887139107607</v>
      </c>
      <c r="BW47" s="29">
        <f t="shared" si="62"/>
        <v>1.0784194528875379</v>
      </c>
      <c r="BX47" s="29">
        <f t="shared" si="62"/>
        <v>0.91814946619217064</v>
      </c>
      <c r="BZ47" s="26">
        <v>2028</v>
      </c>
      <c r="CA47" s="29">
        <f t="shared" si="63"/>
        <v>0.95081967213114749</v>
      </c>
      <c r="CB47" s="29">
        <f t="shared" si="63"/>
        <v>0.91441969519343502</v>
      </c>
      <c r="CC47" s="29">
        <f t="shared" si="63"/>
        <v>0.88108108108108096</v>
      </c>
      <c r="CD47" s="29">
        <f t="shared" si="63"/>
        <v>0.89142091152815017</v>
      </c>
      <c r="CE47" s="29">
        <f t="shared" si="63"/>
        <v>0.89329268292682917</v>
      </c>
      <c r="CF47" s="29">
        <f t="shared" si="63"/>
        <v>0.88901601830663612</v>
      </c>
      <c r="CG47" s="29">
        <f t="shared" si="63"/>
        <v>0.85208596713021489</v>
      </c>
      <c r="CH47" s="29">
        <f t="shared" si="63"/>
        <v>0.99854439592430866</v>
      </c>
      <c r="CI47" s="29">
        <f t="shared" si="63"/>
        <v>0.97702702702702704</v>
      </c>
    </row>
    <row r="48" spans="1:87" x14ac:dyDescent="0.2">
      <c r="A48" s="74" t="s">
        <v>132</v>
      </c>
      <c r="B48" s="314" t="s">
        <v>133</v>
      </c>
      <c r="C48" s="74"/>
      <c r="D48" s="74"/>
      <c r="E48" s="315"/>
      <c r="F48" s="315"/>
      <c r="G48" s="30"/>
      <c r="H48" s="30"/>
      <c r="I48" s="30"/>
      <c r="J48" s="79"/>
      <c r="K48" s="30"/>
      <c r="L48" s="30"/>
      <c r="N48" s="79"/>
      <c r="S48" s="311"/>
      <c r="T48" s="20"/>
      <c r="U48" s="23">
        <v>2005</v>
      </c>
      <c r="V48" s="39">
        <v>2334318</v>
      </c>
      <c r="W48" s="39"/>
      <c r="X48" s="145">
        <v>1005312</v>
      </c>
      <c r="Y48" s="39"/>
      <c r="Z48" s="145">
        <v>33013</v>
      </c>
      <c r="AA48" s="145"/>
      <c r="AB48" s="39">
        <v>1037052</v>
      </c>
      <c r="AC48" s="39"/>
      <c r="AD48" s="39">
        <v>3020635</v>
      </c>
      <c r="AE48" s="39"/>
      <c r="AF48" s="39">
        <v>4146518</v>
      </c>
      <c r="AG48" s="39"/>
      <c r="AH48" s="39">
        <f>X48</f>
        <v>1005312</v>
      </c>
      <c r="AI48" s="39"/>
      <c r="AJ48" s="39">
        <f>Z48</f>
        <v>33013</v>
      </c>
      <c r="AK48" s="39">
        <v>6197830</v>
      </c>
      <c r="AL48" s="39"/>
      <c r="AM48" s="39">
        <v>4069566</v>
      </c>
      <c r="AN48" s="39"/>
      <c r="AO48" s="39">
        <v>4698168</v>
      </c>
      <c r="AP48" s="39"/>
      <c r="AQ48" s="39">
        <v>11381568</v>
      </c>
      <c r="AR48" s="39"/>
      <c r="AS48" s="39">
        <v>5661733</v>
      </c>
      <c r="AT48" s="39"/>
      <c r="AU48" s="39">
        <v>8281028</v>
      </c>
      <c r="AV48" s="39"/>
      <c r="AW48" s="39">
        <v>3160777</v>
      </c>
      <c r="AX48" s="39"/>
      <c r="AY48" s="39">
        <v>22146485</v>
      </c>
      <c r="AZ48" s="39"/>
      <c r="BA48" s="133">
        <v>3251769</v>
      </c>
      <c r="BB48" s="133"/>
      <c r="BC48" s="55">
        <f>'OD StructuralVars'!I12</f>
        <v>6892754</v>
      </c>
      <c r="BD48" s="55">
        <f>BC48</f>
        <v>6892754</v>
      </c>
      <c r="BE48" s="47"/>
      <c r="BO48" s="26">
        <v>2029</v>
      </c>
      <c r="BP48" s="29">
        <f t="shared" si="62"/>
        <v>1.0725490196078431</v>
      </c>
      <c r="BQ48" s="29">
        <f t="shared" si="62"/>
        <v>1.0274261603375527</v>
      </c>
      <c r="BR48" s="29">
        <f t="shared" si="62"/>
        <v>1.0733082706766917</v>
      </c>
      <c r="BS48" s="29">
        <f t="shared" si="62"/>
        <v>0.98238482384823844</v>
      </c>
      <c r="BT48" s="29">
        <f t="shared" si="62"/>
        <v>1.1247761194029851</v>
      </c>
      <c r="BU48" s="29">
        <f t="shared" si="62"/>
        <v>0.98793470546486872</v>
      </c>
      <c r="BV48" s="29">
        <f t="shared" si="62"/>
        <v>0.97742782152230978</v>
      </c>
      <c r="BW48" s="29">
        <f t="shared" si="62"/>
        <v>1.0881458966565349</v>
      </c>
      <c r="BX48" s="29">
        <f t="shared" si="62"/>
        <v>0.91560752414844937</v>
      </c>
      <c r="BZ48" s="26">
        <v>2029</v>
      </c>
      <c r="CA48" s="29">
        <f t="shared" si="63"/>
        <v>0.96413934426229508</v>
      </c>
      <c r="CB48" s="29">
        <f t="shared" si="63"/>
        <v>0.92497069167643609</v>
      </c>
      <c r="CC48" s="29">
        <f t="shared" si="63"/>
        <v>0.88918918918918921</v>
      </c>
      <c r="CD48" s="29">
        <f t="shared" si="63"/>
        <v>0.90080428954423586</v>
      </c>
      <c r="CE48" s="29">
        <f t="shared" si="63"/>
        <v>0.90142276422764223</v>
      </c>
      <c r="CF48" s="29">
        <f t="shared" si="63"/>
        <v>0.89473684210526316</v>
      </c>
      <c r="CG48" s="29">
        <f t="shared" si="63"/>
        <v>0.85461441213653599</v>
      </c>
      <c r="CH48" s="29">
        <f t="shared" si="63"/>
        <v>1.0116448326055314</v>
      </c>
      <c r="CI48" s="29">
        <f t="shared" si="63"/>
        <v>0.98918918918918919</v>
      </c>
    </row>
    <row r="49" spans="1:87" x14ac:dyDescent="0.2">
      <c r="A49" s="309"/>
      <c r="B49" s="74" t="s">
        <v>134</v>
      </c>
      <c r="C49" s="314"/>
      <c r="D49" s="314"/>
      <c r="E49" s="315"/>
      <c r="F49" s="315"/>
      <c r="G49" s="30"/>
      <c r="H49" s="72"/>
      <c r="I49" s="30"/>
      <c r="J49" s="80"/>
      <c r="K49" s="72"/>
      <c r="L49" s="72"/>
      <c r="N49" s="80"/>
      <c r="O49" s="72"/>
      <c r="P49" s="72"/>
      <c r="Q49" s="72"/>
      <c r="R49" s="72"/>
      <c r="S49" s="311"/>
      <c r="T49" s="20"/>
      <c r="U49" s="23">
        <v>2006</v>
      </c>
      <c r="V49" s="39">
        <v>2330237</v>
      </c>
      <c r="W49" s="39"/>
      <c r="X49" s="145">
        <v>1034090.5</v>
      </c>
      <c r="Y49" s="39"/>
      <c r="Z49" s="145">
        <v>35854.5</v>
      </c>
      <c r="AA49" s="145"/>
      <c r="AB49" s="39">
        <v>1102520</v>
      </c>
      <c r="AC49" s="39"/>
      <c r="AD49" s="39">
        <v>3002667</v>
      </c>
      <c r="AE49" s="39"/>
      <c r="AF49" s="39">
        <v>4170981</v>
      </c>
      <c r="AG49" s="39"/>
      <c r="AH49" s="39">
        <f t="shared" ref="AH49:AH78" si="64">X49</f>
        <v>1034090.5</v>
      </c>
      <c r="AI49" s="39"/>
      <c r="AJ49" s="39">
        <f t="shared" ref="AJ49:AJ78" si="65">Z49</f>
        <v>35854.5</v>
      </c>
      <c r="AK49" s="39">
        <v>6231706</v>
      </c>
      <c r="AL49" s="39"/>
      <c r="AM49" s="39">
        <v>4107179</v>
      </c>
      <c r="AN49" s="39"/>
      <c r="AO49" s="39">
        <v>4736333</v>
      </c>
      <c r="AP49" s="39"/>
      <c r="AQ49" s="39">
        <v>11439904</v>
      </c>
      <c r="AR49" s="39"/>
      <c r="AS49" s="39">
        <v>5698605</v>
      </c>
      <c r="AT49" s="39"/>
      <c r="AU49" s="39">
        <v>8323559</v>
      </c>
      <c r="AV49" s="39"/>
      <c r="AW49" s="39">
        <v>3176623</v>
      </c>
      <c r="AX49" s="39"/>
      <c r="AY49" s="39">
        <v>22496939</v>
      </c>
      <c r="AZ49" s="39"/>
      <c r="BA49" s="133">
        <v>3258945</v>
      </c>
      <c r="BB49" s="133"/>
      <c r="BC49" s="55">
        <f>'OD StructuralVars'!I13</f>
        <v>6937029</v>
      </c>
      <c r="BD49" s="55">
        <f t="shared" ref="BD49:BD73" si="66">BC49</f>
        <v>6937029</v>
      </c>
      <c r="BE49" s="89"/>
      <c r="BO49" s="26">
        <v>2030</v>
      </c>
      <c r="BP49" s="29">
        <f t="shared" si="62"/>
        <v>1.0631372549019609</v>
      </c>
      <c r="BQ49" s="29">
        <f t="shared" si="62"/>
        <v>1.0244725738396625</v>
      </c>
      <c r="BR49" s="29">
        <f t="shared" si="62"/>
        <v>1.0739348370927317</v>
      </c>
      <c r="BS49" s="29">
        <f t="shared" si="62"/>
        <v>0.98102981029810299</v>
      </c>
      <c r="BT49" s="29">
        <f t="shared" si="62"/>
        <v>1.1217910447761195</v>
      </c>
      <c r="BU49" s="29">
        <f t="shared" si="62"/>
        <v>0.98083747338537974</v>
      </c>
      <c r="BV49" s="29">
        <f t="shared" si="62"/>
        <v>0.97322834645669287</v>
      </c>
      <c r="BW49" s="29">
        <f t="shared" si="62"/>
        <v>1.0960486322188452</v>
      </c>
      <c r="BX49" s="29">
        <f t="shared" si="62"/>
        <v>0.9105236400610065</v>
      </c>
      <c r="BZ49" s="26">
        <v>2030</v>
      </c>
      <c r="CA49" s="29">
        <f t="shared" si="63"/>
        <v>0.97745901639344257</v>
      </c>
      <c r="CB49" s="29">
        <f t="shared" si="63"/>
        <v>0.93786635404454877</v>
      </c>
      <c r="CC49" s="29">
        <f t="shared" si="63"/>
        <v>0.89729729729729724</v>
      </c>
      <c r="CD49" s="29">
        <f t="shared" si="63"/>
        <v>0.91018766756032177</v>
      </c>
      <c r="CE49" s="29">
        <f t="shared" si="63"/>
        <v>0.90955284552845528</v>
      </c>
      <c r="CF49" s="29">
        <f t="shared" si="63"/>
        <v>0.90389016018306634</v>
      </c>
      <c r="CG49" s="29">
        <f t="shared" si="63"/>
        <v>0.8596713021491782</v>
      </c>
      <c r="CH49" s="29">
        <f t="shared" si="63"/>
        <v>1.0232896652110626</v>
      </c>
      <c r="CI49" s="29">
        <f t="shared" si="63"/>
        <v>1</v>
      </c>
    </row>
    <row r="50" spans="1:87" x14ac:dyDescent="0.2">
      <c r="A50" s="74" t="s">
        <v>135</v>
      </c>
      <c r="B50" s="314" t="s">
        <v>136</v>
      </c>
      <c r="C50" s="74"/>
      <c r="D50" s="74"/>
      <c r="E50" s="315"/>
      <c r="F50" s="315"/>
      <c r="G50" s="72"/>
      <c r="H50" s="72"/>
      <c r="I50" s="81"/>
      <c r="J50" s="80"/>
      <c r="K50" s="72"/>
      <c r="L50" s="72"/>
      <c r="M50" s="81"/>
      <c r="N50" s="80"/>
      <c r="O50" s="72"/>
      <c r="P50" s="72"/>
      <c r="Q50" s="72"/>
      <c r="R50" s="72"/>
      <c r="S50" s="311"/>
      <c r="T50" s="20"/>
      <c r="U50" s="23">
        <v>2007</v>
      </c>
      <c r="V50" s="39">
        <v>2334707</v>
      </c>
      <c r="W50" s="39"/>
      <c r="X50" s="145">
        <v>1074565.5</v>
      </c>
      <c r="Y50" s="39"/>
      <c r="Z50" s="145">
        <v>43652.5</v>
      </c>
      <c r="AA50" s="145"/>
      <c r="AB50" s="39">
        <v>1098820</v>
      </c>
      <c r="AC50" s="39"/>
      <c r="AD50" s="39">
        <v>2985438</v>
      </c>
      <c r="AE50" s="39"/>
      <c r="AF50" s="39">
        <v>4222384</v>
      </c>
      <c r="AG50" s="39"/>
      <c r="AH50" s="39">
        <f t="shared" si="64"/>
        <v>1074565.5</v>
      </c>
      <c r="AI50" s="39"/>
      <c r="AJ50" s="39">
        <f t="shared" si="65"/>
        <v>43652.5</v>
      </c>
      <c r="AK50" s="39">
        <v>6297383</v>
      </c>
      <c r="AL50" s="39"/>
      <c r="AM50" s="39">
        <v>4172403</v>
      </c>
      <c r="AN50" s="39"/>
      <c r="AO50" s="39">
        <v>4799067</v>
      </c>
      <c r="AP50" s="39"/>
      <c r="AQ50" s="39">
        <v>11554997</v>
      </c>
      <c r="AR50" s="39"/>
      <c r="AS50" s="39">
        <v>5768232</v>
      </c>
      <c r="AT50" s="39"/>
      <c r="AU50" s="39">
        <v>8404143</v>
      </c>
      <c r="AV50" s="39"/>
      <c r="AW50" s="39">
        <v>3207197</v>
      </c>
      <c r="AX50" s="39"/>
      <c r="AY50" s="39">
        <v>24042661</v>
      </c>
      <c r="AZ50" s="39"/>
      <c r="BA50" s="133">
        <v>3273072</v>
      </c>
      <c r="BB50" s="133"/>
      <c r="BC50" s="55">
        <f>'OD StructuralVars'!I14</f>
        <v>7003392</v>
      </c>
      <c r="BD50" s="55">
        <f t="shared" si="66"/>
        <v>7003392</v>
      </c>
      <c r="BE50" s="89"/>
      <c r="BO50" s="26">
        <v>2031</v>
      </c>
      <c r="BP50" s="29">
        <f t="shared" si="62"/>
        <v>1.0564705882352943</v>
      </c>
      <c r="BQ50" s="29">
        <f t="shared" si="62"/>
        <v>1.0244725738396625</v>
      </c>
      <c r="BR50" s="29">
        <f t="shared" si="62"/>
        <v>1.0789473684210524</v>
      </c>
      <c r="BS50" s="29">
        <f t="shared" si="62"/>
        <v>0.98170731707317072</v>
      </c>
      <c r="BT50" s="29">
        <f t="shared" si="62"/>
        <v>1.1235820895522388</v>
      </c>
      <c r="BU50" s="29">
        <f t="shared" si="62"/>
        <v>0.98296664300922643</v>
      </c>
      <c r="BV50" s="29">
        <f t="shared" si="62"/>
        <v>0.98110236220472447</v>
      </c>
      <c r="BW50" s="29">
        <f t="shared" si="62"/>
        <v>1.103951367781155</v>
      </c>
      <c r="BX50" s="29">
        <f t="shared" si="62"/>
        <v>0.90543975597356363</v>
      </c>
      <c r="BZ50" s="26">
        <v>2031</v>
      </c>
      <c r="CA50" s="29">
        <f t="shared" si="63"/>
        <v>0.99077868852459017</v>
      </c>
      <c r="CB50" s="29">
        <f t="shared" si="63"/>
        <v>0.94958968347010553</v>
      </c>
      <c r="CC50" s="29">
        <f t="shared" si="63"/>
        <v>0.9094594594594595</v>
      </c>
      <c r="CD50" s="29">
        <f t="shared" si="63"/>
        <v>0.92091152815013411</v>
      </c>
      <c r="CE50" s="29">
        <f t="shared" si="63"/>
        <v>0.92073170731707321</v>
      </c>
      <c r="CF50" s="29">
        <f t="shared" si="63"/>
        <v>0.9176201372997711</v>
      </c>
      <c r="CG50" s="29">
        <f t="shared" si="63"/>
        <v>0.8710493046776232</v>
      </c>
      <c r="CH50" s="29">
        <f t="shared" si="63"/>
        <v>1.0378457059679767</v>
      </c>
      <c r="CI50" s="29">
        <f t="shared" si="63"/>
        <v>1.0108108108108109</v>
      </c>
    </row>
    <row r="51" spans="1:87" x14ac:dyDescent="0.2">
      <c r="A51" s="309"/>
      <c r="B51" s="74" t="s">
        <v>137</v>
      </c>
      <c r="C51" s="72"/>
      <c r="D51" s="72"/>
      <c r="E51" s="80"/>
      <c r="F51" s="80"/>
      <c r="G51" s="314"/>
      <c r="H51" s="8"/>
      <c r="I51" s="8"/>
      <c r="J51" s="8"/>
      <c r="K51" s="8"/>
      <c r="L51" s="8"/>
      <c r="M51" s="8"/>
      <c r="N51" s="8"/>
      <c r="O51" s="23"/>
      <c r="P51" s="23"/>
      <c r="Q51" s="23"/>
      <c r="R51" s="72"/>
      <c r="S51" s="311"/>
      <c r="T51" s="20"/>
      <c r="U51" s="23">
        <v>2008</v>
      </c>
      <c r="V51" s="39">
        <v>2337655</v>
      </c>
      <c r="W51" s="39"/>
      <c r="X51" s="145">
        <v>1101117</v>
      </c>
      <c r="Y51" s="39"/>
      <c r="Z51" s="145">
        <v>52036.5</v>
      </c>
      <c r="AA51" s="145"/>
      <c r="AB51" s="39">
        <v>1094874</v>
      </c>
      <c r="AC51" s="39"/>
      <c r="AD51" s="39">
        <v>2968256</v>
      </c>
      <c r="AE51" s="39"/>
      <c r="AF51" s="39">
        <v>4258648</v>
      </c>
      <c r="AG51" s="39"/>
      <c r="AH51" s="39">
        <f t="shared" si="64"/>
        <v>1101117</v>
      </c>
      <c r="AI51" s="39"/>
      <c r="AJ51" s="39">
        <f t="shared" si="65"/>
        <v>52036.5</v>
      </c>
      <c r="AK51" s="39">
        <v>6334676</v>
      </c>
      <c r="AL51" s="39"/>
      <c r="AM51" s="39">
        <v>4214603</v>
      </c>
      <c r="AN51" s="39"/>
      <c r="AO51" s="39">
        <v>4846702</v>
      </c>
      <c r="AP51" s="39"/>
      <c r="AQ51" s="39">
        <v>11623133</v>
      </c>
      <c r="AR51" s="39"/>
      <c r="AS51" s="39">
        <v>5809632</v>
      </c>
      <c r="AT51" s="39"/>
      <c r="AU51" s="39">
        <v>8448596</v>
      </c>
      <c r="AV51" s="39"/>
      <c r="AW51" s="39">
        <v>3222397</v>
      </c>
      <c r="AX51" s="39"/>
      <c r="AY51" s="39">
        <v>25480198</v>
      </c>
      <c r="AZ51" s="39"/>
      <c r="BA51" s="133">
        <v>3273737</v>
      </c>
      <c r="BB51" s="133"/>
      <c r="BC51" s="55">
        <f>'OD StructuralVars'!I15</f>
        <v>7041153</v>
      </c>
      <c r="BD51" s="55">
        <f t="shared" si="66"/>
        <v>7041153</v>
      </c>
      <c r="BE51" s="89"/>
      <c r="BO51" s="26">
        <v>2032</v>
      </c>
      <c r="BP51" s="29">
        <f t="shared" si="62"/>
        <v>1.0572549019607844</v>
      </c>
      <c r="BQ51" s="29">
        <f t="shared" si="62"/>
        <v>1.0295358649789028</v>
      </c>
      <c r="BR51" s="29">
        <f t="shared" si="62"/>
        <v>1.0808270676691729</v>
      </c>
      <c r="BS51" s="29">
        <f t="shared" si="62"/>
        <v>0.98035230352303526</v>
      </c>
      <c r="BT51" s="29">
        <f t="shared" si="62"/>
        <v>1.1253731343283584</v>
      </c>
      <c r="BU51" s="29">
        <f t="shared" si="62"/>
        <v>0.97657913413768627</v>
      </c>
      <c r="BV51" s="29">
        <f t="shared" si="62"/>
        <v>0.98687664041994749</v>
      </c>
      <c r="BW51" s="29">
        <f t="shared" si="62"/>
        <v>1.1100303951367783</v>
      </c>
      <c r="BX51" s="29">
        <f t="shared" si="62"/>
        <v>0.89984748347737664</v>
      </c>
      <c r="BZ51" s="26">
        <v>2032</v>
      </c>
      <c r="CA51" s="29">
        <f t="shared" si="63"/>
        <v>1.0020491803278688</v>
      </c>
      <c r="CB51" s="29">
        <f t="shared" si="63"/>
        <v>0.958968347010551</v>
      </c>
      <c r="CC51" s="29">
        <f t="shared" si="63"/>
        <v>0.92162162162162165</v>
      </c>
      <c r="CD51" s="29">
        <f t="shared" si="63"/>
        <v>0.93297587131367288</v>
      </c>
      <c r="CE51" s="29">
        <f t="shared" si="63"/>
        <v>0.93191056910569103</v>
      </c>
      <c r="CF51" s="29">
        <f t="shared" si="63"/>
        <v>0.93135011441647597</v>
      </c>
      <c r="CG51" s="29">
        <f t="shared" si="63"/>
        <v>0.88242730720606832</v>
      </c>
      <c r="CH51" s="29">
        <f t="shared" si="63"/>
        <v>1.0509461426491993</v>
      </c>
      <c r="CI51" s="29">
        <f t="shared" si="63"/>
        <v>1.0243243243243243</v>
      </c>
    </row>
    <row r="52" spans="1:87" x14ac:dyDescent="0.2">
      <c r="A52" s="83"/>
      <c r="B52" s="72"/>
      <c r="C52" s="312"/>
      <c r="D52" s="312"/>
      <c r="E52" s="312"/>
      <c r="F52" s="312"/>
      <c r="G52" s="26"/>
      <c r="H52" s="309"/>
      <c r="I52" s="309"/>
      <c r="J52" s="312"/>
      <c r="K52" s="312"/>
      <c r="L52" s="309"/>
      <c r="M52" s="312"/>
      <c r="N52" s="312"/>
      <c r="O52" s="312"/>
      <c r="P52" s="312"/>
      <c r="Q52" s="312"/>
      <c r="S52" s="311"/>
      <c r="T52" s="20"/>
      <c r="U52" s="23">
        <v>2009</v>
      </c>
      <c r="V52" s="39">
        <v>2340148</v>
      </c>
      <c r="W52" s="39"/>
      <c r="X52" s="145">
        <v>1131772</v>
      </c>
      <c r="Y52" s="39"/>
      <c r="Z52" s="145">
        <v>61789.5</v>
      </c>
      <c r="AA52" s="145"/>
      <c r="AB52" s="39">
        <v>1091123</v>
      </c>
      <c r="AC52" s="39"/>
      <c r="AD52" s="39">
        <v>2951424</v>
      </c>
      <c r="AE52" s="39"/>
      <c r="AF52" s="39">
        <v>4296354</v>
      </c>
      <c r="AG52" s="39"/>
      <c r="AH52" s="39">
        <f t="shared" si="64"/>
        <v>1131772</v>
      </c>
      <c r="AI52" s="39"/>
      <c r="AJ52" s="39">
        <f t="shared" si="65"/>
        <v>61789.5</v>
      </c>
      <c r="AK52" s="39">
        <v>6379983</v>
      </c>
      <c r="AL52" s="39"/>
      <c r="AM52" s="39">
        <v>4264708</v>
      </c>
      <c r="AN52" s="39"/>
      <c r="AO52" s="39">
        <v>4897488</v>
      </c>
      <c r="AP52" s="39"/>
      <c r="AQ52" s="39">
        <v>11702903</v>
      </c>
      <c r="AR52" s="39"/>
      <c r="AS52" s="39">
        <v>5859743</v>
      </c>
      <c r="AT52" s="39"/>
      <c r="AU52" s="39">
        <v>8503564</v>
      </c>
      <c r="AV52" s="39"/>
      <c r="AW52" s="39">
        <v>3243692</v>
      </c>
      <c r="AX52" s="39"/>
      <c r="AY52" s="39">
        <v>26348066</v>
      </c>
      <c r="AZ52" s="39"/>
      <c r="BA52" s="133">
        <v>3276801</v>
      </c>
      <c r="BB52" s="133"/>
      <c r="BC52" s="55">
        <f>'OD StructuralVars'!I16</f>
        <v>7086260</v>
      </c>
      <c r="BD52" s="55">
        <f t="shared" si="66"/>
        <v>7086260</v>
      </c>
      <c r="BE52" s="223">
        <f>BD52/BD51-1</f>
        <v>6.4061951217364577E-3</v>
      </c>
      <c r="BO52" s="26">
        <v>2033</v>
      </c>
      <c r="BP52" s="29">
        <f t="shared" si="62"/>
        <v>1.0611764705882352</v>
      </c>
      <c r="BQ52" s="29">
        <f t="shared" si="62"/>
        <v>1.0354430379746835</v>
      </c>
      <c r="BR52" s="29">
        <f t="shared" si="62"/>
        <v>1.0852130325814535</v>
      </c>
      <c r="BS52" s="29">
        <f t="shared" si="62"/>
        <v>0.98441734417344173</v>
      </c>
      <c r="BT52" s="29">
        <f t="shared" si="62"/>
        <v>1.1289552238805971</v>
      </c>
      <c r="BU52" s="29">
        <f t="shared" si="62"/>
        <v>0.98012775017743081</v>
      </c>
      <c r="BV52" s="29">
        <f t="shared" si="62"/>
        <v>0.99475065616797897</v>
      </c>
      <c r="BW52" s="29">
        <f t="shared" si="62"/>
        <v>1.1191489361702127</v>
      </c>
      <c r="BX52" s="29">
        <f t="shared" si="62"/>
        <v>0.89476359938993388</v>
      </c>
      <c r="BZ52" s="26">
        <v>2033</v>
      </c>
      <c r="CA52" s="29">
        <f t="shared" si="63"/>
        <v>1.0153688524590165</v>
      </c>
      <c r="CB52" s="29">
        <f t="shared" si="63"/>
        <v>0.97069167643610788</v>
      </c>
      <c r="CC52" s="29">
        <f t="shared" si="63"/>
        <v>0.93513513513513513</v>
      </c>
      <c r="CD52" s="29">
        <f t="shared" si="63"/>
        <v>0.94772117962466496</v>
      </c>
      <c r="CE52" s="29">
        <f t="shared" si="63"/>
        <v>0.94308943089430886</v>
      </c>
      <c r="CF52" s="29">
        <f t="shared" si="63"/>
        <v>0.94393592677345539</v>
      </c>
      <c r="CG52" s="29">
        <f t="shared" si="63"/>
        <v>0.89127686472819212</v>
      </c>
      <c r="CH52" s="29">
        <f t="shared" si="63"/>
        <v>1.0640465793304221</v>
      </c>
      <c r="CI52" s="29">
        <f t="shared" si="63"/>
        <v>1.0391891891891891</v>
      </c>
    </row>
    <row r="53" spans="1:87" x14ac:dyDescent="0.2">
      <c r="A53" s="74"/>
      <c r="B53" s="312"/>
      <c r="C53" s="316"/>
      <c r="D53" s="316"/>
      <c r="E53" s="316"/>
      <c r="F53" s="316"/>
      <c r="G53" s="26"/>
      <c r="H53" s="317"/>
      <c r="I53" s="317"/>
      <c r="J53" s="317"/>
      <c r="K53" s="317"/>
      <c r="L53" s="318"/>
      <c r="M53" s="318"/>
      <c r="N53" s="317"/>
      <c r="O53" s="317"/>
      <c r="P53" s="317"/>
      <c r="Q53" s="317"/>
      <c r="R53" s="72"/>
      <c r="S53" s="311"/>
      <c r="T53" s="20"/>
      <c r="U53" s="23">
        <v>2010</v>
      </c>
      <c r="V53" s="39">
        <v>2348119</v>
      </c>
      <c r="W53" s="39"/>
      <c r="X53" s="145">
        <v>1179620.5</v>
      </c>
      <c r="Y53" s="39"/>
      <c r="Z53" s="145">
        <v>76709.5</v>
      </c>
      <c r="AA53" s="145"/>
      <c r="AB53" s="39">
        <v>1088171</v>
      </c>
      <c r="AC53" s="39"/>
      <c r="AD53" s="39">
        <v>2935254</v>
      </c>
      <c r="AE53" s="39"/>
      <c r="AF53" s="39">
        <v>4349261</v>
      </c>
      <c r="AG53" s="39"/>
      <c r="AH53" s="39">
        <f t="shared" si="64"/>
        <v>1179620.5</v>
      </c>
      <c r="AI53" s="39"/>
      <c r="AJ53" s="39">
        <f t="shared" si="65"/>
        <v>76709.5</v>
      </c>
      <c r="AK53" s="39">
        <v>6463493</v>
      </c>
      <c r="AL53" s="39"/>
      <c r="AM53" s="39">
        <v>4346950</v>
      </c>
      <c r="AN53" s="39"/>
      <c r="AO53" s="39">
        <v>4975674</v>
      </c>
      <c r="AP53" s="39"/>
      <c r="AQ53" s="39">
        <v>11848604</v>
      </c>
      <c r="AR53" s="39"/>
      <c r="AS53" s="39">
        <v>5946986</v>
      </c>
      <c r="AT53" s="39"/>
      <c r="AU53" s="39">
        <v>8605868</v>
      </c>
      <c r="AV53" s="39"/>
      <c r="AW53" s="39">
        <v>3284965</v>
      </c>
      <c r="AX53" s="39"/>
      <c r="AY53" s="39">
        <v>27047468</v>
      </c>
      <c r="AZ53" s="39"/>
      <c r="BA53" s="133">
        <v>3290092</v>
      </c>
      <c r="BB53" s="133"/>
      <c r="BC53" s="55">
        <f>'OD StructuralVars'!I17</f>
        <v>7169764</v>
      </c>
      <c r="BD53" s="55">
        <f t="shared" si="66"/>
        <v>7169764</v>
      </c>
      <c r="BE53" s="223">
        <f t="shared" ref="BE53:BE67" si="67">BD53/BD52-1</f>
        <v>1.1783931156915006E-2</v>
      </c>
      <c r="BH53" s="64"/>
      <c r="BI53" s="82"/>
      <c r="BJ53" s="64"/>
      <c r="BK53" s="64"/>
      <c r="BO53" s="26">
        <v>2034</v>
      </c>
      <c r="BP53" s="29">
        <f t="shared" si="62"/>
        <v>1.0654901960784315</v>
      </c>
      <c r="BQ53" s="29">
        <f t="shared" si="62"/>
        <v>1.0426160337552743</v>
      </c>
      <c r="BR53" s="29">
        <f t="shared" si="62"/>
        <v>1.0939849624060149</v>
      </c>
      <c r="BS53" s="29">
        <f t="shared" si="62"/>
        <v>0.98983739837398377</v>
      </c>
      <c r="BT53" s="29">
        <f t="shared" si="62"/>
        <v>1.1355223880597014</v>
      </c>
      <c r="BU53" s="29">
        <f t="shared" si="62"/>
        <v>0.98296664300922643</v>
      </c>
      <c r="BV53" s="29">
        <f t="shared" si="62"/>
        <v>0.99947506561679778</v>
      </c>
      <c r="BW53" s="29">
        <f t="shared" si="62"/>
        <v>1.1276595744680853</v>
      </c>
      <c r="BX53" s="29">
        <f t="shared" si="62"/>
        <v>0.89578037620742246</v>
      </c>
      <c r="BZ53" s="26">
        <v>2034</v>
      </c>
      <c r="CA53" s="29">
        <f t="shared" si="63"/>
        <v>1.0256147540983607</v>
      </c>
      <c r="CB53" s="29">
        <f t="shared" si="63"/>
        <v>0.97772567409144207</v>
      </c>
      <c r="CC53" s="29">
        <f t="shared" si="63"/>
        <v>0.95</v>
      </c>
      <c r="CD53" s="29">
        <f t="shared" si="63"/>
        <v>0.9651474530831099</v>
      </c>
      <c r="CE53" s="29">
        <f t="shared" si="63"/>
        <v>0.95528455284552849</v>
      </c>
      <c r="CF53" s="29">
        <f t="shared" si="63"/>
        <v>0.95995423340961106</v>
      </c>
      <c r="CG53" s="29">
        <f t="shared" si="63"/>
        <v>0.90391908975979773</v>
      </c>
      <c r="CH53" s="29">
        <f t="shared" si="63"/>
        <v>1.0844250363901018</v>
      </c>
      <c r="CI53" s="29">
        <f t="shared" si="63"/>
        <v>1.0567567567567568</v>
      </c>
    </row>
    <row r="54" spans="1:87" x14ac:dyDescent="0.2">
      <c r="A54" s="26"/>
      <c r="B54" s="316"/>
      <c r="C54" s="316"/>
      <c r="D54" s="316"/>
      <c r="E54" s="319"/>
      <c r="F54" s="319"/>
      <c r="G54" s="26"/>
      <c r="H54" s="317"/>
      <c r="I54" s="317"/>
      <c r="J54" s="317"/>
      <c r="K54" s="317"/>
      <c r="L54" s="318"/>
      <c r="M54" s="318"/>
      <c r="N54" s="317"/>
      <c r="O54" s="317"/>
      <c r="P54" s="317"/>
      <c r="Q54" s="317"/>
      <c r="R54" s="72"/>
      <c r="S54" s="311"/>
      <c r="T54" s="20"/>
      <c r="U54" s="23">
        <v>2011</v>
      </c>
      <c r="V54" s="39">
        <v>2354842</v>
      </c>
      <c r="W54" s="39"/>
      <c r="X54" s="145">
        <v>1229927.5</v>
      </c>
      <c r="Y54" s="39"/>
      <c r="Z54" s="145">
        <v>92425.5</v>
      </c>
      <c r="AA54" s="145"/>
      <c r="AB54" s="39">
        <v>1084678</v>
      </c>
      <c r="AC54" s="39"/>
      <c r="AD54" s="39">
        <v>2919124</v>
      </c>
      <c r="AE54" s="39"/>
      <c r="AF54" s="39">
        <v>4401609</v>
      </c>
      <c r="AG54" s="39"/>
      <c r="AH54" s="39">
        <f t="shared" si="64"/>
        <v>1229927.5</v>
      </c>
      <c r="AI54" s="39"/>
      <c r="AJ54" s="39">
        <f t="shared" si="65"/>
        <v>92425.5</v>
      </c>
      <c r="AK54" s="39">
        <v>6549727</v>
      </c>
      <c r="AL54" s="39"/>
      <c r="AM54" s="39">
        <v>4432338</v>
      </c>
      <c r="AN54" s="39"/>
      <c r="AO54" s="39">
        <v>5055387</v>
      </c>
      <c r="AP54" s="39"/>
      <c r="AQ54" s="39">
        <v>12012982</v>
      </c>
      <c r="AR54" s="39"/>
      <c r="AS54" s="39">
        <v>6036406</v>
      </c>
      <c r="AT54" s="39"/>
      <c r="AU54" s="39">
        <v>8712282</v>
      </c>
      <c r="AV54" s="39"/>
      <c r="AW54" s="39">
        <v>3327095</v>
      </c>
      <c r="AX54" s="39"/>
      <c r="AY54" s="39">
        <v>27239671</v>
      </c>
      <c r="AZ54" s="39"/>
      <c r="BA54" s="133">
        <v>3304373</v>
      </c>
      <c r="BB54" s="133"/>
      <c r="BC54" s="55">
        <f>'OD StructuralVars'!I18</f>
        <v>7255999</v>
      </c>
      <c r="BD54" s="55">
        <f t="shared" si="66"/>
        <v>7255999</v>
      </c>
      <c r="BE54" s="223">
        <f t="shared" si="67"/>
        <v>1.2027592540005516E-2</v>
      </c>
      <c r="BO54" s="26">
        <v>2035</v>
      </c>
      <c r="BP54" s="29">
        <f t="shared" si="62"/>
        <v>1.0698039215686275</v>
      </c>
      <c r="BQ54" s="29">
        <f t="shared" si="62"/>
        <v>1.0468354430379747</v>
      </c>
      <c r="BR54" s="29">
        <f t="shared" si="62"/>
        <v>1.0952380952380951</v>
      </c>
      <c r="BS54" s="29">
        <f t="shared" si="62"/>
        <v>0.99051490514905149</v>
      </c>
      <c r="BT54" s="29">
        <f t="shared" si="62"/>
        <v>1.1385074626865672</v>
      </c>
      <c r="BU54" s="29">
        <f t="shared" si="62"/>
        <v>0.96877217885024847</v>
      </c>
      <c r="BV54" s="29">
        <f t="shared" si="62"/>
        <v>1.0099737532808397</v>
      </c>
      <c r="BW54" s="29">
        <f t="shared" si="62"/>
        <v>1.1355623100303951</v>
      </c>
      <c r="BX54" s="29">
        <f t="shared" si="62"/>
        <v>0.89883070665988807</v>
      </c>
      <c r="BZ54" s="26">
        <v>2035</v>
      </c>
      <c r="CA54" s="29">
        <f t="shared" si="63"/>
        <v>1.0317622950819674</v>
      </c>
      <c r="CB54" s="29">
        <f t="shared" si="63"/>
        <v>0.97889800703399765</v>
      </c>
      <c r="CC54" s="29">
        <f t="shared" si="63"/>
        <v>0.96756756756756757</v>
      </c>
      <c r="CD54" s="29">
        <f t="shared" si="63"/>
        <v>0.98391420911528149</v>
      </c>
      <c r="CE54" s="29">
        <f t="shared" si="63"/>
        <v>0.96951219512195119</v>
      </c>
      <c r="CF54" s="29">
        <f t="shared" si="63"/>
        <v>0.9805491990846682</v>
      </c>
      <c r="CG54" s="29">
        <f t="shared" si="63"/>
        <v>0.92161820480404555</v>
      </c>
      <c r="CH54" s="29">
        <f t="shared" si="63"/>
        <v>1.1048034934497817</v>
      </c>
      <c r="CI54" s="29">
        <f t="shared" si="63"/>
        <v>1.077027027027027</v>
      </c>
    </row>
    <row r="55" spans="1:87" x14ac:dyDescent="0.2">
      <c r="A55" s="26"/>
      <c r="B55" s="316"/>
      <c r="C55" s="316"/>
      <c r="D55" s="316"/>
      <c r="E55" s="319"/>
      <c r="F55" s="319"/>
      <c r="G55" s="26"/>
      <c r="H55" s="317"/>
      <c r="I55" s="317"/>
      <c r="J55" s="317"/>
      <c r="K55" s="317"/>
      <c r="L55" s="318"/>
      <c r="M55" s="318"/>
      <c r="N55" s="317"/>
      <c r="O55" s="317"/>
      <c r="P55" s="317"/>
      <c r="Q55" s="317"/>
      <c r="R55" s="72"/>
      <c r="S55" s="311"/>
      <c r="T55" s="20"/>
      <c r="U55" s="23">
        <v>2012</v>
      </c>
      <c r="V55" s="39">
        <v>2357769</v>
      </c>
      <c r="W55" s="39"/>
      <c r="X55" s="145">
        <v>1265319.5</v>
      </c>
      <c r="Y55" s="39"/>
      <c r="Z55" s="145">
        <v>103894</v>
      </c>
      <c r="AA55" s="145"/>
      <c r="AB55" s="39">
        <v>1081049</v>
      </c>
      <c r="AC55" s="39"/>
      <c r="AD55" s="39">
        <v>2903065</v>
      </c>
      <c r="AE55" s="39"/>
      <c r="AF55" s="39">
        <v>4442873</v>
      </c>
      <c r="AG55" s="39"/>
      <c r="AH55" s="39">
        <f t="shared" si="64"/>
        <v>1265319.5</v>
      </c>
      <c r="AI55" s="39"/>
      <c r="AJ55" s="39">
        <f t="shared" si="65"/>
        <v>103894</v>
      </c>
      <c r="AK55" s="39">
        <v>6606520</v>
      </c>
      <c r="AL55" s="39"/>
      <c r="AM55" s="39">
        <v>4493997</v>
      </c>
      <c r="AN55" s="39"/>
      <c r="AO55" s="39">
        <v>5111818</v>
      </c>
      <c r="AP55" s="39"/>
      <c r="AQ55" s="39">
        <v>12125465</v>
      </c>
      <c r="AR55" s="39"/>
      <c r="AS55" s="39">
        <v>6097584</v>
      </c>
      <c r="AT55" s="39"/>
      <c r="AU55" s="39">
        <v>8781842</v>
      </c>
      <c r="AV55" s="39"/>
      <c r="AW55" s="39">
        <v>3355054</v>
      </c>
      <c r="AX55" s="39"/>
      <c r="AY55" s="39">
        <v>27134235</v>
      </c>
      <c r="AZ55" s="39"/>
      <c r="BA55" s="133">
        <v>3311601</v>
      </c>
      <c r="BB55" s="133"/>
      <c r="BC55" s="55">
        <f>'OD StructuralVars'!I19</f>
        <v>7312211</v>
      </c>
      <c r="BD55" s="55">
        <f t="shared" si="66"/>
        <v>7312211</v>
      </c>
      <c r="BE55" s="223">
        <f t="shared" si="67"/>
        <v>7.746969094124756E-3</v>
      </c>
    </row>
    <row r="56" spans="1:87" x14ac:dyDescent="0.2">
      <c r="A56" s="26"/>
      <c r="B56" s="316"/>
      <c r="C56" s="316"/>
      <c r="D56" s="316"/>
      <c r="E56" s="319"/>
      <c r="F56" s="319"/>
      <c r="G56" s="26"/>
      <c r="H56" s="317"/>
      <c r="I56" s="317"/>
      <c r="J56" s="317"/>
      <c r="K56" s="318"/>
      <c r="L56" s="318"/>
      <c r="M56" s="318"/>
      <c r="N56" s="317"/>
      <c r="O56" s="317"/>
      <c r="P56" s="317"/>
      <c r="Q56" s="317"/>
      <c r="R56" s="72"/>
      <c r="S56" s="311"/>
      <c r="T56" s="20"/>
      <c r="U56" s="23">
        <v>2013</v>
      </c>
      <c r="V56" s="39">
        <v>2362175</v>
      </c>
      <c r="W56" s="39"/>
      <c r="X56" s="145">
        <v>1303703</v>
      </c>
      <c r="Y56" s="39"/>
      <c r="Z56" s="145">
        <v>115996.5</v>
      </c>
      <c r="AA56" s="145"/>
      <c r="AB56" s="39">
        <v>1077569</v>
      </c>
      <c r="AC56" s="39"/>
      <c r="AD56" s="39">
        <v>2887303</v>
      </c>
      <c r="AE56" s="39"/>
      <c r="AF56" s="39">
        <v>4486872</v>
      </c>
      <c r="AG56" s="39"/>
      <c r="AH56" s="39">
        <f t="shared" si="64"/>
        <v>1303703</v>
      </c>
      <c r="AI56" s="39"/>
      <c r="AJ56" s="39">
        <f t="shared" si="65"/>
        <v>115996.5</v>
      </c>
      <c r="AK56" s="39">
        <v>6669999</v>
      </c>
      <c r="AL56" s="39"/>
      <c r="AM56" s="39">
        <v>4561630</v>
      </c>
      <c r="AN56" s="39"/>
      <c r="AO56" s="39">
        <v>5172833</v>
      </c>
      <c r="AP56" s="39"/>
      <c r="AQ56" s="39">
        <v>12249765</v>
      </c>
      <c r="AR56" s="39"/>
      <c r="AS56" s="39">
        <v>6164822</v>
      </c>
      <c r="AT56" s="39"/>
      <c r="AU56" s="39">
        <v>8859373</v>
      </c>
      <c r="AV56" s="39"/>
      <c r="AW56" s="39">
        <v>3385977</v>
      </c>
      <c r="AX56" s="39"/>
      <c r="AY56" s="39">
        <v>26936472</v>
      </c>
      <c r="AZ56" s="39"/>
      <c r="BA56" s="133">
        <v>3320457</v>
      </c>
      <c r="BB56" s="133"/>
      <c r="BC56" s="55">
        <f>'OD StructuralVars'!I20</f>
        <v>7375169</v>
      </c>
      <c r="BD56" s="55">
        <f t="shared" si="66"/>
        <v>7375169</v>
      </c>
      <c r="BE56" s="223">
        <f t="shared" si="67"/>
        <v>8.6099813038764683E-3</v>
      </c>
      <c r="BH56" s="31"/>
      <c r="BI56" s="31"/>
      <c r="BJ56" s="31"/>
      <c r="BK56" s="31"/>
      <c r="BO56" s="26" t="s">
        <v>149</v>
      </c>
      <c r="BP56" s="26"/>
      <c r="BQ56" s="26"/>
      <c r="BR56" s="26"/>
      <c r="BS56" s="26"/>
      <c r="BT56" s="26"/>
      <c r="BU56" s="26"/>
      <c r="BV56" s="26"/>
      <c r="BW56" s="26"/>
      <c r="BX56" s="26"/>
      <c r="BZ56" s="26" t="s">
        <v>150</v>
      </c>
      <c r="CA56" s="26"/>
      <c r="CB56" s="26"/>
      <c r="CC56" s="26"/>
      <c r="CD56" s="26"/>
      <c r="CE56" s="26"/>
      <c r="CF56" s="26"/>
      <c r="CG56" s="26"/>
      <c r="CH56" s="26"/>
      <c r="CI56" s="26"/>
    </row>
    <row r="57" spans="1:87" x14ac:dyDescent="0.2">
      <c r="A57" s="26"/>
      <c r="B57" s="316"/>
      <c r="C57" s="316"/>
      <c r="D57" s="316"/>
      <c r="E57" s="319"/>
      <c r="F57" s="319"/>
      <c r="G57" s="26"/>
      <c r="H57" s="317"/>
      <c r="I57" s="317"/>
      <c r="J57" s="317"/>
      <c r="K57" s="55"/>
      <c r="L57" s="55"/>
      <c r="M57" s="320"/>
      <c r="N57" s="317"/>
      <c r="O57" s="317"/>
      <c r="P57" s="317"/>
      <c r="Q57" s="317"/>
      <c r="R57" s="72"/>
      <c r="S57" s="311"/>
      <c r="T57" s="20"/>
      <c r="U57" s="23">
        <v>2014</v>
      </c>
      <c r="V57" s="39">
        <v>2366640</v>
      </c>
      <c r="W57" s="39"/>
      <c r="X57" s="145">
        <v>1339481</v>
      </c>
      <c r="Y57" s="39"/>
      <c r="Z57" s="145">
        <v>127144</v>
      </c>
      <c r="AA57" s="145"/>
      <c r="AB57" s="39">
        <v>1074163</v>
      </c>
      <c r="AC57" s="39"/>
      <c r="AD57" s="39">
        <v>2871762</v>
      </c>
      <c r="AE57" s="39"/>
      <c r="AF57" s="39">
        <v>4529281</v>
      </c>
      <c r="AG57" s="39"/>
      <c r="AH57" s="39">
        <f t="shared" si="64"/>
        <v>1339481</v>
      </c>
      <c r="AI57" s="39"/>
      <c r="AJ57" s="39">
        <f t="shared" si="65"/>
        <v>127144</v>
      </c>
      <c r="AK57" s="39">
        <v>6728728</v>
      </c>
      <c r="AL57" s="39"/>
      <c r="AM57" s="39">
        <v>4625564</v>
      </c>
      <c r="AN57" s="39"/>
      <c r="AO57" s="39">
        <v>5229843</v>
      </c>
      <c r="AP57" s="39"/>
      <c r="AQ57" s="39">
        <v>12365844</v>
      </c>
      <c r="AR57" s="39"/>
      <c r="AS57" s="39">
        <v>6227136</v>
      </c>
      <c r="AT57" s="39"/>
      <c r="AU57" s="39">
        <v>8930568</v>
      </c>
      <c r="AV57" s="39"/>
      <c r="AW57" s="39">
        <v>3414212</v>
      </c>
      <c r="AX57" s="39"/>
      <c r="AY57" s="39">
        <v>26703101</v>
      </c>
      <c r="AZ57" s="39"/>
      <c r="BA57" s="133">
        <v>3327984</v>
      </c>
      <c r="BB57" s="133"/>
      <c r="BC57" s="55">
        <f>'OD StructuralVars'!I21</f>
        <v>7433285</v>
      </c>
      <c r="BD57" s="55">
        <f t="shared" si="66"/>
        <v>7433285</v>
      </c>
      <c r="BE57" s="223">
        <f t="shared" si="67"/>
        <v>7.8799550220476355E-3</v>
      </c>
      <c r="BH57" s="31"/>
      <c r="BI57" s="31"/>
      <c r="BJ57" s="31"/>
      <c r="BK57" s="31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</row>
    <row r="58" spans="1:87" x14ac:dyDescent="0.2">
      <c r="A58" s="26"/>
      <c r="B58" s="316"/>
      <c r="C58" s="316"/>
      <c r="D58" s="316"/>
      <c r="E58" s="319"/>
      <c r="F58" s="319"/>
      <c r="G58" s="26"/>
      <c r="H58" s="317"/>
      <c r="I58" s="317"/>
      <c r="J58" s="317"/>
      <c r="K58" s="55"/>
      <c r="L58" s="55"/>
      <c r="M58" s="320"/>
      <c r="N58" s="317"/>
      <c r="O58" s="317"/>
      <c r="P58" s="317"/>
      <c r="Q58" s="317"/>
      <c r="R58" s="72"/>
      <c r="S58" s="311"/>
      <c r="T58" s="20"/>
      <c r="U58" s="23">
        <v>2015</v>
      </c>
      <c r="V58" s="39">
        <v>2373478</v>
      </c>
      <c r="W58" s="39"/>
      <c r="X58" s="145">
        <v>1374872</v>
      </c>
      <c r="Y58" s="39"/>
      <c r="Z58" s="145">
        <v>138729</v>
      </c>
      <c r="AA58" s="145"/>
      <c r="AB58" s="39">
        <v>1071189</v>
      </c>
      <c r="AC58" s="39"/>
      <c r="AD58" s="39">
        <v>2856589</v>
      </c>
      <c r="AE58" s="39"/>
      <c r="AF58" s="39">
        <v>4575079</v>
      </c>
      <c r="AG58" s="39"/>
      <c r="AH58" s="39">
        <f t="shared" si="64"/>
        <v>1374872</v>
      </c>
      <c r="AI58" s="39"/>
      <c r="AJ58" s="39">
        <f t="shared" si="65"/>
        <v>138729</v>
      </c>
      <c r="AK58" s="39">
        <v>6791414</v>
      </c>
      <c r="AL58" s="39"/>
      <c r="AM58" s="39">
        <v>4693131</v>
      </c>
      <c r="AN58" s="39"/>
      <c r="AO58" s="39">
        <v>5288214</v>
      </c>
      <c r="AP58" s="39"/>
      <c r="AQ58" s="39">
        <v>12488265</v>
      </c>
      <c r="AR58" s="39"/>
      <c r="AS58" s="39">
        <v>6293089</v>
      </c>
      <c r="AT58" s="39"/>
      <c r="AU58" s="39">
        <v>9005853</v>
      </c>
      <c r="AV58" s="39"/>
      <c r="AW58" s="39">
        <v>3444280</v>
      </c>
      <c r="AX58" s="39"/>
      <c r="AY58" s="39">
        <v>26537484</v>
      </c>
      <c r="AZ58" s="39"/>
      <c r="BA58" s="133">
        <v>3336976</v>
      </c>
      <c r="BB58" s="133"/>
      <c r="BC58" s="55">
        <f>'OD StructuralVars'!I22</f>
        <v>7495316</v>
      </c>
      <c r="BD58" s="55">
        <f t="shared" si="66"/>
        <v>7495316</v>
      </c>
      <c r="BE58" s="223">
        <f t="shared" si="67"/>
        <v>8.3450318398932133E-3</v>
      </c>
      <c r="BH58" s="31"/>
      <c r="BI58" s="31"/>
      <c r="BJ58" s="31"/>
      <c r="BK58" s="31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</row>
    <row r="59" spans="1:87" x14ac:dyDescent="0.2">
      <c r="A59" s="26"/>
      <c r="B59" s="316"/>
      <c r="C59" s="316"/>
      <c r="D59" s="316"/>
      <c r="E59" s="319"/>
      <c r="F59" s="319"/>
      <c r="G59" s="26"/>
      <c r="H59" s="317"/>
      <c r="I59" s="317"/>
      <c r="J59" s="317"/>
      <c r="K59" s="55"/>
      <c r="L59" s="55"/>
      <c r="M59" s="320"/>
      <c r="N59" s="317"/>
      <c r="O59" s="317"/>
      <c r="P59" s="317"/>
      <c r="Q59" s="317"/>
      <c r="R59" s="72"/>
      <c r="S59" s="311"/>
      <c r="T59" s="20"/>
      <c r="U59" s="23">
        <v>2016</v>
      </c>
      <c r="V59" s="39">
        <v>2382826</v>
      </c>
      <c r="W59" s="39"/>
      <c r="X59" s="145">
        <v>1409760.5</v>
      </c>
      <c r="Y59" s="39"/>
      <c r="Z59" s="145">
        <v>150392</v>
      </c>
      <c r="AA59" s="145"/>
      <c r="AB59" s="39">
        <v>1068654</v>
      </c>
      <c r="AC59" s="39"/>
      <c r="AD59" s="39">
        <v>2841788</v>
      </c>
      <c r="AE59" s="39"/>
      <c r="AF59" s="39">
        <v>4623930</v>
      </c>
      <c r="AG59" s="39"/>
      <c r="AH59" s="39">
        <f t="shared" si="64"/>
        <v>1409760.5</v>
      </c>
      <c r="AI59" s="39"/>
      <c r="AJ59" s="39">
        <f t="shared" si="65"/>
        <v>150392</v>
      </c>
      <c r="AK59" s="39">
        <v>6857238</v>
      </c>
      <c r="AL59" s="39"/>
      <c r="AM59" s="39">
        <v>4763554</v>
      </c>
      <c r="AN59" s="39"/>
      <c r="AO59" s="39">
        <v>5348374</v>
      </c>
      <c r="AP59" s="39"/>
      <c r="AQ59" s="39">
        <v>12605566</v>
      </c>
      <c r="AR59" s="39"/>
      <c r="AS59" s="39">
        <v>6361701</v>
      </c>
      <c r="AT59" s="39"/>
      <c r="AU59" s="39">
        <v>9084067</v>
      </c>
      <c r="AV59" s="39"/>
      <c r="AW59" s="39">
        <v>3475588</v>
      </c>
      <c r="AX59" s="39"/>
      <c r="AY59" s="39">
        <v>26478317</v>
      </c>
      <c r="AZ59" s="39"/>
      <c r="BA59" s="133">
        <v>3346947</v>
      </c>
      <c r="BB59" s="133"/>
      <c r="BC59" s="55">
        <f>'OD StructuralVars'!I23</f>
        <v>7560444</v>
      </c>
      <c r="BD59" s="55">
        <f t="shared" si="66"/>
        <v>7560444</v>
      </c>
      <c r="BE59" s="223">
        <f t="shared" si="67"/>
        <v>8.6891600033940364E-3</v>
      </c>
      <c r="BH59" s="31"/>
      <c r="BI59" s="31"/>
      <c r="BJ59" s="31"/>
      <c r="BK59" s="31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</row>
    <row r="60" spans="1:87" x14ac:dyDescent="0.2">
      <c r="A60" s="26"/>
      <c r="B60" s="316"/>
      <c r="C60" s="316"/>
      <c r="D60" s="316"/>
      <c r="E60" s="319"/>
      <c r="F60" s="319"/>
      <c r="G60" s="26"/>
      <c r="H60" s="317"/>
      <c r="I60" s="317"/>
      <c r="J60" s="317"/>
      <c r="K60" s="55"/>
      <c r="L60" s="55"/>
      <c r="M60" s="320"/>
      <c r="N60" s="317"/>
      <c r="O60" s="317"/>
      <c r="P60" s="317"/>
      <c r="Q60" s="317"/>
      <c r="R60" s="72"/>
      <c r="S60" s="311"/>
      <c r="T60" s="20"/>
      <c r="U60" s="23">
        <v>2017</v>
      </c>
      <c r="V60" s="39">
        <v>2393430</v>
      </c>
      <c r="W60" s="39"/>
      <c r="X60" s="145">
        <v>1444010</v>
      </c>
      <c r="Y60" s="39"/>
      <c r="Z60" s="145">
        <v>160243</v>
      </c>
      <c r="AA60" s="145"/>
      <c r="AB60" s="39">
        <v>1066297</v>
      </c>
      <c r="AC60" s="39"/>
      <c r="AD60" s="39">
        <v>2827240</v>
      </c>
      <c r="AE60" s="39"/>
      <c r="AF60" s="39">
        <v>4674209</v>
      </c>
      <c r="AG60" s="39"/>
      <c r="AH60" s="39">
        <f t="shared" si="64"/>
        <v>1444010</v>
      </c>
      <c r="AI60" s="39"/>
      <c r="AJ60" s="39">
        <f t="shared" si="65"/>
        <v>160243</v>
      </c>
      <c r="AK60" s="39">
        <v>6922940</v>
      </c>
      <c r="AL60" s="39"/>
      <c r="AM60" s="39">
        <v>4834149</v>
      </c>
      <c r="AN60" s="39"/>
      <c r="AO60" s="39">
        <v>5408169</v>
      </c>
      <c r="AP60" s="39"/>
      <c r="AQ60" s="39">
        <v>12722181</v>
      </c>
      <c r="AR60" s="39"/>
      <c r="AS60" s="39">
        <v>6429819</v>
      </c>
      <c r="AT60" s="39"/>
      <c r="AU60" s="39">
        <v>9161523</v>
      </c>
      <c r="AV60" s="39"/>
      <c r="AW60" s="39">
        <v>3506451</v>
      </c>
      <c r="AX60" s="39"/>
      <c r="AY60" s="39">
        <v>26526919</v>
      </c>
      <c r="AZ60" s="39"/>
      <c r="BA60" s="133">
        <v>3356045</v>
      </c>
      <c r="BB60" s="133"/>
      <c r="BC60" s="55">
        <f>'OD StructuralVars'!I24</f>
        <v>7625367</v>
      </c>
      <c r="BD60" s="55">
        <f t="shared" si="66"/>
        <v>7625367</v>
      </c>
      <c r="BE60" s="223">
        <f t="shared" si="67"/>
        <v>8.5871940854267415E-3</v>
      </c>
      <c r="BH60" s="31"/>
      <c r="BI60" s="31"/>
      <c r="BJ60" s="31"/>
      <c r="BK60" s="31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</row>
    <row r="61" spans="1:87" x14ac:dyDescent="0.2">
      <c r="A61" s="26"/>
      <c r="B61" s="316"/>
      <c r="C61" s="316"/>
      <c r="D61" s="316"/>
      <c r="E61" s="319"/>
      <c r="F61" s="319"/>
      <c r="G61" s="26"/>
      <c r="H61" s="317"/>
      <c r="I61" s="317"/>
      <c r="J61" s="317"/>
      <c r="K61" s="55"/>
      <c r="L61" s="55"/>
      <c r="M61" s="320"/>
      <c r="N61" s="317"/>
      <c r="O61" s="317"/>
      <c r="P61" s="317"/>
      <c r="Q61" s="317"/>
      <c r="R61" s="72"/>
      <c r="S61" s="311"/>
      <c r="T61" s="20"/>
      <c r="U61" s="23">
        <v>2018</v>
      </c>
      <c r="V61" s="39">
        <v>2404616</v>
      </c>
      <c r="W61" s="39"/>
      <c r="X61" s="145">
        <v>1477527.5</v>
      </c>
      <c r="Y61" s="39"/>
      <c r="Z61" s="145">
        <v>169232</v>
      </c>
      <c r="AA61" s="145"/>
      <c r="AB61" s="39">
        <v>1064001</v>
      </c>
      <c r="AC61" s="39"/>
      <c r="AD61" s="39">
        <v>2812905</v>
      </c>
      <c r="AE61" s="39"/>
      <c r="AF61" s="39">
        <v>4725098</v>
      </c>
      <c r="AG61" s="39"/>
      <c r="AH61" s="39">
        <f t="shared" si="64"/>
        <v>1477527.5</v>
      </c>
      <c r="AI61" s="39"/>
      <c r="AJ61" s="39">
        <f t="shared" si="65"/>
        <v>169232</v>
      </c>
      <c r="AK61" s="39">
        <v>6987851</v>
      </c>
      <c r="AL61" s="39"/>
      <c r="AM61" s="39">
        <v>4904498</v>
      </c>
      <c r="AN61" s="39"/>
      <c r="AO61" s="39">
        <v>5466264</v>
      </c>
      <c r="AP61" s="39"/>
      <c r="AQ61" s="39">
        <v>12837596</v>
      </c>
      <c r="AR61" s="39"/>
      <c r="AS61" s="39">
        <v>6496927</v>
      </c>
      <c r="AT61" s="39"/>
      <c r="AU61" s="39">
        <v>9237650</v>
      </c>
      <c r="AV61" s="39"/>
      <c r="AW61" s="39">
        <v>3536679</v>
      </c>
      <c r="AX61" s="39"/>
      <c r="AY61" s="39">
        <v>26672236</v>
      </c>
      <c r="AZ61" s="39"/>
      <c r="BA61" s="133">
        <v>3365052</v>
      </c>
      <c r="BB61" s="133"/>
      <c r="BC61" s="55">
        <f>'OD StructuralVars'!I25</f>
        <v>7689379</v>
      </c>
      <c r="BD61" s="55">
        <f t="shared" si="66"/>
        <v>7689379</v>
      </c>
      <c r="BE61" s="223">
        <f t="shared" si="67"/>
        <v>8.3946123511169368E-3</v>
      </c>
      <c r="BH61" s="31"/>
      <c r="BI61" s="31"/>
      <c r="BJ61" s="31"/>
      <c r="BK61" s="31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</row>
    <row r="62" spans="1:87" x14ac:dyDescent="0.2">
      <c r="A62" s="26"/>
      <c r="B62" s="316"/>
      <c r="C62" s="316"/>
      <c r="D62" s="316"/>
      <c r="E62" s="319"/>
      <c r="F62" s="319"/>
      <c r="G62" s="26"/>
      <c r="H62" s="317"/>
      <c r="I62" s="317"/>
      <c r="J62" s="317"/>
      <c r="K62" s="55"/>
      <c r="L62" s="55"/>
      <c r="M62" s="320"/>
      <c r="N62" s="317"/>
      <c r="O62" s="317"/>
      <c r="P62" s="317"/>
      <c r="Q62" s="317"/>
      <c r="R62" s="72"/>
      <c r="S62" s="311"/>
      <c r="T62" s="20"/>
      <c r="U62" s="23">
        <v>2019</v>
      </c>
      <c r="V62" s="39">
        <v>2415935</v>
      </c>
      <c r="W62" s="39"/>
      <c r="X62" s="145">
        <v>1510453</v>
      </c>
      <c r="Y62" s="39"/>
      <c r="Z62" s="145">
        <v>177378</v>
      </c>
      <c r="AA62" s="145"/>
      <c r="AB62" s="39">
        <v>1061667</v>
      </c>
      <c r="AC62" s="39"/>
      <c r="AD62" s="39">
        <v>2798738</v>
      </c>
      <c r="AE62" s="39"/>
      <c r="AF62" s="39">
        <v>4776082</v>
      </c>
      <c r="AG62" s="39"/>
      <c r="AH62" s="39">
        <f t="shared" si="64"/>
        <v>1510453</v>
      </c>
      <c r="AI62" s="39"/>
      <c r="AJ62" s="39">
        <f t="shared" si="65"/>
        <v>177378</v>
      </c>
      <c r="AK62" s="39">
        <v>7051822</v>
      </c>
      <c r="AL62" s="39"/>
      <c r="AM62" s="39">
        <v>4974553</v>
      </c>
      <c r="AN62" s="39"/>
      <c r="AO62" s="39">
        <v>5522565</v>
      </c>
      <c r="AP62" s="39"/>
      <c r="AQ62" s="39">
        <v>12950327</v>
      </c>
      <c r="AR62" s="39"/>
      <c r="AS62" s="39">
        <v>6562923</v>
      </c>
      <c r="AT62" s="39"/>
      <c r="AU62" s="39">
        <v>9312462</v>
      </c>
      <c r="AV62" s="39"/>
      <c r="AW62" s="39">
        <v>3566234</v>
      </c>
      <c r="AX62" s="39"/>
      <c r="AY62" s="39">
        <v>26889463</v>
      </c>
      <c r="AZ62" s="39"/>
      <c r="BA62" s="133">
        <v>3375183</v>
      </c>
      <c r="BB62" s="133"/>
      <c r="BC62" s="55">
        <f>'OD StructuralVars'!I26</f>
        <v>7752336</v>
      </c>
      <c r="BD62" s="55">
        <f t="shared" si="66"/>
        <v>7752336</v>
      </c>
      <c r="BE62" s="223">
        <f t="shared" si="67"/>
        <v>8.1875272372451402E-3</v>
      </c>
      <c r="BH62" s="31"/>
      <c r="BI62" s="31"/>
      <c r="BJ62" s="31"/>
      <c r="BK62" s="31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</row>
    <row r="63" spans="1:87" x14ac:dyDescent="0.2">
      <c r="A63" s="26"/>
      <c r="B63" s="316"/>
      <c r="C63" s="316"/>
      <c r="D63" s="316"/>
      <c r="E63" s="319"/>
      <c r="F63" s="319"/>
      <c r="G63" s="26"/>
      <c r="H63" s="317"/>
      <c r="I63" s="317"/>
      <c r="J63" s="317"/>
      <c r="K63" s="55"/>
      <c r="L63" s="55"/>
      <c r="M63" s="320"/>
      <c r="N63" s="317"/>
      <c r="O63" s="317"/>
      <c r="P63" s="317"/>
      <c r="Q63" s="317"/>
      <c r="R63" s="72"/>
      <c r="S63" s="311"/>
      <c r="T63" s="20"/>
      <c r="U63" s="23">
        <v>2020</v>
      </c>
      <c r="V63" s="39">
        <v>2427063</v>
      </c>
      <c r="W63" s="39"/>
      <c r="X63" s="145">
        <v>1542522</v>
      </c>
      <c r="Y63" s="39"/>
      <c r="Z63" s="145">
        <v>184815</v>
      </c>
      <c r="AA63" s="145"/>
      <c r="AB63" s="39">
        <v>1059271</v>
      </c>
      <c r="AC63" s="39"/>
      <c r="AD63" s="39">
        <v>2784737</v>
      </c>
      <c r="AE63" s="39"/>
      <c r="AF63" s="39">
        <v>4826217</v>
      </c>
      <c r="AG63" s="39"/>
      <c r="AH63" s="39">
        <f t="shared" si="64"/>
        <v>1542522</v>
      </c>
      <c r="AI63" s="39"/>
      <c r="AJ63" s="39">
        <f t="shared" si="65"/>
        <v>184815</v>
      </c>
      <c r="AK63" s="39">
        <v>7113752</v>
      </c>
      <c r="AL63" s="39"/>
      <c r="AM63" s="39">
        <v>5043289</v>
      </c>
      <c r="AN63" s="39"/>
      <c r="AO63" s="39">
        <v>5576539</v>
      </c>
      <c r="AP63" s="39"/>
      <c r="AQ63" s="39">
        <v>13059250</v>
      </c>
      <c r="AR63" s="39"/>
      <c r="AS63" s="39">
        <v>6626725</v>
      </c>
      <c r="AT63" s="39"/>
      <c r="AU63" s="39">
        <v>9384568</v>
      </c>
      <c r="AV63" s="39"/>
      <c r="AW63" s="39">
        <v>3594527</v>
      </c>
      <c r="AX63" s="39"/>
      <c r="AY63" s="39">
        <v>27151398</v>
      </c>
      <c r="AZ63" s="39"/>
      <c r="BA63" s="133">
        <v>3384767</v>
      </c>
      <c r="BB63" s="133"/>
      <c r="BC63" s="55">
        <f>'OD StructuralVars'!I27</f>
        <v>7813102</v>
      </c>
      <c r="BD63" s="55">
        <f t="shared" si="66"/>
        <v>7813102</v>
      </c>
      <c r="BE63" s="223">
        <f t="shared" si="67"/>
        <v>7.8384115445977454E-3</v>
      </c>
      <c r="BH63" s="31"/>
      <c r="BI63" s="31"/>
      <c r="BJ63" s="31"/>
      <c r="BK63" s="31"/>
      <c r="BO63" s="64" t="s">
        <v>15</v>
      </c>
      <c r="BP63" s="64" t="s">
        <v>83</v>
      </c>
      <c r="BQ63" s="64" t="s">
        <v>84</v>
      </c>
      <c r="BR63" s="64" t="s">
        <v>85</v>
      </c>
      <c r="BS63" s="64" t="s">
        <v>86</v>
      </c>
      <c r="BT63" s="64" t="s">
        <v>87</v>
      </c>
      <c r="BU63" s="64" t="s">
        <v>88</v>
      </c>
      <c r="BV63" s="64" t="s">
        <v>89</v>
      </c>
      <c r="BW63" s="64" t="s">
        <v>90</v>
      </c>
      <c r="BX63" s="64" t="s">
        <v>91</v>
      </c>
      <c r="BZ63" s="64" t="s">
        <v>15</v>
      </c>
      <c r="CA63" s="64" t="s">
        <v>83</v>
      </c>
      <c r="CB63" s="64" t="s">
        <v>84</v>
      </c>
      <c r="CC63" s="64" t="s">
        <v>85</v>
      </c>
      <c r="CD63" s="64" t="s">
        <v>86</v>
      </c>
      <c r="CE63" s="64" t="s">
        <v>87</v>
      </c>
      <c r="CF63" s="64" t="s">
        <v>88</v>
      </c>
      <c r="CG63" s="64" t="s">
        <v>89</v>
      </c>
      <c r="CH63" s="64" t="s">
        <v>90</v>
      </c>
      <c r="CI63" s="64" t="s">
        <v>91</v>
      </c>
    </row>
    <row r="64" spans="1:87" x14ac:dyDescent="0.2">
      <c r="A64" s="26"/>
      <c r="B64" s="316"/>
      <c r="C64" s="316"/>
      <c r="D64" s="316"/>
      <c r="E64" s="319"/>
      <c r="F64" s="319"/>
      <c r="G64" s="26"/>
      <c r="H64" s="317"/>
      <c r="I64" s="317"/>
      <c r="J64" s="317"/>
      <c r="K64" s="55"/>
      <c r="L64" s="55"/>
      <c r="M64" s="320"/>
      <c r="N64" s="317"/>
      <c r="O64" s="317"/>
      <c r="P64" s="317"/>
      <c r="Q64" s="317"/>
      <c r="R64" s="72"/>
      <c r="S64" s="311"/>
      <c r="T64" s="20"/>
      <c r="U64" s="23">
        <v>2021</v>
      </c>
      <c r="V64" s="39">
        <v>2438423</v>
      </c>
      <c r="W64" s="39"/>
      <c r="X64" s="145">
        <v>1573756</v>
      </c>
      <c r="Y64" s="39"/>
      <c r="Z64" s="145">
        <v>191556</v>
      </c>
      <c r="AA64" s="145"/>
      <c r="AB64" s="39">
        <v>1056874</v>
      </c>
      <c r="AC64" s="39"/>
      <c r="AD64" s="39">
        <v>2770904</v>
      </c>
      <c r="AE64" s="39"/>
      <c r="AF64" s="39">
        <v>4875740</v>
      </c>
      <c r="AG64" s="39"/>
      <c r="AH64" s="39">
        <f t="shared" si="64"/>
        <v>1573756</v>
      </c>
      <c r="AI64" s="39"/>
      <c r="AJ64" s="39">
        <f t="shared" si="65"/>
        <v>191556</v>
      </c>
      <c r="AK64" s="39">
        <v>7173934</v>
      </c>
      <c r="AL64" s="39"/>
      <c r="AM64" s="39">
        <v>5110733</v>
      </c>
      <c r="AN64" s="39"/>
      <c r="AO64" s="39">
        <v>5629219</v>
      </c>
      <c r="AP64" s="39"/>
      <c r="AQ64" s="39">
        <v>13172238</v>
      </c>
      <c r="AR64" s="39"/>
      <c r="AS64" s="39">
        <v>6688535</v>
      </c>
      <c r="AT64" s="39"/>
      <c r="AU64" s="39">
        <v>9454110</v>
      </c>
      <c r="AV64" s="39"/>
      <c r="AW64" s="39">
        <v>3621495</v>
      </c>
      <c r="AX64" s="39"/>
      <c r="AY64" s="39">
        <v>27416648</v>
      </c>
      <c r="AZ64" s="39"/>
      <c r="BA64" s="133">
        <v>3393159</v>
      </c>
      <c r="BB64" s="133"/>
      <c r="BC64" s="55">
        <f>'OD StructuralVars'!I28</f>
        <v>7871998</v>
      </c>
      <c r="BD64" s="55">
        <f t="shared" si="66"/>
        <v>7871998</v>
      </c>
      <c r="BE64" s="223">
        <f t="shared" si="67"/>
        <v>7.5381071436160241E-3</v>
      </c>
      <c r="BH64" s="31"/>
      <c r="BI64" s="31"/>
      <c r="BJ64" s="31"/>
      <c r="BK64" s="31"/>
      <c r="BO64" s="26">
        <v>1990</v>
      </c>
      <c r="BP64" s="130">
        <v>27.64</v>
      </c>
      <c r="BQ64" s="130">
        <v>31.89</v>
      </c>
      <c r="BR64" s="130">
        <v>15.03</v>
      </c>
      <c r="BS64" s="130">
        <v>13.17</v>
      </c>
      <c r="BT64" s="130">
        <v>16.43</v>
      </c>
      <c r="BU64" s="130">
        <v>13.32</v>
      </c>
      <c r="BV64" s="130">
        <v>14.94</v>
      </c>
      <c r="BW64" s="130">
        <v>13.31</v>
      </c>
      <c r="BX64" s="130">
        <v>17.690000000000001</v>
      </c>
      <c r="BZ64" s="26">
        <v>1990</v>
      </c>
      <c r="CA64" s="121">
        <v>6.86</v>
      </c>
      <c r="CB64" s="121">
        <v>6.06</v>
      </c>
      <c r="CC64" s="121">
        <v>4.5199999999999996</v>
      </c>
      <c r="CD64" s="121">
        <v>4.21</v>
      </c>
      <c r="CE64" s="121">
        <v>5.85</v>
      </c>
      <c r="CF64" s="121">
        <v>4.76</v>
      </c>
      <c r="CG64" s="121">
        <v>4.8600000000000003</v>
      </c>
      <c r="CH64" s="121">
        <v>4.53</v>
      </c>
      <c r="CI64" s="121">
        <v>4.97</v>
      </c>
    </row>
    <row r="65" spans="1:87" x14ac:dyDescent="0.2">
      <c r="A65" s="26"/>
      <c r="B65" s="316"/>
      <c r="C65" s="316"/>
      <c r="D65" s="316"/>
      <c r="E65" s="319"/>
      <c r="F65" s="319"/>
      <c r="G65" s="26"/>
      <c r="H65" s="317"/>
      <c r="I65" s="317"/>
      <c r="J65" s="317"/>
      <c r="K65" s="55"/>
      <c r="L65" s="55"/>
      <c r="M65" s="320"/>
      <c r="N65" s="317"/>
      <c r="O65" s="317"/>
      <c r="P65" s="317"/>
      <c r="Q65" s="317"/>
      <c r="R65" s="72"/>
      <c r="S65" s="311"/>
      <c r="T65" s="20"/>
      <c r="U65" s="23">
        <v>2022</v>
      </c>
      <c r="V65" s="39">
        <v>2450629</v>
      </c>
      <c r="W65" s="39"/>
      <c r="X65" s="145">
        <v>1605051.5</v>
      </c>
      <c r="Y65" s="39"/>
      <c r="Z65" s="145">
        <v>197895</v>
      </c>
      <c r="AA65" s="145"/>
      <c r="AB65" s="39">
        <v>1054608</v>
      </c>
      <c r="AC65" s="39"/>
      <c r="AD65" s="39">
        <v>2757298</v>
      </c>
      <c r="AE65" s="39"/>
      <c r="AF65" s="39">
        <v>4925979</v>
      </c>
      <c r="AG65" s="39"/>
      <c r="AH65" s="39">
        <f t="shared" si="64"/>
        <v>1605051.5</v>
      </c>
      <c r="AI65" s="39"/>
      <c r="AJ65" s="39">
        <f t="shared" si="65"/>
        <v>197895</v>
      </c>
      <c r="AK65" s="39">
        <v>7234809</v>
      </c>
      <c r="AL65" s="39"/>
      <c r="AM65" s="39">
        <v>5179311</v>
      </c>
      <c r="AN65" s="39"/>
      <c r="AO65" s="39">
        <v>5682447</v>
      </c>
      <c r="AP65" s="39"/>
      <c r="AQ65" s="39">
        <v>13285721</v>
      </c>
      <c r="AR65" s="39"/>
      <c r="AS65" s="39">
        <v>6750924</v>
      </c>
      <c r="AT65" s="39"/>
      <c r="AU65" s="39">
        <v>9524202</v>
      </c>
      <c r="AV65" s="39"/>
      <c r="AW65" s="39">
        <v>3648623</v>
      </c>
      <c r="AX65" s="39"/>
      <c r="AY65" s="39">
        <v>27742762</v>
      </c>
      <c r="AZ65" s="39"/>
      <c r="BA65" s="133">
        <v>3401678</v>
      </c>
      <c r="BB65" s="133"/>
      <c r="BC65" s="55">
        <f>'OD StructuralVars'!I29</f>
        <v>7931592</v>
      </c>
      <c r="BD65" s="55">
        <f t="shared" si="66"/>
        <v>7931592</v>
      </c>
      <c r="BE65" s="223">
        <f t="shared" si="67"/>
        <v>7.5703779396285587E-3</v>
      </c>
      <c r="BH65" s="31"/>
      <c r="BI65" s="31"/>
      <c r="BJ65" s="31"/>
      <c r="BK65" s="31"/>
      <c r="BO65" s="26">
        <f t="shared" ref="BO65:BO73" si="68">BO66-1</f>
        <v>1991</v>
      </c>
      <c r="BP65" s="130">
        <v>26.03</v>
      </c>
      <c r="BQ65" s="130">
        <v>26.33</v>
      </c>
      <c r="BR65" s="130">
        <v>16.899999999999999</v>
      </c>
      <c r="BS65" s="130">
        <v>15.26</v>
      </c>
      <c r="BT65" s="130">
        <v>17.100000000000001</v>
      </c>
      <c r="BU65" s="130">
        <v>15.74</v>
      </c>
      <c r="BV65" s="130">
        <v>15.47</v>
      </c>
      <c r="BW65" s="130">
        <v>14.4</v>
      </c>
      <c r="BX65" s="130">
        <v>18.13</v>
      </c>
      <c r="BZ65" s="26">
        <f>BZ64+1</f>
        <v>1991</v>
      </c>
      <c r="CA65" s="121">
        <v>6.84</v>
      </c>
      <c r="CB65" s="121">
        <v>5.9</v>
      </c>
      <c r="CC65" s="121">
        <v>4.34</v>
      </c>
      <c r="CD65" s="121">
        <v>3.98</v>
      </c>
      <c r="CE65" s="121">
        <v>5.58</v>
      </c>
      <c r="CF65" s="121">
        <v>4.67</v>
      </c>
      <c r="CG65" s="121">
        <v>4.59</v>
      </c>
      <c r="CH65" s="121">
        <v>4.38</v>
      </c>
      <c r="CI65" s="121">
        <v>5.13</v>
      </c>
    </row>
    <row r="66" spans="1:87" x14ac:dyDescent="0.2">
      <c r="A66" s="26"/>
      <c r="B66" s="316"/>
      <c r="C66" s="316"/>
      <c r="D66" s="316"/>
      <c r="E66" s="319"/>
      <c r="F66" s="319"/>
      <c r="G66" s="26"/>
      <c r="H66" s="317"/>
      <c r="I66" s="317"/>
      <c r="J66" s="317"/>
      <c r="K66" s="55"/>
      <c r="L66" s="55"/>
      <c r="M66" s="320"/>
      <c r="N66" s="317"/>
      <c r="O66" s="317"/>
      <c r="P66" s="317"/>
      <c r="Q66" s="317"/>
      <c r="R66" s="72"/>
      <c r="S66" s="311"/>
      <c r="T66" s="20"/>
      <c r="U66" s="23">
        <v>2023</v>
      </c>
      <c r="V66" s="39">
        <v>2462546</v>
      </c>
      <c r="W66" s="39"/>
      <c r="X66" s="145">
        <v>1635712</v>
      </c>
      <c r="Y66" s="39"/>
      <c r="Z66" s="145">
        <v>203790</v>
      </c>
      <c r="AA66" s="145"/>
      <c r="AB66" s="39">
        <v>1052263</v>
      </c>
      <c r="AC66" s="39"/>
      <c r="AD66" s="39">
        <v>2743830</v>
      </c>
      <c r="AE66" s="39"/>
      <c r="AF66" s="39">
        <v>4975249</v>
      </c>
      <c r="AG66" s="39"/>
      <c r="AH66" s="39">
        <f t="shared" si="64"/>
        <v>1635712</v>
      </c>
      <c r="AI66" s="39"/>
      <c r="AJ66" s="39">
        <f t="shared" si="65"/>
        <v>203790</v>
      </c>
      <c r="AK66" s="39">
        <v>7293874</v>
      </c>
      <c r="AL66" s="39"/>
      <c r="AM66" s="39">
        <v>5246902</v>
      </c>
      <c r="AN66" s="39"/>
      <c r="AO66" s="39">
        <v>5734486</v>
      </c>
      <c r="AP66" s="39"/>
      <c r="AQ66" s="39">
        <v>13396182</v>
      </c>
      <c r="AR66" s="39"/>
      <c r="AS66" s="39">
        <v>6811547</v>
      </c>
      <c r="AT66" s="39"/>
      <c r="AU66" s="39">
        <v>9592136</v>
      </c>
      <c r="AV66" s="39"/>
      <c r="AW66" s="39">
        <v>3674718</v>
      </c>
      <c r="AX66" s="39"/>
      <c r="AY66" s="39">
        <v>28069383</v>
      </c>
      <c r="AZ66" s="39"/>
      <c r="BA66" s="133">
        <v>3410233</v>
      </c>
      <c r="BB66" s="133"/>
      <c r="BC66" s="55">
        <f>'OD StructuralVars'!I30</f>
        <v>7989389</v>
      </c>
      <c r="BD66" s="55">
        <f t="shared" si="66"/>
        <v>7989389</v>
      </c>
      <c r="BE66" s="223">
        <f t="shared" si="67"/>
        <v>7.2869355861975293E-3</v>
      </c>
      <c r="BH66" s="31"/>
      <c r="BI66" s="31"/>
      <c r="BJ66" s="31"/>
      <c r="BK66" s="31"/>
      <c r="BO66" s="26">
        <f t="shared" si="68"/>
        <v>1992</v>
      </c>
      <c r="BP66" s="130">
        <v>26.63</v>
      </c>
      <c r="BQ66" s="130">
        <v>25.21</v>
      </c>
      <c r="BR66" s="130">
        <v>17.98</v>
      </c>
      <c r="BS66" s="130">
        <v>16.28</v>
      </c>
      <c r="BT66" s="130">
        <v>17.420000000000002</v>
      </c>
      <c r="BU66" s="130">
        <v>16.489999999999998</v>
      </c>
      <c r="BV66" s="130">
        <v>15.96</v>
      </c>
      <c r="BW66" s="130">
        <v>15.76</v>
      </c>
      <c r="BX66" s="130">
        <v>18.57</v>
      </c>
      <c r="BZ66" s="26">
        <f t="shared" ref="BZ66:BZ110" si="69">BZ65+1</f>
        <v>1992</v>
      </c>
      <c r="CA66" s="121">
        <v>6.64</v>
      </c>
      <c r="CB66" s="121">
        <v>5.84</v>
      </c>
      <c r="CC66" s="121">
        <v>4.28</v>
      </c>
      <c r="CD66" s="121">
        <v>4.08</v>
      </c>
      <c r="CE66" s="121">
        <v>5.47</v>
      </c>
      <c r="CF66" s="121">
        <v>4.59</v>
      </c>
      <c r="CG66" s="121">
        <v>4.55</v>
      </c>
      <c r="CH66" s="121">
        <v>4.2300000000000004</v>
      </c>
      <c r="CI66" s="121">
        <v>4.8099999999999996</v>
      </c>
    </row>
    <row r="67" spans="1:87" x14ac:dyDescent="0.2">
      <c r="A67" s="26"/>
      <c r="B67" s="316"/>
      <c r="C67" s="316"/>
      <c r="D67" s="316"/>
      <c r="E67" s="319"/>
      <c r="F67" s="319"/>
      <c r="G67" s="26"/>
      <c r="H67" s="317"/>
      <c r="I67" s="317"/>
      <c r="J67" s="317"/>
      <c r="K67" s="55"/>
      <c r="L67" s="55"/>
      <c r="M67" s="320"/>
      <c r="N67" s="317"/>
      <c r="O67" s="317"/>
      <c r="P67" s="317"/>
      <c r="Q67" s="317"/>
      <c r="R67" s="72"/>
      <c r="S67" s="311"/>
      <c r="T67" s="20"/>
      <c r="U67" s="23">
        <v>2024</v>
      </c>
      <c r="V67" s="39">
        <v>2474113</v>
      </c>
      <c r="W67" s="39"/>
      <c r="X67" s="145">
        <v>1665960</v>
      </c>
      <c r="Y67" s="39"/>
      <c r="Z67" s="145">
        <v>209355</v>
      </c>
      <c r="AA67" s="145"/>
      <c r="AB67" s="39">
        <v>1049830</v>
      </c>
      <c r="AC67" s="39"/>
      <c r="AD67" s="39">
        <v>2730499</v>
      </c>
      <c r="AE67" s="39"/>
      <c r="AF67" s="39">
        <v>5023629</v>
      </c>
      <c r="AG67" s="39"/>
      <c r="AH67" s="39">
        <f t="shared" si="64"/>
        <v>1665960</v>
      </c>
      <c r="AI67" s="39"/>
      <c r="AJ67" s="39">
        <f t="shared" si="65"/>
        <v>209355</v>
      </c>
      <c r="AK67" s="39">
        <v>7351546</v>
      </c>
      <c r="AL67" s="39"/>
      <c r="AM67" s="39">
        <v>5313928</v>
      </c>
      <c r="AN67" s="39"/>
      <c r="AO67" s="39">
        <v>5785419</v>
      </c>
      <c r="AP67" s="39"/>
      <c r="AQ67" s="39">
        <v>13505040</v>
      </c>
      <c r="AR67" s="39"/>
      <c r="AS67" s="39">
        <v>6870841</v>
      </c>
      <c r="AT67" s="39"/>
      <c r="AU67" s="39">
        <v>9658477</v>
      </c>
      <c r="AV67" s="39"/>
      <c r="AW67" s="39">
        <v>3700050</v>
      </c>
      <c r="AX67" s="39"/>
      <c r="AY67" s="39">
        <v>28393079</v>
      </c>
      <c r="AZ67" s="39"/>
      <c r="BA67" s="133">
        <v>3418411</v>
      </c>
      <c r="BB67" s="133"/>
      <c r="BC67" s="55">
        <f>'OD StructuralVars'!I31</f>
        <v>8045794</v>
      </c>
      <c r="BD67" s="55">
        <f t="shared" si="66"/>
        <v>8045794</v>
      </c>
      <c r="BE67" s="223">
        <f t="shared" si="67"/>
        <v>7.059989193166194E-3</v>
      </c>
      <c r="BO67" s="26">
        <f t="shared" si="68"/>
        <v>1993</v>
      </c>
      <c r="BP67" s="130">
        <v>27.92</v>
      </c>
      <c r="BQ67" s="130">
        <v>24.89</v>
      </c>
      <c r="BR67" s="130">
        <v>18.21</v>
      </c>
      <c r="BS67" s="130">
        <v>16.48</v>
      </c>
      <c r="BT67" s="130">
        <v>17.350000000000001</v>
      </c>
      <c r="BU67" s="130">
        <v>16.52</v>
      </c>
      <c r="BV67" s="130">
        <v>16.78</v>
      </c>
      <c r="BW67" s="130">
        <v>15.89</v>
      </c>
      <c r="BX67" s="130">
        <v>18.61</v>
      </c>
      <c r="BZ67" s="26">
        <f t="shared" si="69"/>
        <v>1993</v>
      </c>
      <c r="CA67" s="121">
        <v>6.85</v>
      </c>
      <c r="CB67" s="121">
        <v>6.01</v>
      </c>
      <c r="CC67" s="121">
        <v>4.46</v>
      </c>
      <c r="CD67" s="121">
        <v>4.2300000000000004</v>
      </c>
      <c r="CE67" s="121">
        <v>5.76</v>
      </c>
      <c r="CF67" s="121">
        <v>4.7</v>
      </c>
      <c r="CG67" s="121">
        <v>4.58</v>
      </c>
      <c r="CH67" s="121">
        <v>4.16</v>
      </c>
      <c r="CI67" s="121">
        <v>4.92</v>
      </c>
    </row>
    <row r="68" spans="1:87" x14ac:dyDescent="0.2">
      <c r="A68" s="26"/>
      <c r="B68" s="316"/>
      <c r="C68" s="316"/>
      <c r="D68" s="316"/>
      <c r="E68" s="319"/>
      <c r="F68" s="319"/>
      <c r="G68" s="26"/>
      <c r="H68" s="317"/>
      <c r="I68" s="317"/>
      <c r="J68" s="317"/>
      <c r="K68" s="55"/>
      <c r="L68" s="55"/>
      <c r="M68" s="320"/>
      <c r="N68" s="317"/>
      <c r="O68" s="317"/>
      <c r="P68" s="317"/>
      <c r="Q68" s="317"/>
      <c r="R68" s="72"/>
      <c r="T68" s="20"/>
      <c r="U68" s="23">
        <v>2025</v>
      </c>
      <c r="V68" s="39">
        <v>2485851</v>
      </c>
      <c r="W68" s="39"/>
      <c r="X68" s="145">
        <v>1696639.5</v>
      </c>
      <c r="Y68" s="39"/>
      <c r="Z68" s="145">
        <v>214785</v>
      </c>
      <c r="AA68" s="145"/>
      <c r="AB68" s="39">
        <v>1047396</v>
      </c>
      <c r="AC68" s="39"/>
      <c r="AD68" s="39">
        <v>2717336</v>
      </c>
      <c r="AE68" s="39"/>
      <c r="AF68" s="39">
        <v>5072276</v>
      </c>
      <c r="AG68" s="39"/>
      <c r="AH68" s="39">
        <f t="shared" si="64"/>
        <v>1696639.5</v>
      </c>
      <c r="AI68" s="39"/>
      <c r="AJ68" s="39">
        <f t="shared" si="65"/>
        <v>214785</v>
      </c>
      <c r="AK68" s="39">
        <v>7410054</v>
      </c>
      <c r="AL68" s="39"/>
      <c r="AM68" s="39">
        <v>5382473</v>
      </c>
      <c r="AN68" s="39"/>
      <c r="AO68" s="39">
        <v>5836629</v>
      </c>
      <c r="AP68" s="39"/>
      <c r="AQ68" s="39">
        <v>13614716</v>
      </c>
      <c r="AR68" s="39"/>
      <c r="AS68" s="39">
        <v>6930993</v>
      </c>
      <c r="AT68" s="39"/>
      <c r="AU68" s="39">
        <v>9725899</v>
      </c>
      <c r="AV68" s="39"/>
      <c r="AW68" s="39">
        <v>3725780</v>
      </c>
      <c r="AX68" s="39"/>
      <c r="AY68" s="39">
        <v>28721679</v>
      </c>
      <c r="AZ68" s="39"/>
      <c r="BA68" s="133">
        <v>3427064</v>
      </c>
      <c r="BB68" s="133"/>
      <c r="BC68" s="55">
        <f>'OD StructuralVars'!I32</f>
        <v>8103040</v>
      </c>
      <c r="BD68" s="55">
        <f t="shared" si="66"/>
        <v>8103040</v>
      </c>
      <c r="BE68" s="89"/>
      <c r="BO68" s="26">
        <f t="shared" si="68"/>
        <v>1994</v>
      </c>
      <c r="BP68" s="130">
        <v>29.1</v>
      </c>
      <c r="BQ68" s="130">
        <v>25.35</v>
      </c>
      <c r="BR68" s="130">
        <v>18.52</v>
      </c>
      <c r="BS68" s="130">
        <v>16.989999999999998</v>
      </c>
      <c r="BT68" s="130">
        <v>17.760000000000002</v>
      </c>
      <c r="BU68" s="130">
        <v>17.010000000000002</v>
      </c>
      <c r="BV68" s="130">
        <v>17.260000000000002</v>
      </c>
      <c r="BW68" s="130">
        <v>16.86</v>
      </c>
      <c r="BX68" s="130">
        <v>19.21</v>
      </c>
      <c r="BZ68" s="26">
        <f t="shared" si="69"/>
        <v>1994</v>
      </c>
      <c r="CA68" s="121">
        <v>7.22</v>
      </c>
      <c r="CB68" s="121">
        <v>6.26</v>
      </c>
      <c r="CC68" s="121">
        <v>4.42</v>
      </c>
      <c r="CD68" s="121">
        <v>4.1399999999999997</v>
      </c>
      <c r="CE68" s="121">
        <v>5.83</v>
      </c>
      <c r="CF68" s="121">
        <v>4.8499999999999996</v>
      </c>
      <c r="CG68" s="121">
        <v>4.6500000000000004</v>
      </c>
      <c r="CH68" s="121">
        <v>4.3099999999999996</v>
      </c>
      <c r="CI68" s="121">
        <v>4.97</v>
      </c>
    </row>
    <row r="69" spans="1:87" x14ac:dyDescent="0.2">
      <c r="A69" s="26"/>
      <c r="B69" s="316"/>
      <c r="C69" s="316"/>
      <c r="D69" s="316"/>
      <c r="E69" s="319"/>
      <c r="F69" s="319"/>
      <c r="G69" s="26"/>
      <c r="H69" s="317"/>
      <c r="I69" s="317"/>
      <c r="J69" s="317"/>
      <c r="K69" s="55"/>
      <c r="L69" s="55"/>
      <c r="M69" s="320"/>
      <c r="N69" s="317"/>
      <c r="O69" s="317"/>
      <c r="P69" s="317"/>
      <c r="Q69" s="317"/>
      <c r="R69" s="72"/>
      <c r="T69" s="20"/>
      <c r="U69" s="23">
        <v>2026</v>
      </c>
      <c r="V69" s="39">
        <v>2498037</v>
      </c>
      <c r="W69" s="39"/>
      <c r="X69" s="145">
        <v>1727238</v>
      </c>
      <c r="Y69" s="39"/>
      <c r="Z69" s="145">
        <v>219971</v>
      </c>
      <c r="AA69" s="145"/>
      <c r="AB69" s="39">
        <v>1045045</v>
      </c>
      <c r="AC69" s="39"/>
      <c r="AD69" s="39">
        <v>2704364</v>
      </c>
      <c r="AE69" s="39"/>
      <c r="AF69" s="39">
        <v>5121077</v>
      </c>
      <c r="AG69" s="39"/>
      <c r="AH69" s="39">
        <f t="shared" si="64"/>
        <v>1727238</v>
      </c>
      <c r="AI69" s="39"/>
      <c r="AJ69" s="39">
        <f t="shared" si="65"/>
        <v>219971</v>
      </c>
      <c r="AK69" s="39">
        <v>7468650</v>
      </c>
      <c r="AL69" s="39"/>
      <c r="AM69" s="39">
        <v>5451763</v>
      </c>
      <c r="AN69" s="39"/>
      <c r="AO69" s="39">
        <v>5887728</v>
      </c>
      <c r="AP69" s="39"/>
      <c r="AQ69" s="39">
        <v>13724603</v>
      </c>
      <c r="AR69" s="39"/>
      <c r="AS69" s="39">
        <v>6991256</v>
      </c>
      <c r="AT69" s="39"/>
      <c r="AU69" s="39">
        <v>9793301</v>
      </c>
      <c r="AV69" s="39"/>
      <c r="AW69" s="39">
        <v>3751493</v>
      </c>
      <c r="AX69" s="39"/>
      <c r="AY69" s="39">
        <v>29054702</v>
      </c>
      <c r="AZ69" s="39"/>
      <c r="BA69" s="133">
        <v>3435621</v>
      </c>
      <c r="BB69" s="133"/>
      <c r="BC69" s="55">
        <f>'OD StructuralVars'!I33</f>
        <v>8160402</v>
      </c>
      <c r="BD69" s="55">
        <f t="shared" si="66"/>
        <v>8160402</v>
      </c>
      <c r="BE69" s="89"/>
      <c r="BO69" s="26">
        <f t="shared" si="68"/>
        <v>1995</v>
      </c>
      <c r="BP69" s="130">
        <v>27.34</v>
      </c>
      <c r="BQ69" s="130">
        <v>27.44</v>
      </c>
      <c r="BR69" s="130">
        <v>19.72</v>
      </c>
      <c r="BS69" s="130">
        <v>17.11</v>
      </c>
      <c r="BT69" s="130">
        <v>18.34</v>
      </c>
      <c r="BU69" s="130">
        <v>14.51</v>
      </c>
      <c r="BV69" s="130">
        <v>17.63</v>
      </c>
      <c r="BW69" s="130">
        <v>18.09</v>
      </c>
      <c r="BX69" s="130">
        <v>20.97</v>
      </c>
      <c r="BZ69" s="26">
        <f t="shared" si="69"/>
        <v>1995</v>
      </c>
      <c r="CA69" s="121">
        <v>7</v>
      </c>
      <c r="CB69" s="121">
        <v>6</v>
      </c>
      <c r="CC69" s="121">
        <v>3.9</v>
      </c>
      <c r="CD69" s="121">
        <v>3.84</v>
      </c>
      <c r="CE69" s="121">
        <v>5.33</v>
      </c>
      <c r="CF69" s="121">
        <v>4.4400000000000004</v>
      </c>
      <c r="CG69" s="121">
        <v>4.5</v>
      </c>
      <c r="CH69" s="121">
        <v>4.12</v>
      </c>
      <c r="CI69" s="121">
        <v>4.8899999999999997</v>
      </c>
    </row>
    <row r="70" spans="1:87" x14ac:dyDescent="0.2">
      <c r="A70" s="26"/>
      <c r="B70" s="316"/>
      <c r="C70" s="316"/>
      <c r="D70" s="316"/>
      <c r="E70" s="319"/>
      <c r="F70" s="319"/>
      <c r="G70" s="26"/>
      <c r="H70" s="317"/>
      <c r="I70" s="317"/>
      <c r="J70" s="317"/>
      <c r="K70" s="55"/>
      <c r="L70" s="55"/>
      <c r="M70" s="320"/>
      <c r="N70" s="317"/>
      <c r="O70" s="317"/>
      <c r="P70" s="317"/>
      <c r="Q70" s="317"/>
      <c r="R70" s="72"/>
      <c r="T70" s="20"/>
      <c r="U70" s="23">
        <v>2027</v>
      </c>
      <c r="V70" s="39">
        <v>2510503</v>
      </c>
      <c r="W70" s="39"/>
      <c r="X70" s="145">
        <v>1756790.5</v>
      </c>
      <c r="Y70" s="39"/>
      <c r="Z70" s="145">
        <v>224741</v>
      </c>
      <c r="AA70" s="145"/>
      <c r="AB70" s="39">
        <v>1042784</v>
      </c>
      <c r="AC70" s="39"/>
      <c r="AD70" s="39">
        <v>2691580</v>
      </c>
      <c r="AE70" s="39"/>
      <c r="AF70" s="39">
        <v>5169175</v>
      </c>
      <c r="AG70" s="39"/>
      <c r="AH70" s="39">
        <f t="shared" si="64"/>
        <v>1756790.5</v>
      </c>
      <c r="AI70" s="39"/>
      <c r="AJ70" s="39">
        <f t="shared" si="65"/>
        <v>224741</v>
      </c>
      <c r="AK70" s="39">
        <v>7525368</v>
      </c>
      <c r="AL70" s="39"/>
      <c r="AM70" s="39">
        <v>5519262</v>
      </c>
      <c r="AN70" s="39"/>
      <c r="AO70" s="39">
        <v>5937580</v>
      </c>
      <c r="AP70" s="39"/>
      <c r="AQ70" s="39">
        <v>13831965</v>
      </c>
      <c r="AR70" s="39"/>
      <c r="AS70" s="39">
        <v>7049671</v>
      </c>
      <c r="AT70" s="39"/>
      <c r="AU70" s="39">
        <v>9858134</v>
      </c>
      <c r="AV70" s="39"/>
      <c r="AW70" s="39">
        <v>3776152</v>
      </c>
      <c r="AX70" s="39"/>
      <c r="AY70" s="39">
        <v>29382035</v>
      </c>
      <c r="AZ70" s="39"/>
      <c r="BA70" s="133">
        <v>3443439</v>
      </c>
      <c r="BB70" s="133"/>
      <c r="BC70" s="55">
        <f>'OD StructuralVars'!I34</f>
        <v>8215878</v>
      </c>
      <c r="BD70" s="55">
        <f t="shared" si="66"/>
        <v>8215878</v>
      </c>
      <c r="BE70" s="89"/>
      <c r="BO70" s="26">
        <f t="shared" si="68"/>
        <v>1996</v>
      </c>
      <c r="BP70" s="130">
        <v>27</v>
      </c>
      <c r="BQ70" s="130">
        <v>27.05</v>
      </c>
      <c r="BR70" s="130">
        <v>19.350000000000001</v>
      </c>
      <c r="BS70" s="130">
        <v>16.55</v>
      </c>
      <c r="BT70" s="130">
        <v>17.920000000000002</v>
      </c>
      <c r="BU70" s="130">
        <v>14.13</v>
      </c>
      <c r="BV70" s="130">
        <v>17.47</v>
      </c>
      <c r="BW70" s="130">
        <v>17.57</v>
      </c>
      <c r="BX70" s="130">
        <v>20.23</v>
      </c>
      <c r="BZ70" s="26">
        <f t="shared" si="69"/>
        <v>1996</v>
      </c>
      <c r="CA70" s="121">
        <v>6.85</v>
      </c>
      <c r="CB70" s="121">
        <v>6.07</v>
      </c>
      <c r="CC70" s="121">
        <v>4.13</v>
      </c>
      <c r="CD70" s="121">
        <v>4.2</v>
      </c>
      <c r="CE70" s="121">
        <v>5.7</v>
      </c>
      <c r="CF70" s="121">
        <v>4.71</v>
      </c>
      <c r="CG70" s="121">
        <v>4.53</v>
      </c>
      <c r="CH70" s="121">
        <v>3.72</v>
      </c>
      <c r="CI70" s="121">
        <v>4.76</v>
      </c>
    </row>
    <row r="71" spans="1:87" x14ac:dyDescent="0.2">
      <c r="A71" s="26"/>
      <c r="B71" s="316"/>
      <c r="C71" s="316"/>
      <c r="D71" s="316"/>
      <c r="E71" s="319"/>
      <c r="F71" s="319"/>
      <c r="G71" s="26"/>
      <c r="H71" s="317"/>
      <c r="I71" s="317"/>
      <c r="J71" s="317"/>
      <c r="K71" s="55"/>
      <c r="L71" s="55"/>
      <c r="M71" s="320"/>
      <c r="N71" s="317"/>
      <c r="O71" s="317"/>
      <c r="P71" s="317"/>
      <c r="Q71" s="317"/>
      <c r="R71" s="72"/>
      <c r="T71" s="20"/>
      <c r="U71" s="23">
        <v>2028</v>
      </c>
      <c r="V71" s="39">
        <v>2522754</v>
      </c>
      <c r="W71" s="39"/>
      <c r="X71" s="145">
        <v>1784887.5</v>
      </c>
      <c r="Y71" s="39"/>
      <c r="Z71" s="145">
        <v>229055</v>
      </c>
      <c r="AA71" s="145"/>
      <c r="AB71" s="39">
        <v>1040507</v>
      </c>
      <c r="AC71" s="39"/>
      <c r="AD71" s="39">
        <v>2678936</v>
      </c>
      <c r="AE71" s="39"/>
      <c r="AF71" s="39">
        <v>5215693</v>
      </c>
      <c r="AG71" s="39"/>
      <c r="AH71" s="39">
        <f t="shared" si="64"/>
        <v>1784887.5</v>
      </c>
      <c r="AI71" s="39"/>
      <c r="AJ71" s="39">
        <f t="shared" si="65"/>
        <v>229055</v>
      </c>
      <c r="AK71" s="39">
        <v>7578821</v>
      </c>
      <c r="AL71" s="39"/>
      <c r="AM71" s="39">
        <v>5583609</v>
      </c>
      <c r="AN71" s="39"/>
      <c r="AO71" s="39">
        <v>5985107</v>
      </c>
      <c r="AP71" s="39"/>
      <c r="AQ71" s="39">
        <v>13933290</v>
      </c>
      <c r="AR71" s="39"/>
      <c r="AS71" s="39">
        <v>7104850</v>
      </c>
      <c r="AT71" s="39"/>
      <c r="AU71" s="39">
        <v>9918795</v>
      </c>
      <c r="AV71" s="39"/>
      <c r="AW71" s="39">
        <v>3798965</v>
      </c>
      <c r="AX71" s="39"/>
      <c r="AY71" s="39">
        <v>29698661</v>
      </c>
      <c r="AZ71" s="39"/>
      <c r="BA71" s="133">
        <v>3450011</v>
      </c>
      <c r="BB71" s="133"/>
      <c r="BC71" s="55">
        <f>'OD StructuralVars'!I35</f>
        <v>8268095</v>
      </c>
      <c r="BD71" s="55">
        <f t="shared" si="66"/>
        <v>8268095</v>
      </c>
      <c r="BE71" s="89"/>
      <c r="BO71" s="26">
        <f t="shared" si="68"/>
        <v>1997</v>
      </c>
      <c r="BP71" s="130">
        <v>27.07</v>
      </c>
      <c r="BQ71" s="130">
        <v>26.87</v>
      </c>
      <c r="BR71" s="130">
        <v>19.2</v>
      </c>
      <c r="BS71" s="130">
        <v>16.309999999999999</v>
      </c>
      <c r="BT71" s="130">
        <v>17.760000000000002</v>
      </c>
      <c r="BU71" s="130">
        <v>14.08</v>
      </c>
      <c r="BV71" s="130">
        <v>17.18</v>
      </c>
      <c r="BW71" s="130">
        <v>17.100000000000001</v>
      </c>
      <c r="BX71" s="130">
        <v>20.12</v>
      </c>
      <c r="BZ71" s="26">
        <f t="shared" si="69"/>
        <v>1997</v>
      </c>
      <c r="CA71" s="121">
        <v>7.13</v>
      </c>
      <c r="CB71" s="121">
        <v>6.6</v>
      </c>
      <c r="CC71" s="121">
        <v>4.5</v>
      </c>
      <c r="CD71" s="121">
        <v>4.57</v>
      </c>
      <c r="CE71" s="121">
        <v>6.14</v>
      </c>
      <c r="CF71" s="121">
        <v>5.22</v>
      </c>
      <c r="CG71" s="121">
        <v>4.8099999999999996</v>
      </c>
      <c r="CH71" s="121">
        <v>4.05</v>
      </c>
      <c r="CI71" s="121">
        <v>4.91</v>
      </c>
    </row>
    <row r="72" spans="1:87" x14ac:dyDescent="0.2">
      <c r="A72" s="26"/>
      <c r="B72" s="316"/>
      <c r="C72" s="316"/>
      <c r="D72" s="316"/>
      <c r="E72" s="319"/>
      <c r="F72" s="319"/>
      <c r="G72" s="26"/>
      <c r="H72" s="317"/>
      <c r="I72" s="317"/>
      <c r="J72" s="317"/>
      <c r="K72" s="55"/>
      <c r="L72" s="55"/>
      <c r="M72" s="320"/>
      <c r="N72" s="317"/>
      <c r="O72" s="317"/>
      <c r="P72" s="317"/>
      <c r="Q72" s="317"/>
      <c r="R72" s="72"/>
      <c r="T72" s="20"/>
      <c r="U72" s="23">
        <v>2029</v>
      </c>
      <c r="V72" s="39">
        <v>2534412</v>
      </c>
      <c r="W72" s="39"/>
      <c r="X72" s="145">
        <v>1811834</v>
      </c>
      <c r="Y72" s="39"/>
      <c r="Z72" s="145">
        <v>233035</v>
      </c>
      <c r="AA72" s="145"/>
      <c r="AB72" s="39">
        <v>1038138</v>
      </c>
      <c r="AC72" s="39"/>
      <c r="AD72" s="39">
        <v>2666406</v>
      </c>
      <c r="AE72" s="39"/>
      <c r="AF72" s="39">
        <v>5260534</v>
      </c>
      <c r="AG72" s="39"/>
      <c r="AH72" s="39">
        <f t="shared" si="64"/>
        <v>1811834</v>
      </c>
      <c r="AI72" s="39"/>
      <c r="AJ72" s="39">
        <f t="shared" si="65"/>
        <v>233035</v>
      </c>
      <c r="AK72" s="39">
        <v>7629339</v>
      </c>
      <c r="AL72" s="39"/>
      <c r="AM72" s="39">
        <v>5645297</v>
      </c>
      <c r="AN72" s="39"/>
      <c r="AO72" s="39">
        <v>6030411</v>
      </c>
      <c r="AP72" s="39"/>
      <c r="AQ72" s="39">
        <v>14030492</v>
      </c>
      <c r="AR72" s="39"/>
      <c r="AS72" s="39">
        <v>7157159</v>
      </c>
      <c r="AT72" s="39"/>
      <c r="AU72" s="39">
        <v>9975932</v>
      </c>
      <c r="AV72" s="39"/>
      <c r="AW72" s="39">
        <v>3820239</v>
      </c>
      <c r="AX72" s="39"/>
      <c r="AY72" s="39">
        <v>30009006</v>
      </c>
      <c r="AZ72" s="39"/>
      <c r="BA72" s="133">
        <v>3455622</v>
      </c>
      <c r="BB72" s="133"/>
      <c r="BC72" s="55">
        <f>'OD StructuralVars'!I36</f>
        <v>8317381</v>
      </c>
      <c r="BD72" s="55">
        <f t="shared" si="66"/>
        <v>8317381</v>
      </c>
      <c r="BE72" s="89"/>
      <c r="BO72" s="26">
        <f t="shared" si="68"/>
        <v>1998</v>
      </c>
      <c r="BP72" s="130">
        <v>25.67</v>
      </c>
      <c r="BQ72" s="130">
        <v>25.94</v>
      </c>
      <c r="BR72" s="130">
        <v>18.89</v>
      </c>
      <c r="BS72" s="130">
        <v>16.260000000000002</v>
      </c>
      <c r="BT72" s="130">
        <v>17.34</v>
      </c>
      <c r="BU72" s="130">
        <v>14.32</v>
      </c>
      <c r="BV72" s="130">
        <v>16.55</v>
      </c>
      <c r="BW72" s="130">
        <v>16.940000000000001</v>
      </c>
      <c r="BX72" s="130">
        <v>18.91</v>
      </c>
      <c r="BZ72" s="26">
        <f t="shared" si="69"/>
        <v>1998</v>
      </c>
      <c r="CA72" s="121">
        <v>7.03</v>
      </c>
      <c r="CB72" s="121">
        <v>6.36</v>
      </c>
      <c r="CC72" s="121">
        <v>4.25</v>
      </c>
      <c r="CD72" s="121">
        <v>4.32</v>
      </c>
      <c r="CE72" s="121">
        <v>5.89</v>
      </c>
      <c r="CF72" s="121">
        <v>4.99</v>
      </c>
      <c r="CG72" s="121">
        <v>4.59</v>
      </c>
      <c r="CH72" s="121">
        <v>4.28</v>
      </c>
      <c r="CI72" s="121">
        <v>4.95</v>
      </c>
    </row>
    <row r="73" spans="1:87" x14ac:dyDescent="0.2">
      <c r="A73" s="26"/>
      <c r="B73" s="316"/>
      <c r="C73" s="316"/>
      <c r="D73" s="316"/>
      <c r="E73" s="319"/>
      <c r="F73" s="319"/>
      <c r="G73" s="26"/>
      <c r="H73" s="317"/>
      <c r="I73" s="317"/>
      <c r="J73" s="317"/>
      <c r="K73" s="55"/>
      <c r="L73" s="55"/>
      <c r="M73" s="320"/>
      <c r="N73" s="317"/>
      <c r="O73" s="317"/>
      <c r="P73" s="317"/>
      <c r="Q73" s="317"/>
      <c r="R73" s="72"/>
      <c r="T73" s="20"/>
      <c r="U73" s="23">
        <v>2030</v>
      </c>
      <c r="V73" s="39">
        <v>2545783</v>
      </c>
      <c r="W73" s="39"/>
      <c r="X73" s="145">
        <v>1838723.5</v>
      </c>
      <c r="Y73" s="39"/>
      <c r="Z73" s="145">
        <v>236917</v>
      </c>
      <c r="AA73" s="145"/>
      <c r="AB73" s="39">
        <v>1035706</v>
      </c>
      <c r="AC73" s="39"/>
      <c r="AD73" s="39">
        <v>2654000</v>
      </c>
      <c r="AE73" s="39"/>
      <c r="AF73" s="39">
        <v>5304778</v>
      </c>
      <c r="AG73" s="39"/>
      <c r="AH73" s="39">
        <f t="shared" si="64"/>
        <v>1838723.5</v>
      </c>
      <c r="AI73" s="39"/>
      <c r="AJ73" s="39">
        <f t="shared" si="65"/>
        <v>236917</v>
      </c>
      <c r="AK73" s="39">
        <v>7679323</v>
      </c>
      <c r="AL73" s="39"/>
      <c r="AM73" s="39">
        <v>5706665</v>
      </c>
      <c r="AN73" s="39"/>
      <c r="AO73" s="39">
        <v>6074510</v>
      </c>
      <c r="AP73" s="39"/>
      <c r="AQ73" s="39">
        <v>14126277</v>
      </c>
      <c r="AR73" s="39"/>
      <c r="AS73" s="39">
        <v>7208959</v>
      </c>
      <c r="AT73" s="39"/>
      <c r="AU73" s="39">
        <v>10032541</v>
      </c>
      <c r="AV73" s="39"/>
      <c r="AW73" s="39">
        <v>3841218</v>
      </c>
      <c r="AX73" s="39"/>
      <c r="AY73" s="39">
        <v>30319282</v>
      </c>
      <c r="AZ73" s="39"/>
      <c r="BA73" s="133">
        <v>3461059</v>
      </c>
      <c r="BB73" s="133"/>
      <c r="BC73" s="55">
        <f>'OD StructuralVars'!I37</f>
        <v>8366144</v>
      </c>
      <c r="BD73" s="55">
        <f t="shared" si="66"/>
        <v>8366144</v>
      </c>
      <c r="BE73" s="89"/>
      <c r="BO73" s="26">
        <f t="shared" si="68"/>
        <v>1999</v>
      </c>
      <c r="BP73" s="130">
        <v>24.42</v>
      </c>
      <c r="BQ73" s="130">
        <v>24.28</v>
      </c>
      <c r="BR73" s="130">
        <v>18.079999999999998</v>
      </c>
      <c r="BS73" s="130">
        <v>16.100000000000001</v>
      </c>
      <c r="BT73" s="130">
        <v>16.899999999999999</v>
      </c>
      <c r="BU73" s="130">
        <v>14.05</v>
      </c>
      <c r="BV73" s="130">
        <v>16.12</v>
      </c>
      <c r="BW73" s="130">
        <v>16.27</v>
      </c>
      <c r="BX73" s="130">
        <v>18.59</v>
      </c>
      <c r="BZ73" s="26">
        <f t="shared" si="69"/>
        <v>1999</v>
      </c>
      <c r="CA73" s="121">
        <v>6.87</v>
      </c>
      <c r="CB73" s="121">
        <v>6.14</v>
      </c>
      <c r="CC73" s="121">
        <v>4.13</v>
      </c>
      <c r="CD73" s="121">
        <v>4.2699999999999996</v>
      </c>
      <c r="CE73" s="121">
        <v>5.42</v>
      </c>
      <c r="CF73" s="121">
        <v>4.8</v>
      </c>
      <c r="CG73" s="121">
        <v>4.57</v>
      </c>
      <c r="CH73" s="121">
        <v>4.26</v>
      </c>
      <c r="CI73" s="121">
        <v>4.72</v>
      </c>
    </row>
    <row r="74" spans="1:87" x14ac:dyDescent="0.2">
      <c r="A74" s="26"/>
      <c r="B74" s="316"/>
      <c r="C74" s="316"/>
      <c r="D74" s="316"/>
      <c r="E74" s="319"/>
      <c r="F74" s="319"/>
      <c r="G74" s="26"/>
      <c r="H74" s="317"/>
      <c r="I74" s="317"/>
      <c r="J74" s="317"/>
      <c r="K74" s="55"/>
      <c r="L74" s="55"/>
      <c r="M74" s="320"/>
      <c r="N74" s="317"/>
      <c r="O74" s="317"/>
      <c r="P74" s="317"/>
      <c r="Q74" s="317"/>
      <c r="R74" s="72"/>
      <c r="T74" s="20"/>
      <c r="U74" s="23">
        <v>2031</v>
      </c>
      <c r="V74" s="39">
        <v>2556851</v>
      </c>
      <c r="W74" s="39"/>
      <c r="X74" s="145">
        <v>1865037</v>
      </c>
      <c r="Y74" s="39"/>
      <c r="Z74" s="145">
        <v>240608</v>
      </c>
      <c r="AA74" s="145"/>
      <c r="AB74" s="39">
        <v>1033226</v>
      </c>
      <c r="AC74" s="39"/>
      <c r="AD74" s="39">
        <v>2641717</v>
      </c>
      <c r="AE74" s="39"/>
      <c r="AF74" s="39">
        <v>5348037</v>
      </c>
      <c r="AG74" s="39"/>
      <c r="AH74" s="39">
        <f t="shared" si="64"/>
        <v>1865037</v>
      </c>
      <c r="AI74" s="39"/>
      <c r="AJ74" s="39">
        <f t="shared" si="65"/>
        <v>240608</v>
      </c>
      <c r="AK74" s="39">
        <v>7727772</v>
      </c>
      <c r="AL74" s="39"/>
      <c r="AM74" s="39">
        <v>5766696</v>
      </c>
      <c r="AN74" s="39"/>
      <c r="AO74" s="39">
        <v>6117524</v>
      </c>
      <c r="AP74" s="39"/>
      <c r="AQ74" s="39">
        <v>14216761</v>
      </c>
      <c r="AR74" s="39"/>
      <c r="AS74" s="39">
        <v>7259286</v>
      </c>
      <c r="AT74" s="39"/>
      <c r="AU74" s="39">
        <v>10087324</v>
      </c>
      <c r="AV74" s="39"/>
      <c r="AW74" s="39">
        <v>3861389</v>
      </c>
      <c r="AX74" s="39"/>
      <c r="AY74" s="39">
        <v>30625558</v>
      </c>
      <c r="AZ74" s="39"/>
      <c r="BA74" s="133">
        <v>3466039</v>
      </c>
      <c r="BB74" s="133"/>
      <c r="BC74" s="55">
        <f>'OD StructuralVars'!I38</f>
        <v>8413375</v>
      </c>
      <c r="BD74" s="55">
        <f>BC74</f>
        <v>8413375</v>
      </c>
      <c r="BE74" s="89"/>
      <c r="BO74" s="26">
        <f>BO75-1</f>
        <v>2000</v>
      </c>
      <c r="BP74" s="130">
        <v>23.92</v>
      </c>
      <c r="BQ74" s="130">
        <v>24.39</v>
      </c>
      <c r="BR74" s="130">
        <v>17.600000000000001</v>
      </c>
      <c r="BS74" s="130">
        <v>15.75</v>
      </c>
      <c r="BT74" s="130">
        <v>16.5</v>
      </c>
      <c r="BU74" s="130">
        <v>13.77</v>
      </c>
      <c r="BV74" s="130">
        <v>16.64</v>
      </c>
      <c r="BW74" s="130">
        <v>15.88</v>
      </c>
      <c r="BX74" s="130">
        <v>18.690000000000001</v>
      </c>
      <c r="BZ74" s="26">
        <f t="shared" si="69"/>
        <v>2000</v>
      </c>
      <c r="CA74" s="121">
        <v>7.28</v>
      </c>
      <c r="CB74" s="121">
        <v>6.27</v>
      </c>
      <c r="CC74" s="121">
        <v>4.83</v>
      </c>
      <c r="CD74" s="121">
        <v>5.29</v>
      </c>
      <c r="CE74" s="121">
        <v>6.6</v>
      </c>
      <c r="CF74" s="121">
        <v>5.59</v>
      </c>
      <c r="CG74" s="121">
        <v>5.37</v>
      </c>
      <c r="CH74" s="121">
        <v>4.66</v>
      </c>
      <c r="CI74" s="121">
        <v>5.68</v>
      </c>
    </row>
    <row r="75" spans="1:87" x14ac:dyDescent="0.2">
      <c r="A75" s="26"/>
      <c r="B75" s="316"/>
      <c r="C75" s="316"/>
      <c r="D75" s="316"/>
      <c r="E75" s="319"/>
      <c r="F75" s="319"/>
      <c r="G75" s="26"/>
      <c r="H75" s="317"/>
      <c r="I75" s="317"/>
      <c r="J75" s="317"/>
      <c r="K75" s="55"/>
      <c r="L75" s="55"/>
      <c r="M75" s="320"/>
      <c r="N75" s="317"/>
      <c r="O75" s="317"/>
      <c r="P75" s="317"/>
      <c r="Q75" s="317"/>
      <c r="R75" s="72"/>
      <c r="T75" s="20"/>
      <c r="U75" s="23">
        <v>2032</v>
      </c>
      <c r="V75" s="39">
        <v>2567490</v>
      </c>
      <c r="W75" s="39"/>
      <c r="X75" s="145">
        <v>1889901.5</v>
      </c>
      <c r="Y75" s="39"/>
      <c r="Z75" s="145">
        <v>243945</v>
      </c>
      <c r="AA75" s="145"/>
      <c r="AB75" s="39">
        <v>1030708</v>
      </c>
      <c r="AC75" s="39"/>
      <c r="AD75" s="39">
        <v>2629564</v>
      </c>
      <c r="AE75" s="39"/>
      <c r="AF75" s="39">
        <v>5389549</v>
      </c>
      <c r="AG75" s="39"/>
      <c r="AH75" s="39">
        <f t="shared" si="64"/>
        <v>1889901.5</v>
      </c>
      <c r="AI75" s="39"/>
      <c r="AJ75" s="39">
        <f t="shared" si="65"/>
        <v>243945</v>
      </c>
      <c r="AK75" s="39">
        <v>7772919</v>
      </c>
      <c r="AL75" s="39"/>
      <c r="AM75" s="39">
        <v>5823635</v>
      </c>
      <c r="AN75" s="39"/>
      <c r="AO75" s="39">
        <v>6158319</v>
      </c>
      <c r="AP75" s="39"/>
      <c r="AQ75" s="39">
        <v>14304569</v>
      </c>
      <c r="AR75" s="39"/>
      <c r="AS75" s="39">
        <v>7306414</v>
      </c>
      <c r="AT75" s="39"/>
      <c r="AU75" s="39">
        <v>10137994</v>
      </c>
      <c r="AV75" s="39"/>
      <c r="AW75" s="39">
        <v>3879811</v>
      </c>
      <c r="AX75" s="39"/>
      <c r="AY75" s="39">
        <v>30923560</v>
      </c>
      <c r="AZ75" s="39"/>
      <c r="BA75" s="133">
        <v>3471257</v>
      </c>
      <c r="BB75" s="133"/>
      <c r="BC75" s="55">
        <f>'OD StructuralVars'!I39</f>
        <v>8457303</v>
      </c>
      <c r="BD75" s="55">
        <f>BC75</f>
        <v>8457303</v>
      </c>
      <c r="BE75" s="89"/>
      <c r="BO75" s="28">
        <v>2001</v>
      </c>
      <c r="BP75" s="130">
        <v>25.01</v>
      </c>
      <c r="BQ75" s="130">
        <v>23.97</v>
      </c>
      <c r="BR75" s="130">
        <v>17.02</v>
      </c>
      <c r="BS75" s="130">
        <v>15.42</v>
      </c>
      <c r="BT75" s="130">
        <v>16.86</v>
      </c>
      <c r="BU75" s="130">
        <v>13.62</v>
      </c>
      <c r="BV75" s="130">
        <v>17.7</v>
      </c>
      <c r="BW75" s="130">
        <v>16.32</v>
      </c>
      <c r="BX75" s="130">
        <v>21</v>
      </c>
      <c r="BZ75" s="26">
        <f t="shared" si="69"/>
        <v>2001</v>
      </c>
      <c r="CA75" s="121">
        <v>8.7100000000000009</v>
      </c>
      <c r="CB75" s="121">
        <v>7.37</v>
      </c>
      <c r="CC75" s="121">
        <v>5.82</v>
      </c>
      <c r="CD75" s="121">
        <v>6.44</v>
      </c>
      <c r="CE75" s="121">
        <v>7.89</v>
      </c>
      <c r="CF75" s="121">
        <v>7.27</v>
      </c>
      <c r="CG75" s="121">
        <v>6.49</v>
      </c>
      <c r="CH75" s="121">
        <v>5.89</v>
      </c>
      <c r="CI75" s="121">
        <v>7.05</v>
      </c>
    </row>
    <row r="76" spans="1:87" x14ac:dyDescent="0.2">
      <c r="A76" s="26"/>
      <c r="B76" s="316"/>
      <c r="C76" s="316"/>
      <c r="D76" s="316"/>
      <c r="E76" s="319"/>
      <c r="F76" s="319"/>
      <c r="G76" s="26"/>
      <c r="H76" s="317"/>
      <c r="I76" s="317"/>
      <c r="J76" s="317"/>
      <c r="K76" s="55"/>
      <c r="L76" s="55"/>
      <c r="M76" s="320"/>
      <c r="N76" s="317"/>
      <c r="O76" s="317"/>
      <c r="P76" s="317"/>
      <c r="Q76" s="317"/>
      <c r="R76" s="72"/>
      <c r="T76" s="20"/>
      <c r="U76" s="23">
        <v>2033</v>
      </c>
      <c r="V76" s="39">
        <v>2577562</v>
      </c>
      <c r="W76" s="39"/>
      <c r="X76" s="145">
        <v>1914096.5</v>
      </c>
      <c r="Y76" s="39"/>
      <c r="Z76" s="145">
        <v>247124</v>
      </c>
      <c r="AA76" s="145"/>
      <c r="AB76" s="39">
        <v>1028090</v>
      </c>
      <c r="AC76" s="39"/>
      <c r="AD76" s="39">
        <v>2617499</v>
      </c>
      <c r="AE76" s="39"/>
      <c r="AF76" s="39">
        <v>5429709</v>
      </c>
      <c r="AG76" s="39"/>
      <c r="AH76" s="39">
        <f t="shared" si="64"/>
        <v>1914096.5</v>
      </c>
      <c r="AI76" s="39"/>
      <c r="AJ76" s="39">
        <f t="shared" si="65"/>
        <v>247124</v>
      </c>
      <c r="AK76" s="39">
        <v>7816077</v>
      </c>
      <c r="AL76" s="39"/>
      <c r="AM76" s="39">
        <v>5878815</v>
      </c>
      <c r="AN76" s="39"/>
      <c r="AO76" s="39">
        <v>6197574</v>
      </c>
      <c r="AP76" s="39"/>
      <c r="AQ76" s="39">
        <v>14389134</v>
      </c>
      <c r="AR76" s="39"/>
      <c r="AS76" s="39">
        <v>7351616</v>
      </c>
      <c r="AT76" s="39"/>
      <c r="AU76" s="39">
        <v>10186345</v>
      </c>
      <c r="AV76" s="39"/>
      <c r="AW76" s="39">
        <v>3897165</v>
      </c>
      <c r="AX76" s="39"/>
      <c r="AY76" s="39">
        <v>31218538</v>
      </c>
      <c r="AZ76" s="39"/>
      <c r="BA76" s="133">
        <v>3476187</v>
      </c>
      <c r="BB76" s="133"/>
      <c r="BC76" s="55">
        <f>'OD StructuralVars'!I40</f>
        <v>8499250</v>
      </c>
      <c r="BD76" s="55">
        <f>BC76</f>
        <v>8499250</v>
      </c>
      <c r="BE76" s="89"/>
      <c r="BO76" s="28">
        <v>2002</v>
      </c>
      <c r="BP76" s="130">
        <v>23.03</v>
      </c>
      <c r="BQ76" s="130">
        <v>23.33</v>
      </c>
      <c r="BR76" s="130">
        <v>16.61</v>
      </c>
      <c r="BS76" s="130">
        <v>15.19</v>
      </c>
      <c r="BT76" s="130">
        <v>16.28</v>
      </c>
      <c r="BU76" s="130">
        <v>13.53</v>
      </c>
      <c r="BV76" s="130">
        <v>15.86</v>
      </c>
      <c r="BW76" s="130">
        <v>16.22</v>
      </c>
      <c r="BX76" s="130">
        <v>21.55</v>
      </c>
      <c r="BZ76" s="26">
        <f t="shared" si="69"/>
        <v>2002</v>
      </c>
      <c r="CA76" s="121">
        <v>7.17</v>
      </c>
      <c r="CB76" s="121">
        <v>6.19</v>
      </c>
      <c r="CC76" s="121">
        <v>4.18</v>
      </c>
      <c r="CD76" s="121">
        <v>4.82</v>
      </c>
      <c r="CE76" s="121">
        <v>6.7</v>
      </c>
      <c r="CF76" s="121">
        <v>5.78</v>
      </c>
      <c r="CG76" s="121">
        <v>5.23</v>
      </c>
      <c r="CH76" s="121">
        <v>4.79</v>
      </c>
      <c r="CI76" s="121">
        <v>5.13</v>
      </c>
    </row>
    <row r="77" spans="1:87" x14ac:dyDescent="0.2">
      <c r="A77" s="26"/>
      <c r="B77" s="316"/>
      <c r="C77" s="316"/>
      <c r="D77" s="316"/>
      <c r="E77" s="319"/>
      <c r="F77" s="319"/>
      <c r="G77" s="26"/>
      <c r="H77" s="317"/>
      <c r="I77" s="317"/>
      <c r="J77" s="317"/>
      <c r="K77" s="55"/>
      <c r="L77" s="55"/>
      <c r="M77" s="320"/>
      <c r="N77" s="317"/>
      <c r="O77" s="317"/>
      <c r="P77" s="317"/>
      <c r="Q77" s="317"/>
      <c r="R77" s="72"/>
      <c r="T77" s="20"/>
      <c r="U77" s="23">
        <v>2034</v>
      </c>
      <c r="V77" s="39">
        <v>2587141</v>
      </c>
      <c r="W77" s="39"/>
      <c r="X77" s="145">
        <v>1938203.5</v>
      </c>
      <c r="Y77" s="39"/>
      <c r="Z77" s="145">
        <v>250224</v>
      </c>
      <c r="AA77" s="145"/>
      <c r="AB77" s="39">
        <v>1025363</v>
      </c>
      <c r="AC77" s="39"/>
      <c r="AD77" s="39">
        <v>2605533</v>
      </c>
      <c r="AE77" s="39"/>
      <c r="AF77" s="39">
        <v>5469005</v>
      </c>
      <c r="AG77" s="39"/>
      <c r="AH77" s="39">
        <f t="shared" si="64"/>
        <v>1938203.5</v>
      </c>
      <c r="AI77" s="39"/>
      <c r="AJ77" s="39">
        <f t="shared" si="65"/>
        <v>250224</v>
      </c>
      <c r="AK77" s="39">
        <v>7858435</v>
      </c>
      <c r="AL77" s="39"/>
      <c r="AM77" s="39">
        <v>5933371</v>
      </c>
      <c r="AN77" s="39"/>
      <c r="AO77" s="39">
        <v>6236169</v>
      </c>
      <c r="AP77" s="39"/>
      <c r="AQ77" s="39">
        <v>14472532</v>
      </c>
      <c r="AR77" s="39"/>
      <c r="AS77" s="39">
        <v>7396075</v>
      </c>
      <c r="AT77" s="39"/>
      <c r="AU77" s="39">
        <v>10233893</v>
      </c>
      <c r="AV77" s="39"/>
      <c r="AW77" s="39">
        <v>3914078</v>
      </c>
      <c r="AX77" s="39"/>
      <c r="AY77" s="39">
        <v>31512265</v>
      </c>
      <c r="AZ77" s="39"/>
      <c r="BA77" s="133">
        <v>3480088</v>
      </c>
      <c r="BB77" s="133"/>
      <c r="BC77" s="55">
        <f>'OD StructuralVars'!I41</f>
        <v>8540397</v>
      </c>
      <c r="BD77" s="55">
        <f>BC77</f>
        <v>8540397</v>
      </c>
      <c r="BE77" s="89"/>
      <c r="BO77" s="28">
        <v>2003</v>
      </c>
      <c r="BP77" s="130">
        <v>23.55</v>
      </c>
      <c r="BQ77" s="130">
        <v>23.44</v>
      </c>
      <c r="BR77" s="130">
        <v>16.43</v>
      </c>
      <c r="BS77" s="130">
        <v>14.97</v>
      </c>
      <c r="BT77" s="130">
        <v>16.329999999999998</v>
      </c>
      <c r="BU77" s="130">
        <v>13.67</v>
      </c>
      <c r="BV77" s="130">
        <v>17.37</v>
      </c>
      <c r="BW77" s="130">
        <v>16.18</v>
      </c>
      <c r="BX77" s="130">
        <v>20.399999999999999</v>
      </c>
      <c r="BZ77" s="26">
        <f t="shared" si="69"/>
        <v>2003</v>
      </c>
      <c r="CA77" s="121">
        <v>8.31</v>
      </c>
      <c r="CB77" s="121">
        <v>7.48</v>
      </c>
      <c r="CC77" s="121">
        <v>5.73</v>
      </c>
      <c r="CD77" s="121">
        <v>5.92</v>
      </c>
      <c r="CE77" s="121">
        <v>7.75</v>
      </c>
      <c r="CF77" s="121">
        <v>6.7</v>
      </c>
      <c r="CG77" s="121">
        <v>6.3</v>
      </c>
      <c r="CH77" s="121">
        <v>5.18</v>
      </c>
      <c r="CI77" s="121">
        <v>6.01</v>
      </c>
    </row>
    <row r="78" spans="1:87" x14ac:dyDescent="0.2">
      <c r="A78" s="26"/>
      <c r="B78" s="316"/>
      <c r="C78" s="316"/>
      <c r="D78" s="316"/>
      <c r="E78" s="319"/>
      <c r="F78" s="319"/>
      <c r="G78" s="26"/>
      <c r="H78" s="317"/>
      <c r="I78" s="317"/>
      <c r="J78" s="317"/>
      <c r="K78" s="55"/>
      <c r="L78" s="55"/>
      <c r="M78" s="320"/>
      <c r="N78" s="317"/>
      <c r="O78" s="317"/>
      <c r="P78" s="317"/>
      <c r="Q78" s="317"/>
      <c r="R78" s="72"/>
      <c r="T78" s="20"/>
      <c r="U78" s="23">
        <v>2035</v>
      </c>
      <c r="V78" s="39">
        <v>2596280</v>
      </c>
      <c r="W78" s="39"/>
      <c r="X78" s="145">
        <v>1962287.5</v>
      </c>
      <c r="Y78" s="39"/>
      <c r="Z78" s="145">
        <v>253293</v>
      </c>
      <c r="AA78" s="145"/>
      <c r="AB78" s="39">
        <v>1022544</v>
      </c>
      <c r="AC78" s="39"/>
      <c r="AD78" s="39">
        <v>2593669</v>
      </c>
      <c r="AE78" s="39"/>
      <c r="AF78" s="39">
        <v>5507547</v>
      </c>
      <c r="AG78" s="39"/>
      <c r="AH78" s="39">
        <f t="shared" si="64"/>
        <v>1962287.5</v>
      </c>
      <c r="AI78" s="39"/>
      <c r="AJ78" s="39">
        <f t="shared" si="65"/>
        <v>253293</v>
      </c>
      <c r="AK78" s="39">
        <v>7900172</v>
      </c>
      <c r="AL78" s="39"/>
      <c r="AM78" s="39">
        <v>5987541</v>
      </c>
      <c r="AN78" s="39"/>
      <c r="AO78" s="39">
        <v>6274423</v>
      </c>
      <c r="AP78" s="39"/>
      <c r="AQ78" s="39">
        <v>14555068</v>
      </c>
      <c r="AR78" s="39"/>
      <c r="AS78" s="39">
        <v>7439989</v>
      </c>
      <c r="AT78" s="39"/>
      <c r="AU78" s="39">
        <v>10280877</v>
      </c>
      <c r="AV78" s="39"/>
      <c r="AW78" s="39">
        <v>3930662</v>
      </c>
      <c r="AX78" s="39"/>
      <c r="AY78" s="39">
        <v>31805524</v>
      </c>
      <c r="AZ78" s="39"/>
      <c r="BA78" s="133">
        <v>3483961</v>
      </c>
      <c r="BB78" s="133"/>
      <c r="BC78" s="55">
        <f>'OD StructuralVars'!I42</f>
        <v>8580944</v>
      </c>
      <c r="BD78" s="55">
        <f>BC78</f>
        <v>8580944</v>
      </c>
      <c r="BE78" s="47"/>
      <c r="BO78" s="28">
        <v>2004</v>
      </c>
      <c r="BP78" s="130">
        <v>23.35</v>
      </c>
      <c r="BQ78" s="130">
        <v>23.17</v>
      </c>
      <c r="BR78" s="130">
        <v>16.25</v>
      </c>
      <c r="BS78" s="130">
        <v>14.85</v>
      </c>
      <c r="BT78" s="130">
        <v>16.34</v>
      </c>
      <c r="BU78" s="130">
        <v>13.97</v>
      </c>
      <c r="BV78" s="130">
        <v>17.75</v>
      </c>
      <c r="BW78" s="130">
        <v>16.16</v>
      </c>
      <c r="BX78" s="130">
        <v>19.829999999999998</v>
      </c>
      <c r="BZ78" s="26">
        <f t="shared" si="69"/>
        <v>2004</v>
      </c>
      <c r="CA78" s="121">
        <v>9.23</v>
      </c>
      <c r="CB78" s="121">
        <v>7.95</v>
      </c>
      <c r="CC78" s="121">
        <v>6.23</v>
      </c>
      <c r="CD78" s="121">
        <v>6.6</v>
      </c>
      <c r="CE78" s="121">
        <v>8.5399999999999991</v>
      </c>
      <c r="CF78" s="121">
        <v>7.4</v>
      </c>
      <c r="CG78" s="121">
        <v>6.91</v>
      </c>
      <c r="CH78" s="121">
        <v>5.99</v>
      </c>
      <c r="CI78" s="121">
        <v>6.4</v>
      </c>
    </row>
    <row r="79" spans="1:87" x14ac:dyDescent="0.2">
      <c r="A79" s="26"/>
      <c r="B79" s="316"/>
      <c r="C79" s="316"/>
      <c r="D79" s="316"/>
      <c r="E79" s="319"/>
      <c r="F79" s="319"/>
      <c r="G79" s="26"/>
      <c r="H79" s="317"/>
      <c r="I79" s="317"/>
      <c r="J79" s="317"/>
      <c r="K79" s="55"/>
      <c r="L79" s="55"/>
      <c r="M79" s="320"/>
      <c r="N79" s="317"/>
      <c r="O79" s="317"/>
      <c r="P79" s="317"/>
      <c r="Q79" s="317"/>
      <c r="R79" s="72"/>
      <c r="U79" s="23">
        <v>2036</v>
      </c>
      <c r="V79" s="231">
        <f>(V78/V77)*V78</f>
        <v>2605451.283250507</v>
      </c>
      <c r="W79" s="55"/>
      <c r="X79" s="231">
        <f>(X78/X77)*X78</f>
        <v>1986670.7663340047</v>
      </c>
      <c r="Y79" s="55"/>
      <c r="Z79" s="231">
        <f>(Z78/Z77)*Z78</f>
        <v>256399.6413173796</v>
      </c>
      <c r="AA79" s="55"/>
      <c r="AB79" s="231">
        <f>(AB78/AB77)*AB78</f>
        <v>1019732.7501928585</v>
      </c>
      <c r="AC79" s="55"/>
      <c r="AD79" s="231">
        <f>(AD78/AD77)*AD78</f>
        <v>2581859.0213829568</v>
      </c>
      <c r="AE79" s="55"/>
      <c r="AF79" s="231">
        <f>(AF78/AF77)*AF78</f>
        <v>5546360.6190173524</v>
      </c>
      <c r="AG79" s="55"/>
      <c r="AH79" s="231">
        <f>(AH78/AH77)*AH78</f>
        <v>1986670.7663340047</v>
      </c>
      <c r="AI79" s="55"/>
      <c r="AJ79" s="231">
        <f>(AJ78/AJ77)*AJ78</f>
        <v>256399.6413173796</v>
      </c>
      <c r="AK79" s="231">
        <f>(AK78/AK77)*AK78</f>
        <v>7942130.6697305515</v>
      </c>
      <c r="AL79" s="55"/>
      <c r="AM79" s="231">
        <f>(AM78/AM77)*AM78</f>
        <v>6042205.5567873642</v>
      </c>
      <c r="AN79" s="55"/>
      <c r="AO79" s="231">
        <f>(AO78/AO77)*AO78</f>
        <v>6312911.6582518853</v>
      </c>
      <c r="AP79" s="55"/>
      <c r="AQ79" s="231">
        <f>(AQ78/AQ77)*AQ78</f>
        <v>14638074.697960524</v>
      </c>
      <c r="AR79" s="55"/>
      <c r="AS79" s="231">
        <f>(AS78/AS77)*AS78</f>
        <v>7484163.7382153375</v>
      </c>
      <c r="AT79" s="55"/>
      <c r="AU79" s="231">
        <f>(AU78/AU77)*AU78</f>
        <v>10328076.70444952</v>
      </c>
      <c r="AV79" s="55"/>
      <c r="AW79" s="231">
        <f>(AW78/AW77)*AW78</f>
        <v>3947316.2666262654</v>
      </c>
      <c r="AX79" s="55"/>
      <c r="AY79" s="231">
        <f>(AY78/AY77)*AY78</f>
        <v>32101512.122806024</v>
      </c>
      <c r="AZ79" s="55"/>
      <c r="BA79" s="231">
        <f>(BA78/BA77)*BA78</f>
        <v>3487838.3102729013</v>
      </c>
      <c r="BB79" s="55"/>
      <c r="BC79" s="231">
        <f>(BC78/BC77)*BC78</f>
        <v>8621683.5038389899</v>
      </c>
      <c r="BD79" s="231">
        <f>(BD78/BD77)*BD78</f>
        <v>8621683.5038389899</v>
      </c>
      <c r="BE79" s="47"/>
      <c r="BO79" s="28">
        <v>2005</v>
      </c>
      <c r="BP79" s="130">
        <v>25.5</v>
      </c>
      <c r="BQ79" s="130">
        <v>23.7</v>
      </c>
      <c r="BR79" s="130">
        <v>15.96</v>
      </c>
      <c r="BS79" s="130">
        <v>14.76</v>
      </c>
      <c r="BT79" s="130">
        <v>16.75</v>
      </c>
      <c r="BU79" s="130">
        <v>14.09</v>
      </c>
      <c r="BV79" s="130">
        <v>19.05</v>
      </c>
      <c r="BW79" s="130">
        <v>16.45</v>
      </c>
      <c r="BX79" s="130">
        <v>19.670000000000002</v>
      </c>
      <c r="BZ79" s="26">
        <f t="shared" si="69"/>
        <v>2005</v>
      </c>
      <c r="CA79" s="121">
        <v>9.76</v>
      </c>
      <c r="CB79" s="121">
        <v>8.5299999999999994</v>
      </c>
      <c r="CC79" s="121">
        <v>7.4</v>
      </c>
      <c r="CD79" s="121">
        <v>7.46</v>
      </c>
      <c r="CE79" s="121">
        <v>9.84</v>
      </c>
      <c r="CF79" s="121">
        <v>8.74</v>
      </c>
      <c r="CG79" s="121">
        <v>7.91</v>
      </c>
      <c r="CH79" s="121">
        <v>6.87</v>
      </c>
      <c r="CI79" s="121">
        <v>7.4</v>
      </c>
    </row>
    <row r="80" spans="1:87" x14ac:dyDescent="0.2">
      <c r="A80" s="26"/>
      <c r="B80" s="316"/>
      <c r="C80" s="316"/>
      <c r="D80" s="316"/>
      <c r="E80" s="319"/>
      <c r="F80" s="319"/>
      <c r="G80" s="26"/>
      <c r="H80" s="317"/>
      <c r="I80" s="317"/>
      <c r="J80" s="317"/>
      <c r="K80" s="55"/>
      <c r="L80" s="55"/>
      <c r="M80" s="320"/>
      <c r="N80" s="317"/>
      <c r="O80" s="317"/>
      <c r="P80" s="317"/>
      <c r="Q80" s="317"/>
      <c r="R80" s="72"/>
      <c r="U80" s="23">
        <v>2037</v>
      </c>
      <c r="V80" s="231">
        <f t="shared" ref="V80:V85" si="70">(V79/V78)*V79</f>
        <v>2614654.9637911604</v>
      </c>
      <c r="W80" s="55"/>
      <c r="X80" s="231">
        <f t="shared" ref="X80:X85" si="71">(X79/X78)*X79</f>
        <v>2011357.0176674628</v>
      </c>
      <c r="Y80" s="55"/>
      <c r="Z80" s="231">
        <f t="shared" ref="Z80:BD85" si="72">(Z79/Z78)*Z79</f>
        <v>259544.38562329364</v>
      </c>
      <c r="AA80" s="55"/>
      <c r="AB80" s="231">
        <f t="shared" si="72"/>
        <v>1016929.2292712008</v>
      </c>
      <c r="AC80" s="55"/>
      <c r="AD80" s="231">
        <f t="shared" si="72"/>
        <v>2570102.8181686094</v>
      </c>
      <c r="AE80" s="55"/>
      <c r="AF80" s="231">
        <f t="shared" si="72"/>
        <v>5585447.7712467182</v>
      </c>
      <c r="AG80" s="55"/>
      <c r="AH80" s="231">
        <f t="shared" si="72"/>
        <v>2011357.0176674628</v>
      </c>
      <c r="AI80" s="55"/>
      <c r="AJ80" s="231">
        <f t="shared" si="72"/>
        <v>259544.38562329364</v>
      </c>
      <c r="AK80" s="231">
        <f t="shared" si="72"/>
        <v>7984312.1865036171</v>
      </c>
      <c r="AL80" s="55"/>
      <c r="AM80" s="231">
        <f t="shared" si="72"/>
        <v>6097369.185525761</v>
      </c>
      <c r="AN80" s="55"/>
      <c r="AO80" s="231">
        <f t="shared" si="72"/>
        <v>6351636.4141997704</v>
      </c>
      <c r="AP80" s="55"/>
      <c r="AQ80" s="231">
        <f t="shared" si="72"/>
        <v>14721554.778244395</v>
      </c>
      <c r="AR80" s="55"/>
      <c r="AS80" s="231">
        <f t="shared" si="72"/>
        <v>7528600.7627722807</v>
      </c>
      <c r="AT80" s="55"/>
      <c r="AU80" s="231">
        <f t="shared" si="72"/>
        <v>10375493.103651842</v>
      </c>
      <c r="AV80" s="55"/>
      <c r="AW80" s="231">
        <f t="shared" si="72"/>
        <v>3964041.0975994165</v>
      </c>
      <c r="AX80" s="55"/>
      <c r="AY80" s="231">
        <f t="shared" si="72"/>
        <v>32400254.766142577</v>
      </c>
      <c r="AZ80" s="55"/>
      <c r="BA80" s="231">
        <f t="shared" si="72"/>
        <v>3491719.9356156192</v>
      </c>
      <c r="BB80" s="55"/>
      <c r="BC80" s="231">
        <f t="shared" si="72"/>
        <v>8662616.425461974</v>
      </c>
      <c r="BD80" s="231">
        <f t="shared" si="72"/>
        <v>8662616.425461974</v>
      </c>
      <c r="BE80" s="47"/>
      <c r="BO80" s="28"/>
      <c r="BP80" s="130"/>
      <c r="BQ80" s="130"/>
      <c r="BR80" s="130"/>
      <c r="BS80" s="130"/>
      <c r="BT80" s="130"/>
      <c r="BU80" s="130"/>
      <c r="BV80" s="130"/>
      <c r="BW80" s="130"/>
      <c r="BX80" s="130"/>
      <c r="BZ80" s="26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x14ac:dyDescent="0.2">
      <c r="A81" s="26"/>
      <c r="B81" s="316"/>
      <c r="C81" s="316"/>
      <c r="D81" s="316"/>
      <c r="E81" s="319"/>
      <c r="F81" s="319"/>
      <c r="G81" s="26"/>
      <c r="H81" s="317"/>
      <c r="I81" s="317"/>
      <c r="J81" s="317"/>
      <c r="K81" s="55"/>
      <c r="L81" s="55"/>
      <c r="M81" s="320"/>
      <c r="N81" s="317"/>
      <c r="O81" s="317"/>
      <c r="P81" s="317"/>
      <c r="Q81" s="317"/>
      <c r="R81" s="72"/>
      <c r="U81" s="23">
        <v>2038</v>
      </c>
      <c r="V81" s="231">
        <f t="shared" si="70"/>
        <v>2623891.156064441</v>
      </c>
      <c r="W81" s="55"/>
      <c r="X81" s="231">
        <f t="shared" si="71"/>
        <v>2036350.0188737363</v>
      </c>
      <c r="Y81" s="55"/>
      <c r="Z81" s="231">
        <f t="shared" si="72"/>
        <v>262727.70025129849</v>
      </c>
      <c r="AA81" s="55"/>
      <c r="AB81" s="231">
        <f t="shared" si="72"/>
        <v>1014133.415986232</v>
      </c>
      <c r="AC81" s="55"/>
      <c r="AD81" s="231">
        <f t="shared" si="72"/>
        <v>2558400.1454967405</v>
      </c>
      <c r="AE81" s="55"/>
      <c r="AF81" s="231">
        <f t="shared" si="72"/>
        <v>5624810.3843727596</v>
      </c>
      <c r="AG81" s="55"/>
      <c r="AH81" s="231">
        <f t="shared" si="72"/>
        <v>2036350.0188737363</v>
      </c>
      <c r="AI81" s="55"/>
      <c r="AJ81" s="231">
        <f t="shared" si="72"/>
        <v>262727.70025129849</v>
      </c>
      <c r="AK81" s="231">
        <f t="shared" si="72"/>
        <v>8026717.7338839928</v>
      </c>
      <c r="AL81" s="55"/>
      <c r="AM81" s="231">
        <f t="shared" si="72"/>
        <v>6153036.4426010279</v>
      </c>
      <c r="AN81" s="55"/>
      <c r="AO81" s="231">
        <f t="shared" si="72"/>
        <v>6390598.7161176298</v>
      </c>
      <c r="AP81" s="55"/>
      <c r="AQ81" s="231">
        <f t="shared" si="72"/>
        <v>14805510.9405232</v>
      </c>
      <c r="AR81" s="55"/>
      <c r="AS81" s="231">
        <f t="shared" si="72"/>
        <v>7573301.6309890561</v>
      </c>
      <c r="AT81" s="55"/>
      <c r="AU81" s="231">
        <f t="shared" si="72"/>
        <v>10423127.192456756</v>
      </c>
      <c r="AV81" s="55"/>
      <c r="AW81" s="231">
        <f t="shared" si="72"/>
        <v>3980836.7919015195</v>
      </c>
      <c r="AX81" s="55"/>
      <c r="AY81" s="231">
        <f t="shared" si="72"/>
        <v>32701777.56409011</v>
      </c>
      <c r="AZ81" s="55"/>
      <c r="BA81" s="231">
        <f t="shared" si="72"/>
        <v>3495605.8808304071</v>
      </c>
      <c r="BB81" s="55"/>
      <c r="BC81" s="231">
        <f t="shared" si="72"/>
        <v>8703743.6831530631</v>
      </c>
      <c r="BD81" s="231">
        <f t="shared" si="72"/>
        <v>8703743.6831530631</v>
      </c>
      <c r="BE81" s="47"/>
      <c r="BO81" s="28"/>
      <c r="BP81" s="130"/>
      <c r="BQ81" s="130"/>
      <c r="BR81" s="130"/>
      <c r="BS81" s="130"/>
      <c r="BT81" s="130"/>
      <c r="BU81" s="130"/>
      <c r="BV81" s="130"/>
      <c r="BW81" s="130"/>
      <c r="BX81" s="130"/>
      <c r="BZ81" s="26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x14ac:dyDescent="0.2">
      <c r="A82" s="26"/>
      <c r="B82" s="316"/>
      <c r="C82" s="316"/>
      <c r="D82" s="316"/>
      <c r="E82" s="319"/>
      <c r="F82" s="319"/>
      <c r="G82" s="26"/>
      <c r="H82" s="317"/>
      <c r="I82" s="317"/>
      <c r="J82" s="317"/>
      <c r="K82" s="55"/>
      <c r="L82" s="55"/>
      <c r="M82" s="320"/>
      <c r="N82" s="317"/>
      <c r="O82" s="317"/>
      <c r="P82" s="317"/>
      <c r="Q82" s="317"/>
      <c r="R82" s="72"/>
      <c r="U82" s="23">
        <v>2039</v>
      </c>
      <c r="V82" s="231">
        <f t="shared" si="70"/>
        <v>2633159.9749170942</v>
      </c>
      <c r="W82" s="55"/>
      <c r="X82" s="231">
        <f t="shared" si="71"/>
        <v>2061653.5816082763</v>
      </c>
      <c r="Y82" s="55"/>
      <c r="Z82" s="231">
        <f t="shared" si="72"/>
        <v>265950.05826680153</v>
      </c>
      <c r="AA82" s="55"/>
      <c r="AB82" s="231">
        <f t="shared" si="72"/>
        <v>1011345.2891475756</v>
      </c>
      <c r="AC82" s="55"/>
      <c r="AD82" s="231">
        <f t="shared" si="72"/>
        <v>2546750.7596220756</v>
      </c>
      <c r="AE82" s="55"/>
      <c r="AF82" s="231">
        <f t="shared" si="72"/>
        <v>5664450.3996652104</v>
      </c>
      <c r="AG82" s="55"/>
      <c r="AH82" s="231">
        <f t="shared" si="72"/>
        <v>2061653.5816082763</v>
      </c>
      <c r="AI82" s="55"/>
      <c r="AJ82" s="231">
        <f t="shared" si="72"/>
        <v>265950.05826680153</v>
      </c>
      <c r="AK82" s="231">
        <f t="shared" si="72"/>
        <v>8069348.5017225156</v>
      </c>
      <c r="AL82" s="55"/>
      <c r="AM82" s="231">
        <f t="shared" si="72"/>
        <v>6209211.9259975152</v>
      </c>
      <c r="AN82" s="55"/>
      <c r="AO82" s="231">
        <f t="shared" si="72"/>
        <v>6429800.0211634617</v>
      </c>
      <c r="AP82" s="55"/>
      <c r="AQ82" s="231">
        <f t="shared" si="72"/>
        <v>14889945.899864595</v>
      </c>
      <c r="AR82" s="55"/>
      <c r="AS82" s="231">
        <f t="shared" si="72"/>
        <v>7618267.9094304265</v>
      </c>
      <c r="AT82" s="55"/>
      <c r="AU82" s="231">
        <f t="shared" si="72"/>
        <v>10470979.97028142</v>
      </c>
      <c r="AV82" s="55"/>
      <c r="AW82" s="231">
        <f t="shared" si="72"/>
        <v>3997703.6497814325</v>
      </c>
      <c r="AX82" s="55"/>
      <c r="AY82" s="231">
        <f t="shared" si="72"/>
        <v>33006106.3892846</v>
      </c>
      <c r="AZ82" s="55"/>
      <c r="BA82" s="231">
        <f t="shared" si="72"/>
        <v>3499496.1507248632</v>
      </c>
      <c r="BB82" s="55"/>
      <c r="BC82" s="231">
        <f t="shared" si="72"/>
        <v>8745066.1995560843</v>
      </c>
      <c r="BD82" s="231">
        <f t="shared" si="72"/>
        <v>8745066.1995560843</v>
      </c>
      <c r="BE82" s="47"/>
      <c r="BO82" s="28"/>
      <c r="BP82" s="130"/>
      <c r="BQ82" s="130"/>
      <c r="BR82" s="130"/>
      <c r="BS82" s="130"/>
      <c r="BT82" s="130"/>
      <c r="BU82" s="130"/>
      <c r="BV82" s="130"/>
      <c r="BW82" s="130"/>
      <c r="BX82" s="130"/>
      <c r="BZ82" s="26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x14ac:dyDescent="0.2">
      <c r="A83" s="26"/>
      <c r="B83" s="316"/>
      <c r="C83" s="316"/>
      <c r="D83" s="316"/>
      <c r="E83" s="319"/>
      <c r="F83" s="319"/>
      <c r="G83" s="26"/>
      <c r="H83" s="317"/>
      <c r="I83" s="317"/>
      <c r="J83" s="317"/>
      <c r="K83" s="55"/>
      <c r="L83" s="55"/>
      <c r="M83" s="320"/>
      <c r="N83" s="317"/>
      <c r="O83" s="317"/>
      <c r="P83" s="317"/>
      <c r="Q83" s="317"/>
      <c r="R83" s="72"/>
      <c r="U83" s="23">
        <v>2040</v>
      </c>
      <c r="V83" s="231">
        <f t="shared" si="70"/>
        <v>2642461.5356015591</v>
      </c>
      <c r="W83" s="55"/>
      <c r="X83" s="231">
        <f t="shared" si="71"/>
        <v>2087271.5648899358</v>
      </c>
      <c r="Y83" s="55"/>
      <c r="Z83" s="231">
        <f t="shared" si="72"/>
        <v>269211.93853736232</v>
      </c>
      <c r="AA83" s="55"/>
      <c r="AB83" s="231">
        <f t="shared" si="72"/>
        <v>1008564.8276231135</v>
      </c>
      <c r="AC83" s="55"/>
      <c r="AD83" s="231">
        <f t="shared" si="72"/>
        <v>2535154.4179092068</v>
      </c>
      <c r="AE83" s="55"/>
      <c r="AF83" s="231">
        <f t="shared" si="72"/>
        <v>5704369.7720746147</v>
      </c>
      <c r="AG83" s="55"/>
      <c r="AH83" s="231">
        <f t="shared" si="72"/>
        <v>2087271.5648899358</v>
      </c>
      <c r="AI83" s="55"/>
      <c r="AJ83" s="231">
        <f t="shared" si="72"/>
        <v>269211.93853736232</v>
      </c>
      <c r="AK83" s="231">
        <f t="shared" si="72"/>
        <v>8112205.6861894475</v>
      </c>
      <c r="AL83" s="55"/>
      <c r="AM83" s="231">
        <f t="shared" si="72"/>
        <v>6265900.2756778719</v>
      </c>
      <c r="AN83" s="55"/>
      <c r="AO83" s="231">
        <f t="shared" si="72"/>
        <v>6469241.7954337848</v>
      </c>
      <c r="AP83" s="55"/>
      <c r="AQ83" s="231">
        <f t="shared" si="72"/>
        <v>14974862.386820108</v>
      </c>
      <c r="AR83" s="55"/>
      <c r="AS83" s="231">
        <f t="shared" si="72"/>
        <v>7663501.1739625912</v>
      </c>
      <c r="AT83" s="55"/>
      <c r="AU83" s="231">
        <f t="shared" si="72"/>
        <v>10519052.44113134</v>
      </c>
      <c r="AV83" s="55"/>
      <c r="AW83" s="231">
        <f t="shared" si="72"/>
        <v>4014641.9727601707</v>
      </c>
      <c r="AX83" s="55"/>
      <c r="AY83" s="231">
        <f t="shared" si="72"/>
        <v>33313267.355137583</v>
      </c>
      <c r="AZ83" s="55"/>
      <c r="BA83" s="231">
        <f t="shared" si="72"/>
        <v>3503390.7501119357</v>
      </c>
      <c r="BB83" s="55"/>
      <c r="BC83" s="231">
        <f t="shared" si="72"/>
        <v>8786584.901695272</v>
      </c>
      <c r="BD83" s="231">
        <f t="shared" si="72"/>
        <v>8786584.901695272</v>
      </c>
      <c r="BE83" s="47"/>
      <c r="BO83" s="28"/>
      <c r="BP83" s="130"/>
      <c r="BQ83" s="130"/>
      <c r="BR83" s="130"/>
      <c r="BS83" s="130"/>
      <c r="BT83" s="130"/>
      <c r="BU83" s="130"/>
      <c r="BV83" s="130"/>
      <c r="BW83" s="130"/>
      <c r="BX83" s="130"/>
      <c r="BZ83" s="26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x14ac:dyDescent="0.2">
      <c r="A84" s="26"/>
      <c r="B84" s="316"/>
      <c r="C84" s="316"/>
      <c r="D84" s="316"/>
      <c r="E84" s="319"/>
      <c r="F84" s="319"/>
      <c r="G84" s="26"/>
      <c r="H84" s="317"/>
      <c r="I84" s="317"/>
      <c r="J84" s="317"/>
      <c r="K84" s="55"/>
      <c r="L84" s="55"/>
      <c r="M84" s="320"/>
      <c r="N84" s="317"/>
      <c r="O84" s="317"/>
      <c r="P84" s="317"/>
      <c r="Q84" s="317"/>
      <c r="R84" s="72"/>
      <c r="U84" s="23">
        <v>2041</v>
      </c>
      <c r="V84" s="231">
        <f t="shared" si="70"/>
        <v>2651795.9537773998</v>
      </c>
      <c r="W84" s="55"/>
      <c r="X84" s="231">
        <f t="shared" si="71"/>
        <v>2113207.8756895033</v>
      </c>
      <c r="Y84" s="55"/>
      <c r="Z84" s="231">
        <f t="shared" si="72"/>
        <v>272513.82580385619</v>
      </c>
      <c r="AA84" s="55"/>
      <c r="AB84" s="231">
        <f t="shared" si="72"/>
        <v>1005792.0103388254</v>
      </c>
      <c r="AC84" s="55"/>
      <c r="AD84" s="231">
        <f t="shared" si="72"/>
        <v>2523610.8788275393</v>
      </c>
      <c r="AE84" s="55"/>
      <c r="AF84" s="231">
        <f t="shared" si="72"/>
        <v>5744570.4703287389</v>
      </c>
      <c r="AG84" s="55"/>
      <c r="AH84" s="231">
        <f t="shared" si="72"/>
        <v>2113207.8756895033</v>
      </c>
      <c r="AI84" s="55"/>
      <c r="AJ84" s="231">
        <f t="shared" si="72"/>
        <v>272513.82580385619</v>
      </c>
      <c r="AK84" s="231">
        <f t="shared" si="72"/>
        <v>8155290.4898080425</v>
      </c>
      <c r="AL84" s="55"/>
      <c r="AM84" s="231">
        <f t="shared" si="72"/>
        <v>6323106.1739662932</v>
      </c>
      <c r="AN84" s="55"/>
      <c r="AO84" s="231">
        <f t="shared" si="72"/>
        <v>6508925.5140184676</v>
      </c>
      <c r="AP84" s="55"/>
      <c r="AQ84" s="231">
        <f t="shared" si="72"/>
        <v>15060263.14751344</v>
      </c>
      <c r="AR84" s="55"/>
      <c r="AS84" s="231">
        <f t="shared" si="72"/>
        <v>7709003.0098084146</v>
      </c>
      <c r="AT84" s="55"/>
      <c r="AU84" s="231">
        <f t="shared" si="72"/>
        <v>10567345.61362143</v>
      </c>
      <c r="AV84" s="55"/>
      <c r="AW84" s="231">
        <f t="shared" si="72"/>
        <v>4031652.0636362988</v>
      </c>
      <c r="AX84" s="55"/>
      <c r="AY84" s="231">
        <f t="shared" si="72"/>
        <v>33623286.818076864</v>
      </c>
      <c r="AZ84" s="55"/>
      <c r="BA84" s="231">
        <f t="shared" si="72"/>
        <v>3507289.6838099295</v>
      </c>
      <c r="BB84" s="55"/>
      <c r="BC84" s="231">
        <f t="shared" si="72"/>
        <v>8828300.7209960651</v>
      </c>
      <c r="BD84" s="231">
        <f t="shared" si="72"/>
        <v>8828300.7209960651</v>
      </c>
      <c r="BE84" s="47"/>
      <c r="BO84" s="28"/>
      <c r="BP84" s="130"/>
      <c r="BQ84" s="130"/>
      <c r="BR84" s="130"/>
      <c r="BS84" s="130"/>
      <c r="BT84" s="130"/>
      <c r="BU84" s="130"/>
      <c r="BV84" s="130"/>
      <c r="BW84" s="130"/>
      <c r="BX84" s="130"/>
      <c r="BZ84" s="26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x14ac:dyDescent="0.2">
      <c r="A85" s="26"/>
      <c r="B85" s="316"/>
      <c r="C85" s="316"/>
      <c r="D85" s="316"/>
      <c r="E85" s="319"/>
      <c r="F85" s="319"/>
      <c r="G85" s="26"/>
      <c r="H85" s="317"/>
      <c r="I85" s="317"/>
      <c r="J85" s="317"/>
      <c r="K85" s="55"/>
      <c r="L85" s="55"/>
      <c r="M85" s="320"/>
      <c r="N85" s="317"/>
      <c r="O85" s="317"/>
      <c r="P85" s="317"/>
      <c r="Q85" s="317"/>
      <c r="R85" s="72"/>
      <c r="U85" s="23">
        <v>2042</v>
      </c>
      <c r="V85" s="231">
        <f t="shared" si="70"/>
        <v>2661163.3455127445</v>
      </c>
      <c r="W85" s="55"/>
      <c r="X85" s="231">
        <f t="shared" si="71"/>
        <v>2139466.469525551</v>
      </c>
      <c r="Y85" s="55"/>
      <c r="Z85" s="231">
        <f t="shared" si="72"/>
        <v>275856.21075251029</v>
      </c>
      <c r="AA85" s="55"/>
      <c r="AB85" s="231">
        <f t="shared" si="72"/>
        <v>1003026.816278629</v>
      </c>
      <c r="AC85" s="55"/>
      <c r="AD85" s="231">
        <f t="shared" si="72"/>
        <v>2512119.9019462606</v>
      </c>
      <c r="AE85" s="55"/>
      <c r="AF85" s="231">
        <f t="shared" si="72"/>
        <v>5785054.4770296663</v>
      </c>
      <c r="AG85" s="55"/>
      <c r="AH85" s="231">
        <f t="shared" si="72"/>
        <v>2139466.469525551</v>
      </c>
      <c r="AI85" s="55"/>
      <c r="AJ85" s="231">
        <f t="shared" si="72"/>
        <v>275856.21075251029</v>
      </c>
      <c r="AK85" s="231">
        <f t="shared" si="72"/>
        <v>8198604.1214882843</v>
      </c>
      <c r="AL85" s="55"/>
      <c r="AM85" s="231">
        <f t="shared" si="72"/>
        <v>6380834.3459352721</v>
      </c>
      <c r="AN85" s="55"/>
      <c r="AO85" s="231">
        <f t="shared" si="72"/>
        <v>6548852.6610558974</v>
      </c>
      <c r="AP85" s="55"/>
      <c r="AQ85" s="231">
        <f t="shared" si="72"/>
        <v>15146150.943729278</v>
      </c>
      <c r="AR85" s="55"/>
      <c r="AS85" s="231">
        <f t="shared" si="72"/>
        <v>7754775.0116029782</v>
      </c>
      <c r="AT85" s="55"/>
      <c r="AU85" s="231">
        <f t="shared" si="72"/>
        <v>10615860.500997173</v>
      </c>
      <c r="AV85" s="55"/>
      <c r="AW85" s="231">
        <f t="shared" si="72"/>
        <v>4048734.2264913423</v>
      </c>
      <c r="AX85" s="55"/>
      <c r="AY85" s="231">
        <f t="shared" si="72"/>
        <v>33936191.379808061</v>
      </c>
      <c r="AZ85" s="55"/>
      <c r="BA85" s="231">
        <f t="shared" si="72"/>
        <v>3511192.9566425122</v>
      </c>
      <c r="BB85" s="55"/>
      <c r="BC85" s="231">
        <f t="shared" si="72"/>
        <v>8870214.5933060087</v>
      </c>
      <c r="BD85" s="231">
        <f t="shared" si="72"/>
        <v>8870214.5933060087</v>
      </c>
      <c r="BE85" s="47"/>
      <c r="BO85" s="28"/>
      <c r="BP85" s="130"/>
      <c r="BQ85" s="130"/>
      <c r="BR85" s="130"/>
      <c r="BS85" s="130"/>
      <c r="BT85" s="130"/>
      <c r="BU85" s="130"/>
      <c r="BV85" s="130"/>
      <c r="BW85" s="130"/>
      <c r="BX85" s="130"/>
      <c r="BZ85" s="26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x14ac:dyDescent="0.2">
      <c r="A86" s="26"/>
      <c r="B86" s="316"/>
      <c r="C86" s="316"/>
      <c r="D86" s="316"/>
      <c r="E86" s="319"/>
      <c r="F86" s="319"/>
      <c r="G86" s="26"/>
      <c r="H86" s="317"/>
      <c r="I86" s="317"/>
      <c r="J86" s="317"/>
      <c r="K86" s="55"/>
      <c r="L86" s="55"/>
      <c r="M86" s="320"/>
      <c r="N86" s="317"/>
      <c r="O86" s="317"/>
      <c r="P86" s="317"/>
      <c r="Q86" s="317"/>
      <c r="R86" s="72"/>
      <c r="U86" s="23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47"/>
      <c r="BO86" s="28">
        <v>2006</v>
      </c>
      <c r="BP86" s="130">
        <v>29.38</v>
      </c>
      <c r="BQ86" s="130">
        <v>24.56</v>
      </c>
      <c r="BR86" s="130">
        <v>16.79</v>
      </c>
      <c r="BS86" s="130">
        <v>14.92</v>
      </c>
      <c r="BT86" s="130">
        <v>17.93</v>
      </c>
      <c r="BU86" s="130">
        <v>15</v>
      </c>
      <c r="BV86" s="130">
        <v>21.1</v>
      </c>
      <c r="BW86" s="130">
        <v>16.510000000000002</v>
      </c>
      <c r="BX86" s="130">
        <v>21.36</v>
      </c>
      <c r="BZ86" s="26">
        <f>BZ79+1</f>
        <v>2006</v>
      </c>
      <c r="CA86" s="121">
        <v>10.71</v>
      </c>
      <c r="CB86" s="121">
        <v>9.48</v>
      </c>
      <c r="CC86" s="121">
        <v>7.55</v>
      </c>
      <c r="CD86" s="121">
        <v>7.67</v>
      </c>
      <c r="CE86" s="121">
        <v>10.51</v>
      </c>
      <c r="CF86" s="121">
        <v>9.44</v>
      </c>
      <c r="CG86" s="121">
        <v>8.2100000000000009</v>
      </c>
      <c r="CH86" s="121">
        <v>7.33</v>
      </c>
      <c r="CI86" s="121">
        <v>7.33</v>
      </c>
    </row>
    <row r="87" spans="1:87" x14ac:dyDescent="0.2">
      <c r="A87" s="26"/>
      <c r="B87" s="316"/>
      <c r="C87" s="316"/>
      <c r="D87" s="316"/>
      <c r="E87" s="319"/>
      <c r="F87" s="319"/>
      <c r="G87" s="26"/>
      <c r="H87" s="317"/>
      <c r="I87" s="317"/>
      <c r="J87" s="317"/>
      <c r="K87" s="55"/>
      <c r="L87" s="55"/>
      <c r="M87" s="320"/>
      <c r="N87" s="317"/>
      <c r="O87" s="317"/>
      <c r="P87" s="317"/>
      <c r="Q87" s="317"/>
      <c r="R87" s="72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9"/>
      <c r="AI87" s="88"/>
      <c r="AJ87" s="89"/>
      <c r="AK87" s="89"/>
      <c r="AL87" s="88"/>
      <c r="AM87" s="89"/>
      <c r="AN87" s="88"/>
      <c r="AO87" s="89"/>
      <c r="AP87" s="88"/>
      <c r="AQ87" s="89"/>
      <c r="AR87" s="88"/>
      <c r="AS87" s="89"/>
      <c r="AT87" s="88"/>
      <c r="AU87" s="89"/>
      <c r="AV87" s="89"/>
      <c r="AW87" s="89"/>
      <c r="AX87" s="88"/>
      <c r="AY87" s="89"/>
      <c r="AZ87" s="89"/>
      <c r="BA87" s="89"/>
      <c r="BB87" s="89"/>
      <c r="BC87" s="89"/>
      <c r="BD87" s="88"/>
      <c r="BE87" s="110"/>
      <c r="BO87" s="28">
        <v>2007</v>
      </c>
      <c r="BP87" s="130">
        <v>29.82</v>
      </c>
      <c r="BQ87" s="130">
        <v>24.91</v>
      </c>
      <c r="BR87" s="130">
        <v>17.39</v>
      </c>
      <c r="BS87" s="130">
        <v>14.83</v>
      </c>
      <c r="BT87" s="130">
        <v>17.899999999999999</v>
      </c>
      <c r="BU87" s="130">
        <v>14.92</v>
      </c>
      <c r="BV87" s="130">
        <v>19.920000000000002</v>
      </c>
      <c r="BW87" s="130">
        <v>16.62</v>
      </c>
      <c r="BX87" s="130">
        <v>21.11</v>
      </c>
      <c r="BZ87" s="26">
        <f t="shared" si="69"/>
        <v>2007</v>
      </c>
      <c r="CA87" s="121">
        <v>9.93</v>
      </c>
      <c r="CB87" s="121">
        <v>8.94</v>
      </c>
      <c r="CC87" s="121">
        <v>6.87</v>
      </c>
      <c r="CD87" s="121">
        <v>7.09</v>
      </c>
      <c r="CE87" s="121">
        <v>9.6</v>
      </c>
      <c r="CF87" s="121">
        <v>8.25</v>
      </c>
      <c r="CG87" s="121">
        <v>7.31</v>
      </c>
      <c r="CH87" s="121">
        <v>6.47</v>
      </c>
      <c r="CI87" s="121">
        <v>7.09</v>
      </c>
    </row>
    <row r="88" spans="1:87" x14ac:dyDescent="0.2">
      <c r="A88" s="26"/>
      <c r="B88" s="316"/>
      <c r="C88" s="316"/>
      <c r="D88" s="316"/>
      <c r="E88" s="319"/>
      <c r="F88" s="319"/>
      <c r="G88" s="26"/>
      <c r="H88" s="317"/>
      <c r="I88" s="317"/>
      <c r="J88" s="317"/>
      <c r="K88" s="55"/>
      <c r="L88" s="55"/>
      <c r="M88" s="320"/>
      <c r="N88" s="317"/>
      <c r="O88" s="317"/>
      <c r="P88" s="317"/>
      <c r="Q88" s="317"/>
      <c r="R88" s="72"/>
      <c r="BE88" s="47"/>
      <c r="BO88" s="28">
        <v>2008</v>
      </c>
      <c r="BP88" s="130">
        <v>30.94</v>
      </c>
      <c r="BQ88" s="130">
        <v>26</v>
      </c>
      <c r="BR88" s="130">
        <v>18.149999999999999</v>
      </c>
      <c r="BS88" s="130">
        <v>15.15</v>
      </c>
      <c r="BT88" s="130">
        <v>18.64</v>
      </c>
      <c r="BU88" s="130">
        <v>16.28</v>
      </c>
      <c r="BV88" s="130">
        <v>20.72</v>
      </c>
      <c r="BW88" s="130">
        <v>17.190000000000001</v>
      </c>
      <c r="BX88" s="130">
        <v>20.18</v>
      </c>
      <c r="BZ88" s="26">
        <f t="shared" si="69"/>
        <v>2008</v>
      </c>
      <c r="CA88" s="121">
        <v>10.039999999999999</v>
      </c>
      <c r="CB88" s="121">
        <v>9.41</v>
      </c>
      <c r="CC88" s="121">
        <v>7.38</v>
      </c>
      <c r="CD88" s="121">
        <v>7.03</v>
      </c>
      <c r="CE88" s="121">
        <v>9.82</v>
      </c>
      <c r="CF88" s="121">
        <v>8.65</v>
      </c>
      <c r="CG88" s="121">
        <v>7.95</v>
      </c>
      <c r="CH88" s="121">
        <v>6.53</v>
      </c>
      <c r="CI88" s="121">
        <v>7.41</v>
      </c>
    </row>
    <row r="89" spans="1:87" x14ac:dyDescent="0.2">
      <c r="A89" s="26"/>
      <c r="B89" s="316"/>
      <c r="C89" s="316"/>
      <c r="D89" s="316"/>
      <c r="E89" s="319"/>
      <c r="F89" s="319"/>
      <c r="G89" s="26"/>
      <c r="H89" s="317"/>
      <c r="I89" s="317"/>
      <c r="J89" s="317"/>
      <c r="K89" s="55"/>
      <c r="L89" s="55"/>
      <c r="M89" s="320"/>
      <c r="N89" s="317"/>
      <c r="O89" s="317"/>
      <c r="P89" s="317"/>
      <c r="Q89" s="317"/>
      <c r="R89" s="72"/>
      <c r="V89" s="76" t="s">
        <v>79</v>
      </c>
      <c r="W89" s="76"/>
      <c r="Y89" s="76"/>
      <c r="BE89" s="91"/>
      <c r="BO89" s="28">
        <v>2009</v>
      </c>
      <c r="BP89" s="130">
        <v>30.29</v>
      </c>
      <c r="BQ89" s="130">
        <v>25.7</v>
      </c>
      <c r="BR89" s="130">
        <v>18.920000000000002</v>
      </c>
      <c r="BS89" s="130">
        <v>15.83</v>
      </c>
      <c r="BT89" s="130">
        <v>19.600000000000001</v>
      </c>
      <c r="BU89" s="130">
        <v>16.64</v>
      </c>
      <c r="BV89" s="130">
        <v>19.11</v>
      </c>
      <c r="BW89" s="130">
        <v>17.63</v>
      </c>
      <c r="BX89" s="130">
        <v>21.03</v>
      </c>
      <c r="BZ89" s="26">
        <f t="shared" si="69"/>
        <v>2009</v>
      </c>
      <c r="CA89" s="121">
        <v>9.68</v>
      </c>
      <c r="CB89" s="121">
        <v>8.58</v>
      </c>
      <c r="CC89" s="121">
        <v>6.27</v>
      </c>
      <c r="CD89" s="121">
        <v>5.94</v>
      </c>
      <c r="CE89" s="121">
        <v>8.68</v>
      </c>
      <c r="CF89" s="121">
        <v>7.62</v>
      </c>
      <c r="CG89" s="121">
        <v>6.73</v>
      </c>
      <c r="CH89" s="121">
        <v>5.96</v>
      </c>
      <c r="CI89" s="121">
        <v>5.97</v>
      </c>
    </row>
    <row r="90" spans="1:87" x14ac:dyDescent="0.2">
      <c r="A90" s="26"/>
      <c r="B90" s="316"/>
      <c r="C90" s="316"/>
      <c r="D90" s="316"/>
      <c r="E90" s="319"/>
      <c r="F90" s="319"/>
      <c r="G90" s="321"/>
      <c r="H90" s="319"/>
      <c r="I90" s="322"/>
      <c r="J90" s="319"/>
      <c r="K90" s="55"/>
      <c r="L90" s="55"/>
      <c r="M90" s="320"/>
      <c r="N90" s="94"/>
      <c r="P90" s="94"/>
      <c r="Q90" s="94"/>
      <c r="R90" s="72"/>
      <c r="T90" s="96"/>
      <c r="U90" s="8"/>
      <c r="V90" s="23" t="s">
        <v>36</v>
      </c>
      <c r="W90" s="23"/>
      <c r="X90" s="23" t="s">
        <v>39</v>
      </c>
      <c r="Y90" s="23"/>
      <c r="Z90" s="66" t="s">
        <v>166</v>
      </c>
      <c r="AA90" s="66"/>
      <c r="AB90" s="66" t="s">
        <v>145</v>
      </c>
      <c r="AC90" s="66"/>
      <c r="AD90" s="23" t="s">
        <v>4</v>
      </c>
      <c r="AE90" s="66"/>
      <c r="AF90" s="23" t="s">
        <v>2</v>
      </c>
      <c r="AG90" s="66"/>
      <c r="AH90" s="23" t="s">
        <v>40</v>
      </c>
      <c r="AI90" s="66"/>
      <c r="AJ90" s="66" t="s">
        <v>167</v>
      </c>
      <c r="AK90" s="23" t="s">
        <v>41</v>
      </c>
      <c r="AL90" s="66"/>
      <c r="AM90" s="23" t="s">
        <v>42</v>
      </c>
      <c r="AN90" s="66"/>
      <c r="AO90" s="23" t="s">
        <v>5</v>
      </c>
      <c r="AP90" s="66"/>
      <c r="AQ90" s="23" t="s">
        <v>43</v>
      </c>
      <c r="AR90" s="66"/>
      <c r="AS90" s="23" t="s">
        <v>44</v>
      </c>
      <c r="AT90" s="66"/>
      <c r="AU90" s="23" t="s">
        <v>45</v>
      </c>
      <c r="AV90" s="23"/>
      <c r="AW90" s="23" t="s">
        <v>9</v>
      </c>
      <c r="AX90" s="66"/>
      <c r="AY90" s="90" t="s">
        <v>100</v>
      </c>
      <c r="AZ90" s="90"/>
      <c r="BA90" s="90" t="s">
        <v>173</v>
      </c>
      <c r="BB90" s="90"/>
      <c r="BC90" s="23" t="s">
        <v>46</v>
      </c>
      <c r="BD90" s="23" t="s">
        <v>14</v>
      </c>
      <c r="BE90" s="91"/>
      <c r="BF90" s="8"/>
      <c r="BO90" s="28">
        <v>2010</v>
      </c>
      <c r="BP90" s="130">
        <v>31.16</v>
      </c>
      <c r="BQ90" s="130">
        <v>26.35</v>
      </c>
      <c r="BR90" s="130">
        <v>19.93</v>
      </c>
      <c r="BS90" s="130">
        <v>16.72</v>
      </c>
      <c r="BT90" s="130">
        <v>19.78</v>
      </c>
      <c r="BU90" s="130">
        <v>15.85</v>
      </c>
      <c r="BV90" s="130">
        <v>18.309999999999999</v>
      </c>
      <c r="BW90" s="130">
        <v>16.190000000000001</v>
      </c>
      <c r="BX90" s="130">
        <v>20.53</v>
      </c>
      <c r="BZ90" s="26">
        <f t="shared" si="69"/>
        <v>2010</v>
      </c>
      <c r="CA90" s="121">
        <v>8.73</v>
      </c>
      <c r="CB90" s="121">
        <v>7.62</v>
      </c>
      <c r="CC90" s="121">
        <v>5.92</v>
      </c>
      <c r="CD90" s="121">
        <v>5.86</v>
      </c>
      <c r="CE90" s="121">
        <v>7.88</v>
      </c>
      <c r="CF90" s="121">
        <v>6.76</v>
      </c>
      <c r="CG90" s="121">
        <v>6.02</v>
      </c>
      <c r="CH90" s="121">
        <v>5.78</v>
      </c>
      <c r="CI90" s="121">
        <v>6.32</v>
      </c>
    </row>
    <row r="91" spans="1:87" x14ac:dyDescent="0.2">
      <c r="A91" s="26"/>
      <c r="B91" s="316"/>
      <c r="C91" s="81"/>
      <c r="D91" s="81"/>
      <c r="E91" s="30"/>
      <c r="F91" s="30"/>
      <c r="G91" s="30"/>
      <c r="H91" s="81"/>
      <c r="I91" s="81"/>
      <c r="J91" s="323"/>
      <c r="K91" s="55"/>
      <c r="L91" s="55"/>
      <c r="M91" s="320"/>
      <c r="N91" s="96"/>
      <c r="O91" s="71"/>
      <c r="P91" s="20"/>
      <c r="Q91" s="20"/>
      <c r="R91" s="20"/>
      <c r="S91" s="96"/>
      <c r="T91" s="96"/>
      <c r="U91" s="8" t="s">
        <v>15</v>
      </c>
      <c r="V91" s="78" t="s">
        <v>77</v>
      </c>
      <c r="W91" s="78"/>
      <c r="X91" s="78" t="s">
        <v>77</v>
      </c>
      <c r="Y91" s="78"/>
      <c r="Z91" s="78" t="s">
        <v>77</v>
      </c>
      <c r="AA91" s="78"/>
      <c r="AB91" s="78" t="s">
        <v>77</v>
      </c>
      <c r="AC91" s="78"/>
      <c r="AD91" s="78" t="s">
        <v>77</v>
      </c>
      <c r="AE91" s="78"/>
      <c r="AF91" s="78" t="s">
        <v>77</v>
      </c>
      <c r="AG91" s="78"/>
      <c r="AH91" s="78" t="s">
        <v>77</v>
      </c>
      <c r="AI91" s="78"/>
      <c r="AJ91" s="78" t="s">
        <v>77</v>
      </c>
      <c r="AK91" s="78" t="s">
        <v>77</v>
      </c>
      <c r="AL91" s="78"/>
      <c r="AM91" s="78" t="s">
        <v>77</v>
      </c>
      <c r="AN91" s="78"/>
      <c r="AO91" s="78" t="s">
        <v>77</v>
      </c>
      <c r="AP91" s="78"/>
      <c r="AQ91" s="78" t="s">
        <v>77</v>
      </c>
      <c r="AR91" s="78"/>
      <c r="AS91" s="78" t="s">
        <v>77</v>
      </c>
      <c r="AT91" s="78"/>
      <c r="AU91" s="78" t="s">
        <v>77</v>
      </c>
      <c r="AV91" s="78"/>
      <c r="AW91" s="78" t="s">
        <v>77</v>
      </c>
      <c r="AX91" s="78"/>
      <c r="AY91" s="78" t="s">
        <v>77</v>
      </c>
      <c r="AZ91" s="78"/>
      <c r="BA91" s="78" t="s">
        <v>77</v>
      </c>
      <c r="BB91" s="78"/>
      <c r="BC91" s="78" t="s">
        <v>77</v>
      </c>
      <c r="BD91" s="78" t="s">
        <v>77</v>
      </c>
      <c r="BE91" s="97"/>
      <c r="BF91" s="8"/>
      <c r="BO91" s="28">
        <v>2011</v>
      </c>
      <c r="BP91" s="130">
        <v>32.99</v>
      </c>
      <c r="BQ91" s="130">
        <v>25.57</v>
      </c>
      <c r="BR91" s="130">
        <v>18.149999999999999</v>
      </c>
      <c r="BS91" s="130">
        <v>15.07</v>
      </c>
      <c r="BT91" s="130">
        <v>18.36</v>
      </c>
      <c r="BU91" s="130">
        <v>14.64</v>
      </c>
      <c r="BV91" s="130">
        <v>16.52</v>
      </c>
      <c r="BW91" s="130">
        <v>15.32</v>
      </c>
      <c r="BX91" s="130">
        <v>20.51</v>
      </c>
      <c r="BZ91" s="26">
        <f t="shared" si="69"/>
        <v>2011</v>
      </c>
      <c r="CA91" s="121">
        <v>7.92</v>
      </c>
      <c r="CB91" s="121">
        <v>6.97</v>
      </c>
      <c r="CC91" s="121">
        <v>5.47</v>
      </c>
      <c r="CD91" s="121">
        <v>5.43</v>
      </c>
      <c r="CE91" s="121">
        <v>7.49</v>
      </c>
      <c r="CF91" s="121">
        <v>6.38</v>
      </c>
      <c r="CG91" s="121">
        <v>5.84</v>
      </c>
      <c r="CH91" s="121">
        <v>5.47</v>
      </c>
      <c r="CI91" s="121">
        <v>5.9</v>
      </c>
    </row>
    <row r="92" spans="1:87" x14ac:dyDescent="0.2">
      <c r="A92" s="30"/>
      <c r="B92" s="81"/>
      <c r="C92" s="30"/>
      <c r="D92" s="30"/>
      <c r="E92" s="30"/>
      <c r="F92" s="30"/>
      <c r="G92" s="30"/>
      <c r="H92" s="30"/>
      <c r="I92" s="30"/>
      <c r="J92" s="323"/>
      <c r="K92" s="55"/>
      <c r="L92" s="55"/>
      <c r="M92" s="320"/>
      <c r="N92" s="96"/>
      <c r="O92" s="71"/>
      <c r="P92" s="20"/>
      <c r="Q92" s="20"/>
      <c r="R92" s="20"/>
      <c r="S92" s="96"/>
      <c r="T92" s="96"/>
      <c r="U92" s="8">
        <v>2005</v>
      </c>
      <c r="V92" s="133">
        <v>20494125</v>
      </c>
      <c r="W92" s="133"/>
      <c r="X92" s="55">
        <v>9340069</v>
      </c>
      <c r="Y92" s="133"/>
      <c r="Z92" s="55">
        <v>208675</v>
      </c>
      <c r="AA92" s="55"/>
      <c r="AB92" s="55">
        <v>2213161</v>
      </c>
      <c r="AC92" s="55"/>
      <c r="AD92" s="133">
        <v>9831042</v>
      </c>
      <c r="AE92" s="55"/>
      <c r="AF92" s="133">
        <v>63913651</v>
      </c>
      <c r="AG92" s="55"/>
      <c r="AH92" s="55">
        <v>14816839</v>
      </c>
      <c r="AI92" s="55"/>
      <c r="AJ92" s="55">
        <v>369877</v>
      </c>
      <c r="AK92" s="133">
        <v>2337285</v>
      </c>
      <c r="AL92" s="55"/>
      <c r="AM92" s="133">
        <v>6027026</v>
      </c>
      <c r="AN92" s="55"/>
      <c r="AO92" s="133">
        <v>47715975</v>
      </c>
      <c r="AP92" s="55"/>
      <c r="AQ92" s="133">
        <v>12869848</v>
      </c>
      <c r="AR92" s="55"/>
      <c r="AS92" s="133">
        <v>17820575</v>
      </c>
      <c r="AT92" s="55"/>
      <c r="AU92" s="133">
        <v>23733426</v>
      </c>
      <c r="AV92" s="133"/>
      <c r="AW92" s="133">
        <v>6871528</v>
      </c>
      <c r="AX92" s="55"/>
      <c r="AY92" s="133">
        <v>16964206</v>
      </c>
      <c r="AZ92" s="133"/>
      <c r="BA92" s="133">
        <v>5355859</v>
      </c>
      <c r="BB92" s="133"/>
      <c r="BC92" s="55">
        <v>47257268</v>
      </c>
      <c r="BD92" s="120">
        <v>92249539</v>
      </c>
      <c r="BE92" s="54"/>
      <c r="BF92" s="8"/>
      <c r="BO92" s="28">
        <v>2012</v>
      </c>
      <c r="BP92" s="130">
        <v>33.56</v>
      </c>
      <c r="BQ92" s="130">
        <v>26.38</v>
      </c>
      <c r="BR92" s="130">
        <v>18.059999999999999</v>
      </c>
      <c r="BS92" s="130">
        <v>15.06</v>
      </c>
      <c r="BT92" s="130">
        <v>18.43</v>
      </c>
      <c r="BU92" s="130">
        <v>14.61</v>
      </c>
      <c r="BV92" s="130">
        <v>16.690000000000001</v>
      </c>
      <c r="BW92" s="130">
        <v>15.79</v>
      </c>
      <c r="BX92" s="130">
        <v>20.49</v>
      </c>
      <c r="BZ92" s="26">
        <f t="shared" si="69"/>
        <v>2012</v>
      </c>
      <c r="CA92" s="121">
        <v>7.91</v>
      </c>
      <c r="CB92" s="121">
        <v>7.02</v>
      </c>
      <c r="CC92" s="121">
        <v>5.27</v>
      </c>
      <c r="CD92" s="121">
        <v>5.37</v>
      </c>
      <c r="CE92" s="121">
        <v>7.42</v>
      </c>
      <c r="CF92" s="121">
        <v>6.34</v>
      </c>
      <c r="CG92" s="121">
        <v>5.77</v>
      </c>
      <c r="CH92" s="121">
        <v>5.42</v>
      </c>
      <c r="CI92" s="121">
        <v>5.85</v>
      </c>
    </row>
    <row r="93" spans="1:87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20"/>
      <c r="N93" s="96"/>
      <c r="O93" s="71"/>
      <c r="P93" s="20"/>
      <c r="Q93" s="20"/>
      <c r="R93" s="20"/>
      <c r="S93" s="96"/>
      <c r="T93" s="96"/>
      <c r="U93" s="8">
        <v>2006</v>
      </c>
      <c r="V93" s="133">
        <v>17534643</v>
      </c>
      <c r="W93" s="133"/>
      <c r="X93" s="55">
        <v>8101381</v>
      </c>
      <c r="Y93" s="133"/>
      <c r="Z93" s="55">
        <v>194881</v>
      </c>
      <c r="AA93" s="55"/>
      <c r="AB93" s="55">
        <v>2008778</v>
      </c>
      <c r="AC93" s="55"/>
      <c r="AD93" s="133">
        <v>9142811</v>
      </c>
      <c r="AE93" s="55"/>
      <c r="AF93" s="133">
        <v>62833390</v>
      </c>
      <c r="AG93" s="55"/>
      <c r="AH93" s="55">
        <v>14042753</v>
      </c>
      <c r="AI93" s="55"/>
      <c r="AJ93" s="55">
        <v>377608</v>
      </c>
      <c r="AK93" s="133">
        <v>2372072</v>
      </c>
      <c r="AL93" s="55"/>
      <c r="AM93" s="133">
        <v>5933117</v>
      </c>
      <c r="AN93" s="55"/>
      <c r="AO93" s="133">
        <v>47231775</v>
      </c>
      <c r="AP93" s="55"/>
      <c r="AQ93" s="133">
        <v>12924445</v>
      </c>
      <c r="AR93" s="55"/>
      <c r="AS93" s="133">
        <v>17784108</v>
      </c>
      <c r="AT93" s="55"/>
      <c r="AU93" s="133">
        <v>23276832</v>
      </c>
      <c r="AV93" s="133"/>
      <c r="AW93" s="133">
        <v>6726589</v>
      </c>
      <c r="AX93" s="55"/>
      <c r="AY93" s="133">
        <v>18270788</v>
      </c>
      <c r="AZ93" s="133"/>
      <c r="BA93" s="133">
        <v>5160366</v>
      </c>
      <c r="BB93" s="133"/>
      <c r="BC93" s="55">
        <v>47201147</v>
      </c>
      <c r="BD93" s="120">
        <v>99172490</v>
      </c>
      <c r="BE93" s="54"/>
      <c r="BF93" s="8"/>
      <c r="BO93" s="28">
        <v>2013</v>
      </c>
      <c r="BP93" s="130">
        <v>33.869999999999997</v>
      </c>
      <c r="BQ93" s="130">
        <v>26.77</v>
      </c>
      <c r="BR93" s="130">
        <v>18.21</v>
      </c>
      <c r="BS93" s="130">
        <v>15.44</v>
      </c>
      <c r="BT93" s="130">
        <v>18.53</v>
      </c>
      <c r="BU93" s="130">
        <v>14.53</v>
      </c>
      <c r="BV93" s="130">
        <v>16.739999999999998</v>
      </c>
      <c r="BW93" s="130">
        <v>16.239999999999998</v>
      </c>
      <c r="BX93" s="130">
        <v>20.36</v>
      </c>
      <c r="BZ93" s="26">
        <f t="shared" si="69"/>
        <v>2013</v>
      </c>
      <c r="CA93" s="121">
        <v>8.0299999999999994</v>
      </c>
      <c r="CB93" s="121">
        <v>7.19</v>
      </c>
      <c r="CC93" s="121">
        <v>5.22</v>
      </c>
      <c r="CD93" s="121">
        <v>5.33</v>
      </c>
      <c r="CE93" s="121">
        <v>7.43</v>
      </c>
      <c r="CF93" s="121">
        <v>6.34</v>
      </c>
      <c r="CG93" s="121">
        <v>5.74</v>
      </c>
      <c r="CH93" s="121">
        <v>5.44</v>
      </c>
      <c r="CI93" s="121">
        <v>5.83</v>
      </c>
    </row>
    <row r="94" spans="1:87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20"/>
      <c r="N94" s="96"/>
      <c r="O94" s="71"/>
      <c r="P94" s="20"/>
      <c r="Q94" s="20"/>
      <c r="R94" s="20"/>
      <c r="S94" s="96"/>
      <c r="T94" s="96"/>
      <c r="U94" s="8">
        <v>2007</v>
      </c>
      <c r="V94" s="133">
        <v>17552512</v>
      </c>
      <c r="W94" s="133"/>
      <c r="X94" s="55">
        <v>8275669</v>
      </c>
      <c r="Y94" s="133"/>
      <c r="Z94" s="55">
        <v>239136</v>
      </c>
      <c r="AA94" s="55"/>
      <c r="AB94" s="55">
        <v>1965897</v>
      </c>
      <c r="AC94" s="55"/>
      <c r="AD94" s="133">
        <v>10653352</v>
      </c>
      <c r="AE94" s="55"/>
      <c r="AF94" s="133">
        <v>65537315</v>
      </c>
      <c r="AG94" s="55"/>
      <c r="AH94" s="55">
        <v>16869697</v>
      </c>
      <c r="AI94" s="55"/>
      <c r="AJ94" s="55">
        <v>543964</v>
      </c>
      <c r="AK94" s="133">
        <v>2333077</v>
      </c>
      <c r="AL94" s="55"/>
      <c r="AM94" s="133">
        <v>5880061</v>
      </c>
      <c r="AN94" s="55"/>
      <c r="AO94" s="133">
        <v>47555087</v>
      </c>
      <c r="AP94" s="55"/>
      <c r="AQ94" s="133">
        <v>13046963</v>
      </c>
      <c r="AR94" s="55"/>
      <c r="AS94" s="133">
        <v>17677198</v>
      </c>
      <c r="AT94" s="55"/>
      <c r="AU94" s="133">
        <v>22937221</v>
      </c>
      <c r="AV94" s="133"/>
      <c r="AW94" s="133">
        <v>6633289</v>
      </c>
      <c r="AX94" s="55"/>
      <c r="AY94" s="133">
        <v>19386927</v>
      </c>
      <c r="AZ94" s="133"/>
      <c r="BA94" s="133">
        <v>5265706</v>
      </c>
      <c r="BB94" s="133"/>
      <c r="BC94" s="55">
        <v>46885897</v>
      </c>
      <c r="BD94" s="120">
        <v>107820993</v>
      </c>
      <c r="BE94" s="54"/>
      <c r="BF94" s="8"/>
      <c r="BG94" s="8"/>
      <c r="BH94" s="55"/>
      <c r="BO94" s="28">
        <v>2014</v>
      </c>
      <c r="BP94" s="130">
        <v>33.67</v>
      </c>
      <c r="BQ94" s="130">
        <v>26.92</v>
      </c>
      <c r="BR94" s="130">
        <v>18.22</v>
      </c>
      <c r="BS94" s="130">
        <v>15.38</v>
      </c>
      <c r="BT94" s="130">
        <v>18.47</v>
      </c>
      <c r="BU94" s="130">
        <v>14.37</v>
      </c>
      <c r="BV94" s="130">
        <v>16.79</v>
      </c>
      <c r="BW94" s="130">
        <v>16.32</v>
      </c>
      <c r="BX94" s="130">
        <v>20.39</v>
      </c>
      <c r="BZ94" s="26">
        <f t="shared" si="69"/>
        <v>2014</v>
      </c>
      <c r="CA94" s="121">
        <v>8.09</v>
      </c>
      <c r="CB94" s="121">
        <v>7.33</v>
      </c>
      <c r="CC94" s="121">
        <v>5.16</v>
      </c>
      <c r="CD94" s="121">
        <v>5.27</v>
      </c>
      <c r="CE94" s="121">
        <v>7.31</v>
      </c>
      <c r="CF94" s="121">
        <v>6.32</v>
      </c>
      <c r="CG94" s="121">
        <v>5.69</v>
      </c>
      <c r="CH94" s="121">
        <v>5.38</v>
      </c>
      <c r="CI94" s="121">
        <v>5.74</v>
      </c>
    </row>
    <row r="95" spans="1:87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20"/>
      <c r="N95" s="96"/>
      <c r="O95" s="71"/>
      <c r="P95" s="20"/>
      <c r="Q95" s="20"/>
      <c r="R95" s="20"/>
      <c r="S95" s="96"/>
      <c r="T95" s="96"/>
      <c r="U95" s="8">
        <v>2008</v>
      </c>
      <c r="V95" s="133">
        <v>19534839</v>
      </c>
      <c r="W95" s="133"/>
      <c r="X95" s="55">
        <v>9275081</v>
      </c>
      <c r="Y95" s="133"/>
      <c r="Z95" s="55">
        <v>317277</v>
      </c>
      <c r="AA95" s="55"/>
      <c r="AB95" s="55">
        <v>2154513</v>
      </c>
      <c r="AC95" s="55"/>
      <c r="AD95" s="133">
        <v>8242545</v>
      </c>
      <c r="AE95" s="55"/>
      <c r="AF95" s="133">
        <v>54232169</v>
      </c>
      <c r="AG95" s="55"/>
      <c r="AH95" s="55">
        <v>13296407</v>
      </c>
      <c r="AI95" s="55"/>
      <c r="AJ95" s="55">
        <v>506397</v>
      </c>
      <c r="AK95" s="133">
        <v>2292121</v>
      </c>
      <c r="AL95" s="55"/>
      <c r="AM95" s="133">
        <v>5820279</v>
      </c>
      <c r="AN95" s="55"/>
      <c r="AO95" s="133">
        <v>47601738</v>
      </c>
      <c r="AP95" s="55"/>
      <c r="AQ95" s="133">
        <v>13138781</v>
      </c>
      <c r="AR95" s="55"/>
      <c r="AS95" s="133">
        <v>17466721</v>
      </c>
      <c r="AT95" s="55"/>
      <c r="AU95" s="133">
        <v>22591265</v>
      </c>
      <c r="AV95" s="133"/>
      <c r="AW95" s="133">
        <v>6545870</v>
      </c>
      <c r="AX95" s="55"/>
      <c r="AY95" s="133">
        <v>20100755</v>
      </c>
      <c r="AZ95" s="133"/>
      <c r="BA95" s="133">
        <v>6072899</v>
      </c>
      <c r="BB95" s="133"/>
      <c r="BC95" s="55">
        <v>46436271</v>
      </c>
      <c r="BD95" s="120">
        <v>113764020</v>
      </c>
      <c r="BE95" s="54"/>
      <c r="BF95" s="8"/>
      <c r="BG95" s="8"/>
      <c r="BH95" s="55"/>
      <c r="BO95" s="28">
        <v>2015</v>
      </c>
      <c r="BP95" s="130">
        <v>33.39</v>
      </c>
      <c r="BQ95" s="130">
        <v>26.81</v>
      </c>
      <c r="BR95" s="130">
        <v>18.27</v>
      </c>
      <c r="BS95" s="130">
        <v>15.34</v>
      </c>
      <c r="BT95" s="130">
        <v>18.48</v>
      </c>
      <c r="BU95" s="130">
        <v>14.27</v>
      </c>
      <c r="BV95" s="130">
        <v>16.899999999999999</v>
      </c>
      <c r="BW95" s="130">
        <v>16.489999999999998</v>
      </c>
      <c r="BX95" s="130">
        <v>20.309999999999999</v>
      </c>
      <c r="BZ95" s="26">
        <f t="shared" si="69"/>
        <v>2015</v>
      </c>
      <c r="CA95" s="121">
        <v>8.02</v>
      </c>
      <c r="CB95" s="121">
        <v>7.2</v>
      </c>
      <c r="CC95" s="121">
        <v>5.25</v>
      </c>
      <c r="CD95" s="121">
        <v>5.35</v>
      </c>
      <c r="CE95" s="121">
        <v>7.42</v>
      </c>
      <c r="CF95" s="121">
        <v>6.45</v>
      </c>
      <c r="CG95" s="121">
        <v>5.78</v>
      </c>
      <c r="CH95" s="121">
        <v>5.47</v>
      </c>
      <c r="CI95" s="121">
        <v>5.79</v>
      </c>
    </row>
    <row r="96" spans="1:87" x14ac:dyDescent="0.2">
      <c r="A96" s="30"/>
      <c r="B96" s="30"/>
      <c r="C96" s="77"/>
      <c r="D96" s="77"/>
      <c r="E96" s="312"/>
      <c r="F96" s="312"/>
      <c r="G96" s="23"/>
      <c r="H96" s="312"/>
      <c r="I96" s="77"/>
      <c r="J96" s="312"/>
      <c r="K96" s="23"/>
      <c r="L96" s="312"/>
      <c r="M96" s="20"/>
      <c r="N96" s="96"/>
      <c r="O96" s="71"/>
      <c r="P96" s="20"/>
      <c r="Q96" s="20"/>
      <c r="R96" s="20"/>
      <c r="S96" s="96"/>
      <c r="T96" s="96"/>
      <c r="U96" s="8">
        <v>2009</v>
      </c>
      <c r="V96" s="133">
        <v>18756529</v>
      </c>
      <c r="W96" s="133"/>
      <c r="X96" s="55">
        <v>9008521</v>
      </c>
      <c r="Y96" s="133"/>
      <c r="Z96" s="55">
        <v>366076</v>
      </c>
      <c r="AA96" s="55"/>
      <c r="AB96" s="55">
        <v>2054810</v>
      </c>
      <c r="AC96" s="55"/>
      <c r="AD96" s="133">
        <v>7658958</v>
      </c>
      <c r="AE96" s="55"/>
      <c r="AF96" s="133">
        <v>48231619</v>
      </c>
      <c r="AG96" s="55"/>
      <c r="AH96" s="55">
        <v>12627376</v>
      </c>
      <c r="AI96" s="55"/>
      <c r="AJ96" s="55">
        <v>568413</v>
      </c>
      <c r="AK96" s="133">
        <v>2240001</v>
      </c>
      <c r="AL96" s="55"/>
      <c r="AM96" s="133">
        <v>5745037</v>
      </c>
      <c r="AN96" s="55"/>
      <c r="AO96" s="133">
        <v>47486582</v>
      </c>
      <c r="AP96" s="55"/>
      <c r="AQ96" s="133">
        <v>13180097</v>
      </c>
      <c r="AR96" s="55"/>
      <c r="AS96" s="133">
        <v>17205102</v>
      </c>
      <c r="AT96" s="55"/>
      <c r="AU96" s="133">
        <v>22178662</v>
      </c>
      <c r="AV96" s="133"/>
      <c r="AW96" s="133">
        <v>6446920</v>
      </c>
      <c r="AX96" s="55"/>
      <c r="AY96" s="133">
        <v>20217282</v>
      </c>
      <c r="AZ96" s="133"/>
      <c r="BA96" s="133">
        <v>6130062</v>
      </c>
      <c r="BB96" s="133"/>
      <c r="BC96" s="55">
        <v>45678017</v>
      </c>
      <c r="BD96" s="120">
        <v>113482945</v>
      </c>
      <c r="BE96" s="54"/>
      <c r="BF96" s="8"/>
      <c r="BG96" s="8"/>
      <c r="BH96" s="55"/>
      <c r="BO96" s="28">
        <v>2016</v>
      </c>
      <c r="BP96" s="130">
        <v>32.61</v>
      </c>
      <c r="BQ96" s="130">
        <v>26.48</v>
      </c>
      <c r="BR96" s="130">
        <v>18.22</v>
      </c>
      <c r="BS96" s="130">
        <v>15.18</v>
      </c>
      <c r="BT96" s="130">
        <v>18.46</v>
      </c>
      <c r="BU96" s="130">
        <v>14.25</v>
      </c>
      <c r="BV96" s="130">
        <v>17.059999999999999</v>
      </c>
      <c r="BW96" s="130">
        <v>16.47</v>
      </c>
      <c r="BX96" s="130">
        <v>19.98</v>
      </c>
      <c r="BZ96" s="26">
        <f t="shared" si="69"/>
        <v>2016</v>
      </c>
      <c r="CA96" s="121">
        <v>8</v>
      </c>
      <c r="CB96" s="121">
        <v>7.02</v>
      </c>
      <c r="CC96" s="121">
        <v>5.35</v>
      </c>
      <c r="CD96" s="121">
        <v>5.45</v>
      </c>
      <c r="CE96" s="121">
        <v>7.5</v>
      </c>
      <c r="CF96" s="121">
        <v>6.51</v>
      </c>
      <c r="CG96" s="121">
        <v>5.82</v>
      </c>
      <c r="CH96" s="121">
        <v>5.54</v>
      </c>
      <c r="CI96" s="121">
        <v>5.91</v>
      </c>
    </row>
    <row r="97" spans="1:87" x14ac:dyDescent="0.2">
      <c r="A97" s="77"/>
      <c r="B97" s="77"/>
      <c r="C97" s="312"/>
      <c r="D97" s="312"/>
      <c r="E97" s="312"/>
      <c r="F97" s="312"/>
      <c r="G97" s="311"/>
      <c r="H97" s="312"/>
      <c r="I97" s="312"/>
      <c r="J97" s="312"/>
      <c r="K97" s="311"/>
      <c r="L97" s="312"/>
      <c r="M97" s="20"/>
      <c r="N97" s="96"/>
      <c r="O97" s="71"/>
      <c r="P97" s="20"/>
      <c r="Q97" s="20"/>
      <c r="R97" s="20"/>
      <c r="S97" s="96"/>
      <c r="T97" s="96"/>
      <c r="U97" s="8">
        <v>2010</v>
      </c>
      <c r="V97" s="133">
        <v>19625036</v>
      </c>
      <c r="W97" s="133"/>
      <c r="X97" s="55">
        <v>9628184</v>
      </c>
      <c r="Y97" s="133"/>
      <c r="Z97" s="55">
        <v>469516</v>
      </c>
      <c r="AA97" s="55"/>
      <c r="AB97" s="55">
        <v>2123918</v>
      </c>
      <c r="AC97" s="55"/>
      <c r="AD97" s="133">
        <v>10553263</v>
      </c>
      <c r="AE97" s="55"/>
      <c r="AF97" s="133">
        <v>80309223</v>
      </c>
      <c r="AG97" s="55"/>
      <c r="AH97" s="55">
        <v>17998204</v>
      </c>
      <c r="AI97" s="55"/>
      <c r="AJ97" s="55">
        <v>959607</v>
      </c>
      <c r="AK97" s="133">
        <v>2204388</v>
      </c>
      <c r="AL97" s="55"/>
      <c r="AM97" s="133">
        <v>5728916</v>
      </c>
      <c r="AN97" s="55"/>
      <c r="AO97" s="133">
        <v>48008669</v>
      </c>
      <c r="AP97" s="55"/>
      <c r="AQ97" s="133">
        <v>13351589</v>
      </c>
      <c r="AR97" s="55"/>
      <c r="AS97" s="133">
        <v>17190776</v>
      </c>
      <c r="AT97" s="55"/>
      <c r="AU97" s="133">
        <v>21982622</v>
      </c>
      <c r="AV97" s="133"/>
      <c r="AW97" s="133">
        <v>6414773</v>
      </c>
      <c r="AX97" s="55"/>
      <c r="AY97" s="133">
        <v>20524560</v>
      </c>
      <c r="AZ97" s="133"/>
      <c r="BA97" s="133">
        <v>6728265</v>
      </c>
      <c r="BB97" s="133"/>
      <c r="BC97" s="55">
        <v>45640539</v>
      </c>
      <c r="BD97" s="120">
        <v>118197971</v>
      </c>
      <c r="BE97" s="54"/>
      <c r="BF97" s="8"/>
      <c r="BG97" s="8"/>
      <c r="BH97" s="55"/>
      <c r="BO97" s="28">
        <v>2017</v>
      </c>
      <c r="BP97" s="130">
        <v>31.93</v>
      </c>
      <c r="BQ97" s="130">
        <v>26.1</v>
      </c>
      <c r="BR97" s="130">
        <v>18.04</v>
      </c>
      <c r="BS97" s="130">
        <v>15.1</v>
      </c>
      <c r="BT97" s="130">
        <v>18.579999999999998</v>
      </c>
      <c r="BU97" s="130">
        <v>14.47</v>
      </c>
      <c r="BV97" s="130">
        <v>17.09</v>
      </c>
      <c r="BW97" s="130">
        <v>16.510000000000002</v>
      </c>
      <c r="BX97" s="130">
        <v>19.739999999999998</v>
      </c>
      <c r="BZ97" s="26">
        <f t="shared" si="69"/>
        <v>2017</v>
      </c>
      <c r="CA97" s="121">
        <v>8.11</v>
      </c>
      <c r="CB97" s="121">
        <v>7.02</v>
      </c>
      <c r="CC97" s="121">
        <v>5.45</v>
      </c>
      <c r="CD97" s="121">
        <v>5.58</v>
      </c>
      <c r="CE97" s="121">
        <v>7.59</v>
      </c>
      <c r="CF97" s="121">
        <v>6.57</v>
      </c>
      <c r="CG97" s="121">
        <v>5.86</v>
      </c>
      <c r="CH97" s="121">
        <v>5.62</v>
      </c>
      <c r="CI97" s="121">
        <v>6.05</v>
      </c>
    </row>
    <row r="98" spans="1:87" x14ac:dyDescent="0.2">
      <c r="A98" s="83"/>
      <c r="B98" s="312"/>
      <c r="C98" s="314"/>
      <c r="D98" s="314"/>
      <c r="E98" s="312"/>
      <c r="F98" s="312"/>
      <c r="G98" s="311"/>
      <c r="H98" s="314"/>
      <c r="I98" s="314"/>
      <c r="J98" s="312"/>
      <c r="K98" s="311"/>
      <c r="L98" s="314"/>
      <c r="M98" s="20"/>
      <c r="N98" s="96"/>
      <c r="O98" s="71"/>
      <c r="P98" s="20"/>
      <c r="Q98" s="20"/>
      <c r="R98" s="20"/>
      <c r="S98" s="96"/>
      <c r="T98" s="96"/>
      <c r="U98" s="8">
        <v>2011</v>
      </c>
      <c r="V98" s="133">
        <v>17900930</v>
      </c>
      <c r="W98" s="133"/>
      <c r="X98" s="55">
        <v>9104430</v>
      </c>
      <c r="Y98" s="133"/>
      <c r="Z98" s="55">
        <v>517330</v>
      </c>
      <c r="AA98" s="55"/>
      <c r="AB98" s="55">
        <v>1930357</v>
      </c>
      <c r="AC98" s="55"/>
      <c r="AD98" s="133">
        <v>7747352</v>
      </c>
      <c r="AE98" s="55"/>
      <c r="AF98" s="133">
        <v>46866621</v>
      </c>
      <c r="AG98" s="55"/>
      <c r="AH98" s="55">
        <v>13730169</v>
      </c>
      <c r="AI98" s="55"/>
      <c r="AJ98" s="55">
        <v>843220</v>
      </c>
      <c r="AK98" s="133">
        <v>2170087</v>
      </c>
      <c r="AL98" s="55"/>
      <c r="AM98" s="133">
        <v>5723962</v>
      </c>
      <c r="AN98" s="55"/>
      <c r="AO98" s="133">
        <v>48349209</v>
      </c>
      <c r="AP98" s="55"/>
      <c r="AQ98" s="133">
        <v>13520044</v>
      </c>
      <c r="AR98" s="55"/>
      <c r="AS98" s="133">
        <v>17085848</v>
      </c>
      <c r="AT98" s="55"/>
      <c r="AU98" s="133">
        <v>21843433</v>
      </c>
      <c r="AV98" s="133"/>
      <c r="AW98" s="133">
        <v>6399868</v>
      </c>
      <c r="AX98" s="55"/>
      <c r="AY98" s="133">
        <v>20530468</v>
      </c>
      <c r="AZ98" s="133"/>
      <c r="BA98" s="133">
        <v>6434287</v>
      </c>
      <c r="BB98" s="133"/>
      <c r="BC98" s="55">
        <v>45030429</v>
      </c>
      <c r="BD98" s="120">
        <v>117047794</v>
      </c>
      <c r="BE98" s="223">
        <f t="shared" ref="BE98:BE99" si="73">BC98/BC97-1</f>
        <v>-1.3367721183135006E-2</v>
      </c>
      <c r="BF98" s="8"/>
      <c r="BG98" s="8"/>
      <c r="BH98" s="55"/>
      <c r="BO98" s="28">
        <v>2018</v>
      </c>
      <c r="BP98" s="130">
        <v>31.4</v>
      </c>
      <c r="BQ98" s="130">
        <v>25.8</v>
      </c>
      <c r="BR98" s="130">
        <v>17.84</v>
      </c>
      <c r="BS98" s="130">
        <v>14.97</v>
      </c>
      <c r="BT98" s="130">
        <v>18.7</v>
      </c>
      <c r="BU98" s="130">
        <v>14.46</v>
      </c>
      <c r="BV98" s="130">
        <v>17.22</v>
      </c>
      <c r="BW98" s="130">
        <v>16.52</v>
      </c>
      <c r="BX98" s="130">
        <v>19.41</v>
      </c>
      <c r="BZ98" s="26">
        <f t="shared" si="69"/>
        <v>2018</v>
      </c>
      <c r="CA98" s="121">
        <v>8.19</v>
      </c>
      <c r="CB98" s="121">
        <v>7.03</v>
      </c>
      <c r="CC98" s="121">
        <v>5.53</v>
      </c>
      <c r="CD98" s="121">
        <v>5.67</v>
      </c>
      <c r="CE98" s="121">
        <v>7.67</v>
      </c>
      <c r="CF98" s="121">
        <v>6.63</v>
      </c>
      <c r="CG98" s="121">
        <v>5.89</v>
      </c>
      <c r="CH98" s="121">
        <v>5.73</v>
      </c>
      <c r="CI98" s="121">
        <v>6.18</v>
      </c>
    </row>
    <row r="99" spans="1:87" x14ac:dyDescent="0.2">
      <c r="A99" s="83"/>
      <c r="B99" s="314"/>
      <c r="C99" s="314"/>
      <c r="D99" s="314"/>
      <c r="E99" s="324"/>
      <c r="F99" s="324"/>
      <c r="G99" s="311"/>
      <c r="H99" s="314"/>
      <c r="I99" s="314"/>
      <c r="J99" s="324"/>
      <c r="K99" s="311"/>
      <c r="L99" s="314"/>
      <c r="M99" s="20"/>
      <c r="N99" s="96"/>
      <c r="O99" s="71"/>
      <c r="P99" s="20"/>
      <c r="Q99" s="20"/>
      <c r="R99" s="20"/>
      <c r="S99" s="96"/>
      <c r="T99" s="96"/>
      <c r="U99" s="8">
        <v>2012</v>
      </c>
      <c r="V99" s="133">
        <v>17452731</v>
      </c>
      <c r="W99" s="133"/>
      <c r="X99" s="55">
        <v>9063426</v>
      </c>
      <c r="Y99" s="133"/>
      <c r="Z99" s="55">
        <v>566773</v>
      </c>
      <c r="AA99" s="55"/>
      <c r="AB99" s="55">
        <v>1842272</v>
      </c>
      <c r="AC99" s="55"/>
      <c r="AD99" s="133">
        <v>8130107</v>
      </c>
      <c r="AE99" s="55"/>
      <c r="AF99" s="133">
        <v>49675757</v>
      </c>
      <c r="AG99" s="55"/>
      <c r="AH99" s="55">
        <v>14833581</v>
      </c>
      <c r="AI99" s="55"/>
      <c r="AJ99" s="55">
        <v>995162</v>
      </c>
      <c r="AK99" s="133">
        <v>2134856</v>
      </c>
      <c r="AL99" s="55"/>
      <c r="AM99" s="133">
        <v>5713850</v>
      </c>
      <c r="AN99" s="55"/>
      <c r="AO99" s="133">
        <v>49422410</v>
      </c>
      <c r="AP99" s="55"/>
      <c r="AQ99" s="133">
        <v>13709113</v>
      </c>
      <c r="AR99" s="55"/>
      <c r="AS99" s="133">
        <v>17219678</v>
      </c>
      <c r="AT99" s="55"/>
      <c r="AU99" s="133">
        <v>21716527</v>
      </c>
      <c r="AV99" s="133"/>
      <c r="AW99" s="133">
        <v>6389494</v>
      </c>
      <c r="AX99" s="55"/>
      <c r="AY99" s="133">
        <v>20597130</v>
      </c>
      <c r="AZ99" s="133"/>
      <c r="BA99" s="133">
        <v>6422445</v>
      </c>
      <c r="BB99" s="133"/>
      <c r="BC99" s="55">
        <v>44840707</v>
      </c>
      <c r="BD99" s="120">
        <v>120364231</v>
      </c>
      <c r="BE99" s="223">
        <f t="shared" si="73"/>
        <v>-4.2131954816597705E-3</v>
      </c>
      <c r="BF99" s="8"/>
      <c r="BG99" s="8"/>
      <c r="BH99" s="55"/>
      <c r="BO99" s="28">
        <v>2019</v>
      </c>
      <c r="BP99" s="130">
        <v>31.05</v>
      </c>
      <c r="BQ99" s="130">
        <v>25.69</v>
      </c>
      <c r="BR99" s="130">
        <v>17.68</v>
      </c>
      <c r="BS99" s="130">
        <v>14.85</v>
      </c>
      <c r="BT99" s="130">
        <v>18.760000000000002</v>
      </c>
      <c r="BU99" s="130">
        <v>14.46</v>
      </c>
      <c r="BV99" s="130">
        <v>17.07</v>
      </c>
      <c r="BW99" s="130">
        <v>16.57</v>
      </c>
      <c r="BX99" s="130">
        <v>19.190000000000001</v>
      </c>
      <c r="BZ99" s="26">
        <f t="shared" si="69"/>
        <v>2019</v>
      </c>
      <c r="CA99" s="121">
        <v>8.27</v>
      </c>
      <c r="CB99" s="121">
        <v>7.06</v>
      </c>
      <c r="CC99" s="121">
        <v>5.6</v>
      </c>
      <c r="CD99" s="121">
        <v>5.75</v>
      </c>
      <c r="CE99" s="121">
        <v>7.73</v>
      </c>
      <c r="CF99" s="121">
        <v>6.69</v>
      </c>
      <c r="CG99" s="121">
        <v>5.93</v>
      </c>
      <c r="CH99" s="121">
        <v>5.84</v>
      </c>
      <c r="CI99" s="121">
        <v>6.3</v>
      </c>
    </row>
    <row r="100" spans="1:87" x14ac:dyDescent="0.2">
      <c r="A100" s="83"/>
      <c r="B100" s="314"/>
      <c r="C100" s="314"/>
      <c r="D100" s="314"/>
      <c r="E100" s="324"/>
      <c r="F100" s="324"/>
      <c r="G100" s="311"/>
      <c r="H100" s="314"/>
      <c r="I100" s="314"/>
      <c r="J100" s="324"/>
      <c r="K100" s="311"/>
      <c r="L100" s="314"/>
      <c r="M100" s="20"/>
      <c r="N100" s="96"/>
      <c r="O100" s="71"/>
      <c r="P100" s="20"/>
      <c r="Q100" s="20"/>
      <c r="R100" s="20"/>
      <c r="S100" s="96"/>
      <c r="T100" s="96"/>
      <c r="U100" s="8">
        <v>2013</v>
      </c>
      <c r="V100" s="133">
        <v>17302792</v>
      </c>
      <c r="W100" s="133"/>
      <c r="X100" s="55">
        <v>9191669</v>
      </c>
      <c r="Y100" s="133"/>
      <c r="Z100" s="55">
        <v>629432</v>
      </c>
      <c r="AA100" s="55"/>
      <c r="AB100" s="55">
        <v>1796103</v>
      </c>
      <c r="AC100" s="55"/>
      <c r="AD100" s="133">
        <v>8046340</v>
      </c>
      <c r="AE100" s="55"/>
      <c r="AF100" s="133">
        <v>49731948</v>
      </c>
      <c r="AG100" s="55"/>
      <c r="AH100" s="55">
        <v>15146644</v>
      </c>
      <c r="AI100" s="55"/>
      <c r="AJ100" s="55">
        <v>1104246</v>
      </c>
      <c r="AK100" s="133">
        <v>2090965</v>
      </c>
      <c r="AL100" s="55"/>
      <c r="AM100" s="133">
        <v>5662955</v>
      </c>
      <c r="AN100" s="55"/>
      <c r="AO100" s="133">
        <v>49942114</v>
      </c>
      <c r="AP100" s="55"/>
      <c r="AQ100" s="133">
        <v>13819797</v>
      </c>
      <c r="AR100" s="55"/>
      <c r="AS100" s="133">
        <v>17161197</v>
      </c>
      <c r="AT100" s="55"/>
      <c r="AU100" s="133">
        <v>21536272</v>
      </c>
      <c r="AV100" s="133"/>
      <c r="AW100" s="133">
        <v>6357458</v>
      </c>
      <c r="AX100" s="55"/>
      <c r="AY100" s="133">
        <v>20388724</v>
      </c>
      <c r="AZ100" s="133"/>
      <c r="BA100" s="133">
        <v>6531047</v>
      </c>
      <c r="BB100" s="133"/>
      <c r="BC100" s="55">
        <v>39606952</v>
      </c>
      <c r="BD100" s="120">
        <v>122514570</v>
      </c>
      <c r="BE100" s="223">
        <f>BC100/BC99-1</f>
        <v>-0.11671883317986043</v>
      </c>
      <c r="BF100" s="31"/>
      <c r="BG100" s="8"/>
      <c r="BH100" s="55"/>
      <c r="BI100" s="82"/>
      <c r="BJ100" s="64"/>
      <c r="BK100" s="64"/>
      <c r="BO100" s="28">
        <v>2020</v>
      </c>
      <c r="BP100" s="130">
        <v>30.72</v>
      </c>
      <c r="BQ100" s="130">
        <v>25.52</v>
      </c>
      <c r="BR100" s="130">
        <v>17.510000000000002</v>
      </c>
      <c r="BS100" s="130">
        <v>14.73</v>
      </c>
      <c r="BT100" s="130">
        <v>18.84</v>
      </c>
      <c r="BU100" s="130">
        <v>14.4</v>
      </c>
      <c r="BV100" s="130">
        <v>17.149999999999999</v>
      </c>
      <c r="BW100" s="130">
        <v>16.57</v>
      </c>
      <c r="BX100" s="130">
        <v>19</v>
      </c>
      <c r="BZ100" s="26">
        <f t="shared" si="69"/>
        <v>2020</v>
      </c>
      <c r="CA100" s="121">
        <v>8.36</v>
      </c>
      <c r="CB100" s="121">
        <v>7.1</v>
      </c>
      <c r="CC100" s="121">
        <v>5.71</v>
      </c>
      <c r="CD100" s="121">
        <v>5.87</v>
      </c>
      <c r="CE100" s="121">
        <v>7.84</v>
      </c>
      <c r="CF100" s="121">
        <v>6.83</v>
      </c>
      <c r="CG100" s="121">
        <v>6.04</v>
      </c>
      <c r="CH100" s="121">
        <v>5.94</v>
      </c>
      <c r="CI100" s="121">
        <v>6.4</v>
      </c>
    </row>
    <row r="101" spans="1:87" x14ac:dyDescent="0.2">
      <c r="A101" s="83"/>
      <c r="B101" s="314"/>
      <c r="C101" s="314"/>
      <c r="D101" s="314"/>
      <c r="E101" s="324"/>
      <c r="F101" s="324"/>
      <c r="G101" s="311"/>
      <c r="H101" s="314"/>
      <c r="I101" s="314"/>
      <c r="J101" s="324"/>
      <c r="K101" s="311"/>
      <c r="L101" s="314"/>
      <c r="M101" s="20"/>
      <c r="N101" s="96"/>
      <c r="O101" s="71"/>
      <c r="P101" s="20"/>
      <c r="Q101" s="20"/>
      <c r="R101" s="20"/>
      <c r="S101" s="96"/>
      <c r="T101" s="96"/>
      <c r="U101" s="8">
        <v>2014</v>
      </c>
      <c r="V101" s="133">
        <v>17154530</v>
      </c>
      <c r="W101" s="133"/>
      <c r="X101" s="55">
        <v>9308448</v>
      </c>
      <c r="Y101" s="133"/>
      <c r="Z101" s="55">
        <v>687253</v>
      </c>
      <c r="AA101" s="55"/>
      <c r="AB101" s="55">
        <v>1754701</v>
      </c>
      <c r="AC101" s="55"/>
      <c r="AD101" s="133">
        <v>7893727</v>
      </c>
      <c r="AE101" s="55"/>
      <c r="AF101" s="133">
        <v>49648697</v>
      </c>
      <c r="AG101" s="55"/>
      <c r="AH101" s="55">
        <v>15394619</v>
      </c>
      <c r="AI101" s="55"/>
      <c r="AJ101" s="55">
        <v>1201518</v>
      </c>
      <c r="AK101" s="133">
        <v>2050660</v>
      </c>
      <c r="AL101" s="55"/>
      <c r="AM101" s="133">
        <v>5626967</v>
      </c>
      <c r="AN101" s="55"/>
      <c r="AO101" s="133">
        <v>50462696</v>
      </c>
      <c r="AP101" s="55"/>
      <c r="AQ101" s="133">
        <v>13951817</v>
      </c>
      <c r="AR101" s="55"/>
      <c r="AS101" s="133">
        <v>17092064</v>
      </c>
      <c r="AT101" s="55"/>
      <c r="AU101" s="133">
        <v>21223912</v>
      </c>
      <c r="AV101" s="133"/>
      <c r="AW101" s="133">
        <v>6321571</v>
      </c>
      <c r="AX101" s="55"/>
      <c r="AY101" s="133">
        <v>20179081</v>
      </c>
      <c r="AZ101" s="133"/>
      <c r="BA101" s="133">
        <v>6649923</v>
      </c>
      <c r="BB101" s="133"/>
      <c r="BC101" s="55">
        <v>37641389</v>
      </c>
      <c r="BD101" s="120">
        <v>125880083</v>
      </c>
      <c r="BE101" s="223">
        <f t="shared" ref="BE101:BE103" si="74">BC101/BC100-1</f>
        <v>-4.9626717047047686E-2</v>
      </c>
      <c r="BF101" s="31"/>
      <c r="BG101" s="8"/>
      <c r="BH101" s="55"/>
      <c r="BO101" s="26">
        <v>2021</v>
      </c>
      <c r="BP101" s="130">
        <v>30.46</v>
      </c>
      <c r="BQ101" s="130">
        <v>25.39</v>
      </c>
      <c r="BR101" s="130">
        <v>17.37</v>
      </c>
      <c r="BS101" s="130">
        <v>14.67</v>
      </c>
      <c r="BT101" s="130">
        <v>18.84</v>
      </c>
      <c r="BU101" s="130">
        <v>14.32</v>
      </c>
      <c r="BV101" s="130">
        <v>17.13</v>
      </c>
      <c r="BW101" s="130">
        <v>16.649999999999999</v>
      </c>
      <c r="BX101" s="130">
        <v>18.82</v>
      </c>
      <c r="BZ101" s="26">
        <f t="shared" si="69"/>
        <v>2021</v>
      </c>
      <c r="CA101" s="121">
        <v>8.4600000000000009</v>
      </c>
      <c r="CB101" s="121">
        <v>7.17</v>
      </c>
      <c r="CC101" s="121">
        <v>5.82</v>
      </c>
      <c r="CD101" s="121">
        <v>5.98</v>
      </c>
      <c r="CE101" s="121">
        <v>7.96</v>
      </c>
      <c r="CF101" s="121">
        <v>6.96</v>
      </c>
      <c r="CG101" s="121">
        <v>6.14</v>
      </c>
      <c r="CH101" s="121">
        <v>6.07</v>
      </c>
      <c r="CI101" s="121">
        <v>6.53</v>
      </c>
    </row>
    <row r="102" spans="1:87" x14ac:dyDescent="0.2">
      <c r="A102" s="83"/>
      <c r="B102" s="314"/>
      <c r="C102" s="314"/>
      <c r="D102" s="314"/>
      <c r="E102" s="324"/>
      <c r="F102" s="324"/>
      <c r="G102" s="311"/>
      <c r="H102" s="314"/>
      <c r="I102" s="314"/>
      <c r="J102" s="324"/>
      <c r="K102" s="311"/>
      <c r="L102" s="314"/>
      <c r="M102" s="20"/>
      <c r="N102" s="96"/>
      <c r="O102" s="71"/>
      <c r="P102" s="20"/>
      <c r="Q102" s="20"/>
      <c r="R102" s="20"/>
      <c r="S102" s="96"/>
      <c r="T102" s="96"/>
      <c r="U102" s="8">
        <v>2015</v>
      </c>
      <c r="V102" s="133">
        <v>17013690</v>
      </c>
      <c r="W102" s="133"/>
      <c r="X102" s="55">
        <v>9379326</v>
      </c>
      <c r="Y102" s="133"/>
      <c r="Z102" s="55">
        <v>746733</v>
      </c>
      <c r="AA102" s="55"/>
      <c r="AB102" s="55">
        <v>1714897</v>
      </c>
      <c r="AC102" s="55"/>
      <c r="AD102" s="133">
        <v>7755589</v>
      </c>
      <c r="AE102" s="55"/>
      <c r="AF102" s="133">
        <v>49443931</v>
      </c>
      <c r="AG102" s="55"/>
      <c r="AH102" s="55">
        <v>15578506</v>
      </c>
      <c r="AI102" s="55"/>
      <c r="AJ102" s="55">
        <v>1303945</v>
      </c>
      <c r="AK102" s="133">
        <v>2008373</v>
      </c>
      <c r="AL102" s="55"/>
      <c r="AM102" s="133">
        <v>5598474</v>
      </c>
      <c r="AN102" s="55"/>
      <c r="AO102" s="133">
        <v>50587708</v>
      </c>
      <c r="AP102" s="55"/>
      <c r="AQ102" s="133">
        <v>14091564</v>
      </c>
      <c r="AR102" s="55"/>
      <c r="AS102" s="133">
        <v>16962296</v>
      </c>
      <c r="AT102" s="55"/>
      <c r="AU102" s="133">
        <v>20959072</v>
      </c>
      <c r="AV102" s="133"/>
      <c r="AW102" s="133">
        <v>6296497</v>
      </c>
      <c r="AX102" s="55"/>
      <c r="AY102" s="133">
        <v>20031728</v>
      </c>
      <c r="AZ102" s="133"/>
      <c r="BA102" s="133">
        <v>6760741</v>
      </c>
      <c r="BB102" s="133"/>
      <c r="BC102" s="55">
        <v>36643994</v>
      </c>
      <c r="BD102" s="120">
        <v>129120196</v>
      </c>
      <c r="BE102" s="223">
        <f t="shared" si="74"/>
        <v>-2.6497295304378943E-2</v>
      </c>
      <c r="BF102" s="31"/>
      <c r="BG102" s="113"/>
      <c r="BH102" s="55"/>
      <c r="BO102" s="26">
        <v>2022</v>
      </c>
      <c r="BP102" s="130">
        <v>30.15</v>
      </c>
      <c r="BQ102" s="130">
        <v>25.24</v>
      </c>
      <c r="BR102" s="130">
        <v>17.25</v>
      </c>
      <c r="BS102" s="130">
        <v>14.63</v>
      </c>
      <c r="BT102" s="130">
        <v>18.77</v>
      </c>
      <c r="BU102" s="130">
        <v>14.17</v>
      </c>
      <c r="BV102" s="130">
        <v>17.350000000000001</v>
      </c>
      <c r="BW102" s="130">
        <v>16.79</v>
      </c>
      <c r="BX102" s="130">
        <v>18.739999999999998</v>
      </c>
      <c r="BZ102" s="26">
        <f t="shared" si="69"/>
        <v>2022</v>
      </c>
      <c r="CA102" s="121">
        <v>8.59</v>
      </c>
      <c r="CB102" s="121">
        <v>7.25</v>
      </c>
      <c r="CC102" s="121">
        <v>5.93</v>
      </c>
      <c r="CD102" s="121">
        <v>6.09</v>
      </c>
      <c r="CE102" s="121">
        <v>8.08</v>
      </c>
      <c r="CF102" s="121">
        <v>7.08</v>
      </c>
      <c r="CG102" s="121">
        <v>6.23</v>
      </c>
      <c r="CH102" s="121">
        <v>6.21</v>
      </c>
      <c r="CI102" s="121">
        <v>6.66</v>
      </c>
    </row>
    <row r="103" spans="1:87" x14ac:dyDescent="0.2">
      <c r="A103" s="83"/>
      <c r="B103" s="314"/>
      <c r="C103" s="314"/>
      <c r="D103" s="314"/>
      <c r="E103" s="324"/>
      <c r="F103" s="324"/>
      <c r="G103" s="311"/>
      <c r="H103" s="314"/>
      <c r="I103" s="314"/>
      <c r="J103" s="324"/>
      <c r="K103" s="311"/>
      <c r="L103" s="314"/>
      <c r="M103" s="20"/>
      <c r="N103" s="96"/>
      <c r="O103" s="71"/>
      <c r="P103" s="20"/>
      <c r="Q103" s="20"/>
      <c r="R103" s="20"/>
      <c r="S103" s="96"/>
      <c r="T103" s="96"/>
      <c r="U103" s="8">
        <v>2016</v>
      </c>
      <c r="V103" s="133">
        <v>16924269</v>
      </c>
      <c r="W103" s="133"/>
      <c r="X103" s="55">
        <v>9465291</v>
      </c>
      <c r="Y103" s="133"/>
      <c r="Z103" s="55">
        <v>808588</v>
      </c>
      <c r="AA103" s="55"/>
      <c r="AB103" s="55">
        <v>1680196</v>
      </c>
      <c r="AC103" s="55"/>
      <c r="AD103" s="133">
        <v>7621274</v>
      </c>
      <c r="AE103" s="55"/>
      <c r="AF103" s="133">
        <v>49244767</v>
      </c>
      <c r="AG103" s="55"/>
      <c r="AH103" s="55">
        <v>15748684</v>
      </c>
      <c r="AI103" s="55"/>
      <c r="AJ103" s="55">
        <v>1406402</v>
      </c>
      <c r="AK103" s="133">
        <v>1967156</v>
      </c>
      <c r="AL103" s="55"/>
      <c r="AM103" s="133">
        <v>5595630</v>
      </c>
      <c r="AN103" s="55"/>
      <c r="AO103" s="133">
        <v>50894378</v>
      </c>
      <c r="AP103" s="55"/>
      <c r="AQ103" s="133">
        <v>14268237</v>
      </c>
      <c r="AR103" s="55"/>
      <c r="AS103" s="133">
        <v>16854830</v>
      </c>
      <c r="AT103" s="55"/>
      <c r="AU103" s="133">
        <v>20793139</v>
      </c>
      <c r="AV103" s="133"/>
      <c r="AW103" s="133">
        <v>6297459</v>
      </c>
      <c r="AX103" s="55"/>
      <c r="AY103" s="133">
        <v>19980702</v>
      </c>
      <c r="AZ103" s="133"/>
      <c r="BA103" s="133">
        <v>6892399</v>
      </c>
      <c r="BB103" s="133"/>
      <c r="BC103" s="55">
        <v>36116167</v>
      </c>
      <c r="BD103" s="120">
        <v>133268170</v>
      </c>
      <c r="BE103" s="223">
        <f t="shared" si="74"/>
        <v>-1.4404188582718302E-2</v>
      </c>
      <c r="BF103" s="31"/>
      <c r="BG103" s="113"/>
      <c r="BH103" s="55"/>
      <c r="BI103" s="31"/>
      <c r="BJ103" s="31"/>
      <c r="BK103" s="31"/>
      <c r="BO103" s="26">
        <v>2023</v>
      </c>
      <c r="BP103" s="130">
        <v>29.94</v>
      </c>
      <c r="BQ103" s="130">
        <v>25.04</v>
      </c>
      <c r="BR103" s="130">
        <v>17.14</v>
      </c>
      <c r="BS103" s="130">
        <v>14.63</v>
      </c>
      <c r="BT103" s="130">
        <v>18.75</v>
      </c>
      <c r="BU103" s="130">
        <v>14</v>
      </c>
      <c r="BV103" s="130">
        <v>17.54</v>
      </c>
      <c r="BW103" s="130">
        <v>16.91</v>
      </c>
      <c r="BX103" s="130">
        <v>18.739999999999998</v>
      </c>
      <c r="BZ103" s="26">
        <f t="shared" si="69"/>
        <v>2023</v>
      </c>
      <c r="CA103" s="121">
        <v>8.73</v>
      </c>
      <c r="CB103" s="121">
        <v>7.36</v>
      </c>
      <c r="CC103" s="121">
        <v>6.05</v>
      </c>
      <c r="CD103" s="121">
        <v>6.21</v>
      </c>
      <c r="CE103" s="121">
        <v>8.2200000000000006</v>
      </c>
      <c r="CF103" s="121">
        <v>7.23</v>
      </c>
      <c r="CG103" s="121">
        <v>6.35</v>
      </c>
      <c r="CH103" s="121">
        <v>6.32</v>
      </c>
      <c r="CI103" s="121">
        <v>6.77</v>
      </c>
    </row>
    <row r="104" spans="1:87" x14ac:dyDescent="0.2">
      <c r="A104" s="83"/>
      <c r="B104" s="314"/>
      <c r="C104" s="314"/>
      <c r="D104" s="314"/>
      <c r="E104" s="324"/>
      <c r="F104" s="324"/>
      <c r="G104" s="311"/>
      <c r="H104" s="314"/>
      <c r="I104" s="314"/>
      <c r="J104" s="324"/>
      <c r="K104" s="311"/>
      <c r="L104" s="314"/>
      <c r="M104" s="20"/>
      <c r="N104" s="96"/>
      <c r="O104" s="71"/>
      <c r="P104" s="20"/>
      <c r="Q104" s="20"/>
      <c r="R104" s="20"/>
      <c r="S104" s="96"/>
      <c r="T104" s="96"/>
      <c r="U104" s="8">
        <v>2017</v>
      </c>
      <c r="V104" s="133">
        <v>16682458</v>
      </c>
      <c r="W104" s="133"/>
      <c r="X104" s="55">
        <v>9461490</v>
      </c>
      <c r="Y104" s="133"/>
      <c r="Z104" s="55">
        <v>853521</v>
      </c>
      <c r="AA104" s="55"/>
      <c r="AB104" s="55">
        <v>1633438</v>
      </c>
      <c r="AC104" s="55"/>
      <c r="AD104" s="133">
        <v>7466020</v>
      </c>
      <c r="AE104" s="55"/>
      <c r="AF104" s="133">
        <v>48926951</v>
      </c>
      <c r="AG104" s="55"/>
      <c r="AH104" s="55">
        <v>15857478</v>
      </c>
      <c r="AI104" s="55"/>
      <c r="AJ104" s="55">
        <v>1487958</v>
      </c>
      <c r="AK104" s="133">
        <v>1913623</v>
      </c>
      <c r="AL104" s="55"/>
      <c r="AM104" s="133">
        <v>5568115</v>
      </c>
      <c r="AN104" s="55"/>
      <c r="AO104" s="133">
        <v>50770534</v>
      </c>
      <c r="AP104" s="55"/>
      <c r="AQ104" s="133">
        <v>14355917</v>
      </c>
      <c r="AR104" s="55"/>
      <c r="AS104" s="133">
        <v>16587164</v>
      </c>
      <c r="AT104" s="55"/>
      <c r="AU104" s="133">
        <v>20547229</v>
      </c>
      <c r="AV104" s="133"/>
      <c r="AW104" s="133">
        <v>6269886</v>
      </c>
      <c r="AX104" s="55"/>
      <c r="AY104" s="133">
        <v>19822884</v>
      </c>
      <c r="AZ104" s="133"/>
      <c r="BA104" s="133">
        <v>6982457</v>
      </c>
      <c r="BB104" s="133"/>
      <c r="BC104" s="55">
        <v>35516997</v>
      </c>
      <c r="BD104" s="120">
        <v>135860986</v>
      </c>
      <c r="BE104" s="54"/>
      <c r="BF104" s="31"/>
      <c r="BG104" s="113"/>
      <c r="BH104" s="55"/>
      <c r="BI104" s="31"/>
      <c r="BJ104" s="31"/>
      <c r="BK104" s="31"/>
      <c r="BO104" s="26">
        <v>2024</v>
      </c>
      <c r="BP104" s="130">
        <v>29.56</v>
      </c>
      <c r="BQ104" s="130">
        <v>24.91</v>
      </c>
      <c r="BR104" s="130">
        <v>17.059999999999999</v>
      </c>
      <c r="BS104" s="130">
        <v>14.56</v>
      </c>
      <c r="BT104" s="130">
        <v>18.71</v>
      </c>
      <c r="BU104" s="130">
        <v>13.86</v>
      </c>
      <c r="BV104" s="130">
        <v>17.71</v>
      </c>
      <c r="BW104" s="130">
        <v>17.04</v>
      </c>
      <c r="BX104" s="130">
        <v>18.739999999999998</v>
      </c>
      <c r="BZ104" s="26">
        <f t="shared" si="69"/>
        <v>2024</v>
      </c>
      <c r="CA104" s="121">
        <v>8.84</v>
      </c>
      <c r="CB104" s="121">
        <v>7.44</v>
      </c>
      <c r="CC104" s="121">
        <v>6.17</v>
      </c>
      <c r="CD104" s="121">
        <v>6.31</v>
      </c>
      <c r="CE104" s="121">
        <v>8.35</v>
      </c>
      <c r="CF104" s="121">
        <v>7.37</v>
      </c>
      <c r="CG104" s="121">
        <v>6.46</v>
      </c>
      <c r="CH104" s="121">
        <v>6.43</v>
      </c>
      <c r="CI104" s="121">
        <v>6.87</v>
      </c>
    </row>
    <row r="105" spans="1:87" x14ac:dyDescent="0.2">
      <c r="A105" s="83"/>
      <c r="B105" s="314"/>
      <c r="C105" s="314"/>
      <c r="D105" s="314"/>
      <c r="E105" s="324"/>
      <c r="F105" s="324"/>
      <c r="G105" s="311"/>
      <c r="H105" s="314"/>
      <c r="I105" s="314"/>
      <c r="J105" s="324"/>
      <c r="K105" s="311"/>
      <c r="L105" s="314"/>
      <c r="M105" s="20"/>
      <c r="N105" s="96"/>
      <c r="O105" s="71"/>
      <c r="P105" s="20"/>
      <c r="Q105" s="20"/>
      <c r="R105" s="20"/>
      <c r="S105" s="96"/>
      <c r="T105" s="96"/>
      <c r="U105" s="8">
        <v>2018</v>
      </c>
      <c r="V105" s="133">
        <v>16502785</v>
      </c>
      <c r="W105" s="133"/>
      <c r="X105" s="55">
        <v>9490508</v>
      </c>
      <c r="Y105" s="133"/>
      <c r="Z105" s="55">
        <v>897326</v>
      </c>
      <c r="AA105" s="55"/>
      <c r="AB105" s="55">
        <v>1592460</v>
      </c>
      <c r="AC105" s="55"/>
      <c r="AD105" s="133">
        <v>7324132</v>
      </c>
      <c r="AE105" s="55"/>
      <c r="AF105" s="133">
        <v>48724380</v>
      </c>
      <c r="AG105" s="55"/>
      <c r="AH105" s="55">
        <v>15985121</v>
      </c>
      <c r="AI105" s="55"/>
      <c r="AJ105" s="55">
        <v>1563276</v>
      </c>
      <c r="AK105" s="133">
        <v>1861920</v>
      </c>
      <c r="AL105" s="55"/>
      <c r="AM105" s="133">
        <v>5568169</v>
      </c>
      <c r="AN105" s="55"/>
      <c r="AO105" s="133">
        <v>50781173</v>
      </c>
      <c r="AP105" s="55"/>
      <c r="AQ105" s="133">
        <v>14481199</v>
      </c>
      <c r="AR105" s="55"/>
      <c r="AS105" s="133">
        <v>16381242</v>
      </c>
      <c r="AT105" s="55"/>
      <c r="AU105" s="133">
        <v>20383582</v>
      </c>
      <c r="AV105" s="133"/>
      <c r="AW105" s="133">
        <v>6264554</v>
      </c>
      <c r="AX105" s="55"/>
      <c r="AY105" s="133">
        <v>19794301</v>
      </c>
      <c r="AZ105" s="133"/>
      <c r="BA105" s="133">
        <v>7090270</v>
      </c>
      <c r="BB105" s="133"/>
      <c r="BC105" s="55">
        <v>35179396</v>
      </c>
      <c r="BD105" s="120">
        <v>138733202</v>
      </c>
      <c r="BE105" s="54"/>
      <c r="BF105" s="31"/>
      <c r="BG105" s="113"/>
      <c r="BH105" s="55"/>
      <c r="BI105" s="31"/>
      <c r="BJ105" s="31"/>
      <c r="BK105" s="31"/>
      <c r="BO105" s="26">
        <v>2025</v>
      </c>
      <c r="BP105" s="130">
        <v>29.17</v>
      </c>
      <c r="BQ105" s="130">
        <v>24.8</v>
      </c>
      <c r="BR105" s="130">
        <v>17.03</v>
      </c>
      <c r="BS105" s="130">
        <v>14.49</v>
      </c>
      <c r="BT105" s="130">
        <v>18.760000000000002</v>
      </c>
      <c r="BU105" s="130">
        <v>13.84</v>
      </c>
      <c r="BV105" s="130">
        <v>17.89</v>
      </c>
      <c r="BW105" s="130">
        <v>17.25</v>
      </c>
      <c r="BX105" s="130">
        <v>18.760000000000002</v>
      </c>
      <c r="BZ105" s="26">
        <f t="shared" si="69"/>
        <v>2025</v>
      </c>
      <c r="CA105" s="121">
        <v>8.9700000000000006</v>
      </c>
      <c r="CB105" s="121">
        <v>7.55</v>
      </c>
      <c r="CC105" s="121">
        <v>6.28</v>
      </c>
      <c r="CD105" s="121">
        <v>6.41</v>
      </c>
      <c r="CE105" s="121">
        <v>8.48</v>
      </c>
      <c r="CF105" s="121">
        <v>7.5</v>
      </c>
      <c r="CG105" s="121">
        <v>6.56</v>
      </c>
      <c r="CH105" s="121">
        <v>6.53</v>
      </c>
      <c r="CI105" s="121">
        <v>6.97</v>
      </c>
    </row>
    <row r="106" spans="1:87" x14ac:dyDescent="0.2">
      <c r="A106" s="83"/>
      <c r="B106" s="314"/>
      <c r="C106" s="314"/>
      <c r="D106" s="314"/>
      <c r="E106" s="324"/>
      <c r="F106" s="324"/>
      <c r="G106" s="311"/>
      <c r="H106" s="314"/>
      <c r="I106" s="314"/>
      <c r="J106" s="324"/>
      <c r="K106" s="311"/>
      <c r="L106" s="314"/>
      <c r="M106" s="20"/>
      <c r="N106" s="96"/>
      <c r="O106" s="71"/>
      <c r="P106" s="20"/>
      <c r="Q106" s="20"/>
      <c r="R106" s="20"/>
      <c r="S106" s="96"/>
      <c r="T106" s="96"/>
      <c r="U106" s="8">
        <v>2019</v>
      </c>
      <c r="V106" s="133">
        <v>16336704</v>
      </c>
      <c r="W106" s="133"/>
      <c r="X106" s="55">
        <v>9525849</v>
      </c>
      <c r="Y106" s="133"/>
      <c r="Z106" s="55">
        <v>937079</v>
      </c>
      <c r="AA106" s="55"/>
      <c r="AB106" s="55">
        <v>1552168</v>
      </c>
      <c r="AC106" s="55"/>
      <c r="AD106" s="133">
        <v>7193789</v>
      </c>
      <c r="AE106" s="55"/>
      <c r="AF106" s="133">
        <v>48603546</v>
      </c>
      <c r="AG106" s="55"/>
      <c r="AH106" s="55">
        <v>16126972</v>
      </c>
      <c r="AI106" s="55"/>
      <c r="AJ106" s="55">
        <v>1631589</v>
      </c>
      <c r="AK106" s="133">
        <v>1817727</v>
      </c>
      <c r="AL106" s="55"/>
      <c r="AM106" s="133">
        <v>5580558</v>
      </c>
      <c r="AN106" s="55"/>
      <c r="AO106" s="133">
        <v>50822077</v>
      </c>
      <c r="AP106" s="55"/>
      <c r="AQ106" s="133">
        <v>14605983</v>
      </c>
      <c r="AR106" s="55"/>
      <c r="AS106" s="133">
        <v>16217698</v>
      </c>
      <c r="AT106" s="55"/>
      <c r="AU106" s="133">
        <v>20243558</v>
      </c>
      <c r="AV106" s="133"/>
      <c r="AW106" s="133">
        <v>6262835</v>
      </c>
      <c r="AX106" s="55"/>
      <c r="AY106" s="133">
        <v>19839799</v>
      </c>
      <c r="AZ106" s="133"/>
      <c r="BA106" s="133">
        <v>7190033</v>
      </c>
      <c r="BB106" s="133"/>
      <c r="BC106" s="55">
        <v>34967927</v>
      </c>
      <c r="BD106" s="120">
        <v>141682253</v>
      </c>
      <c r="BE106" s="54"/>
      <c r="BF106" s="31"/>
      <c r="BG106" s="113"/>
      <c r="BH106" s="55"/>
      <c r="BI106" s="31"/>
      <c r="BJ106" s="31"/>
      <c r="BK106" s="31"/>
      <c r="BO106" s="26">
        <v>2026</v>
      </c>
      <c r="BP106" s="130">
        <v>28.56</v>
      </c>
      <c r="BQ106" s="130">
        <v>24.65</v>
      </c>
      <c r="BR106" s="130">
        <v>17</v>
      </c>
      <c r="BS106" s="130">
        <v>14.51</v>
      </c>
      <c r="BT106" s="130">
        <v>18.829999999999998</v>
      </c>
      <c r="BU106" s="130">
        <v>13.88</v>
      </c>
      <c r="BV106" s="130">
        <v>18.059999999999999</v>
      </c>
      <c r="BW106" s="130">
        <v>17.43</v>
      </c>
      <c r="BX106" s="130">
        <v>18.62</v>
      </c>
      <c r="BZ106" s="26">
        <f t="shared" si="69"/>
        <v>2026</v>
      </c>
      <c r="CA106" s="121">
        <v>9.07</v>
      </c>
      <c r="CB106" s="121">
        <v>7.63</v>
      </c>
      <c r="CC106" s="121">
        <v>6.37</v>
      </c>
      <c r="CD106" s="121">
        <v>6.5</v>
      </c>
      <c r="CE106" s="121">
        <v>8.59</v>
      </c>
      <c r="CF106" s="121">
        <v>7.6</v>
      </c>
      <c r="CG106" s="121">
        <v>6.64</v>
      </c>
      <c r="CH106" s="121">
        <v>6.65</v>
      </c>
      <c r="CI106" s="121">
        <v>7.06</v>
      </c>
    </row>
    <row r="107" spans="1:87" x14ac:dyDescent="0.2">
      <c r="A107" s="83"/>
      <c r="B107" s="314"/>
      <c r="C107" s="314"/>
      <c r="D107" s="314"/>
      <c r="E107" s="324"/>
      <c r="F107" s="324"/>
      <c r="G107" s="311"/>
      <c r="H107" s="314"/>
      <c r="I107" s="314"/>
      <c r="J107" s="324"/>
      <c r="K107" s="311"/>
      <c r="L107" s="314"/>
      <c r="M107" s="20"/>
      <c r="N107" s="96"/>
      <c r="O107" s="71"/>
      <c r="P107" s="20"/>
      <c r="Q107" s="20"/>
      <c r="R107" s="20"/>
      <c r="S107" s="96"/>
      <c r="T107" s="96"/>
      <c r="U107" s="8">
        <v>2020</v>
      </c>
      <c r="V107" s="133">
        <v>16242723</v>
      </c>
      <c r="W107" s="133"/>
      <c r="X107" s="55">
        <v>9604591</v>
      </c>
      <c r="Y107" s="133"/>
      <c r="Z107" s="55">
        <v>973947</v>
      </c>
      <c r="AA107" s="55"/>
      <c r="AB107" s="55">
        <v>1517856</v>
      </c>
      <c r="AC107" s="55"/>
      <c r="AD107" s="133">
        <v>7074597</v>
      </c>
      <c r="AE107" s="55"/>
      <c r="AF107" s="133">
        <v>48523989</v>
      </c>
      <c r="AG107" s="55"/>
      <c r="AH107" s="55">
        <v>16278302</v>
      </c>
      <c r="AI107" s="55"/>
      <c r="AJ107" s="55">
        <v>1684519</v>
      </c>
      <c r="AK107" s="133">
        <v>1785387</v>
      </c>
      <c r="AL107" s="55"/>
      <c r="AM107" s="133">
        <v>5617605</v>
      </c>
      <c r="AN107" s="55"/>
      <c r="AO107" s="133">
        <v>51039202</v>
      </c>
      <c r="AP107" s="55"/>
      <c r="AQ107" s="133">
        <v>14770058</v>
      </c>
      <c r="AR107" s="55"/>
      <c r="AS107" s="133">
        <v>16146191</v>
      </c>
      <c r="AT107" s="55"/>
      <c r="AU107" s="133">
        <v>20168876</v>
      </c>
      <c r="AV107" s="133"/>
      <c r="AW107" s="133">
        <v>6281269</v>
      </c>
      <c r="AX107" s="55"/>
      <c r="AY107" s="133">
        <v>20008734</v>
      </c>
      <c r="AZ107" s="133"/>
      <c r="BA107" s="133">
        <v>7300865</v>
      </c>
      <c r="BB107" s="133"/>
      <c r="BC107" s="55">
        <v>33849534</v>
      </c>
      <c r="BD107" s="120">
        <v>145577278</v>
      </c>
      <c r="BE107" s="54"/>
      <c r="BF107" s="31"/>
      <c r="BG107" s="113"/>
      <c r="BH107" s="55"/>
      <c r="BI107" s="31"/>
      <c r="BJ107" s="31"/>
      <c r="BK107" s="31"/>
      <c r="BO107" s="26">
        <v>2027</v>
      </c>
      <c r="BP107" s="130">
        <v>28.03</v>
      </c>
      <c r="BQ107" s="130">
        <v>24.53</v>
      </c>
      <c r="BR107" s="130">
        <v>16.98</v>
      </c>
      <c r="BS107" s="130">
        <v>14.44</v>
      </c>
      <c r="BT107" s="130">
        <v>18.86</v>
      </c>
      <c r="BU107" s="130">
        <v>13.88</v>
      </c>
      <c r="BV107" s="130">
        <v>18.25</v>
      </c>
      <c r="BW107" s="130">
        <v>17.62</v>
      </c>
      <c r="BX107" s="130">
        <v>18.309999999999999</v>
      </c>
      <c r="BZ107" s="26">
        <f t="shared" si="69"/>
        <v>2027</v>
      </c>
      <c r="CA107" s="121">
        <v>9.18</v>
      </c>
      <c r="CB107" s="121">
        <v>7.72</v>
      </c>
      <c r="CC107" s="121">
        <v>6.45</v>
      </c>
      <c r="CD107" s="121">
        <v>6.58</v>
      </c>
      <c r="CE107" s="121">
        <v>8.7100000000000009</v>
      </c>
      <c r="CF107" s="121">
        <v>7.71</v>
      </c>
      <c r="CG107" s="121">
        <v>6.71</v>
      </c>
      <c r="CH107" s="121">
        <v>6.76</v>
      </c>
      <c r="CI107" s="121">
        <v>7.14</v>
      </c>
    </row>
    <row r="108" spans="1:87" x14ac:dyDescent="0.2">
      <c r="A108" s="83"/>
      <c r="B108" s="314"/>
      <c r="C108" s="314"/>
      <c r="D108" s="314"/>
      <c r="E108" s="324"/>
      <c r="F108" s="324"/>
      <c r="G108" s="311"/>
      <c r="H108" s="314"/>
      <c r="I108" s="314"/>
      <c r="J108" s="324"/>
      <c r="K108" s="311"/>
      <c r="L108" s="314"/>
      <c r="M108" s="20"/>
      <c r="N108" s="96"/>
      <c r="O108" s="71"/>
      <c r="P108" s="20"/>
      <c r="Q108" s="20"/>
      <c r="R108" s="20"/>
      <c r="S108" s="96"/>
      <c r="T108" s="96"/>
      <c r="U108" s="8">
        <v>2021</v>
      </c>
      <c r="V108" s="133">
        <v>16066083</v>
      </c>
      <c r="W108" s="133"/>
      <c r="X108" s="55">
        <v>9629338</v>
      </c>
      <c r="Y108" s="133"/>
      <c r="Z108" s="55">
        <v>1002310</v>
      </c>
      <c r="AA108" s="55"/>
      <c r="AB108" s="55">
        <v>1475626</v>
      </c>
      <c r="AC108" s="55"/>
      <c r="AD108" s="133">
        <v>6970347</v>
      </c>
      <c r="AE108" s="55"/>
      <c r="AF108" s="133">
        <v>48535920</v>
      </c>
      <c r="AG108" s="55"/>
      <c r="AH108" s="55">
        <v>16445277</v>
      </c>
      <c r="AI108" s="55"/>
      <c r="AJ108" s="55">
        <v>1733403</v>
      </c>
      <c r="AK108" s="133">
        <v>1752098</v>
      </c>
      <c r="AL108" s="55"/>
      <c r="AM108" s="133">
        <v>5632536</v>
      </c>
      <c r="AN108" s="55"/>
      <c r="AO108" s="133">
        <v>50980788</v>
      </c>
      <c r="AP108" s="55"/>
      <c r="AQ108" s="133">
        <v>14853865</v>
      </c>
      <c r="AR108" s="55"/>
      <c r="AS108" s="133">
        <v>16023093</v>
      </c>
      <c r="AT108" s="55"/>
      <c r="AU108" s="133">
        <v>19997787</v>
      </c>
      <c r="AV108" s="133"/>
      <c r="AW108" s="133">
        <v>6266518</v>
      </c>
      <c r="AX108" s="55"/>
      <c r="AY108" s="133">
        <v>20100489</v>
      </c>
      <c r="AZ108" s="133"/>
      <c r="BA108" s="133">
        <v>7359598</v>
      </c>
      <c r="BB108" s="133"/>
      <c r="BC108" s="55">
        <v>33274970</v>
      </c>
      <c r="BD108" s="120">
        <v>148774849</v>
      </c>
      <c r="BE108" s="54"/>
      <c r="BF108" s="31"/>
      <c r="BG108" s="113"/>
      <c r="BH108" s="55"/>
      <c r="BI108" s="31"/>
      <c r="BJ108" s="31"/>
      <c r="BK108" s="31"/>
      <c r="BO108" s="26">
        <v>2028</v>
      </c>
      <c r="BP108" s="130">
        <v>27.64</v>
      </c>
      <c r="BQ108" s="130">
        <v>24.41</v>
      </c>
      <c r="BR108" s="130">
        <v>17.05</v>
      </c>
      <c r="BS108" s="130">
        <v>14.45</v>
      </c>
      <c r="BT108" s="130">
        <v>18.850000000000001</v>
      </c>
      <c r="BU108" s="130">
        <v>13.9</v>
      </c>
      <c r="BV108" s="130">
        <v>18.46</v>
      </c>
      <c r="BW108" s="130">
        <v>17.739999999999998</v>
      </c>
      <c r="BX108" s="130">
        <v>18.059999999999999</v>
      </c>
      <c r="BZ108" s="26">
        <f t="shared" si="69"/>
        <v>2028</v>
      </c>
      <c r="CA108" s="121">
        <v>9.2799999999999994</v>
      </c>
      <c r="CB108" s="121">
        <v>7.8</v>
      </c>
      <c r="CC108" s="121">
        <v>6.52</v>
      </c>
      <c r="CD108" s="121">
        <v>6.65</v>
      </c>
      <c r="CE108" s="121">
        <v>8.7899999999999991</v>
      </c>
      <c r="CF108" s="121">
        <v>7.77</v>
      </c>
      <c r="CG108" s="121">
        <v>6.74</v>
      </c>
      <c r="CH108" s="121">
        <v>6.86</v>
      </c>
      <c r="CI108" s="121">
        <v>7.23</v>
      </c>
    </row>
    <row r="109" spans="1:87" x14ac:dyDescent="0.2">
      <c r="A109" s="83"/>
      <c r="B109" s="314"/>
      <c r="C109" s="314"/>
      <c r="D109" s="314"/>
      <c r="E109" s="324"/>
      <c r="F109" s="324"/>
      <c r="G109" s="311"/>
      <c r="H109" s="314"/>
      <c r="I109" s="314"/>
      <c r="J109" s="324"/>
      <c r="K109" s="311"/>
      <c r="L109" s="314"/>
      <c r="M109" s="20"/>
      <c r="N109" s="96"/>
      <c r="O109" s="71"/>
      <c r="P109" s="20"/>
      <c r="Q109" s="20"/>
      <c r="R109" s="20"/>
      <c r="S109" s="96"/>
      <c r="T109" s="96"/>
      <c r="U109" s="8">
        <v>2022</v>
      </c>
      <c r="V109" s="133">
        <v>15963900</v>
      </c>
      <c r="W109" s="133"/>
      <c r="X109" s="55">
        <v>9696893</v>
      </c>
      <c r="Y109" s="133"/>
      <c r="Z109" s="55">
        <v>1032538</v>
      </c>
      <c r="AA109" s="55"/>
      <c r="AB109" s="55">
        <v>1439321</v>
      </c>
      <c r="AC109" s="55"/>
      <c r="AD109" s="133">
        <v>6876824</v>
      </c>
      <c r="AE109" s="55"/>
      <c r="AF109" s="133">
        <v>48643123</v>
      </c>
      <c r="AG109" s="55"/>
      <c r="AH109" s="55">
        <v>16636526</v>
      </c>
      <c r="AI109" s="55"/>
      <c r="AJ109" s="55">
        <v>1780161</v>
      </c>
      <c r="AK109" s="133">
        <v>1734604</v>
      </c>
      <c r="AL109" s="55"/>
      <c r="AM109" s="133">
        <v>5674191</v>
      </c>
      <c r="AN109" s="55"/>
      <c r="AO109" s="133">
        <v>51093823</v>
      </c>
      <c r="AP109" s="55"/>
      <c r="AQ109" s="133">
        <v>14981786</v>
      </c>
      <c r="AR109" s="55"/>
      <c r="AS109" s="133">
        <v>15994013</v>
      </c>
      <c r="AT109" s="55"/>
      <c r="AU109" s="133">
        <v>19911544</v>
      </c>
      <c r="AV109" s="133"/>
      <c r="AW109" s="133">
        <v>6272155</v>
      </c>
      <c r="AX109" s="55"/>
      <c r="AY109" s="133">
        <v>20317550</v>
      </c>
      <c r="AZ109" s="133"/>
      <c r="BA109" s="133">
        <v>7433538</v>
      </c>
      <c r="BB109" s="133"/>
      <c r="BC109" s="55">
        <v>33001028</v>
      </c>
      <c r="BD109" s="120">
        <v>152876841</v>
      </c>
      <c r="BE109" s="54"/>
      <c r="BF109" s="31"/>
      <c r="BG109" s="113"/>
      <c r="BH109" s="55"/>
      <c r="BI109" s="73"/>
      <c r="BJ109" s="73"/>
      <c r="BK109" s="73"/>
      <c r="BO109" s="26">
        <v>2029</v>
      </c>
      <c r="BP109" s="130">
        <v>27.35</v>
      </c>
      <c r="BQ109" s="130">
        <v>24.35</v>
      </c>
      <c r="BR109" s="130">
        <v>17.13</v>
      </c>
      <c r="BS109" s="130">
        <v>14.5</v>
      </c>
      <c r="BT109" s="130">
        <v>18.84</v>
      </c>
      <c r="BU109" s="130">
        <v>13.92</v>
      </c>
      <c r="BV109" s="130">
        <v>18.62</v>
      </c>
      <c r="BW109" s="130">
        <v>17.899999999999999</v>
      </c>
      <c r="BX109" s="130">
        <v>18.010000000000002</v>
      </c>
      <c r="BZ109" s="26">
        <f t="shared" si="69"/>
        <v>2029</v>
      </c>
      <c r="CA109" s="121">
        <v>9.41</v>
      </c>
      <c r="CB109" s="121">
        <v>7.89</v>
      </c>
      <c r="CC109" s="121">
        <v>6.58</v>
      </c>
      <c r="CD109" s="121">
        <v>6.72</v>
      </c>
      <c r="CE109" s="121">
        <v>8.8699999999999992</v>
      </c>
      <c r="CF109" s="121">
        <v>7.82</v>
      </c>
      <c r="CG109" s="121">
        <v>6.76</v>
      </c>
      <c r="CH109" s="121">
        <v>6.95</v>
      </c>
      <c r="CI109" s="121">
        <v>7.32</v>
      </c>
    </row>
    <row r="110" spans="1:87" x14ac:dyDescent="0.2">
      <c r="A110" s="83"/>
      <c r="B110" s="314"/>
      <c r="C110" s="314"/>
      <c r="D110" s="314"/>
      <c r="E110" s="324"/>
      <c r="F110" s="324"/>
      <c r="G110" s="311"/>
      <c r="H110" s="314"/>
      <c r="I110" s="314"/>
      <c r="J110" s="324"/>
      <c r="K110" s="311"/>
      <c r="L110" s="314"/>
      <c r="M110" s="20"/>
      <c r="N110" s="96"/>
      <c r="O110" s="71"/>
      <c r="P110" s="20"/>
      <c r="Q110" s="20"/>
      <c r="R110" s="20"/>
      <c r="S110" s="96"/>
      <c r="T110" s="96"/>
      <c r="U110" s="8">
        <v>2023</v>
      </c>
      <c r="V110" s="133">
        <v>15871209</v>
      </c>
      <c r="W110" s="133"/>
      <c r="X110" s="55">
        <v>9772733</v>
      </c>
      <c r="Y110" s="133"/>
      <c r="Z110" s="55">
        <v>1061184</v>
      </c>
      <c r="AA110" s="55"/>
      <c r="AB110" s="55">
        <v>1403499</v>
      </c>
      <c r="AC110" s="55"/>
      <c r="AD110" s="133">
        <v>6785522</v>
      </c>
      <c r="AE110" s="55"/>
      <c r="AF110" s="133">
        <v>48797369</v>
      </c>
      <c r="AG110" s="55"/>
      <c r="AH110" s="55">
        <v>16836778</v>
      </c>
      <c r="AI110" s="55"/>
      <c r="AJ110" s="55">
        <v>1823393</v>
      </c>
      <c r="AK110" s="133">
        <v>1729444</v>
      </c>
      <c r="AL110" s="55"/>
      <c r="AM110" s="133">
        <v>5720801</v>
      </c>
      <c r="AN110" s="55"/>
      <c r="AO110" s="133">
        <v>51207823</v>
      </c>
      <c r="AP110" s="55"/>
      <c r="AQ110" s="133">
        <v>15108760</v>
      </c>
      <c r="AR110" s="55"/>
      <c r="AS110" s="133">
        <v>16008681</v>
      </c>
      <c r="AT110" s="55"/>
      <c r="AU110" s="133">
        <v>19851294</v>
      </c>
      <c r="AV110" s="133"/>
      <c r="AW110" s="133">
        <v>6279371</v>
      </c>
      <c r="AX110" s="55"/>
      <c r="AY110" s="133">
        <v>20572519</v>
      </c>
      <c r="AZ110" s="133"/>
      <c r="BA110" s="133">
        <v>7497596</v>
      </c>
      <c r="BB110" s="133"/>
      <c r="BC110" s="55">
        <v>32864530</v>
      </c>
      <c r="BD110" s="120">
        <v>156994106</v>
      </c>
      <c r="BE110" s="54"/>
      <c r="BF110" s="31"/>
      <c r="BG110" s="113"/>
      <c r="BH110" s="55"/>
      <c r="BI110" s="31"/>
      <c r="BJ110" s="31"/>
      <c r="BK110" s="31"/>
      <c r="BO110" s="26">
        <v>2030</v>
      </c>
      <c r="BP110" s="130">
        <v>27.11</v>
      </c>
      <c r="BQ110" s="130">
        <v>24.28</v>
      </c>
      <c r="BR110" s="130">
        <v>17.14</v>
      </c>
      <c r="BS110" s="130">
        <v>14.48</v>
      </c>
      <c r="BT110" s="130">
        <v>18.79</v>
      </c>
      <c r="BU110" s="130">
        <v>13.82</v>
      </c>
      <c r="BV110" s="130">
        <v>18.54</v>
      </c>
      <c r="BW110" s="130">
        <v>18.03</v>
      </c>
      <c r="BX110" s="130">
        <v>17.91</v>
      </c>
      <c r="BZ110" s="26">
        <f t="shared" si="69"/>
        <v>2030</v>
      </c>
      <c r="CA110" s="121">
        <v>9.5399999999999991</v>
      </c>
      <c r="CB110" s="121">
        <v>8</v>
      </c>
      <c r="CC110" s="121">
        <v>6.64</v>
      </c>
      <c r="CD110" s="121">
        <v>6.79</v>
      </c>
      <c r="CE110" s="121">
        <v>8.9499999999999993</v>
      </c>
      <c r="CF110" s="121">
        <v>7.9</v>
      </c>
      <c r="CG110" s="121">
        <v>6.8</v>
      </c>
      <c r="CH110" s="121">
        <v>7.03</v>
      </c>
      <c r="CI110" s="121">
        <v>7.4</v>
      </c>
    </row>
    <row r="111" spans="1:87" x14ac:dyDescent="0.2">
      <c r="A111" s="83"/>
      <c r="B111" s="314"/>
      <c r="C111" s="314"/>
      <c r="D111" s="314"/>
      <c r="E111" s="324"/>
      <c r="F111" s="324"/>
      <c r="G111" s="311"/>
      <c r="H111" s="314"/>
      <c r="I111" s="314"/>
      <c r="J111" s="324"/>
      <c r="K111" s="311"/>
      <c r="L111" s="314"/>
      <c r="M111" s="20"/>
      <c r="N111" s="96"/>
      <c r="O111" s="71"/>
      <c r="P111" s="20"/>
      <c r="Q111" s="20"/>
      <c r="R111" s="20"/>
      <c r="S111" s="96"/>
      <c r="T111" s="96"/>
      <c r="U111" s="8">
        <v>2024</v>
      </c>
      <c r="V111" s="133">
        <v>15826762</v>
      </c>
      <c r="W111" s="133"/>
      <c r="X111" s="55">
        <v>9883257</v>
      </c>
      <c r="Y111" s="133"/>
      <c r="Z111" s="55">
        <v>1091685</v>
      </c>
      <c r="AA111" s="55"/>
      <c r="AB111" s="55">
        <v>1372160</v>
      </c>
      <c r="AC111" s="55"/>
      <c r="AD111" s="133">
        <v>6702610</v>
      </c>
      <c r="AE111" s="55"/>
      <c r="AF111" s="133">
        <v>49026417</v>
      </c>
      <c r="AG111" s="55"/>
      <c r="AH111" s="55">
        <v>17058263</v>
      </c>
      <c r="AI111" s="55"/>
      <c r="AJ111" s="55">
        <v>1865202</v>
      </c>
      <c r="AK111" s="133">
        <v>1737541</v>
      </c>
      <c r="AL111" s="55"/>
      <c r="AM111" s="133">
        <v>5789121</v>
      </c>
      <c r="AN111" s="55"/>
      <c r="AO111" s="133">
        <v>51408373</v>
      </c>
      <c r="AP111" s="55"/>
      <c r="AQ111" s="133">
        <v>15275823</v>
      </c>
      <c r="AR111" s="55"/>
      <c r="AS111" s="133">
        <v>16102578</v>
      </c>
      <c r="AT111" s="55"/>
      <c r="AU111" s="133">
        <v>19873103</v>
      </c>
      <c r="AV111" s="133"/>
      <c r="AW111" s="133">
        <v>6306207</v>
      </c>
      <c r="AX111" s="55"/>
      <c r="AY111" s="133">
        <v>20902863</v>
      </c>
      <c r="AZ111" s="133"/>
      <c r="BA111" s="133">
        <v>7578273</v>
      </c>
      <c r="BB111" s="133"/>
      <c r="BC111" s="55">
        <v>32899486</v>
      </c>
      <c r="BD111" s="120">
        <v>161686644</v>
      </c>
      <c r="BE111" s="54"/>
      <c r="BF111" s="31"/>
      <c r="BG111" s="113"/>
      <c r="BH111" s="55"/>
      <c r="BI111" s="31"/>
      <c r="BJ111" s="31"/>
      <c r="BK111" s="31"/>
      <c r="BO111" s="26">
        <v>2031</v>
      </c>
      <c r="BP111" s="130">
        <v>26.94</v>
      </c>
      <c r="BQ111" s="130">
        <v>24.28</v>
      </c>
      <c r="BR111" s="130">
        <v>17.22</v>
      </c>
      <c r="BS111" s="130">
        <v>14.49</v>
      </c>
      <c r="BT111" s="130">
        <v>18.82</v>
      </c>
      <c r="BU111" s="130">
        <v>13.85</v>
      </c>
      <c r="BV111" s="130">
        <v>18.690000000000001</v>
      </c>
      <c r="BW111" s="130">
        <v>18.16</v>
      </c>
      <c r="BX111" s="130">
        <v>17.809999999999999</v>
      </c>
      <c r="BZ111" s="26">
        <f>BZ110+1</f>
        <v>2031</v>
      </c>
      <c r="CA111" s="121">
        <v>9.67</v>
      </c>
      <c r="CB111" s="121">
        <v>8.1</v>
      </c>
      <c r="CC111" s="121">
        <v>6.73</v>
      </c>
      <c r="CD111" s="121">
        <v>6.87</v>
      </c>
      <c r="CE111" s="121">
        <v>9.06</v>
      </c>
      <c r="CF111" s="121">
        <v>8.02</v>
      </c>
      <c r="CG111" s="121">
        <v>6.89</v>
      </c>
      <c r="CH111" s="121">
        <v>7.13</v>
      </c>
      <c r="CI111" s="121">
        <v>7.48</v>
      </c>
    </row>
    <row r="112" spans="1:87" x14ac:dyDescent="0.2">
      <c r="A112" s="83"/>
      <c r="B112" s="314"/>
      <c r="C112" s="314"/>
      <c r="D112" s="314"/>
      <c r="E112" s="324"/>
      <c r="F112" s="324"/>
      <c r="G112" s="311"/>
      <c r="H112" s="314"/>
      <c r="I112" s="314"/>
      <c r="J112" s="324"/>
      <c r="K112" s="311"/>
      <c r="L112" s="314"/>
      <c r="M112" s="20"/>
      <c r="N112" s="96"/>
      <c r="O112" s="71"/>
      <c r="P112" s="20"/>
      <c r="Q112" s="20"/>
      <c r="R112" s="20"/>
      <c r="S112" s="96"/>
      <c r="T112" s="96"/>
      <c r="U112" s="8">
        <v>2025</v>
      </c>
      <c r="V112" s="133">
        <v>15667855</v>
      </c>
      <c r="W112" s="133"/>
      <c r="X112" s="55">
        <v>9930661</v>
      </c>
      <c r="Y112" s="133"/>
      <c r="Z112" s="55">
        <v>1113841</v>
      </c>
      <c r="AA112" s="55"/>
      <c r="AB112" s="55">
        <v>1332612</v>
      </c>
      <c r="AC112" s="55"/>
      <c r="AD112" s="133">
        <v>6612175</v>
      </c>
      <c r="AE112" s="55"/>
      <c r="AF112" s="133">
        <v>49215047</v>
      </c>
      <c r="AG112" s="55"/>
      <c r="AH112" s="55">
        <v>17268310</v>
      </c>
      <c r="AI112" s="55"/>
      <c r="AJ112" s="55">
        <v>1902807</v>
      </c>
      <c r="AK112" s="133">
        <v>1746768</v>
      </c>
      <c r="AL112" s="55"/>
      <c r="AM112" s="133">
        <v>5830680</v>
      </c>
      <c r="AN112" s="55"/>
      <c r="AO112" s="133">
        <v>51211651</v>
      </c>
      <c r="AP112" s="55"/>
      <c r="AQ112" s="133">
        <v>15356218</v>
      </c>
      <c r="AR112" s="55"/>
      <c r="AS112" s="133">
        <v>16124327</v>
      </c>
      <c r="AT112" s="55"/>
      <c r="AU112" s="133">
        <v>19819310</v>
      </c>
      <c r="AV112" s="133"/>
      <c r="AW112" s="133">
        <v>6299574</v>
      </c>
      <c r="AX112" s="55"/>
      <c r="AY112" s="133">
        <v>21107262</v>
      </c>
      <c r="AZ112" s="133"/>
      <c r="BA112" s="133">
        <v>7613585</v>
      </c>
      <c r="BB112" s="133"/>
      <c r="BC112" s="55">
        <v>32765808</v>
      </c>
      <c r="BD112" s="120">
        <v>165648104</v>
      </c>
      <c r="BE112" s="54"/>
      <c r="BF112" s="31"/>
      <c r="BG112" s="113"/>
      <c r="BH112" s="55"/>
      <c r="BI112" s="31"/>
      <c r="BJ112" s="31"/>
      <c r="BK112" s="31"/>
      <c r="BO112" s="26">
        <v>2032</v>
      </c>
      <c r="BP112" s="130">
        <v>26.96</v>
      </c>
      <c r="BQ112" s="130">
        <v>24.4</v>
      </c>
      <c r="BR112" s="130">
        <v>17.25</v>
      </c>
      <c r="BS112" s="130">
        <v>14.47</v>
      </c>
      <c r="BT112" s="130">
        <v>18.850000000000001</v>
      </c>
      <c r="BU112" s="130">
        <v>13.76</v>
      </c>
      <c r="BV112" s="130">
        <v>18.8</v>
      </c>
      <c r="BW112" s="130">
        <v>18.260000000000002</v>
      </c>
      <c r="BX112" s="130">
        <v>17.7</v>
      </c>
      <c r="BZ112" s="26">
        <f>BZ111+1</f>
        <v>2032</v>
      </c>
      <c r="CA112" s="121">
        <v>9.7799999999999994</v>
      </c>
      <c r="CB112" s="121">
        <v>8.18</v>
      </c>
      <c r="CC112" s="121">
        <v>6.82</v>
      </c>
      <c r="CD112" s="121">
        <v>6.96</v>
      </c>
      <c r="CE112" s="121">
        <v>9.17</v>
      </c>
      <c r="CF112" s="121">
        <v>8.14</v>
      </c>
      <c r="CG112" s="121">
        <v>6.98</v>
      </c>
      <c r="CH112" s="121">
        <v>7.22</v>
      </c>
      <c r="CI112" s="121">
        <v>7.58</v>
      </c>
    </row>
    <row r="113" spans="1:87" x14ac:dyDescent="0.2">
      <c r="A113" s="83"/>
      <c r="B113" s="314"/>
      <c r="C113" s="314"/>
      <c r="D113" s="314"/>
      <c r="E113" s="324"/>
      <c r="F113" s="324"/>
      <c r="G113" s="311"/>
      <c r="H113" s="314"/>
      <c r="I113" s="314"/>
      <c r="J113" s="324"/>
      <c r="K113" s="311"/>
      <c r="L113" s="314"/>
      <c r="M113" s="20"/>
      <c r="N113" s="96"/>
      <c r="O113" s="71"/>
      <c r="P113" s="20"/>
      <c r="Q113" s="20"/>
      <c r="R113" s="20"/>
      <c r="S113" s="96"/>
      <c r="T113" s="96"/>
      <c r="U113" s="23">
        <v>2026</v>
      </c>
      <c r="V113" s="133">
        <v>15517804</v>
      </c>
      <c r="W113" s="133"/>
      <c r="X113" s="55">
        <v>9985471</v>
      </c>
      <c r="Y113" s="133"/>
      <c r="Z113" s="55">
        <v>1135236</v>
      </c>
      <c r="AA113" s="55"/>
      <c r="AB113" s="55">
        <v>1295780</v>
      </c>
      <c r="AC113" s="55"/>
      <c r="AD113" s="133">
        <v>6509407</v>
      </c>
      <c r="AE113" s="55"/>
      <c r="AF113" s="133">
        <v>49311248</v>
      </c>
      <c r="AG113" s="55"/>
      <c r="AH113" s="55">
        <v>17444505</v>
      </c>
      <c r="AI113" s="55"/>
      <c r="AJ113" s="55">
        <v>1933302</v>
      </c>
      <c r="AK113" s="133">
        <v>1760799</v>
      </c>
      <c r="AL113" s="55"/>
      <c r="AM113" s="133">
        <v>5892167</v>
      </c>
      <c r="AN113" s="55"/>
      <c r="AO113" s="133">
        <v>51031057</v>
      </c>
      <c r="AP113" s="55"/>
      <c r="AQ113" s="133">
        <v>15473031</v>
      </c>
      <c r="AR113" s="55"/>
      <c r="AS113" s="133">
        <v>16200418</v>
      </c>
      <c r="AT113" s="55"/>
      <c r="AU113" s="133">
        <v>19851669</v>
      </c>
      <c r="AV113" s="133"/>
      <c r="AW113" s="133">
        <v>6312383</v>
      </c>
      <c r="AX113" s="55"/>
      <c r="AY113" s="133">
        <v>21346309</v>
      </c>
      <c r="AZ113" s="133"/>
      <c r="BA113" s="133">
        <v>7664331</v>
      </c>
      <c r="BB113" s="133"/>
      <c r="BC113" s="55">
        <v>32707288</v>
      </c>
      <c r="BD113" s="55">
        <v>169612620</v>
      </c>
      <c r="BE113" s="54"/>
      <c r="BF113" s="31"/>
      <c r="BG113" s="113"/>
      <c r="BH113" s="55"/>
      <c r="BI113" s="31"/>
      <c r="BJ113" s="31"/>
      <c r="BK113" s="31"/>
      <c r="BO113" s="26">
        <v>2033</v>
      </c>
      <c r="BP113" s="130">
        <v>27.06</v>
      </c>
      <c r="BQ113" s="130">
        <v>24.54</v>
      </c>
      <c r="BR113" s="130">
        <v>17.32</v>
      </c>
      <c r="BS113" s="130">
        <v>14.53</v>
      </c>
      <c r="BT113" s="130">
        <v>18.91</v>
      </c>
      <c r="BU113" s="130">
        <v>13.81</v>
      </c>
      <c r="BV113" s="130">
        <v>18.95</v>
      </c>
      <c r="BW113" s="130">
        <v>18.41</v>
      </c>
      <c r="BX113" s="130">
        <v>17.600000000000001</v>
      </c>
      <c r="BZ113" s="26">
        <f>BZ112+1</f>
        <v>2033</v>
      </c>
      <c r="CA113" s="121">
        <v>9.91</v>
      </c>
      <c r="CB113" s="121">
        <v>8.2799999999999994</v>
      </c>
      <c r="CC113" s="121">
        <v>6.92</v>
      </c>
      <c r="CD113" s="121">
        <v>7.07</v>
      </c>
      <c r="CE113" s="121">
        <v>9.2799999999999994</v>
      </c>
      <c r="CF113" s="121">
        <v>8.25</v>
      </c>
      <c r="CG113" s="121">
        <v>7.05</v>
      </c>
      <c r="CH113" s="121">
        <v>7.31</v>
      </c>
      <c r="CI113" s="121">
        <v>7.69</v>
      </c>
    </row>
    <row r="114" spans="1:87" x14ac:dyDescent="0.2">
      <c r="A114" s="83"/>
      <c r="B114" s="314"/>
      <c r="C114" s="314"/>
      <c r="D114" s="314"/>
      <c r="E114" s="324"/>
      <c r="F114" s="324"/>
      <c r="G114" s="311"/>
      <c r="H114" s="314"/>
      <c r="I114" s="314"/>
      <c r="J114" s="324"/>
      <c r="K114" s="311"/>
      <c r="L114" s="314"/>
      <c r="M114" s="20"/>
      <c r="N114" s="96"/>
      <c r="O114" s="71"/>
      <c r="P114" s="20"/>
      <c r="Q114" s="20"/>
      <c r="R114" s="20"/>
      <c r="S114" s="96"/>
      <c r="T114" s="96"/>
      <c r="U114" s="23">
        <v>2027</v>
      </c>
      <c r="V114" s="133">
        <v>15367343</v>
      </c>
      <c r="W114" s="133"/>
      <c r="X114" s="55">
        <v>10033930</v>
      </c>
      <c r="Y114" s="133"/>
      <c r="Z114" s="55">
        <v>1154089</v>
      </c>
      <c r="AA114" s="55"/>
      <c r="AB114" s="55">
        <v>1259584</v>
      </c>
      <c r="AC114" s="55"/>
      <c r="AD114" s="133">
        <v>6412925</v>
      </c>
      <c r="AE114" s="55"/>
      <c r="AF114" s="133">
        <v>49436215</v>
      </c>
      <c r="AG114" s="55"/>
      <c r="AH114" s="55">
        <v>17622260</v>
      </c>
      <c r="AI114" s="55"/>
      <c r="AJ114" s="55">
        <v>1960266</v>
      </c>
      <c r="AK114" s="133">
        <v>1774320</v>
      </c>
      <c r="AL114" s="55"/>
      <c r="AM114" s="133">
        <v>5954377</v>
      </c>
      <c r="AN114" s="55"/>
      <c r="AO114" s="133">
        <v>50782956</v>
      </c>
      <c r="AP114" s="55"/>
      <c r="AQ114" s="133">
        <v>15585014</v>
      </c>
      <c r="AR114" s="55"/>
      <c r="AS114" s="133">
        <v>16291255</v>
      </c>
      <c r="AT114" s="55"/>
      <c r="AU114" s="133">
        <v>19911517</v>
      </c>
      <c r="AV114" s="133"/>
      <c r="AW114" s="133">
        <v>6325412</v>
      </c>
      <c r="AX114" s="55"/>
      <c r="AY114" s="133">
        <v>21586346</v>
      </c>
      <c r="AZ114" s="133"/>
      <c r="BA114" s="133">
        <v>7709971</v>
      </c>
      <c r="BB114" s="133"/>
      <c r="BC114" s="55">
        <v>32661393</v>
      </c>
      <c r="BD114" s="55">
        <v>173653334</v>
      </c>
      <c r="BE114" s="54"/>
      <c r="BF114" s="31"/>
      <c r="BG114" s="113"/>
      <c r="BH114" s="55"/>
      <c r="BO114" s="26">
        <v>2034</v>
      </c>
      <c r="BP114" s="130">
        <v>27.17</v>
      </c>
      <c r="BQ114" s="130">
        <v>24.71</v>
      </c>
      <c r="BR114" s="130">
        <v>17.46</v>
      </c>
      <c r="BS114" s="130">
        <v>14.61</v>
      </c>
      <c r="BT114" s="130">
        <v>19.02</v>
      </c>
      <c r="BU114" s="130">
        <v>13.85</v>
      </c>
      <c r="BV114" s="130">
        <v>19.04</v>
      </c>
      <c r="BW114" s="130">
        <v>18.55</v>
      </c>
      <c r="BX114" s="130">
        <v>17.62</v>
      </c>
      <c r="BZ114" s="26">
        <f>BZ113+1</f>
        <v>2034</v>
      </c>
      <c r="CA114" s="121">
        <v>10.01</v>
      </c>
      <c r="CB114" s="121">
        <v>8.34</v>
      </c>
      <c r="CC114" s="121">
        <v>7.03</v>
      </c>
      <c r="CD114" s="121">
        <v>7.2</v>
      </c>
      <c r="CE114" s="121">
        <v>9.4</v>
      </c>
      <c r="CF114" s="121">
        <v>8.39</v>
      </c>
      <c r="CG114" s="121">
        <v>7.15</v>
      </c>
      <c r="CH114" s="121">
        <v>7.45</v>
      </c>
      <c r="CI114" s="121">
        <v>7.82</v>
      </c>
    </row>
    <row r="115" spans="1:87" x14ac:dyDescent="0.2">
      <c r="A115" s="83"/>
      <c r="B115" s="314"/>
      <c r="C115" s="314"/>
      <c r="D115" s="314"/>
      <c r="E115" s="324"/>
      <c r="F115" s="324"/>
      <c r="G115" s="311"/>
      <c r="H115" s="314"/>
      <c r="I115" s="314"/>
      <c r="J115" s="324"/>
      <c r="K115" s="311"/>
      <c r="L115" s="314"/>
      <c r="M115" s="20"/>
      <c r="N115" s="96"/>
      <c r="O115" s="71"/>
      <c r="P115" s="20"/>
      <c r="Q115" s="20"/>
      <c r="R115" s="20"/>
      <c r="S115" s="96"/>
      <c r="T115" s="96"/>
      <c r="U115" s="23">
        <v>2028</v>
      </c>
      <c r="V115" s="133">
        <v>15253553</v>
      </c>
      <c r="W115" s="133"/>
      <c r="X115" s="55">
        <v>10097637</v>
      </c>
      <c r="Y115" s="133"/>
      <c r="Z115" s="55">
        <v>1173268</v>
      </c>
      <c r="AA115" s="55"/>
      <c r="AB115" s="55">
        <v>1227001</v>
      </c>
      <c r="AC115" s="55"/>
      <c r="AD115" s="133">
        <v>6315906</v>
      </c>
      <c r="AE115" s="55"/>
      <c r="AF115" s="133">
        <v>49504716</v>
      </c>
      <c r="AG115" s="55"/>
      <c r="AH115" s="55">
        <v>17771198</v>
      </c>
      <c r="AI115" s="55"/>
      <c r="AJ115" s="55">
        <v>1981068</v>
      </c>
      <c r="AK115" s="133">
        <v>1791839</v>
      </c>
      <c r="AL115" s="55"/>
      <c r="AM115" s="133">
        <v>6032191</v>
      </c>
      <c r="AN115" s="55"/>
      <c r="AO115" s="133">
        <v>50596208</v>
      </c>
      <c r="AP115" s="55"/>
      <c r="AQ115" s="133">
        <v>15732554</v>
      </c>
      <c r="AR115" s="55"/>
      <c r="AS115" s="133">
        <v>16423069</v>
      </c>
      <c r="AT115" s="55"/>
      <c r="AU115" s="133">
        <v>20035436</v>
      </c>
      <c r="AV115" s="133"/>
      <c r="AW115" s="133">
        <v>6354709</v>
      </c>
      <c r="AX115" s="55"/>
      <c r="AY115" s="133">
        <v>21885330</v>
      </c>
      <c r="AZ115" s="133"/>
      <c r="BA115" s="133">
        <v>7774128</v>
      </c>
      <c r="BB115" s="133"/>
      <c r="BC115" s="55">
        <v>32709214</v>
      </c>
      <c r="BD115" s="55">
        <v>178213991</v>
      </c>
      <c r="BE115" s="54"/>
      <c r="BF115" s="31"/>
      <c r="BG115" s="113"/>
      <c r="BH115" s="55"/>
      <c r="BO115" s="26">
        <v>2035</v>
      </c>
      <c r="BP115" s="130">
        <v>27.28</v>
      </c>
      <c r="BQ115" s="130">
        <v>24.81</v>
      </c>
      <c r="BR115" s="130">
        <v>17.48</v>
      </c>
      <c r="BS115" s="130">
        <v>14.62</v>
      </c>
      <c r="BT115" s="130">
        <v>19.07</v>
      </c>
      <c r="BU115" s="130">
        <v>13.65</v>
      </c>
      <c r="BV115" s="130">
        <v>19.239999999999998</v>
      </c>
      <c r="BW115" s="130">
        <v>18.68</v>
      </c>
      <c r="BX115" s="130">
        <v>17.68</v>
      </c>
      <c r="BZ115" s="26">
        <f>BZ114+1</f>
        <v>2035</v>
      </c>
      <c r="CA115" s="121">
        <v>10.07</v>
      </c>
      <c r="CB115" s="121">
        <v>8.35</v>
      </c>
      <c r="CC115" s="121">
        <v>7.16</v>
      </c>
      <c r="CD115" s="121">
        <v>7.34</v>
      </c>
      <c r="CE115" s="121">
        <v>9.5399999999999991</v>
      </c>
      <c r="CF115" s="121">
        <v>8.57</v>
      </c>
      <c r="CG115" s="121">
        <v>7.29</v>
      </c>
      <c r="CH115" s="121">
        <v>7.59</v>
      </c>
      <c r="CI115" s="121">
        <v>7.97</v>
      </c>
    </row>
    <row r="116" spans="1:87" x14ac:dyDescent="0.2">
      <c r="A116" s="83"/>
      <c r="B116" s="314"/>
      <c r="C116" s="314"/>
      <c r="D116" s="314"/>
      <c r="E116" s="324"/>
      <c r="F116" s="324"/>
      <c r="G116" s="311"/>
      <c r="H116" s="314"/>
      <c r="I116" s="314"/>
      <c r="J116" s="324"/>
      <c r="K116" s="311"/>
      <c r="L116" s="314"/>
      <c r="S116" s="96"/>
      <c r="T116" s="96"/>
      <c r="U116" s="23">
        <v>2029</v>
      </c>
      <c r="V116" s="133">
        <v>15049895</v>
      </c>
      <c r="W116" s="133"/>
      <c r="X116" s="55">
        <v>10099846</v>
      </c>
      <c r="Y116" s="133"/>
      <c r="Z116" s="55">
        <v>1183893</v>
      </c>
      <c r="AA116" s="55"/>
      <c r="AB116" s="55">
        <v>1187729</v>
      </c>
      <c r="AC116" s="55"/>
      <c r="AD116" s="133">
        <v>6229289</v>
      </c>
      <c r="AE116" s="55"/>
      <c r="AF116" s="133">
        <v>49607604</v>
      </c>
      <c r="AG116" s="55"/>
      <c r="AH116" s="55">
        <v>17927403</v>
      </c>
      <c r="AI116" s="55"/>
      <c r="AJ116" s="55">
        <v>2000115</v>
      </c>
      <c r="AK116" s="133">
        <v>1798780</v>
      </c>
      <c r="AL116" s="55"/>
      <c r="AM116" s="133">
        <v>6076781</v>
      </c>
      <c r="AN116" s="55"/>
      <c r="AO116" s="133">
        <v>50069639</v>
      </c>
      <c r="AP116" s="55"/>
      <c r="AQ116" s="133">
        <v>15789118</v>
      </c>
      <c r="AR116" s="55"/>
      <c r="AS116" s="133">
        <v>16466371</v>
      </c>
      <c r="AT116" s="55"/>
      <c r="AU116" s="133">
        <v>20055283</v>
      </c>
      <c r="AV116" s="133"/>
      <c r="AW116" s="133">
        <v>6348807</v>
      </c>
      <c r="AX116" s="55"/>
      <c r="AY116" s="133">
        <v>22069758</v>
      </c>
      <c r="AZ116" s="133"/>
      <c r="BA116" s="133">
        <v>7786722</v>
      </c>
      <c r="BB116" s="133"/>
      <c r="BC116" s="55">
        <v>32590224</v>
      </c>
      <c r="BD116" s="55">
        <v>181528251</v>
      </c>
      <c r="BE116" s="54"/>
      <c r="BF116" s="31"/>
      <c r="BG116" s="113"/>
      <c r="BH116" s="55"/>
    </row>
    <row r="117" spans="1:87" x14ac:dyDescent="0.2">
      <c r="A117" s="83"/>
      <c r="B117" s="314"/>
      <c r="C117" s="314"/>
      <c r="D117" s="314"/>
      <c r="E117" s="324"/>
      <c r="F117" s="324"/>
      <c r="G117" s="311"/>
      <c r="H117" s="314"/>
      <c r="I117" s="314"/>
      <c r="J117" s="324"/>
      <c r="K117" s="311"/>
      <c r="L117" s="314"/>
      <c r="S117" s="96"/>
      <c r="T117" s="96"/>
      <c r="U117" s="23">
        <v>2030</v>
      </c>
      <c r="V117" s="133">
        <v>14913886</v>
      </c>
      <c r="W117" s="133"/>
      <c r="X117" s="55">
        <v>10148886</v>
      </c>
      <c r="Y117" s="133"/>
      <c r="Z117" s="55">
        <v>1198950</v>
      </c>
      <c r="AA117" s="55"/>
      <c r="AB117" s="55">
        <v>1153162</v>
      </c>
      <c r="AC117" s="55"/>
      <c r="AD117" s="133">
        <v>6156827</v>
      </c>
      <c r="AE117" s="55"/>
      <c r="AF117" s="133">
        <v>49780084</v>
      </c>
      <c r="AG117" s="55"/>
      <c r="AH117" s="55">
        <v>18106404</v>
      </c>
      <c r="AI117" s="55"/>
      <c r="AJ117" s="55">
        <v>2020535</v>
      </c>
      <c r="AK117" s="133">
        <v>1810522</v>
      </c>
      <c r="AL117" s="55"/>
      <c r="AM117" s="133">
        <v>6140232</v>
      </c>
      <c r="AN117" s="55"/>
      <c r="AO117" s="133">
        <v>49699340</v>
      </c>
      <c r="AP117" s="55"/>
      <c r="AQ117" s="133">
        <v>15891537</v>
      </c>
      <c r="AR117" s="55"/>
      <c r="AS117" s="133">
        <v>16580570</v>
      </c>
      <c r="AT117" s="55"/>
      <c r="AU117" s="133">
        <v>20141000</v>
      </c>
      <c r="AV117" s="133"/>
      <c r="AW117" s="133">
        <v>6361736</v>
      </c>
      <c r="AX117" s="55"/>
      <c r="AY117" s="133">
        <v>22354464</v>
      </c>
      <c r="AZ117" s="133"/>
      <c r="BA117" s="133">
        <v>7816115</v>
      </c>
      <c r="BB117" s="133"/>
      <c r="BC117" s="55">
        <v>32618771</v>
      </c>
      <c r="BD117" s="55">
        <v>185903808</v>
      </c>
      <c r="BE117" s="54"/>
      <c r="BF117" s="31"/>
      <c r="BG117" s="113"/>
      <c r="BH117" s="55"/>
    </row>
    <row r="118" spans="1:87" x14ac:dyDescent="0.2">
      <c r="A118" s="83"/>
      <c r="B118" s="314"/>
      <c r="C118" s="314"/>
      <c r="D118" s="314"/>
      <c r="E118" s="324"/>
      <c r="F118" s="324"/>
      <c r="G118" s="311"/>
      <c r="H118" s="314"/>
      <c r="I118" s="314"/>
      <c r="J118" s="324"/>
      <c r="K118" s="311"/>
      <c r="L118" s="314"/>
      <c r="S118" s="96"/>
      <c r="T118" s="96"/>
      <c r="U118" s="23">
        <v>2031</v>
      </c>
      <c r="V118" s="132">
        <v>14764766</v>
      </c>
      <c r="W118" s="132"/>
      <c r="X118" s="132">
        <v>10188405</v>
      </c>
      <c r="Y118" s="132"/>
      <c r="Z118" s="132">
        <v>1212206</v>
      </c>
      <c r="AA118" s="132"/>
      <c r="AB118" s="132">
        <v>1118526</v>
      </c>
      <c r="AC118" s="132"/>
      <c r="AD118" s="132">
        <v>6078219</v>
      </c>
      <c r="AE118" s="132"/>
      <c r="AF118" s="132">
        <v>49877133</v>
      </c>
      <c r="AG118" s="132"/>
      <c r="AH118" s="132">
        <v>18257256</v>
      </c>
      <c r="AI118" s="132"/>
      <c r="AJ118" s="132">
        <v>2036730</v>
      </c>
      <c r="AK118" s="132">
        <v>1821925</v>
      </c>
      <c r="AL118" s="132"/>
      <c r="AM118" s="132">
        <v>6204831</v>
      </c>
      <c r="AN118" s="132"/>
      <c r="AO118" s="132">
        <v>49273830</v>
      </c>
      <c r="AP118" s="132"/>
      <c r="AQ118" s="132">
        <v>15987712</v>
      </c>
      <c r="AR118" s="132"/>
      <c r="AS118" s="132">
        <v>16687726</v>
      </c>
      <c r="AT118" s="132"/>
      <c r="AU118" s="132">
        <v>20233673</v>
      </c>
      <c r="AV118" s="132"/>
      <c r="AW118" s="132">
        <v>6375751</v>
      </c>
      <c r="AX118" s="132"/>
      <c r="AY118" s="132">
        <v>22630150</v>
      </c>
      <c r="AZ118" s="132"/>
      <c r="BA118" s="132">
        <v>7834260</v>
      </c>
      <c r="BB118" s="132"/>
      <c r="BC118" s="132">
        <v>32675180</v>
      </c>
      <c r="BD118" s="132">
        <v>189776430</v>
      </c>
      <c r="BE118" s="54"/>
      <c r="BF118" s="31"/>
      <c r="BG118" s="113"/>
      <c r="BH118" s="55"/>
    </row>
    <row r="119" spans="1:87" x14ac:dyDescent="0.2">
      <c r="A119" s="83"/>
      <c r="B119" s="314"/>
      <c r="C119" s="314"/>
      <c r="D119" s="314"/>
      <c r="E119" s="324"/>
      <c r="F119" s="324"/>
      <c r="G119" s="311"/>
      <c r="H119" s="314"/>
      <c r="I119" s="314"/>
      <c r="J119" s="324"/>
      <c r="K119" s="311"/>
      <c r="L119" s="314"/>
      <c r="S119" s="96"/>
      <c r="T119" s="96"/>
      <c r="U119" s="23">
        <v>2032</v>
      </c>
      <c r="V119" s="132">
        <v>14653256</v>
      </c>
      <c r="W119" s="132"/>
      <c r="X119" s="132">
        <v>10251112</v>
      </c>
      <c r="Y119" s="132"/>
      <c r="Z119" s="132">
        <v>1227442</v>
      </c>
      <c r="AA119" s="132"/>
      <c r="AB119" s="132">
        <v>1086799</v>
      </c>
      <c r="AC119" s="132"/>
      <c r="AD119" s="132">
        <v>6009648</v>
      </c>
      <c r="AE119" s="132"/>
      <c r="AF119" s="132">
        <v>50016579</v>
      </c>
      <c r="AG119" s="132"/>
      <c r="AH119" s="132">
        <v>18417954</v>
      </c>
      <c r="AI119" s="132"/>
      <c r="AJ119" s="132">
        <v>2052735</v>
      </c>
      <c r="AK119" s="132">
        <v>1837599</v>
      </c>
      <c r="AL119" s="132"/>
      <c r="AM119" s="132">
        <v>6283269</v>
      </c>
      <c r="AN119" s="132"/>
      <c r="AO119" s="132">
        <v>49018472</v>
      </c>
      <c r="AP119" s="132"/>
      <c r="AQ119" s="132">
        <v>16125127</v>
      </c>
      <c r="AR119" s="132"/>
      <c r="AS119" s="132">
        <v>16852755</v>
      </c>
      <c r="AT119" s="132"/>
      <c r="AU119" s="132">
        <v>20382562</v>
      </c>
      <c r="AV119" s="132"/>
      <c r="AW119" s="132">
        <v>6406805</v>
      </c>
      <c r="AX119" s="132"/>
      <c r="AY119" s="132">
        <v>22987262</v>
      </c>
      <c r="AZ119" s="132"/>
      <c r="BA119" s="132">
        <v>7865493</v>
      </c>
      <c r="BB119" s="132"/>
      <c r="BC119" s="132">
        <v>32867587</v>
      </c>
      <c r="BD119" s="132">
        <v>194260131</v>
      </c>
      <c r="BE119" s="54"/>
      <c r="BF119" s="31"/>
      <c r="BG119" s="113"/>
      <c r="BH119" s="55"/>
    </row>
    <row r="120" spans="1:87" x14ac:dyDescent="0.2">
      <c r="A120" s="83"/>
      <c r="B120" s="314"/>
      <c r="C120" s="314"/>
      <c r="D120" s="314"/>
      <c r="E120" s="324"/>
      <c r="F120" s="324"/>
      <c r="G120" s="311"/>
      <c r="H120" s="314"/>
      <c r="I120" s="314"/>
      <c r="J120" s="324"/>
      <c r="K120" s="311"/>
      <c r="L120" s="314"/>
      <c r="S120" s="96"/>
      <c r="U120" s="23">
        <v>2033</v>
      </c>
      <c r="V120" s="132">
        <v>14445202</v>
      </c>
      <c r="W120" s="132"/>
      <c r="X120" s="132">
        <v>10248056</v>
      </c>
      <c r="Y120" s="132"/>
      <c r="Z120" s="132">
        <v>1234191</v>
      </c>
      <c r="AA120" s="132"/>
      <c r="AB120" s="132">
        <v>1049133</v>
      </c>
      <c r="AC120" s="132"/>
      <c r="AD120" s="132">
        <v>5933947</v>
      </c>
      <c r="AE120" s="132"/>
      <c r="AF120" s="132">
        <v>50071958</v>
      </c>
      <c r="AG120" s="132"/>
      <c r="AH120" s="132">
        <v>18545614</v>
      </c>
      <c r="AI120" s="132"/>
      <c r="AJ120" s="132">
        <v>2064013</v>
      </c>
      <c r="AK120" s="132">
        <v>1842786</v>
      </c>
      <c r="AL120" s="132"/>
      <c r="AM120" s="132">
        <v>6325480</v>
      </c>
      <c r="AN120" s="132"/>
      <c r="AO120" s="132">
        <v>48502439</v>
      </c>
      <c r="AP120" s="132"/>
      <c r="AQ120" s="132">
        <v>16167263</v>
      </c>
      <c r="AR120" s="132"/>
      <c r="AS120" s="132">
        <v>16910942</v>
      </c>
      <c r="AT120" s="132"/>
      <c r="AU120" s="132">
        <v>20421879</v>
      </c>
      <c r="AV120" s="132"/>
      <c r="AW120" s="132">
        <v>6402548</v>
      </c>
      <c r="AX120" s="132"/>
      <c r="AY120" s="132">
        <v>23201819</v>
      </c>
      <c r="AZ120" s="132"/>
      <c r="BA120" s="132">
        <v>7854187</v>
      </c>
      <c r="BB120" s="132"/>
      <c r="BC120" s="132">
        <v>32864946</v>
      </c>
      <c r="BD120" s="132">
        <v>197393048</v>
      </c>
      <c r="BE120" s="54"/>
      <c r="BG120" s="113"/>
      <c r="BH120" s="55"/>
    </row>
    <row r="121" spans="1:87" x14ac:dyDescent="0.2">
      <c r="A121" s="83"/>
      <c r="B121" s="314"/>
      <c r="C121" s="314"/>
      <c r="D121" s="314"/>
      <c r="E121" s="324"/>
      <c r="F121" s="324"/>
      <c r="G121" s="311"/>
      <c r="H121" s="314"/>
      <c r="I121" s="314"/>
      <c r="J121" s="324"/>
      <c r="K121" s="311"/>
      <c r="L121" s="314"/>
      <c r="U121" s="23">
        <v>2034</v>
      </c>
      <c r="V121" s="132">
        <v>14266567</v>
      </c>
      <c r="W121" s="132"/>
      <c r="X121" s="132">
        <v>10269909</v>
      </c>
      <c r="Y121" s="132"/>
      <c r="Z121" s="132">
        <v>1243266</v>
      </c>
      <c r="AA121" s="132"/>
      <c r="AB121" s="132">
        <v>1014370</v>
      </c>
      <c r="AC121" s="132"/>
      <c r="AD121" s="132">
        <v>5862065</v>
      </c>
      <c r="AE121" s="132"/>
      <c r="AF121" s="132">
        <v>50141381</v>
      </c>
      <c r="AG121" s="132"/>
      <c r="AH121" s="132">
        <v>18679457</v>
      </c>
      <c r="AI121" s="132"/>
      <c r="AJ121" s="132">
        <v>2075048</v>
      </c>
      <c r="AK121" s="132">
        <v>1852806</v>
      </c>
      <c r="AL121" s="132"/>
      <c r="AM121" s="132">
        <v>6384189</v>
      </c>
      <c r="AN121" s="132"/>
      <c r="AO121" s="132">
        <v>48197099</v>
      </c>
      <c r="AP121" s="132"/>
      <c r="AQ121" s="132">
        <v>16250320</v>
      </c>
      <c r="AR121" s="132"/>
      <c r="AS121" s="132">
        <v>17011672</v>
      </c>
      <c r="AT121" s="132"/>
      <c r="AU121" s="132">
        <v>20522221</v>
      </c>
      <c r="AV121" s="132"/>
      <c r="AW121" s="132">
        <v>6416827</v>
      </c>
      <c r="AX121" s="132"/>
      <c r="AY121" s="132">
        <v>23472526</v>
      </c>
      <c r="AZ121" s="132"/>
      <c r="BA121" s="132">
        <v>7861925</v>
      </c>
      <c r="BB121" s="132"/>
      <c r="BC121" s="132">
        <v>32955020</v>
      </c>
      <c r="BD121" s="132">
        <v>201059951</v>
      </c>
      <c r="BE121" s="47"/>
      <c r="BG121" s="113"/>
      <c r="BH121" s="55"/>
    </row>
    <row r="122" spans="1:87" x14ac:dyDescent="0.2">
      <c r="A122" s="83"/>
      <c r="B122" s="314"/>
      <c r="C122" s="314"/>
      <c r="D122" s="314"/>
      <c r="E122" s="324"/>
      <c r="F122" s="324"/>
      <c r="G122" s="311"/>
      <c r="H122" s="314"/>
      <c r="I122" s="314"/>
      <c r="J122" s="324"/>
      <c r="K122" s="311"/>
      <c r="L122" s="314"/>
      <c r="U122" s="23">
        <v>2035</v>
      </c>
      <c r="V122" s="132">
        <v>14121238</v>
      </c>
      <c r="W122" s="132"/>
      <c r="X122" s="132">
        <v>10318193</v>
      </c>
      <c r="Y122" s="132"/>
      <c r="Z122" s="132">
        <v>1254660</v>
      </c>
      <c r="AA122" s="132"/>
      <c r="AB122" s="132">
        <v>980566</v>
      </c>
      <c r="AC122" s="132"/>
      <c r="AD122" s="132">
        <v>5805585</v>
      </c>
      <c r="AE122" s="132"/>
      <c r="AF122" s="132">
        <v>50331899</v>
      </c>
      <c r="AG122" s="132"/>
      <c r="AH122" s="132">
        <v>18860375</v>
      </c>
      <c r="AI122" s="132"/>
      <c r="AJ122" s="132">
        <v>2090540</v>
      </c>
      <c r="AK122" s="132">
        <v>1862692</v>
      </c>
      <c r="AL122" s="132"/>
      <c r="AM122" s="132">
        <v>6442481</v>
      </c>
      <c r="AN122" s="132"/>
      <c r="AO122" s="132">
        <v>48132648</v>
      </c>
      <c r="AP122" s="132"/>
      <c r="AQ122" s="132">
        <v>16339726</v>
      </c>
      <c r="AR122" s="132"/>
      <c r="AS122" s="132">
        <v>17155888</v>
      </c>
      <c r="AT122" s="132"/>
      <c r="AU122" s="132">
        <v>20627653</v>
      </c>
      <c r="AV122" s="132"/>
      <c r="AW122" s="132">
        <v>6432340</v>
      </c>
      <c r="AX122" s="132"/>
      <c r="AY122" s="132">
        <v>23801701</v>
      </c>
      <c r="AZ122" s="132"/>
      <c r="BA122" s="132">
        <v>7863084</v>
      </c>
      <c r="BB122" s="132"/>
      <c r="BC122" s="132">
        <v>33139890</v>
      </c>
      <c r="BD122" s="132">
        <v>205169294</v>
      </c>
      <c r="BE122" s="47"/>
      <c r="BG122" s="113"/>
      <c r="BH122" s="55"/>
    </row>
    <row r="123" spans="1:87" x14ac:dyDescent="0.2">
      <c r="A123" s="83"/>
      <c r="B123" s="314"/>
      <c r="C123" s="314"/>
      <c r="D123" s="314"/>
      <c r="E123" s="324"/>
      <c r="F123" s="324"/>
      <c r="G123" s="311"/>
      <c r="H123" s="314"/>
      <c r="I123" s="314"/>
      <c r="J123" s="324"/>
      <c r="K123" s="311"/>
      <c r="L123" s="314"/>
      <c r="U123" s="23">
        <v>2036</v>
      </c>
      <c r="V123" s="231">
        <f>(V122/V121)*V122</f>
        <v>13977389.420499269</v>
      </c>
      <c r="X123" s="231">
        <f>(X122/X121)*X122</f>
        <v>10366704.007333364</v>
      </c>
      <c r="Z123" s="231">
        <f>(Z122/Z121)*Z122</f>
        <v>1266158.4211262916</v>
      </c>
      <c r="AB123" s="231">
        <f>(AB122/AB121)*AB122</f>
        <v>947888.52229068289</v>
      </c>
      <c r="AD123" s="231">
        <f>(AD122/AD121)*AD122</f>
        <v>5749649.1752010603</v>
      </c>
      <c r="AF123" s="231">
        <f>(AF122/AF121)*AF122</f>
        <v>50523140.895265743</v>
      </c>
      <c r="AH123" s="231">
        <f>(AH122/AH121)*AH122</f>
        <v>19043045.26307296</v>
      </c>
      <c r="AJ123" s="231">
        <f t="shared" ref="AJ123:AK129" si="75">(AJ122/AJ121)*AJ122</f>
        <v>2106147.6609697705</v>
      </c>
      <c r="AK123" s="231">
        <f t="shared" si="75"/>
        <v>1872630.7486396311</v>
      </c>
      <c r="AM123" s="231">
        <f>(AM122/AM121)*AM122</f>
        <v>6501305.2457189159</v>
      </c>
      <c r="AO123" s="231">
        <f>(AO122/AO121)*AO122</f>
        <v>48068283.186336674</v>
      </c>
      <c r="AQ123" s="231">
        <f>(AQ122/AQ121)*AQ122</f>
        <v>16429623.893872615</v>
      </c>
      <c r="AS123" s="231">
        <f>(AS122/AS121)*AS122</f>
        <v>17301326.587330393</v>
      </c>
      <c r="AU123" s="231">
        <f>(AU122/AU121)*AU122</f>
        <v>20733626.652222928</v>
      </c>
      <c r="AW123" s="231">
        <f>(AW122/AW121)*AW122</f>
        <v>6447890.5034528747</v>
      </c>
      <c r="AY123" s="231">
        <f>(AY122/AY121)*AY122</f>
        <v>24135492.298246935</v>
      </c>
      <c r="BA123" s="231">
        <f>(BA122/BA121)*BA122</f>
        <v>7864243.1708590453</v>
      </c>
      <c r="BC123" s="231">
        <f t="shared" ref="BC123:BD129" si="76">(BC122/BC121)*BC122</f>
        <v>33325797.077716835</v>
      </c>
      <c r="BD123" s="231">
        <f t="shared" si="76"/>
        <v>209362625.38161287</v>
      </c>
      <c r="BE123" s="47"/>
      <c r="BG123" s="113"/>
      <c r="BH123" s="55"/>
    </row>
    <row r="124" spans="1:87" x14ac:dyDescent="0.2">
      <c r="A124" s="83"/>
      <c r="B124" s="314"/>
      <c r="C124" s="314"/>
      <c r="D124" s="314"/>
      <c r="E124" s="324"/>
      <c r="F124" s="324"/>
      <c r="G124" s="311"/>
      <c r="H124" s="314"/>
      <c r="I124" s="314"/>
      <c r="J124" s="324"/>
      <c r="K124" s="311"/>
      <c r="L124" s="314"/>
      <c r="U124" s="23">
        <v>2037</v>
      </c>
      <c r="V124" s="231">
        <f t="shared" ref="V124:V129" si="77">(V123/V122)*V123</f>
        <v>13835006.180923011</v>
      </c>
      <c r="X124" s="231">
        <f t="shared" ref="X124:X129" si="78">(X123/X122)*X123</f>
        <v>10415443.089275578</v>
      </c>
      <c r="Z124" s="231">
        <f t="shared" ref="Z124:Z129" si="79">(Z123/Z122)*Z123</f>
        <v>1277762.22035374</v>
      </c>
      <c r="AB124" s="231">
        <f t="shared" ref="AB124:AB129" si="80">(AB123/AB122)*AB123</f>
        <v>916300.02538372169</v>
      </c>
      <c r="AD124" s="231">
        <f t="shared" ref="AD124:AD129" si="81">(AD123/AD122)*AD123</f>
        <v>5694252.2825676017</v>
      </c>
      <c r="AF124" s="231">
        <f t="shared" ref="AF124:AF129" si="82">(AF123/AF122)*AF123</f>
        <v>50715109.436321363</v>
      </c>
      <c r="AH124" s="231">
        <f t="shared" ref="AH124:AH129" si="83">(AH123/AH122)*AH123</f>
        <v>19227484.760586441</v>
      </c>
      <c r="AJ124" s="231">
        <f t="shared" si="75"/>
        <v>2121871.8464169232</v>
      </c>
      <c r="AK124" s="231">
        <f t="shared" si="75"/>
        <v>1882622.5273693262</v>
      </c>
      <c r="AM124" s="231">
        <f t="shared" ref="AM124:AM129" si="84">(AM123/AM122)*AM123</f>
        <v>6560666.5969231874</v>
      </c>
      <c r="AO124" s="231">
        <f t="shared" ref="AO124:AO129" si="85">(AO123/AO122)*AO123</f>
        <v>48004004.443758361</v>
      </c>
      <c r="AQ124" s="231">
        <f t="shared" ref="AQ124:AQ129" si="86">(AQ123/AQ122)*AQ123</f>
        <v>16520016.38791923</v>
      </c>
      <c r="AS124" s="231">
        <f t="shared" ref="AS124:AS129" si="87">(AS123/AS122)*AS123</f>
        <v>17447998.126442976</v>
      </c>
      <c r="AU124" s="231">
        <f t="shared" ref="AU124:AU129" si="88">(AU123/AU122)*AU123</f>
        <v>20840144.739383046</v>
      </c>
      <c r="AW124" s="231">
        <f t="shared" ref="AW124:AW129" si="89">(AW123/AW122)*AW123</f>
        <v>6463478.6010250961</v>
      </c>
      <c r="AY124" s="231">
        <f t="shared" ref="AY124:AY129" si="90">(AY123/AY122)*AY123</f>
        <v>24473964.632978842</v>
      </c>
      <c r="BA124" s="231">
        <f t="shared" ref="BA124:BA129" si="91">(BA123/BA122)*BA123</f>
        <v>7865402.5126023237</v>
      </c>
      <c r="BC124" s="231">
        <f t="shared" si="76"/>
        <v>33512747.050915375</v>
      </c>
      <c r="BD124" s="231">
        <f t="shared" si="76"/>
        <v>213641661.73268387</v>
      </c>
    </row>
    <row r="125" spans="1:87" x14ac:dyDescent="0.2">
      <c r="A125" s="83"/>
      <c r="B125" s="314"/>
      <c r="C125" s="314"/>
      <c r="D125" s="314"/>
      <c r="E125" s="324"/>
      <c r="F125" s="324"/>
      <c r="G125" s="311"/>
      <c r="H125" s="314"/>
      <c r="I125" s="314"/>
      <c r="J125" s="324"/>
      <c r="K125" s="311"/>
      <c r="L125" s="314"/>
      <c r="U125" s="23">
        <v>2038</v>
      </c>
      <c r="V125" s="231">
        <f t="shared" si="77"/>
        <v>13694073.354317468</v>
      </c>
      <c r="X125" s="231">
        <f t="shared" si="78"/>
        <v>10464411.318119921</v>
      </c>
      <c r="Z125" s="231">
        <f t="shared" si="79"/>
        <v>1289472.3634274753</v>
      </c>
      <c r="AB125" s="231">
        <f t="shared" si="80"/>
        <v>885764.21886531985</v>
      </c>
      <c r="AD125" s="231">
        <f t="shared" si="81"/>
        <v>5639389.1295798039</v>
      </c>
      <c r="AF125" s="231">
        <f t="shared" si="82"/>
        <v>50907807.384141922</v>
      </c>
      <c r="AH125" s="231">
        <f t="shared" si="83"/>
        <v>19413710.628282476</v>
      </c>
      <c r="AJ125" s="231">
        <f t="shared" si="75"/>
        <v>2137713.4262958905</v>
      </c>
      <c r="AK125" s="231">
        <f t="shared" si="75"/>
        <v>1892667.6191412513</v>
      </c>
      <c r="AM125" s="231">
        <f t="shared" si="84"/>
        <v>6620569.9577522362</v>
      </c>
      <c r="AO125" s="231">
        <f t="shared" si="85"/>
        <v>47939811.657167517</v>
      </c>
      <c r="AQ125" s="231">
        <f t="shared" si="86"/>
        <v>16610906.203330763</v>
      </c>
      <c r="AS125" s="231">
        <f t="shared" si="87"/>
        <v>17595913.069653913</v>
      </c>
      <c r="AU125" s="231">
        <f t="shared" si="88"/>
        <v>20947210.058490694</v>
      </c>
      <c r="AW125" s="231">
        <f t="shared" si="89"/>
        <v>6479104.3836023267</v>
      </c>
      <c r="AY125" s="231">
        <f t="shared" si="90"/>
        <v>24817183.650312588</v>
      </c>
      <c r="BA125" s="231">
        <f t="shared" si="91"/>
        <v>7866562.0252550272</v>
      </c>
      <c r="BC125" s="231">
        <f t="shared" si="76"/>
        <v>33700745.7699968</v>
      </c>
      <c r="BD125" s="231">
        <f t="shared" si="76"/>
        <v>218008154.72536135</v>
      </c>
    </row>
    <row r="126" spans="1:87" x14ac:dyDescent="0.2">
      <c r="A126" s="83"/>
      <c r="B126" s="314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U126" s="23">
        <v>2039</v>
      </c>
      <c r="V126" s="231">
        <f t="shared" si="77"/>
        <v>13554576.165785031</v>
      </c>
      <c r="X126" s="231">
        <f t="shared" si="78"/>
        <v>10513609.771201063</v>
      </c>
      <c r="Z126" s="231">
        <f t="shared" si="79"/>
        <v>1301289.8249432673</v>
      </c>
      <c r="AB126" s="231">
        <f t="shared" si="80"/>
        <v>856246.02170400473</v>
      </c>
      <c r="AD126" s="231">
        <f t="shared" si="81"/>
        <v>5585054.5737468917</v>
      </c>
      <c r="AF126" s="231">
        <f t="shared" si="82"/>
        <v>51101237.510193132</v>
      </c>
      <c r="AH126" s="231">
        <f t="shared" si="83"/>
        <v>19601740.167869609</v>
      </c>
      <c r="AJ126" s="231">
        <f t="shared" si="75"/>
        <v>2153673.2770560542</v>
      </c>
      <c r="AK126" s="231">
        <f t="shared" si="75"/>
        <v>1902766.3084173172</v>
      </c>
      <c r="AM126" s="231">
        <f t="shared" si="84"/>
        <v>6681020.2771236226</v>
      </c>
      <c r="AO126" s="231">
        <f t="shared" si="85"/>
        <v>47875704.711620517</v>
      </c>
      <c r="AQ126" s="231">
        <f t="shared" si="86"/>
        <v>16702296.076269574</v>
      </c>
      <c r="AS126" s="231">
        <f t="shared" si="87"/>
        <v>17745081.957888603</v>
      </c>
      <c r="AU126" s="231">
        <f t="shared" si="88"/>
        <v>21054825.420925725</v>
      </c>
      <c r="AW126" s="231">
        <f t="shared" si="89"/>
        <v>6494767.9422899494</v>
      </c>
      <c r="AY126" s="231">
        <f t="shared" si="90"/>
        <v>25165215.916975819</v>
      </c>
      <c r="BA126" s="231">
        <f t="shared" si="91"/>
        <v>7867721.7088423511</v>
      </c>
      <c r="BC126" s="231">
        <f t="shared" si="76"/>
        <v>33889799.118181661</v>
      </c>
      <c r="BD126" s="231">
        <f t="shared" si="76"/>
        <v>222463891.8331635</v>
      </c>
    </row>
    <row r="127" spans="1:87" x14ac:dyDescent="0.2">
      <c r="A127" s="312"/>
      <c r="B127" s="312"/>
      <c r="C127" s="324"/>
      <c r="D127" s="324"/>
      <c r="E127" s="324"/>
      <c r="F127" s="324"/>
      <c r="G127" s="73"/>
      <c r="H127" s="324"/>
      <c r="I127" s="324"/>
      <c r="J127" s="324"/>
      <c r="K127" s="73"/>
      <c r="L127" s="324"/>
      <c r="U127" s="23">
        <v>2040</v>
      </c>
      <c r="V127" s="231">
        <f t="shared" si="77"/>
        <v>13416499.9909353</v>
      </c>
      <c r="X127" s="231">
        <f t="shared" si="78"/>
        <v>10563039.530918764</v>
      </c>
      <c r="Z127" s="231">
        <f t="shared" si="79"/>
        <v>1313215.5884286384</v>
      </c>
      <c r="AB127" s="231">
        <f t="shared" si="80"/>
        <v>827711.52194781892</v>
      </c>
      <c r="AD127" s="231">
        <f t="shared" si="81"/>
        <v>5531243.5221251138</v>
      </c>
      <c r="AF127" s="231">
        <f t="shared" si="82"/>
        <v>51295402.596471205</v>
      </c>
      <c r="AH127" s="231">
        <f t="shared" si="83"/>
        <v>19791590.848630331</v>
      </c>
      <c r="AJ127" s="231">
        <f t="shared" si="75"/>
        <v>2169752.2816902371</v>
      </c>
      <c r="AK127" s="231">
        <f t="shared" si="75"/>
        <v>1912918.8811772359</v>
      </c>
      <c r="AM127" s="231">
        <f t="shared" si="84"/>
        <v>6742022.5491418988</v>
      </c>
      <c r="AO127" s="231">
        <f t="shared" si="85"/>
        <v>47811683.492327444</v>
      </c>
      <c r="AQ127" s="231">
        <f t="shared" si="86"/>
        <v>16794188.757951841</v>
      </c>
      <c r="AS127" s="231">
        <f t="shared" si="87"/>
        <v>17895515.42143286</v>
      </c>
      <c r="AU127" s="231">
        <f t="shared" si="88"/>
        <v>21162993.652511336</v>
      </c>
      <c r="AW127" s="231">
        <f t="shared" si="89"/>
        <v>6510469.3684136001</v>
      </c>
      <c r="AY127" s="231">
        <f t="shared" si="90"/>
        <v>25518128.933217466</v>
      </c>
      <c r="BA127" s="231">
        <f t="shared" si="91"/>
        <v>7868881.5633894941</v>
      </c>
      <c r="BC127" s="231">
        <f t="shared" si="76"/>
        <v>34079913.011694036</v>
      </c>
      <c r="BD127" s="231">
        <f t="shared" si="76"/>
        <v>227010697.06270108</v>
      </c>
    </row>
    <row r="128" spans="1:87" x14ac:dyDescent="0.2">
      <c r="A128" s="312"/>
      <c r="B128" s="324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U128" s="23">
        <v>2041</v>
      </c>
      <c r="V128" s="231">
        <f t="shared" si="77"/>
        <v>13279830.354351902</v>
      </c>
      <c r="X128" s="231">
        <f t="shared" si="78"/>
        <v>10612701.684761692</v>
      </c>
      <c r="Z128" s="231">
        <f t="shared" si="79"/>
        <v>1325250.6464247196</v>
      </c>
      <c r="AB128" s="231">
        <f t="shared" si="80"/>
        <v>800127.9377646076</v>
      </c>
      <c r="AD128" s="231">
        <f t="shared" si="81"/>
        <v>5477950.9308403665</v>
      </c>
      <c r="AF128" s="231">
        <f t="shared" si="82"/>
        <v>51490305.435542874</v>
      </c>
      <c r="AH128" s="231">
        <f t="shared" si="83"/>
        <v>19983280.309044119</v>
      </c>
      <c r="AJ128" s="231">
        <f t="shared" si="75"/>
        <v>2185951.3297835561</v>
      </c>
      <c r="AK128" s="231">
        <f t="shared" si="75"/>
        <v>1923125.6249266183</v>
      </c>
      <c r="AM128" s="231">
        <f t="shared" si="84"/>
        <v>6803581.8135111993</v>
      </c>
      <c r="AO128" s="231">
        <f t="shared" si="85"/>
        <v>47747747.884651884</v>
      </c>
      <c r="AQ128" s="231">
        <f t="shared" si="86"/>
        <v>16886587.014730383</v>
      </c>
      <c r="AS128" s="231">
        <f t="shared" si="87"/>
        <v>18047224.180690464</v>
      </c>
      <c r="AU128" s="231">
        <f t="shared" si="88"/>
        <v>21271717.593588259</v>
      </c>
      <c r="AW128" s="231">
        <f t="shared" si="89"/>
        <v>6526208.7535196971</v>
      </c>
      <c r="AY128" s="231">
        <f t="shared" si="90"/>
        <v>25875991.1458993</v>
      </c>
      <c r="BA128" s="231">
        <f t="shared" si="91"/>
        <v>7870041.5889216596</v>
      </c>
      <c r="BC128" s="231">
        <f t="shared" si="76"/>
        <v>34271093.399946623</v>
      </c>
      <c r="BD128" s="231">
        <f t="shared" si="76"/>
        <v>231650431.70035517</v>
      </c>
    </row>
    <row r="129" spans="1:56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U129" s="23">
        <v>2042</v>
      </c>
      <c r="V129" s="231">
        <f t="shared" si="77"/>
        <v>13144552.928074952</v>
      </c>
      <c r="X129" s="231">
        <f t="shared" si="78"/>
        <v>10662597.325331343</v>
      </c>
      <c r="Z129" s="231">
        <f t="shared" si="79"/>
        <v>1337396.0005688556</v>
      </c>
      <c r="AB129" s="231">
        <f t="shared" si="80"/>
        <v>773463.57978064241</v>
      </c>
      <c r="AD129" s="231">
        <f t="shared" si="81"/>
        <v>5425171.8046154166</v>
      </c>
      <c r="AF129" s="231">
        <f t="shared" si="82"/>
        <v>51685948.830585554</v>
      </c>
      <c r="AH129" s="231">
        <f t="shared" si="83"/>
        <v>20176826.358426157</v>
      </c>
      <c r="AJ129" s="231">
        <f t="shared" si="75"/>
        <v>2202271.3175626374</v>
      </c>
      <c r="AK129" s="231">
        <f t="shared" si="75"/>
        <v>1933386.8287051169</v>
      </c>
      <c r="AM129" s="231">
        <f t="shared" si="84"/>
        <v>6865703.1559515931</v>
      </c>
      <c r="AO129" s="231">
        <f t="shared" si="85"/>
        <v>47683897.774110712</v>
      </c>
      <c r="AQ129" s="231">
        <f t="shared" si="86"/>
        <v>16979493.628177933</v>
      </c>
      <c r="AS129" s="231">
        <f t="shared" si="87"/>
        <v>18200219.04694714</v>
      </c>
      <c r="AU129" s="231">
        <f t="shared" si="88"/>
        <v>21381000.099089358</v>
      </c>
      <c r="AW129" s="231">
        <f t="shared" si="89"/>
        <v>6541986.189375978</v>
      </c>
      <c r="AY129" s="231">
        <f t="shared" si="90"/>
        <v>26238871.961771071</v>
      </c>
      <c r="BA129" s="231">
        <f t="shared" si="91"/>
        <v>7871201.785464054</v>
      </c>
      <c r="BC129" s="231">
        <f t="shared" si="76"/>
        <v>34463346.265726946</v>
      </c>
      <c r="BD129" s="231">
        <f t="shared" si="76"/>
        <v>236384995.07421592</v>
      </c>
    </row>
    <row r="130" spans="1:56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1:56" x14ac:dyDescent="0.2">
      <c r="A131" s="30"/>
      <c r="B131" s="30"/>
    </row>
  </sheetData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view="pageBreakPreview" zoomScale="60" zoomScaleNormal="100" workbookViewId="0">
      <selection activeCell="P1" sqref="P1:Q15"/>
    </sheetView>
  </sheetViews>
  <sheetFormatPr defaultRowHeight="12.75" x14ac:dyDescent="0.2"/>
  <cols>
    <col min="1" max="14" width="8.7109375" style="1" customWidth="1"/>
  </cols>
  <sheetData>
    <row r="1" spans="1:17" x14ac:dyDescent="0.2">
      <c r="A1" s="22" t="s">
        <v>15</v>
      </c>
      <c r="B1" s="22" t="s">
        <v>18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10</v>
      </c>
      <c r="I1" s="3" t="s">
        <v>11</v>
      </c>
      <c r="J1" s="3" t="s">
        <v>12</v>
      </c>
      <c r="K1" s="3" t="s">
        <v>100</v>
      </c>
      <c r="L1" s="3" t="s">
        <v>173</v>
      </c>
      <c r="M1" s="3" t="s">
        <v>13</v>
      </c>
      <c r="N1" s="3" t="s">
        <v>14</v>
      </c>
    </row>
    <row r="2" spans="1:17" s="2" customFormat="1" x14ac:dyDescent="0.2">
      <c r="A2" s="56">
        <v>2001</v>
      </c>
      <c r="B2" s="57">
        <v>1</v>
      </c>
      <c r="C2" s="58">
        <v>0.1015625</v>
      </c>
      <c r="D2" s="58">
        <f>1/12</f>
        <v>8.3333333333333329E-2</v>
      </c>
      <c r="E2" s="58">
        <v>7.5709779179810713E-2</v>
      </c>
      <c r="F2" s="58">
        <v>7.5709779179810713E-2</v>
      </c>
      <c r="G2" s="58">
        <v>7.8171091445427721E-2</v>
      </c>
      <c r="H2" s="58">
        <f>1/12</f>
        <v>8.3333333333333329E-2</v>
      </c>
      <c r="I2" s="58">
        <f>1/12</f>
        <v>8.3333333333333329E-2</v>
      </c>
      <c r="J2" s="58">
        <f>1/12</f>
        <v>8.3333333333333329E-2</v>
      </c>
      <c r="K2" s="58">
        <f t="shared" ref="K2:K13" si="0">1/12</f>
        <v>8.3333333333333329E-2</v>
      </c>
      <c r="L2" s="58">
        <v>0.22752497225305215</v>
      </c>
      <c r="M2" s="58">
        <v>9.8182753897774241E-2</v>
      </c>
      <c r="N2" s="58">
        <f t="shared" ref="N2:N13" si="1">1/12</f>
        <v>8.3333333333333329E-2</v>
      </c>
      <c r="P2" s="236"/>
      <c r="Q2" s="144"/>
    </row>
    <row r="3" spans="1:17" x14ac:dyDescent="0.2">
      <c r="A3" s="56">
        <v>2001</v>
      </c>
      <c r="B3" s="57">
        <v>2</v>
      </c>
      <c r="C3" s="58">
        <v>9.765625E-2</v>
      </c>
      <c r="D3" s="58">
        <f t="shared" ref="D3:D13" si="2">1/12</f>
        <v>8.3333333333333329E-2</v>
      </c>
      <c r="E3" s="58">
        <v>7.7812828601472123E-2</v>
      </c>
      <c r="F3" s="58">
        <v>7.7812828601472123E-2</v>
      </c>
      <c r="G3" s="58">
        <v>7.8171091445427721E-2</v>
      </c>
      <c r="H3" s="58">
        <f t="shared" ref="H3:J13" si="3">1/12</f>
        <v>8.3333333333333329E-2</v>
      </c>
      <c r="I3" s="58">
        <f t="shared" si="3"/>
        <v>8.3333333333333329E-2</v>
      </c>
      <c r="J3" s="58">
        <f t="shared" si="3"/>
        <v>8.3333333333333329E-2</v>
      </c>
      <c r="K3" s="58">
        <f t="shared" si="0"/>
        <v>8.3333333333333329E-2</v>
      </c>
      <c r="L3" s="58">
        <v>0.17286348501664817</v>
      </c>
      <c r="M3" s="58">
        <v>9.4422296773449807E-2</v>
      </c>
      <c r="N3" s="58">
        <f t="shared" si="1"/>
        <v>8.3333333333333329E-2</v>
      </c>
      <c r="P3" s="236"/>
      <c r="Q3" s="144"/>
    </row>
    <row r="4" spans="1:17" x14ac:dyDescent="0.2">
      <c r="A4" s="56">
        <v>2001</v>
      </c>
      <c r="B4" s="57">
        <v>3</v>
      </c>
      <c r="C4" s="58">
        <v>9.375E-2</v>
      </c>
      <c r="D4" s="58">
        <f t="shared" si="2"/>
        <v>8.3333333333333329E-2</v>
      </c>
      <c r="E4" s="58">
        <v>7.8864353312302821E-2</v>
      </c>
      <c r="F4" s="58">
        <v>7.8864353312302821E-2</v>
      </c>
      <c r="G4" s="58">
        <v>7.9646017699115029E-2</v>
      </c>
      <c r="H4" s="58">
        <f t="shared" si="3"/>
        <v>8.3333333333333329E-2</v>
      </c>
      <c r="I4" s="58">
        <f t="shared" si="3"/>
        <v>8.3333333333333329E-2</v>
      </c>
      <c r="J4" s="58">
        <f t="shared" si="3"/>
        <v>8.3333333333333329E-2</v>
      </c>
      <c r="K4" s="58">
        <f t="shared" si="0"/>
        <v>8.3333333333333329E-2</v>
      </c>
      <c r="L4" s="58">
        <v>0.12541620421753608</v>
      </c>
      <c r="M4" s="58">
        <v>9.0621776199670406E-2</v>
      </c>
      <c r="N4" s="58">
        <f t="shared" si="1"/>
        <v>8.3333333333333329E-2</v>
      </c>
      <c r="P4" s="236"/>
      <c r="Q4" s="144"/>
    </row>
    <row r="5" spans="1:17" x14ac:dyDescent="0.2">
      <c r="A5" s="56">
        <v>2001</v>
      </c>
      <c r="B5" s="57">
        <v>4</v>
      </c>
      <c r="C5" s="58">
        <v>8.59375E-2</v>
      </c>
      <c r="D5" s="58">
        <f t="shared" si="2"/>
        <v>8.3333333333333329E-2</v>
      </c>
      <c r="E5" s="58">
        <v>7.9915878023133546E-2</v>
      </c>
      <c r="F5" s="58">
        <v>7.9915878023133546E-2</v>
      </c>
      <c r="G5" s="58">
        <v>8.1120943952802352E-2</v>
      </c>
      <c r="H5" s="58">
        <f t="shared" si="3"/>
        <v>8.3333333333333329E-2</v>
      </c>
      <c r="I5" s="58">
        <f t="shared" si="3"/>
        <v>8.3333333333333329E-2</v>
      </c>
      <c r="J5" s="58">
        <f t="shared" si="3"/>
        <v>8.3333333333333329E-2</v>
      </c>
      <c r="K5" s="58">
        <f t="shared" si="0"/>
        <v>8.3333333333333329E-2</v>
      </c>
      <c r="L5" s="58">
        <v>5.9933407325194227E-2</v>
      </c>
      <c r="M5" s="58">
        <v>8.5759184176289791E-2</v>
      </c>
      <c r="N5" s="58">
        <f t="shared" si="1"/>
        <v>8.3333333333333329E-2</v>
      </c>
      <c r="P5" s="236"/>
      <c r="Q5" s="144"/>
    </row>
    <row r="6" spans="1:17" x14ac:dyDescent="0.2">
      <c r="A6" s="56">
        <v>2001</v>
      </c>
      <c r="B6" s="57">
        <v>5</v>
      </c>
      <c r="C6" s="58">
        <v>8.203125E-2</v>
      </c>
      <c r="D6" s="58">
        <f t="shared" si="2"/>
        <v>8.3333333333333329E-2</v>
      </c>
      <c r="E6" s="58">
        <v>8.4121976866456366E-2</v>
      </c>
      <c r="F6" s="58">
        <v>8.4121976866456366E-2</v>
      </c>
      <c r="G6" s="58">
        <v>8.259587020648966E-2</v>
      </c>
      <c r="H6" s="58">
        <f t="shared" si="3"/>
        <v>8.3333333333333329E-2</v>
      </c>
      <c r="I6" s="58">
        <f t="shared" si="3"/>
        <v>8.3333333333333329E-2</v>
      </c>
      <c r="J6" s="58">
        <f t="shared" si="3"/>
        <v>8.3333333333333329E-2</v>
      </c>
      <c r="K6" s="58">
        <f t="shared" si="0"/>
        <v>8.3333333333333329E-2</v>
      </c>
      <c r="L6" s="58">
        <v>2.1087680355160933E-2</v>
      </c>
      <c r="M6" s="58">
        <v>7.8758507816662299E-2</v>
      </c>
      <c r="N6" s="58">
        <f t="shared" si="1"/>
        <v>8.3333333333333329E-2</v>
      </c>
      <c r="P6" s="236"/>
      <c r="Q6" s="144"/>
    </row>
    <row r="7" spans="1:17" x14ac:dyDescent="0.2">
      <c r="A7" s="56">
        <v>2001</v>
      </c>
      <c r="B7" s="57">
        <v>6</v>
      </c>
      <c r="C7" s="58">
        <v>7.8125E-2</v>
      </c>
      <c r="D7" s="58">
        <f t="shared" si="2"/>
        <v>8.3333333333333329E-2</v>
      </c>
      <c r="E7" s="58">
        <v>9.0431125131440568E-2</v>
      </c>
      <c r="F7" s="58">
        <v>9.0431125131440568E-2</v>
      </c>
      <c r="G7" s="58">
        <v>8.7020648967551628E-2</v>
      </c>
      <c r="H7" s="58">
        <f t="shared" si="3"/>
        <v>8.3333333333333329E-2</v>
      </c>
      <c r="I7" s="58">
        <f t="shared" si="3"/>
        <v>8.3333333333333329E-2</v>
      </c>
      <c r="J7" s="58">
        <f t="shared" si="3"/>
        <v>8.3333333333333329E-2</v>
      </c>
      <c r="K7" s="58">
        <f t="shared" si="0"/>
        <v>8.3333333333333329E-2</v>
      </c>
      <c r="L7" s="58">
        <v>1.9422863485016649E-3</v>
      </c>
      <c r="M7" s="58">
        <v>7.0474300891255795E-2</v>
      </c>
      <c r="N7" s="58">
        <f t="shared" si="1"/>
        <v>8.3333333333333329E-2</v>
      </c>
      <c r="P7" s="236"/>
      <c r="Q7" s="144"/>
    </row>
    <row r="8" spans="1:17" x14ac:dyDescent="0.2">
      <c r="A8" s="56">
        <v>2001</v>
      </c>
      <c r="B8" s="57">
        <v>7</v>
      </c>
      <c r="C8" s="58">
        <v>6.640625E-2</v>
      </c>
      <c r="D8" s="58">
        <f t="shared" si="2"/>
        <v>8.3333333333333329E-2</v>
      </c>
      <c r="E8" s="58">
        <v>9.2534174553102019E-2</v>
      </c>
      <c r="F8" s="58">
        <v>9.2534174553102019E-2</v>
      </c>
      <c r="G8" s="58">
        <v>9.4395280235988185E-2</v>
      </c>
      <c r="H8" s="58">
        <f t="shared" si="3"/>
        <v>8.3333333333333329E-2</v>
      </c>
      <c r="I8" s="58">
        <f t="shared" si="3"/>
        <v>8.3333333333333329E-2</v>
      </c>
      <c r="J8" s="58">
        <f t="shared" si="3"/>
        <v>8.3333333333333329E-2</v>
      </c>
      <c r="K8" s="58">
        <f t="shared" si="0"/>
        <v>8.3333333333333329E-2</v>
      </c>
      <c r="L8" s="58">
        <v>0</v>
      </c>
      <c r="M8" s="58">
        <v>6.7537871687453455E-2</v>
      </c>
      <c r="N8" s="58">
        <f t="shared" si="1"/>
        <v>8.3333333333333329E-2</v>
      </c>
      <c r="P8" s="236"/>
      <c r="Q8" s="144"/>
    </row>
    <row r="9" spans="1:17" s="2" customFormat="1" x14ac:dyDescent="0.2">
      <c r="A9" s="56">
        <v>2001</v>
      </c>
      <c r="B9" s="57">
        <v>8</v>
      </c>
      <c r="C9" s="58">
        <v>6.25E-2</v>
      </c>
      <c r="D9" s="58">
        <f t="shared" si="2"/>
        <v>8.3333333333333329E-2</v>
      </c>
      <c r="E9" s="58">
        <v>9.2534174553101992E-2</v>
      </c>
      <c r="F9" s="58">
        <v>9.2534174553101992E-2</v>
      </c>
      <c r="G9" s="58">
        <v>9.4395280235988185E-2</v>
      </c>
      <c r="H9" s="58">
        <f t="shared" si="3"/>
        <v>8.3333333333333329E-2</v>
      </c>
      <c r="I9" s="58">
        <f t="shared" si="3"/>
        <v>8.3333333333333329E-2</v>
      </c>
      <c r="J9" s="58">
        <f t="shared" si="3"/>
        <v>8.3333333333333329E-2</v>
      </c>
      <c r="K9" s="58">
        <f t="shared" si="0"/>
        <v>8.3333333333333329E-2</v>
      </c>
      <c r="L9" s="58">
        <v>2.7746947835738069E-4</v>
      </c>
      <c r="M9" s="58">
        <v>7.0007562503699813E-2</v>
      </c>
      <c r="N9" s="58">
        <f t="shared" si="1"/>
        <v>8.3333333333333329E-2</v>
      </c>
      <c r="P9" s="236"/>
      <c r="Q9" s="144"/>
    </row>
    <row r="10" spans="1:17" x14ac:dyDescent="0.2">
      <c r="A10" s="56">
        <v>2001</v>
      </c>
      <c r="B10" s="57">
        <v>9</v>
      </c>
      <c r="C10" s="58">
        <v>7.03125E-2</v>
      </c>
      <c r="D10" s="58">
        <f t="shared" si="2"/>
        <v>8.3333333333333329E-2</v>
      </c>
      <c r="E10" s="58">
        <v>8.6225026288117762E-2</v>
      </c>
      <c r="F10" s="58">
        <v>8.6225026288117762E-2</v>
      </c>
      <c r="G10" s="58">
        <v>8.5545722713864278E-2</v>
      </c>
      <c r="H10" s="58">
        <f t="shared" si="3"/>
        <v>8.3333333333333329E-2</v>
      </c>
      <c r="I10" s="58">
        <f t="shared" si="3"/>
        <v>8.3333333333333329E-2</v>
      </c>
      <c r="J10" s="58">
        <f t="shared" si="3"/>
        <v>8.3333333333333329E-2</v>
      </c>
      <c r="K10" s="58">
        <f t="shared" si="0"/>
        <v>8.3333333333333329E-2</v>
      </c>
      <c r="L10" s="58">
        <v>8.8790233074361822E-3</v>
      </c>
      <c r="M10" s="58">
        <v>7.5335892792489145E-2</v>
      </c>
      <c r="N10" s="58">
        <f t="shared" si="1"/>
        <v>8.3333333333333329E-2</v>
      </c>
      <c r="P10" s="236"/>
      <c r="Q10" s="144"/>
    </row>
    <row r="11" spans="1:17" x14ac:dyDescent="0.2">
      <c r="A11" s="56">
        <v>2001</v>
      </c>
      <c r="B11" s="57">
        <v>10</v>
      </c>
      <c r="C11" s="58">
        <v>7.8125E-2</v>
      </c>
      <c r="D11" s="58">
        <f t="shared" si="2"/>
        <v>8.3333333333333329E-2</v>
      </c>
      <c r="E11" s="58">
        <v>8.4121976866456352E-2</v>
      </c>
      <c r="F11" s="58">
        <v>8.4121976866456352E-2</v>
      </c>
      <c r="G11" s="58">
        <v>8.1120943952802352E-2</v>
      </c>
      <c r="H11" s="58">
        <f t="shared" si="3"/>
        <v>8.3333333333333329E-2</v>
      </c>
      <c r="I11" s="58">
        <f t="shared" si="3"/>
        <v>8.3333333333333329E-2</v>
      </c>
      <c r="J11" s="58">
        <f t="shared" si="3"/>
        <v>8.3333333333333329E-2</v>
      </c>
      <c r="K11" s="58">
        <f t="shared" si="0"/>
        <v>8.3333333333333329E-2</v>
      </c>
      <c r="L11" s="58">
        <v>5.9100998890122089E-2</v>
      </c>
      <c r="M11" s="58">
        <v>8.2900544703746845E-2</v>
      </c>
      <c r="N11" s="58">
        <f t="shared" si="1"/>
        <v>8.3333333333333329E-2</v>
      </c>
      <c r="P11" s="236"/>
      <c r="Q11" s="144"/>
    </row>
    <row r="12" spans="1:17" s="2" customFormat="1" x14ac:dyDescent="0.2">
      <c r="A12" s="56">
        <v>2001</v>
      </c>
      <c r="B12" s="57">
        <v>11</v>
      </c>
      <c r="C12" s="58">
        <v>8.59375E-2</v>
      </c>
      <c r="D12" s="58">
        <f t="shared" si="2"/>
        <v>8.3333333333333329E-2</v>
      </c>
      <c r="E12" s="58">
        <v>7.9915878023133533E-2</v>
      </c>
      <c r="F12" s="58">
        <v>7.9915878023133533E-2</v>
      </c>
      <c r="G12" s="58">
        <v>7.9646017699115015E-2</v>
      </c>
      <c r="H12" s="58">
        <f t="shared" si="3"/>
        <v>8.3333333333333329E-2</v>
      </c>
      <c r="I12" s="58">
        <f t="shared" si="3"/>
        <v>8.3333333333333329E-2</v>
      </c>
      <c r="J12" s="58">
        <f t="shared" si="3"/>
        <v>8.3333333333333329E-2</v>
      </c>
      <c r="K12" s="58">
        <f t="shared" si="0"/>
        <v>8.3333333333333329E-2</v>
      </c>
      <c r="L12" s="58">
        <v>0.12458379578246392</v>
      </c>
      <c r="M12" s="58">
        <v>9.0621776199670406E-2</v>
      </c>
      <c r="N12" s="58">
        <f t="shared" si="1"/>
        <v>8.3333333333333329E-2</v>
      </c>
      <c r="P12" s="236"/>
      <c r="Q12" s="144"/>
    </row>
    <row r="13" spans="1:17" x14ac:dyDescent="0.2">
      <c r="A13" s="56">
        <v>2001</v>
      </c>
      <c r="B13" s="57">
        <v>12</v>
      </c>
      <c r="C13" s="58">
        <v>9.765625E-2</v>
      </c>
      <c r="D13" s="58">
        <f t="shared" si="2"/>
        <v>8.3333333333333329E-2</v>
      </c>
      <c r="E13" s="58">
        <v>7.7812828601472123E-2</v>
      </c>
      <c r="F13" s="58">
        <v>7.7812828601472123E-2</v>
      </c>
      <c r="G13" s="58">
        <v>7.8171091445427721E-2</v>
      </c>
      <c r="H13" s="58">
        <f t="shared" si="3"/>
        <v>8.3333333333333329E-2</v>
      </c>
      <c r="I13" s="58">
        <f t="shared" si="3"/>
        <v>8.3333333333333329E-2</v>
      </c>
      <c r="J13" s="58">
        <f t="shared" si="3"/>
        <v>8.3333333333333329E-2</v>
      </c>
      <c r="K13" s="58">
        <f t="shared" si="0"/>
        <v>8.3333333333333329E-2</v>
      </c>
      <c r="L13" s="58">
        <v>0.19839067702552718</v>
      </c>
      <c r="M13" s="58">
        <v>9.5377532357837844E-2</v>
      </c>
      <c r="N13" s="58">
        <f t="shared" si="1"/>
        <v>8.3333333333333329E-2</v>
      </c>
      <c r="P13" s="236"/>
      <c r="Q13" s="144"/>
    </row>
  </sheetData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15"/>
  <sheetViews>
    <sheetView workbookViewId="0">
      <selection activeCell="B4" sqref="B4"/>
    </sheetView>
  </sheetViews>
  <sheetFormatPr defaultRowHeight="12.75" x14ac:dyDescent="0.2"/>
  <cols>
    <col min="1" max="1" width="14.5703125" style="177" customWidth="1"/>
    <col min="2" max="2" width="12" style="177" customWidth="1"/>
    <col min="3" max="3" width="14.5703125" style="177" bestFit="1" customWidth="1"/>
    <col min="4" max="4" width="20.5703125" style="177" bestFit="1" customWidth="1"/>
    <col min="5" max="16384" width="9.140625" style="177"/>
  </cols>
  <sheetData>
    <row r="3" spans="1:8" x14ac:dyDescent="0.2">
      <c r="A3" s="283" t="s">
        <v>246</v>
      </c>
      <c r="C3"/>
      <c r="D3"/>
      <c r="E3"/>
      <c r="F3"/>
      <c r="G3"/>
      <c r="H3"/>
    </row>
    <row r="4" spans="1:8" x14ac:dyDescent="0.2">
      <c r="A4" s="283" t="s">
        <v>15</v>
      </c>
      <c r="B4" s="177" t="s">
        <v>210</v>
      </c>
      <c r="C4"/>
      <c r="D4"/>
      <c r="E4"/>
      <c r="F4"/>
      <c r="G4"/>
      <c r="H4"/>
    </row>
    <row r="5" spans="1:8" x14ac:dyDescent="0.2">
      <c r="A5" s="177">
        <v>2001</v>
      </c>
      <c r="B5" s="284">
        <v>51.233282828766654</v>
      </c>
      <c r="C5"/>
      <c r="D5"/>
      <c r="E5"/>
      <c r="F5"/>
      <c r="G5"/>
      <c r="H5"/>
    </row>
    <row r="6" spans="1:8" x14ac:dyDescent="0.2">
      <c r="A6" s="177">
        <v>2002</v>
      </c>
      <c r="B6" s="284">
        <v>53.484099524148313</v>
      </c>
      <c r="C6"/>
      <c r="D6"/>
      <c r="E6"/>
      <c r="F6"/>
      <c r="G6"/>
      <c r="H6"/>
    </row>
    <row r="7" spans="1:8" x14ac:dyDescent="0.2">
      <c r="A7" s="177">
        <v>2003</v>
      </c>
      <c r="B7" s="284">
        <v>55.152330917738318</v>
      </c>
      <c r="C7"/>
      <c r="D7"/>
      <c r="E7"/>
      <c r="F7"/>
      <c r="G7"/>
      <c r="H7"/>
    </row>
    <row r="8" spans="1:8" x14ac:dyDescent="0.2">
      <c r="A8" s="177">
        <v>2004</v>
      </c>
      <c r="B8" s="284">
        <v>60</v>
      </c>
      <c r="C8"/>
      <c r="D8"/>
      <c r="E8"/>
      <c r="F8"/>
      <c r="G8"/>
      <c r="H8"/>
    </row>
    <row r="9" spans="1:8" x14ac:dyDescent="0.2">
      <c r="A9" s="177">
        <v>2005</v>
      </c>
      <c r="B9" s="284">
        <v>62.189304765788897</v>
      </c>
      <c r="C9"/>
      <c r="D9"/>
      <c r="E9"/>
      <c r="F9"/>
      <c r="G9"/>
      <c r="H9"/>
    </row>
    <row r="10" spans="1:8" x14ac:dyDescent="0.2">
      <c r="A10" s="177">
        <v>2006</v>
      </c>
      <c r="B10" s="284">
        <v>68.791234788178642</v>
      </c>
      <c r="C10"/>
      <c r="D10"/>
      <c r="E10"/>
      <c r="F10"/>
      <c r="G10"/>
      <c r="H10"/>
    </row>
    <row r="11" spans="1:8" x14ac:dyDescent="0.2">
      <c r="A11" s="177">
        <v>2007</v>
      </c>
      <c r="B11" s="284">
        <v>75.391234788178664</v>
      </c>
      <c r="C11"/>
      <c r="D11"/>
      <c r="E11"/>
      <c r="F11"/>
      <c r="G11"/>
      <c r="H11"/>
    </row>
    <row r="12" spans="1:8" x14ac:dyDescent="0.2">
      <c r="A12" s="177">
        <v>2008</v>
      </c>
      <c r="B12" s="284">
        <v>81.829542136314259</v>
      </c>
      <c r="C12"/>
      <c r="D12"/>
      <c r="E12"/>
      <c r="F12"/>
      <c r="G12"/>
      <c r="H12"/>
    </row>
    <row r="13" spans="1:8" x14ac:dyDescent="0.2">
      <c r="A13" s="177">
        <v>2009</v>
      </c>
      <c r="B13" s="284">
        <v>82.259700711979477</v>
      </c>
      <c r="C13"/>
      <c r="D13"/>
      <c r="E13"/>
      <c r="F13"/>
      <c r="G13"/>
      <c r="H13"/>
    </row>
    <row r="14" spans="1:8" x14ac:dyDescent="0.2">
      <c r="A14" s="177">
        <v>2010</v>
      </c>
      <c r="B14" s="284">
        <v>84.719863222936567</v>
      </c>
      <c r="C14"/>
      <c r="D14"/>
      <c r="E14"/>
      <c r="F14"/>
      <c r="G14"/>
      <c r="H14"/>
    </row>
    <row r="15" spans="1:8" x14ac:dyDescent="0.2">
      <c r="A15" s="177">
        <v>2011</v>
      </c>
      <c r="B15" s="284">
        <v>97.919999999999973</v>
      </c>
      <c r="C15"/>
      <c r="D15"/>
      <c r="E15"/>
      <c r="F15"/>
      <c r="G15"/>
      <c r="H15"/>
    </row>
    <row r="16" spans="1:8" x14ac:dyDescent="0.2">
      <c r="A16" s="177">
        <v>2012</v>
      </c>
      <c r="B16" s="284">
        <v>98.588616319964004</v>
      </c>
      <c r="C16"/>
      <c r="D16"/>
      <c r="E16"/>
      <c r="F16"/>
      <c r="G16"/>
      <c r="H16"/>
    </row>
    <row r="17" spans="1:8" x14ac:dyDescent="0.2">
      <c r="A17" s="177">
        <v>2013</v>
      </c>
      <c r="B17" s="284">
        <v>106.9455967079747</v>
      </c>
      <c r="C17"/>
      <c r="D17"/>
      <c r="E17"/>
      <c r="F17"/>
      <c r="G17"/>
      <c r="H17"/>
    </row>
    <row r="18" spans="1:8" x14ac:dyDescent="0.2">
      <c r="A18" s="177">
        <v>2014</v>
      </c>
      <c r="B18" s="284">
        <v>114.11562201507526</v>
      </c>
      <c r="C18"/>
      <c r="D18"/>
      <c r="E18"/>
      <c r="F18"/>
      <c r="G18"/>
      <c r="H18"/>
    </row>
    <row r="19" spans="1:8" x14ac:dyDescent="0.2">
      <c r="A19" s="177">
        <v>2015</v>
      </c>
      <c r="B19" s="284">
        <v>120.07169323638841</v>
      </c>
      <c r="C19"/>
      <c r="D19"/>
      <c r="E19"/>
      <c r="F19"/>
      <c r="G19"/>
      <c r="H19"/>
    </row>
    <row r="20" spans="1:8" x14ac:dyDescent="0.2">
      <c r="A20" s="177">
        <v>2016</v>
      </c>
      <c r="B20" s="284">
        <v>125.50735832806079</v>
      </c>
      <c r="C20"/>
      <c r="D20"/>
      <c r="E20"/>
      <c r="F20"/>
      <c r="G20"/>
      <c r="H20"/>
    </row>
    <row r="21" spans="1:8" x14ac:dyDescent="0.2">
      <c r="A21" s="177">
        <v>2017</v>
      </c>
      <c r="B21" s="284">
        <v>128.01750549462201</v>
      </c>
      <c r="C21"/>
      <c r="D21"/>
      <c r="E21"/>
      <c r="F21"/>
      <c r="G21"/>
      <c r="H21"/>
    </row>
    <row r="22" spans="1:8" x14ac:dyDescent="0.2">
      <c r="A22" s="177">
        <v>2018</v>
      </c>
      <c r="B22" s="284">
        <v>130.57785560451444</v>
      </c>
      <c r="C22"/>
      <c r="D22"/>
      <c r="E22"/>
      <c r="F22"/>
      <c r="G22"/>
      <c r="H22"/>
    </row>
    <row r="23" spans="1:8" x14ac:dyDescent="0.2">
      <c r="A23" s="177">
        <v>2019</v>
      </c>
      <c r="B23" s="284">
        <v>133.18941271660472</v>
      </c>
      <c r="C23"/>
      <c r="D23"/>
      <c r="E23"/>
      <c r="F23"/>
      <c r="G23"/>
      <c r="H23"/>
    </row>
    <row r="24" spans="1:8" x14ac:dyDescent="0.2">
      <c r="A24" s="177">
        <v>2020</v>
      </c>
      <c r="B24" s="284">
        <v>135.85320097093685</v>
      </c>
      <c r="C24"/>
      <c r="D24"/>
      <c r="E24"/>
      <c r="F24"/>
      <c r="G24"/>
      <c r="H24"/>
    </row>
    <row r="25" spans="1:8" x14ac:dyDescent="0.2">
      <c r="A25" s="177">
        <v>2021</v>
      </c>
      <c r="B25" s="284">
        <v>138.57026499035561</v>
      </c>
      <c r="C25"/>
      <c r="D25"/>
      <c r="E25"/>
      <c r="F25"/>
      <c r="G25"/>
      <c r="H25"/>
    </row>
    <row r="26" spans="1:8" x14ac:dyDescent="0.2">
      <c r="A26" s="177">
        <v>2022</v>
      </c>
      <c r="B26" s="284">
        <v>141.34167029016271</v>
      </c>
      <c r="C26"/>
      <c r="D26"/>
      <c r="E26"/>
      <c r="F26"/>
      <c r="G26"/>
      <c r="H26"/>
    </row>
    <row r="27" spans="1:8" x14ac:dyDescent="0.2">
      <c r="A27" s="177">
        <v>2023</v>
      </c>
      <c r="B27" s="284">
        <v>144.16850369596594</v>
      </c>
      <c r="C27"/>
      <c r="D27"/>
      <c r="E27"/>
      <c r="F27"/>
      <c r="G27"/>
      <c r="H27"/>
    </row>
    <row r="28" spans="1:8" x14ac:dyDescent="0.2">
      <c r="A28" s="177">
        <v>2024</v>
      </c>
      <c r="B28" s="284">
        <v>147.05187376988528</v>
      </c>
      <c r="C28"/>
      <c r="D28"/>
      <c r="E28"/>
      <c r="F28"/>
      <c r="G28"/>
      <c r="H28"/>
    </row>
    <row r="29" spans="1:8" x14ac:dyDescent="0.2">
      <c r="A29" s="177">
        <v>2025</v>
      </c>
      <c r="B29" s="284">
        <v>149.99291124528301</v>
      </c>
      <c r="C29"/>
      <c r="D29"/>
      <c r="E29"/>
      <c r="F29"/>
      <c r="G29"/>
      <c r="H29"/>
    </row>
    <row r="30" spans="1:8" x14ac:dyDescent="0.2">
      <c r="A30" s="177">
        <v>2026</v>
      </c>
      <c r="B30" s="284">
        <v>152.99276947018862</v>
      </c>
      <c r="C30"/>
      <c r="D30"/>
      <c r="E30"/>
      <c r="F30"/>
      <c r="G30"/>
      <c r="H30"/>
    </row>
    <row r="31" spans="1:8" x14ac:dyDescent="0.2">
      <c r="A31" s="177">
        <v>2027</v>
      </c>
      <c r="B31" s="284">
        <v>156.05262485959238</v>
      </c>
      <c r="C31"/>
      <c r="D31"/>
      <c r="E31"/>
      <c r="F31"/>
      <c r="G31"/>
      <c r="H31"/>
    </row>
    <row r="32" spans="1:8" x14ac:dyDescent="0.2">
      <c r="A32" s="177">
        <v>2028</v>
      </c>
      <c r="B32" s="284">
        <v>159.17367735678422</v>
      </c>
      <c r="C32"/>
      <c r="D32"/>
      <c r="E32"/>
      <c r="F32"/>
      <c r="G32"/>
      <c r="H32"/>
    </row>
    <row r="33" spans="1:8" x14ac:dyDescent="0.2">
      <c r="A33" s="177">
        <v>2029</v>
      </c>
      <c r="B33" s="284">
        <v>162.35715090391992</v>
      </c>
      <c r="C33"/>
      <c r="D33"/>
      <c r="E33"/>
      <c r="F33"/>
      <c r="G33"/>
      <c r="H33"/>
    </row>
    <row r="34" spans="1:8" x14ac:dyDescent="0.2">
      <c r="A34" s="177">
        <v>2030</v>
      </c>
      <c r="B34" s="284">
        <v>165.60429392199833</v>
      </c>
      <c r="C34"/>
      <c r="D34"/>
      <c r="E34"/>
      <c r="F34"/>
      <c r="G34"/>
      <c r="H34"/>
    </row>
    <row r="35" spans="1:8" x14ac:dyDescent="0.2">
      <c r="A35" s="177">
        <v>2031</v>
      </c>
      <c r="B35" s="284">
        <v>168.91637980043834</v>
      </c>
      <c r="C35"/>
      <c r="D35"/>
      <c r="E35"/>
      <c r="F35"/>
      <c r="G35"/>
      <c r="H35"/>
    </row>
    <row r="36" spans="1:8" x14ac:dyDescent="0.2">
      <c r="A36" s="177">
        <v>2032</v>
      </c>
      <c r="B36" s="284">
        <v>172.29470739644705</v>
      </c>
      <c r="C36"/>
      <c r="D36"/>
      <c r="E36"/>
      <c r="F36"/>
      <c r="G36"/>
      <c r="H36"/>
    </row>
    <row r="37" spans="1:8" x14ac:dyDescent="0.2">
      <c r="A37" s="177">
        <v>2033</v>
      </c>
      <c r="B37" s="284">
        <v>175.74060154437598</v>
      </c>
      <c r="C37"/>
      <c r="D37"/>
      <c r="E37"/>
      <c r="F37"/>
      <c r="G37"/>
      <c r="H37"/>
    </row>
    <row r="38" spans="1:8" x14ac:dyDescent="0.2">
      <c r="A38" s="177">
        <v>2034</v>
      </c>
      <c r="B38" s="284">
        <v>179.25541357526356</v>
      </c>
      <c r="C38"/>
      <c r="D38"/>
      <c r="E38"/>
      <c r="F38"/>
      <c r="G38"/>
      <c r="H38"/>
    </row>
    <row r="39" spans="1:8" x14ac:dyDescent="0.2">
      <c r="A39" s="177">
        <v>2035</v>
      </c>
      <c r="B39" s="284">
        <v>182.84052184676884</v>
      </c>
      <c r="C39"/>
      <c r="D39"/>
      <c r="E39"/>
      <c r="F39"/>
      <c r="G39"/>
      <c r="H39"/>
    </row>
    <row r="40" spans="1:8" x14ac:dyDescent="0.2">
      <c r="A40" s="177">
        <v>2036</v>
      </c>
      <c r="B40" s="284">
        <v>186.4973322837042</v>
      </c>
      <c r="C40"/>
      <c r="D40"/>
      <c r="E40"/>
      <c r="F40"/>
      <c r="G40"/>
      <c r="H40"/>
    </row>
    <row r="41" spans="1:8" x14ac:dyDescent="0.2">
      <c r="A41" s="177">
        <v>2037</v>
      </c>
      <c r="B41" s="284">
        <v>190.22727892937829</v>
      </c>
      <c r="C41"/>
      <c r="D41"/>
      <c r="E41"/>
      <c r="F41"/>
      <c r="G41"/>
      <c r="H41"/>
    </row>
    <row r="42" spans="1:8" x14ac:dyDescent="0.2">
      <c r="A42" s="177">
        <v>2038</v>
      </c>
      <c r="B42" s="284">
        <v>194.03182450796592</v>
      </c>
      <c r="C42"/>
      <c r="D42"/>
      <c r="E42"/>
      <c r="F42"/>
      <c r="G42"/>
      <c r="H42"/>
    </row>
    <row r="43" spans="1:8" x14ac:dyDescent="0.2">
      <c r="A43" s="177">
        <v>2039</v>
      </c>
      <c r="B43" s="284">
        <v>197.9124609981252</v>
      </c>
      <c r="C43"/>
      <c r="D43"/>
      <c r="E43"/>
      <c r="F43"/>
      <c r="G43"/>
      <c r="H43"/>
    </row>
    <row r="44" spans="1:8" x14ac:dyDescent="0.2">
      <c r="A44" s="177">
        <v>2040</v>
      </c>
      <c r="B44" s="284">
        <v>201.87071021808777</v>
      </c>
      <c r="C44"/>
      <c r="D44"/>
      <c r="E44"/>
      <c r="F44"/>
      <c r="G44"/>
      <c r="H44"/>
    </row>
    <row r="45" spans="1:8" x14ac:dyDescent="0.2">
      <c r="A45" s="177">
        <v>2041</v>
      </c>
      <c r="B45" s="284">
        <v>205.90812442244945</v>
      </c>
      <c r="C45"/>
      <c r="D45"/>
      <c r="E45"/>
      <c r="F45"/>
      <c r="G45"/>
      <c r="H45"/>
    </row>
    <row r="46" spans="1:8" x14ac:dyDescent="0.2">
      <c r="A46" s="177">
        <v>2042</v>
      </c>
      <c r="B46" s="284">
        <v>210.02628691089845</v>
      </c>
      <c r="C46"/>
      <c r="D46"/>
      <c r="E46"/>
      <c r="F46"/>
      <c r="G46"/>
      <c r="H46"/>
    </row>
    <row r="47" spans="1:8" x14ac:dyDescent="0.2">
      <c r="A47" s="177" t="s">
        <v>212</v>
      </c>
      <c r="B47" s="284">
        <v>5648.6648380162105</v>
      </c>
      <c r="C47"/>
      <c r="D47"/>
      <c r="E47"/>
      <c r="F47"/>
      <c r="G47"/>
      <c r="H47"/>
    </row>
    <row r="48" spans="1:8" x14ac:dyDescent="0.2">
      <c r="A48"/>
      <c r="B48"/>
      <c r="C48"/>
      <c r="D48"/>
      <c r="E48"/>
      <c r="F48"/>
      <c r="G48"/>
      <c r="H48"/>
    </row>
    <row r="49" spans="1:8" x14ac:dyDescent="0.2">
      <c r="A49"/>
      <c r="B49"/>
      <c r="C49"/>
      <c r="D49"/>
      <c r="E49"/>
      <c r="F49"/>
      <c r="G49"/>
      <c r="H49"/>
    </row>
    <row r="50" spans="1:8" x14ac:dyDescent="0.2">
      <c r="A50"/>
      <c r="B50"/>
      <c r="C50"/>
      <c r="D50"/>
      <c r="E50"/>
      <c r="F50"/>
      <c r="G50"/>
      <c r="H50"/>
    </row>
    <row r="51" spans="1:8" x14ac:dyDescent="0.2">
      <c r="A51"/>
      <c r="B51"/>
      <c r="C51"/>
      <c r="D51"/>
      <c r="E51"/>
      <c r="F51"/>
      <c r="G51"/>
      <c r="H51"/>
    </row>
    <row r="52" spans="1:8" x14ac:dyDescent="0.2">
      <c r="A52"/>
      <c r="B52"/>
      <c r="C52"/>
      <c r="D52"/>
      <c r="E52"/>
      <c r="F52"/>
      <c r="G52"/>
      <c r="H52"/>
    </row>
    <row r="53" spans="1:8" x14ac:dyDescent="0.2">
      <c r="A53"/>
      <c r="B53"/>
      <c r="C53"/>
      <c r="D53"/>
      <c r="E53"/>
      <c r="F53"/>
      <c r="G53"/>
      <c r="H53"/>
    </row>
    <row r="54" spans="1:8" x14ac:dyDescent="0.2">
      <c r="A54"/>
      <c r="B54"/>
      <c r="C54"/>
      <c r="D54"/>
      <c r="E54"/>
      <c r="F54"/>
      <c r="G54"/>
      <c r="H54"/>
    </row>
    <row r="55" spans="1:8" x14ac:dyDescent="0.2">
      <c r="A55"/>
      <c r="B55"/>
      <c r="C55"/>
      <c r="D55"/>
      <c r="E55"/>
      <c r="F55"/>
      <c r="G55"/>
      <c r="H55"/>
    </row>
    <row r="56" spans="1:8" x14ac:dyDescent="0.2">
      <c r="A56"/>
      <c r="B56"/>
      <c r="C56"/>
      <c r="D56"/>
      <c r="E56"/>
      <c r="F56"/>
      <c r="G56"/>
      <c r="H56"/>
    </row>
    <row r="57" spans="1:8" x14ac:dyDescent="0.2">
      <c r="A57"/>
      <c r="B57"/>
      <c r="C57"/>
      <c r="D57"/>
      <c r="E57"/>
      <c r="F57"/>
      <c r="G57"/>
      <c r="H57"/>
    </row>
    <row r="58" spans="1:8" x14ac:dyDescent="0.2">
      <c r="A58"/>
      <c r="B58"/>
      <c r="C58"/>
      <c r="D58"/>
      <c r="E58"/>
      <c r="F58"/>
      <c r="G58"/>
      <c r="H58"/>
    </row>
    <row r="59" spans="1:8" x14ac:dyDescent="0.2">
      <c r="A59"/>
      <c r="B59"/>
      <c r="C59"/>
      <c r="D59"/>
      <c r="E59"/>
      <c r="F59"/>
      <c r="G59"/>
      <c r="H59"/>
    </row>
    <row r="60" spans="1:8" x14ac:dyDescent="0.2">
      <c r="A60"/>
      <c r="B60"/>
      <c r="C60"/>
      <c r="D60"/>
      <c r="E60"/>
      <c r="F60"/>
      <c r="G60"/>
      <c r="H60"/>
    </row>
    <row r="61" spans="1:8" x14ac:dyDescent="0.2">
      <c r="A61"/>
      <c r="B61"/>
      <c r="C61"/>
      <c r="D61"/>
      <c r="E61"/>
      <c r="F61"/>
      <c r="G61"/>
      <c r="H61"/>
    </row>
    <row r="62" spans="1:8" x14ac:dyDescent="0.2">
      <c r="A62"/>
      <c r="B62"/>
      <c r="C62"/>
      <c r="D62"/>
      <c r="E62"/>
      <c r="F62"/>
      <c r="G62"/>
      <c r="H62"/>
    </row>
    <row r="63" spans="1:8" x14ac:dyDescent="0.2">
      <c r="A63"/>
      <c r="B63"/>
      <c r="C63"/>
      <c r="D63"/>
      <c r="E63"/>
      <c r="F63"/>
      <c r="G63"/>
      <c r="H63"/>
    </row>
    <row r="64" spans="1:8" x14ac:dyDescent="0.2">
      <c r="A64"/>
      <c r="B64"/>
      <c r="C64"/>
      <c r="D64"/>
      <c r="E64"/>
      <c r="F64"/>
      <c r="G64"/>
      <c r="H64"/>
    </row>
    <row r="65" spans="1:8" x14ac:dyDescent="0.2">
      <c r="A65"/>
      <c r="B65"/>
      <c r="C65"/>
      <c r="D65"/>
      <c r="E65"/>
      <c r="F65"/>
      <c r="G65"/>
      <c r="H65"/>
    </row>
    <row r="66" spans="1:8" x14ac:dyDescent="0.2">
      <c r="A66"/>
      <c r="B66"/>
      <c r="C66"/>
      <c r="D66"/>
      <c r="E66"/>
      <c r="F66"/>
      <c r="G66"/>
      <c r="H66"/>
    </row>
    <row r="67" spans="1:8" x14ac:dyDescent="0.2">
      <c r="A67"/>
      <c r="B67"/>
      <c r="C67"/>
      <c r="D67"/>
      <c r="E67"/>
      <c r="F67"/>
      <c r="G67"/>
      <c r="H67"/>
    </row>
    <row r="68" spans="1:8" x14ac:dyDescent="0.2">
      <c r="A68"/>
      <c r="B68"/>
      <c r="C68"/>
      <c r="D68"/>
      <c r="E68"/>
      <c r="F68"/>
      <c r="G68"/>
      <c r="H68"/>
    </row>
    <row r="69" spans="1:8" x14ac:dyDescent="0.2">
      <c r="A69"/>
      <c r="B69"/>
      <c r="C69"/>
      <c r="D69"/>
      <c r="E69"/>
      <c r="F69"/>
      <c r="G69"/>
      <c r="H69"/>
    </row>
    <row r="70" spans="1:8" x14ac:dyDescent="0.2">
      <c r="A70"/>
      <c r="B70"/>
      <c r="C70"/>
      <c r="D70"/>
      <c r="E70"/>
      <c r="F70"/>
      <c r="G70"/>
      <c r="H70"/>
    </row>
    <row r="71" spans="1:8" x14ac:dyDescent="0.2">
      <c r="A71"/>
      <c r="B71"/>
      <c r="C71"/>
      <c r="D71"/>
      <c r="E71"/>
      <c r="F71"/>
      <c r="G71"/>
      <c r="H71"/>
    </row>
    <row r="72" spans="1:8" x14ac:dyDescent="0.2">
      <c r="A72"/>
      <c r="B72"/>
      <c r="C72"/>
      <c r="D72"/>
      <c r="E72"/>
      <c r="F72"/>
      <c r="G72"/>
      <c r="H72"/>
    </row>
    <row r="73" spans="1:8" x14ac:dyDescent="0.2">
      <c r="A73"/>
      <c r="B73"/>
      <c r="C73"/>
      <c r="D73"/>
      <c r="E73"/>
      <c r="F73"/>
      <c r="G73"/>
      <c r="H73"/>
    </row>
    <row r="74" spans="1:8" x14ac:dyDescent="0.2">
      <c r="A74"/>
      <c r="B74"/>
      <c r="C74"/>
      <c r="D74"/>
      <c r="E74"/>
      <c r="F74"/>
      <c r="G74"/>
      <c r="H74"/>
    </row>
    <row r="75" spans="1:8" x14ac:dyDescent="0.2">
      <c r="A75"/>
      <c r="B75"/>
      <c r="C75"/>
      <c r="D75"/>
      <c r="E75"/>
      <c r="F75"/>
      <c r="G75"/>
      <c r="H75"/>
    </row>
    <row r="76" spans="1:8" x14ac:dyDescent="0.2">
      <c r="A76"/>
      <c r="B76"/>
      <c r="C76"/>
      <c r="D76"/>
      <c r="E76"/>
      <c r="F76"/>
      <c r="G76"/>
      <c r="H76"/>
    </row>
    <row r="77" spans="1:8" x14ac:dyDescent="0.2">
      <c r="A77"/>
      <c r="B77"/>
      <c r="C77"/>
      <c r="D77"/>
      <c r="E77"/>
      <c r="F77"/>
      <c r="G77"/>
      <c r="H77"/>
    </row>
    <row r="78" spans="1:8" x14ac:dyDescent="0.2">
      <c r="A78"/>
      <c r="B78"/>
      <c r="C78"/>
      <c r="D78"/>
      <c r="E78"/>
      <c r="F78"/>
      <c r="G78"/>
      <c r="H78"/>
    </row>
    <row r="79" spans="1:8" x14ac:dyDescent="0.2">
      <c r="A79"/>
      <c r="B79"/>
      <c r="C79"/>
      <c r="D79"/>
      <c r="E79"/>
      <c r="F79"/>
      <c r="G79"/>
      <c r="H79"/>
    </row>
    <row r="80" spans="1:8" x14ac:dyDescent="0.2">
      <c r="A80"/>
      <c r="B80"/>
      <c r="C80"/>
      <c r="D80"/>
      <c r="E80"/>
      <c r="F80"/>
      <c r="G80"/>
      <c r="H80"/>
    </row>
    <row r="81" spans="1:8" x14ac:dyDescent="0.2">
      <c r="A81"/>
      <c r="B81"/>
      <c r="C81"/>
      <c r="D81"/>
      <c r="E81"/>
      <c r="F81"/>
      <c r="G81"/>
      <c r="H81"/>
    </row>
    <row r="82" spans="1:8" x14ac:dyDescent="0.2">
      <c r="A82"/>
      <c r="B82"/>
      <c r="C82"/>
      <c r="D82"/>
      <c r="E82"/>
      <c r="F82"/>
      <c r="G82"/>
      <c r="H82"/>
    </row>
    <row r="83" spans="1:8" x14ac:dyDescent="0.2">
      <c r="A83"/>
      <c r="B83"/>
      <c r="C83"/>
      <c r="D83"/>
      <c r="E83"/>
      <c r="F83"/>
      <c r="G83"/>
      <c r="H83"/>
    </row>
    <row r="84" spans="1:8" x14ac:dyDescent="0.2">
      <c r="A84"/>
      <c r="B84"/>
      <c r="C84"/>
      <c r="D84"/>
      <c r="E84"/>
      <c r="F84"/>
      <c r="G84"/>
      <c r="H84"/>
    </row>
    <row r="85" spans="1:8" x14ac:dyDescent="0.2">
      <c r="A85"/>
      <c r="B85"/>
      <c r="C85"/>
      <c r="D85"/>
      <c r="E85"/>
      <c r="F85"/>
      <c r="G85"/>
      <c r="H85"/>
    </row>
    <row r="86" spans="1:8" x14ac:dyDescent="0.2">
      <c r="A86"/>
      <c r="B86"/>
      <c r="C86"/>
      <c r="D86"/>
      <c r="E86"/>
      <c r="F86"/>
      <c r="G86"/>
      <c r="H86"/>
    </row>
    <row r="87" spans="1:8" x14ac:dyDescent="0.2">
      <c r="A87"/>
      <c r="B87"/>
      <c r="C87"/>
      <c r="D87"/>
      <c r="E87"/>
      <c r="F87"/>
      <c r="G87"/>
      <c r="H87"/>
    </row>
    <row r="88" spans="1:8" x14ac:dyDescent="0.2">
      <c r="A88"/>
      <c r="B88"/>
      <c r="C88"/>
      <c r="D88"/>
      <c r="E88"/>
      <c r="F88"/>
      <c r="G88"/>
      <c r="H88"/>
    </row>
    <row r="89" spans="1:8" x14ac:dyDescent="0.2">
      <c r="A89"/>
      <c r="B89"/>
      <c r="C89"/>
      <c r="D89"/>
      <c r="E89"/>
      <c r="F89"/>
      <c r="G89"/>
      <c r="H89"/>
    </row>
    <row r="90" spans="1:8" x14ac:dyDescent="0.2">
      <c r="A90"/>
      <c r="B90"/>
      <c r="C90"/>
      <c r="D90"/>
      <c r="E90"/>
      <c r="F90"/>
      <c r="G90"/>
      <c r="H90"/>
    </row>
    <row r="91" spans="1:8" x14ac:dyDescent="0.2">
      <c r="A91"/>
      <c r="B91"/>
      <c r="C91"/>
      <c r="D91"/>
      <c r="E91"/>
      <c r="F91"/>
      <c r="G91"/>
      <c r="H91"/>
    </row>
    <row r="92" spans="1:8" x14ac:dyDescent="0.2">
      <c r="A92"/>
      <c r="B92"/>
      <c r="C92"/>
      <c r="D92"/>
      <c r="E92"/>
      <c r="F92"/>
      <c r="G92"/>
      <c r="H92"/>
    </row>
    <row r="93" spans="1:8" x14ac:dyDescent="0.2">
      <c r="A93"/>
      <c r="B93"/>
      <c r="C93"/>
      <c r="D93"/>
      <c r="E93"/>
      <c r="F93"/>
      <c r="G93"/>
      <c r="H93"/>
    </row>
    <row r="94" spans="1:8" x14ac:dyDescent="0.2">
      <c r="A94"/>
      <c r="B94"/>
      <c r="C94"/>
      <c r="D94"/>
      <c r="E94"/>
      <c r="F94"/>
      <c r="G94"/>
      <c r="H94"/>
    </row>
    <row r="95" spans="1:8" x14ac:dyDescent="0.2">
      <c r="A95"/>
      <c r="B95"/>
      <c r="C95"/>
      <c r="D95"/>
      <c r="E95"/>
      <c r="F95"/>
      <c r="G95"/>
      <c r="H95"/>
    </row>
    <row r="96" spans="1:8" x14ac:dyDescent="0.2">
      <c r="A96"/>
      <c r="B96"/>
      <c r="C96"/>
      <c r="D96"/>
      <c r="E96"/>
      <c r="F96"/>
      <c r="G96"/>
      <c r="H96"/>
    </row>
    <row r="97" spans="1:8" x14ac:dyDescent="0.2">
      <c r="A97"/>
      <c r="B97"/>
      <c r="C97"/>
      <c r="D97"/>
      <c r="E97"/>
      <c r="F97"/>
      <c r="G97"/>
      <c r="H97"/>
    </row>
    <row r="98" spans="1:8" x14ac:dyDescent="0.2">
      <c r="A98"/>
      <c r="B98"/>
      <c r="C98"/>
      <c r="D98"/>
      <c r="E98"/>
      <c r="F98"/>
      <c r="G98"/>
      <c r="H98"/>
    </row>
    <row r="99" spans="1:8" x14ac:dyDescent="0.2">
      <c r="A99"/>
      <c r="B99"/>
      <c r="C99"/>
      <c r="D99"/>
      <c r="E99"/>
      <c r="F99"/>
      <c r="G99"/>
      <c r="H99"/>
    </row>
    <row r="100" spans="1:8" x14ac:dyDescent="0.2">
      <c r="A100"/>
      <c r="B100"/>
      <c r="C100"/>
      <c r="D100"/>
      <c r="E100"/>
      <c r="F100"/>
      <c r="G100"/>
      <c r="H100"/>
    </row>
    <row r="101" spans="1:8" x14ac:dyDescent="0.2">
      <c r="A101"/>
      <c r="B101"/>
      <c r="C101"/>
      <c r="D101"/>
      <c r="E101"/>
      <c r="F101"/>
      <c r="G101"/>
      <c r="H101"/>
    </row>
    <row r="102" spans="1:8" x14ac:dyDescent="0.2">
      <c r="A102"/>
      <c r="B102"/>
      <c r="C102"/>
      <c r="D102"/>
      <c r="E102"/>
      <c r="F102"/>
      <c r="G102"/>
      <c r="H102"/>
    </row>
    <row r="103" spans="1:8" x14ac:dyDescent="0.2">
      <c r="A103"/>
      <c r="B103"/>
      <c r="C103"/>
      <c r="D103"/>
      <c r="E103"/>
      <c r="F103"/>
      <c r="G103"/>
      <c r="H103"/>
    </row>
    <row r="104" spans="1:8" x14ac:dyDescent="0.2">
      <c r="A104"/>
      <c r="B104"/>
      <c r="C104"/>
      <c r="D104"/>
      <c r="E104"/>
      <c r="F104"/>
      <c r="G104"/>
      <c r="H104"/>
    </row>
    <row r="105" spans="1:8" x14ac:dyDescent="0.2">
      <c r="A105"/>
      <c r="B105"/>
      <c r="C105"/>
      <c r="D105"/>
      <c r="E105"/>
      <c r="F105"/>
      <c r="G105"/>
      <c r="H105"/>
    </row>
    <row r="106" spans="1:8" x14ac:dyDescent="0.2">
      <c r="A106"/>
      <c r="B106"/>
      <c r="C106"/>
      <c r="D106"/>
      <c r="E106"/>
      <c r="F106"/>
      <c r="G106"/>
      <c r="H106"/>
    </row>
    <row r="107" spans="1:8" x14ac:dyDescent="0.2">
      <c r="A107"/>
      <c r="B107"/>
      <c r="C107"/>
      <c r="D107"/>
      <c r="E107"/>
      <c r="F107"/>
      <c r="G107"/>
      <c r="H107"/>
    </row>
    <row r="108" spans="1:8" x14ac:dyDescent="0.2">
      <c r="A108"/>
      <c r="B108"/>
      <c r="C108"/>
      <c r="D108"/>
      <c r="E108"/>
      <c r="F108"/>
      <c r="G108"/>
      <c r="H108"/>
    </row>
    <row r="109" spans="1:8" x14ac:dyDescent="0.2">
      <c r="A109"/>
      <c r="B109"/>
      <c r="C109"/>
      <c r="D109"/>
      <c r="E109"/>
      <c r="F109"/>
      <c r="G109"/>
      <c r="H109"/>
    </row>
    <row r="110" spans="1:8" x14ac:dyDescent="0.2">
      <c r="A110"/>
      <c r="B110"/>
      <c r="C110"/>
      <c r="D110"/>
      <c r="E110"/>
      <c r="F110"/>
      <c r="G110"/>
      <c r="H110"/>
    </row>
    <row r="111" spans="1:8" x14ac:dyDescent="0.2">
      <c r="A111"/>
      <c r="B111"/>
      <c r="C111"/>
      <c r="D111"/>
      <c r="E111"/>
      <c r="F111"/>
      <c r="G111"/>
      <c r="H111"/>
    </row>
    <row r="112" spans="1:8" x14ac:dyDescent="0.2">
      <c r="A112"/>
      <c r="B112"/>
      <c r="C112"/>
      <c r="D112"/>
      <c r="E112"/>
      <c r="F112"/>
      <c r="G112"/>
      <c r="H112"/>
    </row>
    <row r="113" spans="1:8" x14ac:dyDescent="0.2">
      <c r="A113"/>
      <c r="B113"/>
      <c r="C113"/>
      <c r="D113"/>
      <c r="E113"/>
      <c r="F113"/>
      <c r="G113"/>
      <c r="H113"/>
    </row>
    <row r="114" spans="1:8" x14ac:dyDescent="0.2">
      <c r="A114"/>
      <c r="B114"/>
      <c r="C114"/>
      <c r="D114"/>
      <c r="E114"/>
      <c r="F114"/>
      <c r="G114"/>
      <c r="H114"/>
    </row>
    <row r="115" spans="1:8" x14ac:dyDescent="0.2">
      <c r="A115"/>
      <c r="B115"/>
      <c r="C115"/>
      <c r="D115"/>
      <c r="E115"/>
      <c r="F115"/>
      <c r="G115"/>
      <c r="H115"/>
    </row>
    <row r="116" spans="1:8" x14ac:dyDescent="0.2">
      <c r="A116"/>
      <c r="B116"/>
      <c r="C116"/>
      <c r="D116"/>
      <c r="E116"/>
      <c r="F116"/>
      <c r="G116"/>
      <c r="H116"/>
    </row>
    <row r="117" spans="1:8" x14ac:dyDescent="0.2">
      <c r="A117"/>
      <c r="B117"/>
      <c r="C117"/>
      <c r="D117"/>
      <c r="E117"/>
      <c r="F117"/>
      <c r="G117"/>
      <c r="H117"/>
    </row>
    <row r="118" spans="1:8" x14ac:dyDescent="0.2">
      <c r="A118"/>
      <c r="B118"/>
      <c r="C118"/>
      <c r="D118"/>
      <c r="E118"/>
      <c r="F118"/>
      <c r="G118"/>
      <c r="H118"/>
    </row>
    <row r="119" spans="1:8" x14ac:dyDescent="0.2">
      <c r="A119"/>
      <c r="B119"/>
      <c r="C119"/>
      <c r="D119"/>
      <c r="E119"/>
      <c r="F119"/>
      <c r="G119"/>
      <c r="H119"/>
    </row>
    <row r="120" spans="1:8" x14ac:dyDescent="0.2">
      <c r="A120"/>
      <c r="B120"/>
      <c r="C120"/>
      <c r="D120"/>
      <c r="E120"/>
      <c r="F120"/>
      <c r="G120"/>
      <c r="H120"/>
    </row>
    <row r="121" spans="1:8" x14ac:dyDescent="0.2">
      <c r="A121"/>
      <c r="B121"/>
      <c r="C121"/>
      <c r="D121"/>
      <c r="E121"/>
      <c r="F121"/>
      <c r="G121"/>
      <c r="H121"/>
    </row>
    <row r="122" spans="1:8" x14ac:dyDescent="0.2">
      <c r="A122"/>
      <c r="B122"/>
      <c r="C122"/>
      <c r="D122"/>
      <c r="E122"/>
      <c r="F122"/>
      <c r="G122"/>
      <c r="H122"/>
    </row>
    <row r="123" spans="1:8" x14ac:dyDescent="0.2">
      <c r="A123"/>
      <c r="B123"/>
      <c r="C123"/>
      <c r="D123"/>
      <c r="E123"/>
      <c r="F123"/>
      <c r="G123"/>
      <c r="H123"/>
    </row>
    <row r="124" spans="1:8" x14ac:dyDescent="0.2">
      <c r="A124"/>
      <c r="B124"/>
      <c r="C124"/>
      <c r="D124"/>
      <c r="E124"/>
      <c r="F124"/>
      <c r="G124"/>
      <c r="H124"/>
    </row>
    <row r="125" spans="1:8" x14ac:dyDescent="0.2">
      <c r="A125"/>
      <c r="B125"/>
      <c r="C125"/>
      <c r="D125"/>
      <c r="E125"/>
      <c r="F125"/>
      <c r="G125"/>
      <c r="H125"/>
    </row>
    <row r="126" spans="1:8" x14ac:dyDescent="0.2">
      <c r="A126"/>
      <c r="B126"/>
      <c r="C126"/>
      <c r="D126"/>
      <c r="E126"/>
      <c r="F126"/>
      <c r="G126"/>
      <c r="H126"/>
    </row>
    <row r="127" spans="1:8" x14ac:dyDescent="0.2">
      <c r="A127"/>
      <c r="B127"/>
      <c r="C127"/>
      <c r="D127"/>
      <c r="E127"/>
      <c r="F127"/>
      <c r="G127"/>
      <c r="H127"/>
    </row>
    <row r="128" spans="1:8" x14ac:dyDescent="0.2">
      <c r="A128"/>
      <c r="B128"/>
      <c r="C128"/>
      <c r="D128"/>
      <c r="E128"/>
      <c r="F128"/>
      <c r="G128"/>
      <c r="H128"/>
    </row>
    <row r="129" spans="1:8" x14ac:dyDescent="0.2">
      <c r="A129"/>
      <c r="B129"/>
      <c r="C129"/>
      <c r="D129"/>
      <c r="E129"/>
      <c r="F129"/>
      <c r="G129"/>
      <c r="H129"/>
    </row>
    <row r="130" spans="1:8" x14ac:dyDescent="0.2">
      <c r="A130"/>
      <c r="B130"/>
      <c r="C130"/>
      <c r="D130"/>
      <c r="E130"/>
      <c r="F130"/>
      <c r="G130"/>
      <c r="H130"/>
    </row>
    <row r="131" spans="1:8" x14ac:dyDescent="0.2">
      <c r="A131"/>
      <c r="B131"/>
      <c r="C131"/>
      <c r="D131"/>
      <c r="E131"/>
      <c r="F131"/>
      <c r="G131"/>
      <c r="H131"/>
    </row>
    <row r="132" spans="1:8" x14ac:dyDescent="0.2">
      <c r="A132"/>
      <c r="B132"/>
      <c r="C132"/>
      <c r="D132"/>
      <c r="E132"/>
      <c r="F132"/>
      <c r="G132"/>
      <c r="H132"/>
    </row>
    <row r="133" spans="1:8" x14ac:dyDescent="0.2">
      <c r="A133"/>
      <c r="B133"/>
      <c r="C133"/>
      <c r="D133"/>
      <c r="E133"/>
      <c r="F133"/>
      <c r="G133"/>
      <c r="H133"/>
    </row>
    <row r="134" spans="1:8" x14ac:dyDescent="0.2">
      <c r="A134"/>
      <c r="B134"/>
      <c r="C134"/>
      <c r="D134"/>
      <c r="E134"/>
      <c r="F134"/>
      <c r="G134"/>
      <c r="H134"/>
    </row>
    <row r="135" spans="1:8" x14ac:dyDescent="0.2">
      <c r="A135"/>
      <c r="B135"/>
      <c r="C135"/>
      <c r="D135"/>
      <c r="E135"/>
      <c r="F135"/>
      <c r="G135"/>
      <c r="H135"/>
    </row>
    <row r="136" spans="1:8" x14ac:dyDescent="0.2">
      <c r="A136"/>
      <c r="B136"/>
      <c r="C136"/>
      <c r="D136"/>
      <c r="E136"/>
      <c r="F136"/>
      <c r="G136"/>
      <c r="H136"/>
    </row>
    <row r="137" spans="1:8" x14ac:dyDescent="0.2">
      <c r="A137"/>
      <c r="B137"/>
      <c r="C137"/>
      <c r="D137"/>
      <c r="E137"/>
      <c r="F137"/>
      <c r="G137"/>
      <c r="H137"/>
    </row>
    <row r="138" spans="1:8" x14ac:dyDescent="0.2">
      <c r="A138"/>
      <c r="B138"/>
      <c r="C138"/>
      <c r="D138"/>
      <c r="E138"/>
      <c r="F138"/>
      <c r="G138"/>
      <c r="H138"/>
    </row>
    <row r="139" spans="1:8" x14ac:dyDescent="0.2">
      <c r="A139"/>
      <c r="B139"/>
      <c r="C139"/>
      <c r="D139"/>
      <c r="E139"/>
      <c r="F139"/>
      <c r="G139"/>
      <c r="H139"/>
    </row>
    <row r="140" spans="1:8" x14ac:dyDescent="0.2">
      <c r="A140"/>
      <c r="B140"/>
      <c r="C140"/>
      <c r="D140"/>
      <c r="E140"/>
      <c r="F140"/>
      <c r="G140"/>
      <c r="H140"/>
    </row>
    <row r="141" spans="1:8" x14ac:dyDescent="0.2">
      <c r="A141"/>
      <c r="B141"/>
      <c r="C141"/>
      <c r="D141"/>
      <c r="E141"/>
      <c r="F141"/>
      <c r="G141"/>
      <c r="H141"/>
    </row>
    <row r="142" spans="1:8" x14ac:dyDescent="0.2">
      <c r="A142"/>
      <c r="B142"/>
      <c r="C142"/>
      <c r="D142"/>
      <c r="E142"/>
      <c r="F142"/>
      <c r="G142"/>
      <c r="H142"/>
    </row>
    <row r="143" spans="1:8" x14ac:dyDescent="0.2">
      <c r="A143"/>
      <c r="B143"/>
      <c r="C143"/>
      <c r="D143"/>
      <c r="E143"/>
      <c r="F143"/>
      <c r="G143"/>
      <c r="H143"/>
    </row>
    <row r="144" spans="1:8" x14ac:dyDescent="0.2">
      <c r="A144"/>
      <c r="B144"/>
      <c r="C144"/>
      <c r="D144"/>
      <c r="E144"/>
      <c r="F144"/>
      <c r="G144"/>
      <c r="H144"/>
    </row>
    <row r="145" spans="1:8" x14ac:dyDescent="0.2">
      <c r="A145"/>
      <c r="B145"/>
      <c r="C145"/>
      <c r="D145"/>
      <c r="E145"/>
      <c r="F145"/>
      <c r="G145"/>
      <c r="H145"/>
    </row>
    <row r="146" spans="1:8" x14ac:dyDescent="0.2">
      <c r="A146"/>
      <c r="B146"/>
      <c r="C146"/>
      <c r="D146"/>
      <c r="E146"/>
      <c r="F146"/>
      <c r="G146"/>
      <c r="H146"/>
    </row>
    <row r="147" spans="1:8" x14ac:dyDescent="0.2">
      <c r="A147"/>
      <c r="B147"/>
      <c r="C147"/>
      <c r="D147"/>
      <c r="E147"/>
      <c r="F147"/>
      <c r="G147"/>
      <c r="H147"/>
    </row>
    <row r="148" spans="1:8" x14ac:dyDescent="0.2">
      <c r="A148"/>
      <c r="B148"/>
      <c r="C148"/>
      <c r="D148"/>
      <c r="E148"/>
      <c r="F148"/>
      <c r="G148"/>
      <c r="H148"/>
    </row>
    <row r="149" spans="1:8" x14ac:dyDescent="0.2">
      <c r="A149"/>
      <c r="B149"/>
      <c r="C149"/>
      <c r="D149"/>
      <c r="E149"/>
      <c r="F149"/>
      <c r="G149"/>
      <c r="H149"/>
    </row>
    <row r="150" spans="1:8" x14ac:dyDescent="0.2">
      <c r="A150"/>
      <c r="B150"/>
      <c r="C150"/>
      <c r="D150"/>
      <c r="E150"/>
      <c r="F150"/>
      <c r="G150"/>
      <c r="H150"/>
    </row>
    <row r="151" spans="1:8" x14ac:dyDescent="0.2">
      <c r="A151"/>
      <c r="B151"/>
      <c r="C151"/>
      <c r="D151"/>
      <c r="E151"/>
      <c r="F151"/>
      <c r="G151"/>
      <c r="H151"/>
    </row>
    <row r="152" spans="1:8" x14ac:dyDescent="0.2">
      <c r="A152"/>
      <c r="B152"/>
      <c r="C152"/>
      <c r="D152"/>
      <c r="E152"/>
      <c r="F152"/>
      <c r="G152"/>
      <c r="H152"/>
    </row>
    <row r="153" spans="1:8" x14ac:dyDescent="0.2">
      <c r="A153"/>
      <c r="B153"/>
      <c r="C153"/>
      <c r="D153"/>
      <c r="E153"/>
      <c r="F153"/>
      <c r="G153"/>
      <c r="H153"/>
    </row>
    <row r="154" spans="1:8" x14ac:dyDescent="0.2">
      <c r="A154"/>
      <c r="B154"/>
      <c r="C154"/>
      <c r="D154"/>
      <c r="E154"/>
      <c r="F154"/>
      <c r="G154"/>
      <c r="H154"/>
    </row>
    <row r="155" spans="1:8" x14ac:dyDescent="0.2">
      <c r="A155"/>
      <c r="B155"/>
      <c r="C155"/>
      <c r="D155"/>
      <c r="E155"/>
      <c r="F155"/>
      <c r="G155"/>
      <c r="H155"/>
    </row>
    <row r="156" spans="1:8" x14ac:dyDescent="0.2">
      <c r="A156"/>
      <c r="B156"/>
      <c r="C156"/>
      <c r="D156"/>
      <c r="E156"/>
      <c r="F156"/>
      <c r="G156"/>
      <c r="H156"/>
    </row>
    <row r="157" spans="1:8" x14ac:dyDescent="0.2">
      <c r="A157"/>
      <c r="B157"/>
      <c r="C157"/>
      <c r="D157"/>
      <c r="E157"/>
      <c r="F157"/>
      <c r="G157"/>
      <c r="H157"/>
    </row>
    <row r="158" spans="1:8" x14ac:dyDescent="0.2">
      <c r="A158"/>
      <c r="B158"/>
      <c r="C158"/>
      <c r="D158"/>
      <c r="E158"/>
      <c r="F158"/>
      <c r="G158"/>
      <c r="H158"/>
    </row>
    <row r="159" spans="1:8" x14ac:dyDescent="0.2">
      <c r="A159"/>
      <c r="B159"/>
      <c r="C159"/>
      <c r="D159"/>
      <c r="E159"/>
      <c r="F159"/>
      <c r="G159"/>
      <c r="H159"/>
    </row>
    <row r="160" spans="1:8" x14ac:dyDescent="0.2">
      <c r="A160"/>
      <c r="B160"/>
      <c r="C160"/>
      <c r="D160"/>
      <c r="E160"/>
      <c r="F160"/>
      <c r="G160"/>
      <c r="H160"/>
    </row>
    <row r="161" spans="1:8" x14ac:dyDescent="0.2">
      <c r="A161"/>
      <c r="B161"/>
      <c r="C161"/>
      <c r="D161"/>
      <c r="E161"/>
      <c r="F161"/>
      <c r="G161"/>
      <c r="H161"/>
    </row>
    <row r="162" spans="1:8" x14ac:dyDescent="0.2">
      <c r="A162"/>
      <c r="B162"/>
      <c r="C162"/>
      <c r="D162"/>
      <c r="E162"/>
      <c r="F162"/>
      <c r="G162"/>
      <c r="H162"/>
    </row>
    <row r="163" spans="1:8" x14ac:dyDescent="0.2">
      <c r="A163"/>
      <c r="B163"/>
      <c r="C163"/>
      <c r="D163"/>
      <c r="E163"/>
      <c r="F163"/>
      <c r="G163"/>
      <c r="H163"/>
    </row>
    <row r="164" spans="1:8" x14ac:dyDescent="0.2">
      <c r="A164"/>
      <c r="B164"/>
      <c r="C164"/>
      <c r="D164"/>
      <c r="E164"/>
      <c r="F164"/>
      <c r="G164"/>
      <c r="H164"/>
    </row>
    <row r="165" spans="1:8" x14ac:dyDescent="0.2">
      <c r="A165"/>
      <c r="B165"/>
      <c r="C165"/>
      <c r="D165"/>
      <c r="E165"/>
      <c r="F165"/>
      <c r="G165"/>
      <c r="H165"/>
    </row>
    <row r="166" spans="1:8" x14ac:dyDescent="0.2">
      <c r="A166"/>
      <c r="B166"/>
      <c r="C166"/>
      <c r="D166"/>
      <c r="E166"/>
      <c r="F166"/>
      <c r="G166"/>
      <c r="H166"/>
    </row>
    <row r="167" spans="1:8" x14ac:dyDescent="0.2">
      <c r="A167"/>
      <c r="B167"/>
      <c r="C167"/>
      <c r="D167"/>
      <c r="E167"/>
      <c r="F167"/>
      <c r="G167"/>
      <c r="H167"/>
    </row>
    <row r="168" spans="1:8" x14ac:dyDescent="0.2">
      <c r="A168"/>
      <c r="B168"/>
      <c r="C168"/>
      <c r="D168"/>
      <c r="E168"/>
      <c r="F168"/>
      <c r="G168"/>
      <c r="H168"/>
    </row>
    <row r="169" spans="1:8" x14ac:dyDescent="0.2">
      <c r="A169"/>
      <c r="B169"/>
      <c r="C169"/>
      <c r="D169"/>
      <c r="E169"/>
      <c r="F169"/>
      <c r="G169"/>
      <c r="H169"/>
    </row>
    <row r="170" spans="1:8" x14ac:dyDescent="0.2">
      <c r="A170"/>
      <c r="B170"/>
      <c r="C170"/>
      <c r="D170"/>
      <c r="E170"/>
      <c r="F170"/>
      <c r="G170"/>
      <c r="H170"/>
    </row>
    <row r="171" spans="1:8" x14ac:dyDescent="0.2">
      <c r="A171"/>
      <c r="B171"/>
      <c r="C171"/>
      <c r="D171"/>
      <c r="E171"/>
      <c r="F171"/>
      <c r="G171"/>
      <c r="H171"/>
    </row>
    <row r="172" spans="1:8" x14ac:dyDescent="0.2">
      <c r="A172"/>
      <c r="B172"/>
      <c r="C172"/>
      <c r="D172"/>
      <c r="E172"/>
      <c r="F172"/>
      <c r="G172"/>
      <c r="H172"/>
    </row>
    <row r="173" spans="1:8" x14ac:dyDescent="0.2">
      <c r="A173"/>
      <c r="B173"/>
      <c r="C173"/>
      <c r="D173"/>
      <c r="E173"/>
      <c r="F173"/>
      <c r="G173"/>
      <c r="H173"/>
    </row>
    <row r="174" spans="1:8" x14ac:dyDescent="0.2">
      <c r="A174"/>
      <c r="B174"/>
      <c r="C174"/>
      <c r="D174"/>
      <c r="E174"/>
      <c r="F174"/>
      <c r="G174"/>
      <c r="H174"/>
    </row>
    <row r="175" spans="1:8" x14ac:dyDescent="0.2">
      <c r="A175"/>
      <c r="B175"/>
      <c r="C175"/>
      <c r="D175"/>
      <c r="E175"/>
      <c r="F175"/>
      <c r="G175"/>
      <c r="H175"/>
    </row>
    <row r="176" spans="1:8" x14ac:dyDescent="0.2">
      <c r="A176"/>
      <c r="B176"/>
      <c r="C176"/>
      <c r="D176"/>
      <c r="E176"/>
      <c r="F176"/>
      <c r="G176"/>
      <c r="H176"/>
    </row>
    <row r="177" spans="1:8" x14ac:dyDescent="0.2">
      <c r="A177"/>
      <c r="B177"/>
      <c r="C177"/>
      <c r="D177"/>
      <c r="E177"/>
      <c r="F177"/>
      <c r="G177"/>
      <c r="H177"/>
    </row>
    <row r="178" spans="1:8" x14ac:dyDescent="0.2">
      <c r="A178"/>
      <c r="B178"/>
      <c r="C178"/>
      <c r="D178"/>
      <c r="E178"/>
      <c r="F178"/>
      <c r="G178"/>
      <c r="H178"/>
    </row>
    <row r="179" spans="1:8" x14ac:dyDescent="0.2">
      <c r="A179"/>
      <c r="B179"/>
      <c r="C179"/>
      <c r="D179"/>
      <c r="E179"/>
      <c r="F179"/>
      <c r="G179"/>
      <c r="H179"/>
    </row>
    <row r="180" spans="1:8" x14ac:dyDescent="0.2">
      <c r="A180"/>
      <c r="B180"/>
      <c r="C180"/>
      <c r="D180"/>
      <c r="E180"/>
      <c r="F180"/>
      <c r="G180"/>
      <c r="H180"/>
    </row>
    <row r="181" spans="1:8" x14ac:dyDescent="0.2">
      <c r="A181"/>
      <c r="B181"/>
      <c r="C181"/>
      <c r="D181"/>
      <c r="E181"/>
      <c r="F181"/>
      <c r="G181"/>
      <c r="H181"/>
    </row>
    <row r="182" spans="1:8" x14ac:dyDescent="0.2">
      <c r="A182"/>
      <c r="B182"/>
      <c r="C182"/>
      <c r="D182"/>
      <c r="E182"/>
      <c r="F182"/>
      <c r="G182"/>
      <c r="H182"/>
    </row>
    <row r="183" spans="1:8" x14ac:dyDescent="0.2">
      <c r="A183"/>
      <c r="B183"/>
      <c r="C183"/>
      <c r="D183"/>
      <c r="E183"/>
      <c r="F183"/>
      <c r="G183"/>
      <c r="H183"/>
    </row>
    <row r="184" spans="1:8" x14ac:dyDescent="0.2">
      <c r="A184"/>
      <c r="B184"/>
      <c r="C184"/>
      <c r="D184"/>
      <c r="E184"/>
      <c r="F184"/>
      <c r="G184"/>
      <c r="H184"/>
    </row>
    <row r="185" spans="1:8" x14ac:dyDescent="0.2">
      <c r="A185"/>
      <c r="B185"/>
      <c r="C185"/>
      <c r="D185"/>
      <c r="E185"/>
      <c r="F185"/>
      <c r="G185"/>
      <c r="H185"/>
    </row>
    <row r="186" spans="1:8" x14ac:dyDescent="0.2">
      <c r="A186"/>
      <c r="B186"/>
      <c r="C186"/>
      <c r="D186"/>
      <c r="E186"/>
      <c r="F186"/>
      <c r="G186"/>
      <c r="H186"/>
    </row>
    <row r="187" spans="1:8" x14ac:dyDescent="0.2">
      <c r="A187"/>
      <c r="B187"/>
      <c r="C187"/>
      <c r="D187"/>
      <c r="E187"/>
      <c r="F187"/>
      <c r="G187"/>
      <c r="H187"/>
    </row>
    <row r="188" spans="1:8" x14ac:dyDescent="0.2">
      <c r="A188"/>
      <c r="B188"/>
      <c r="C188"/>
      <c r="D188"/>
      <c r="E188"/>
      <c r="F188"/>
      <c r="G188"/>
      <c r="H188"/>
    </row>
    <row r="189" spans="1:8" x14ac:dyDescent="0.2">
      <c r="A189"/>
      <c r="B189"/>
      <c r="C189"/>
      <c r="D189"/>
      <c r="E189"/>
      <c r="F189"/>
      <c r="G189"/>
      <c r="H189"/>
    </row>
    <row r="190" spans="1:8" x14ac:dyDescent="0.2">
      <c r="A190"/>
      <c r="B190"/>
      <c r="C190"/>
      <c r="D190"/>
      <c r="E190"/>
      <c r="F190"/>
      <c r="G190"/>
      <c r="H190"/>
    </row>
    <row r="191" spans="1:8" x14ac:dyDescent="0.2">
      <c r="A191"/>
      <c r="B191"/>
      <c r="C191"/>
      <c r="D191"/>
      <c r="E191"/>
      <c r="F191"/>
      <c r="G191"/>
      <c r="H191"/>
    </row>
    <row r="192" spans="1:8" x14ac:dyDescent="0.2">
      <c r="A192"/>
      <c r="B192"/>
      <c r="C192"/>
      <c r="D192"/>
      <c r="E192"/>
      <c r="F192"/>
      <c r="G192"/>
      <c r="H192"/>
    </row>
    <row r="193" spans="1:8" x14ac:dyDescent="0.2">
      <c r="A193"/>
      <c r="B193"/>
      <c r="C193"/>
      <c r="D193"/>
      <c r="E193"/>
      <c r="F193"/>
      <c r="G193"/>
      <c r="H193"/>
    </row>
    <row r="194" spans="1:8" x14ac:dyDescent="0.2">
      <c r="A194"/>
      <c r="B194"/>
      <c r="C194"/>
      <c r="D194"/>
      <c r="E194"/>
      <c r="F194"/>
      <c r="G194"/>
      <c r="H194"/>
    </row>
    <row r="195" spans="1:8" x14ac:dyDescent="0.2">
      <c r="A195"/>
      <c r="B195"/>
      <c r="C195"/>
      <c r="D195"/>
      <c r="E195"/>
      <c r="F195"/>
      <c r="G195"/>
      <c r="H195"/>
    </row>
    <row r="196" spans="1:8" x14ac:dyDescent="0.2">
      <c r="A196"/>
      <c r="B196"/>
      <c r="C196"/>
      <c r="D196"/>
      <c r="E196"/>
      <c r="F196"/>
      <c r="G196"/>
      <c r="H196"/>
    </row>
    <row r="197" spans="1:8" x14ac:dyDescent="0.2">
      <c r="A197"/>
      <c r="B197"/>
      <c r="C197"/>
      <c r="D197"/>
      <c r="E197"/>
      <c r="F197"/>
      <c r="G197"/>
      <c r="H197"/>
    </row>
    <row r="198" spans="1:8" x14ac:dyDescent="0.2">
      <c r="A198"/>
      <c r="B198"/>
      <c r="C198"/>
      <c r="D198"/>
      <c r="E198"/>
      <c r="F198"/>
      <c r="G198"/>
      <c r="H198"/>
    </row>
    <row r="199" spans="1:8" x14ac:dyDescent="0.2">
      <c r="A199"/>
      <c r="B199"/>
      <c r="C199"/>
      <c r="D199"/>
      <c r="E199"/>
      <c r="F199"/>
      <c r="G199"/>
      <c r="H199"/>
    </row>
    <row r="200" spans="1:8" x14ac:dyDescent="0.2">
      <c r="A200"/>
      <c r="B200"/>
      <c r="C200"/>
      <c r="D200"/>
      <c r="E200"/>
      <c r="F200"/>
      <c r="G200"/>
      <c r="H200"/>
    </row>
    <row r="201" spans="1:8" x14ac:dyDescent="0.2">
      <c r="A201"/>
      <c r="B201"/>
      <c r="C201"/>
      <c r="D201"/>
      <c r="E201"/>
      <c r="F201"/>
      <c r="G201"/>
      <c r="H201"/>
    </row>
    <row r="202" spans="1:8" x14ac:dyDescent="0.2">
      <c r="A202"/>
      <c r="B202"/>
      <c r="C202"/>
      <c r="D202"/>
      <c r="E202"/>
      <c r="F202"/>
      <c r="G202"/>
      <c r="H202"/>
    </row>
    <row r="203" spans="1:8" x14ac:dyDescent="0.2">
      <c r="A203"/>
      <c r="B203"/>
      <c r="C203"/>
      <c r="D203"/>
      <c r="E203"/>
      <c r="F203"/>
      <c r="G203"/>
      <c r="H203"/>
    </row>
    <row r="204" spans="1:8" x14ac:dyDescent="0.2">
      <c r="A204"/>
      <c r="B204"/>
      <c r="C204"/>
      <c r="D204"/>
      <c r="E204"/>
      <c r="F204"/>
      <c r="G204"/>
      <c r="H204"/>
    </row>
    <row r="205" spans="1:8" x14ac:dyDescent="0.2">
      <c r="A205"/>
      <c r="B205"/>
      <c r="C205"/>
      <c r="D205"/>
      <c r="E205"/>
      <c r="F205"/>
      <c r="G205"/>
      <c r="H205"/>
    </row>
    <row r="206" spans="1:8" x14ac:dyDescent="0.2">
      <c r="A206"/>
      <c r="B206"/>
      <c r="C206"/>
      <c r="D206"/>
      <c r="E206"/>
      <c r="F206"/>
      <c r="G206"/>
      <c r="H206"/>
    </row>
    <row r="207" spans="1:8" x14ac:dyDescent="0.2">
      <c r="A207"/>
      <c r="B207"/>
      <c r="C207"/>
      <c r="D207"/>
      <c r="E207"/>
      <c r="F207"/>
      <c r="G207"/>
      <c r="H207"/>
    </row>
    <row r="208" spans="1:8" x14ac:dyDescent="0.2">
      <c r="A208"/>
      <c r="B208"/>
      <c r="C208"/>
      <c r="D208"/>
      <c r="E208"/>
      <c r="F208"/>
      <c r="G208"/>
      <c r="H208"/>
    </row>
    <row r="209" spans="1:8" x14ac:dyDescent="0.2">
      <c r="A209"/>
      <c r="B209"/>
      <c r="C209"/>
      <c r="D209"/>
      <c r="E209"/>
      <c r="F209"/>
      <c r="G209"/>
      <c r="H209"/>
    </row>
    <row r="210" spans="1:8" x14ac:dyDescent="0.2">
      <c r="A210"/>
      <c r="B210"/>
      <c r="C210"/>
      <c r="D210"/>
      <c r="E210"/>
      <c r="F210"/>
      <c r="G210"/>
      <c r="H210"/>
    </row>
    <row r="211" spans="1:8" x14ac:dyDescent="0.2">
      <c r="A211"/>
      <c r="B211"/>
      <c r="C211"/>
      <c r="D211"/>
      <c r="E211"/>
      <c r="F211"/>
      <c r="G211"/>
      <c r="H211"/>
    </row>
    <row r="212" spans="1:8" x14ac:dyDescent="0.2">
      <c r="A212"/>
      <c r="B212"/>
      <c r="C212"/>
      <c r="D212"/>
      <c r="E212"/>
      <c r="F212"/>
      <c r="G212"/>
      <c r="H212"/>
    </row>
    <row r="213" spans="1:8" x14ac:dyDescent="0.2">
      <c r="A213"/>
      <c r="B213"/>
      <c r="C213"/>
      <c r="D213"/>
      <c r="E213"/>
      <c r="F213"/>
      <c r="G213"/>
      <c r="H213"/>
    </row>
    <row r="214" spans="1:8" x14ac:dyDescent="0.2">
      <c r="A214"/>
      <c r="B214"/>
      <c r="C214"/>
      <c r="D214"/>
      <c r="E214"/>
      <c r="F214"/>
      <c r="G214"/>
      <c r="H214"/>
    </row>
    <row r="215" spans="1:8" x14ac:dyDescent="0.2">
      <c r="A215"/>
      <c r="B215"/>
      <c r="C215"/>
      <c r="D215"/>
      <c r="E215"/>
      <c r="F215"/>
      <c r="G215"/>
      <c r="H215"/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7"/>
  <sheetViews>
    <sheetView topLeftCell="D1" workbookViewId="0">
      <selection activeCell="O19" sqref="O19"/>
    </sheetView>
  </sheetViews>
  <sheetFormatPr defaultRowHeight="12.75" x14ac:dyDescent="0.2"/>
  <cols>
    <col min="1" max="1" width="32.5703125" style="177" customWidth="1"/>
    <col min="2" max="2" width="12" style="177" bestFit="1" customWidth="1"/>
    <col min="3" max="3" width="9.140625" style="177"/>
    <col min="4" max="4" width="20.5703125" style="177" bestFit="1" customWidth="1"/>
    <col min="5" max="16384" width="9.140625" style="177"/>
  </cols>
  <sheetData>
    <row r="3" spans="1:4" x14ac:dyDescent="0.2">
      <c r="A3" s="283" t="s">
        <v>244</v>
      </c>
    </row>
    <row r="4" spans="1:4" x14ac:dyDescent="0.2">
      <c r="A4" s="283" t="s">
        <v>15</v>
      </c>
      <c r="B4" s="177" t="s">
        <v>210</v>
      </c>
    </row>
    <row r="5" spans="1:4" x14ac:dyDescent="0.2">
      <c r="A5" s="177">
        <v>2001</v>
      </c>
      <c r="B5" s="284">
        <v>1352760.942</v>
      </c>
    </row>
    <row r="6" spans="1:4" x14ac:dyDescent="0.2">
      <c r="A6" s="177">
        <v>2002</v>
      </c>
      <c r="B6" s="284">
        <v>1367719.6799999995</v>
      </c>
      <c r="C6" s="179">
        <f>B6/B$5-1</f>
        <v>1.1057931623811967E-2</v>
      </c>
    </row>
    <row r="7" spans="1:4" x14ac:dyDescent="0.2">
      <c r="A7" s="177">
        <v>2003</v>
      </c>
      <c r="B7" s="284">
        <v>1375136.6879999998</v>
      </c>
      <c r="C7" s="179">
        <f t="shared" ref="C7:C30" si="0">B7/B$5-1</f>
        <v>1.6540798381507349E-2</v>
      </c>
    </row>
    <row r="8" spans="1:4" x14ac:dyDescent="0.2">
      <c r="A8" s="177">
        <v>2004</v>
      </c>
      <c r="B8" s="284">
        <v>1408270.9379999998</v>
      </c>
      <c r="C8" s="179">
        <f t="shared" si="0"/>
        <v>4.1034593974845768E-2</v>
      </c>
    </row>
    <row r="9" spans="1:4" x14ac:dyDescent="0.2">
      <c r="A9" s="177">
        <v>2005</v>
      </c>
      <c r="B9" s="284">
        <v>1429768.7219999998</v>
      </c>
      <c r="C9" s="179">
        <f t="shared" si="0"/>
        <v>5.692637746189444E-2</v>
      </c>
    </row>
    <row r="10" spans="1:4" x14ac:dyDescent="0.2">
      <c r="A10" s="177">
        <v>2006</v>
      </c>
      <c r="B10" s="284">
        <v>1480251.6479999998</v>
      </c>
      <c r="C10" s="179">
        <f t="shared" si="0"/>
        <v>9.4244815947679639E-2</v>
      </c>
    </row>
    <row r="11" spans="1:4" x14ac:dyDescent="0.2">
      <c r="A11" s="177">
        <v>2007</v>
      </c>
      <c r="B11" s="284">
        <v>1509392.6309999998</v>
      </c>
      <c r="C11" s="179">
        <f t="shared" si="0"/>
        <v>0.11578667311936619</v>
      </c>
      <c r="D11" s="285"/>
    </row>
    <row r="12" spans="1:4" x14ac:dyDescent="0.2">
      <c r="A12" s="177">
        <v>2008</v>
      </c>
      <c r="B12" s="284">
        <v>1536946.0140000004</v>
      </c>
      <c r="C12" s="179">
        <f t="shared" si="0"/>
        <v>0.13615493046959992</v>
      </c>
      <c r="D12" s="211">
        <f t="shared" ref="D12" si="1">C12/C11-1</f>
        <v>0.17591193184414067</v>
      </c>
    </row>
    <row r="13" spans="1:4" x14ac:dyDescent="0.2">
      <c r="A13" s="177">
        <v>2009</v>
      </c>
      <c r="B13" s="284">
        <v>1516509.9780000001</v>
      </c>
      <c r="C13" s="179">
        <f t="shared" si="0"/>
        <v>0.12104802180191876</v>
      </c>
      <c r="D13" s="211">
        <f>C13/C12-1</f>
        <v>-0.11095381280411409</v>
      </c>
    </row>
    <row r="14" spans="1:4" x14ac:dyDescent="0.2">
      <c r="A14" s="177">
        <v>2010</v>
      </c>
      <c r="B14" s="284">
        <v>1519661.1539999996</v>
      </c>
      <c r="C14" s="179">
        <f t="shared" si="0"/>
        <v>0.12337746220943124</v>
      </c>
      <c r="D14" s="211">
        <f>C14/C13-1</f>
        <v>1.9243936190252997E-2</v>
      </c>
    </row>
    <row r="15" spans="1:4" x14ac:dyDescent="0.2">
      <c r="A15" s="177">
        <v>2011</v>
      </c>
      <c r="B15" s="284">
        <v>1547977.638</v>
      </c>
      <c r="C15" s="179">
        <f t="shared" si="0"/>
        <v>0.14430982588200725</v>
      </c>
      <c r="D15" s="211">
        <f>C15/C14-1</f>
        <v>0.1696611625634159</v>
      </c>
    </row>
    <row r="16" spans="1:4" x14ac:dyDescent="0.2">
      <c r="A16" s="177">
        <v>2012</v>
      </c>
      <c r="B16" s="284">
        <v>1569545.7479999999</v>
      </c>
      <c r="C16" s="179">
        <f t="shared" si="0"/>
        <v>0.16025359638155479</v>
      </c>
      <c r="D16" s="211">
        <f>C16/C15-1</f>
        <v>0.11048291689149226</v>
      </c>
    </row>
    <row r="17" spans="1:4" x14ac:dyDescent="0.2">
      <c r="A17" s="177">
        <v>2013</v>
      </c>
      <c r="B17" s="284">
        <v>1607962.0920000002</v>
      </c>
      <c r="C17" s="179">
        <f t="shared" si="0"/>
        <v>0.18865206857813033</v>
      </c>
      <c r="D17" s="211">
        <f>C17/C16-1</f>
        <v>0.17720957805502469</v>
      </c>
    </row>
    <row r="18" spans="1:4" x14ac:dyDescent="0.2">
      <c r="A18" s="177">
        <v>2014</v>
      </c>
      <c r="B18" s="284">
        <v>1656492.2789999999</v>
      </c>
      <c r="C18" s="179">
        <f t="shared" si="0"/>
        <v>0.22452698593658815</v>
      </c>
      <c r="D18" s="211">
        <f t="shared" ref="D18:D30" si="2">C18/C17-1</f>
        <v>0.19016445262883619</v>
      </c>
    </row>
    <row r="19" spans="1:4" x14ac:dyDescent="0.2">
      <c r="A19" s="177">
        <v>2015</v>
      </c>
      <c r="B19" s="284">
        <v>1699499.9610000001</v>
      </c>
      <c r="C19" s="179">
        <f t="shared" si="0"/>
        <v>0.25631950792973157</v>
      </c>
      <c r="D19" s="211">
        <f t="shared" si="2"/>
        <v>0.14159777659030426</v>
      </c>
    </row>
    <row r="20" spans="1:4" x14ac:dyDescent="0.2">
      <c r="A20" s="177">
        <v>2016</v>
      </c>
      <c r="B20" s="284">
        <v>1744820.4179999998</v>
      </c>
      <c r="C20" s="179">
        <f t="shared" si="0"/>
        <v>0.28982170007093511</v>
      </c>
      <c r="D20" s="211">
        <f t="shared" si="2"/>
        <v>0.13070480827541209</v>
      </c>
    </row>
    <row r="21" spans="1:4" x14ac:dyDescent="0.2">
      <c r="A21" s="177">
        <v>2017</v>
      </c>
      <c r="B21" s="284">
        <v>1783176.4169999999</v>
      </c>
      <c r="C21" s="179">
        <f t="shared" si="0"/>
        <v>0.31817556349878684</v>
      </c>
      <c r="D21" s="211">
        <f t="shared" si="2"/>
        <v>9.7832092700139484E-2</v>
      </c>
    </row>
    <row r="22" spans="1:4" x14ac:dyDescent="0.2">
      <c r="A22" s="177">
        <v>2018</v>
      </c>
      <c r="B22" s="284">
        <v>1829118.3840000001</v>
      </c>
      <c r="C22" s="179">
        <f t="shared" si="0"/>
        <v>0.35213719380138642</v>
      </c>
      <c r="D22" s="211">
        <f t="shared" si="2"/>
        <v>0.10673865060265397</v>
      </c>
    </row>
    <row r="23" spans="1:4" x14ac:dyDescent="0.2">
      <c r="A23" s="177">
        <v>2019</v>
      </c>
      <c r="B23" s="284">
        <v>1875469.5929999999</v>
      </c>
      <c r="C23" s="179">
        <f t="shared" si="0"/>
        <v>0.38640134762258671</v>
      </c>
      <c r="D23" s="211">
        <f t="shared" si="2"/>
        <v>9.7303421576438343E-2</v>
      </c>
    </row>
    <row r="24" spans="1:4" x14ac:dyDescent="0.2">
      <c r="A24" s="177">
        <v>2020</v>
      </c>
      <c r="B24" s="284">
        <v>1922221.2990000001</v>
      </c>
      <c r="C24" s="179">
        <f t="shared" si="0"/>
        <v>0.42096156040554877</v>
      </c>
      <c r="D24" s="211">
        <f t="shared" si="2"/>
        <v>8.9441232530892645E-2</v>
      </c>
    </row>
    <row r="25" spans="1:4" x14ac:dyDescent="0.2">
      <c r="A25" s="177">
        <v>2021</v>
      </c>
      <c r="B25" s="284">
        <v>1962267.7920000001</v>
      </c>
      <c r="C25" s="179">
        <f t="shared" si="0"/>
        <v>0.45056508587457444</v>
      </c>
      <c r="D25" s="211">
        <f t="shared" si="2"/>
        <v>7.0323583560708114E-2</v>
      </c>
    </row>
    <row r="26" spans="1:4" x14ac:dyDescent="0.2">
      <c r="A26" s="177">
        <v>2022</v>
      </c>
      <c r="B26" s="284">
        <v>2007667.1249999995</v>
      </c>
      <c r="C26" s="179">
        <f t="shared" si="0"/>
        <v>0.48412558543547868</v>
      </c>
      <c r="D26" s="211">
        <f t="shared" si="2"/>
        <v>7.4485353199885029E-2</v>
      </c>
    </row>
    <row r="27" spans="1:4" x14ac:dyDescent="0.2">
      <c r="A27" s="177">
        <v>2023</v>
      </c>
      <c r="B27" s="284">
        <v>2058497.4599999997</v>
      </c>
      <c r="C27" s="179">
        <f t="shared" si="0"/>
        <v>0.5217008386985198</v>
      </c>
      <c r="D27" s="211">
        <f t="shared" si="2"/>
        <v>7.7614681796339235E-2</v>
      </c>
    </row>
    <row r="28" spans="1:4" x14ac:dyDescent="0.2">
      <c r="A28" s="177">
        <v>2024</v>
      </c>
      <c r="B28" s="284">
        <v>2110757.94</v>
      </c>
      <c r="C28" s="179">
        <f t="shared" si="0"/>
        <v>0.56033329649459973</v>
      </c>
      <c r="D28" s="211">
        <f t="shared" si="2"/>
        <v>7.4050978895214836E-2</v>
      </c>
    </row>
    <row r="29" spans="1:4" x14ac:dyDescent="0.2">
      <c r="A29" s="177">
        <v>2025</v>
      </c>
      <c r="B29" s="284">
        <v>2163773.1630000002</v>
      </c>
      <c r="C29" s="179">
        <f t="shared" si="0"/>
        <v>0.59952368213777141</v>
      </c>
      <c r="D29" s="211">
        <f t="shared" si="2"/>
        <v>6.9941204437329763E-2</v>
      </c>
    </row>
    <row r="30" spans="1:4" x14ac:dyDescent="0.2">
      <c r="A30" s="177">
        <v>2026</v>
      </c>
      <c r="B30" s="284">
        <v>2214919.3560000001</v>
      </c>
      <c r="C30" s="179">
        <f t="shared" si="0"/>
        <v>0.63733242676665047</v>
      </c>
      <c r="D30" s="211">
        <f t="shared" si="2"/>
        <v>6.3064639071573003E-2</v>
      </c>
    </row>
    <row r="31" spans="1:4" x14ac:dyDescent="0.2">
      <c r="A31" s="177">
        <v>2027</v>
      </c>
      <c r="B31" s="284">
        <v>2266599.5610000002</v>
      </c>
    </row>
    <row r="32" spans="1:4" x14ac:dyDescent="0.2">
      <c r="A32" s="177">
        <v>2028</v>
      </c>
      <c r="B32" s="284">
        <v>2320043.787</v>
      </c>
    </row>
    <row r="33" spans="1:2" x14ac:dyDescent="0.2">
      <c r="A33" s="177">
        <v>2029</v>
      </c>
      <c r="B33" s="284">
        <v>2376132.8339999998</v>
      </c>
    </row>
    <row r="34" spans="1:2" x14ac:dyDescent="0.2">
      <c r="A34" s="177">
        <v>2030</v>
      </c>
      <c r="B34" s="284">
        <v>2433283.6770000001</v>
      </c>
    </row>
    <row r="35" spans="1:2" x14ac:dyDescent="0.2">
      <c r="A35" s="177">
        <v>2031</v>
      </c>
      <c r="B35" s="284">
        <v>2486565.1229999997</v>
      </c>
    </row>
    <row r="36" spans="1:2" x14ac:dyDescent="0.2">
      <c r="A36" s="177">
        <v>2032</v>
      </c>
      <c r="B36" s="284">
        <v>2538374.034</v>
      </c>
    </row>
    <row r="37" spans="1:2" x14ac:dyDescent="0.2">
      <c r="A37" s="177">
        <v>2033</v>
      </c>
      <c r="B37" s="284">
        <v>2589299.0699999994</v>
      </c>
    </row>
    <row r="38" spans="1:2" x14ac:dyDescent="0.2">
      <c r="A38" s="177">
        <v>2034</v>
      </c>
      <c r="B38" s="284">
        <v>2641379.8199999998</v>
      </c>
    </row>
    <row r="39" spans="1:2" x14ac:dyDescent="0.2">
      <c r="A39" s="177">
        <v>2035</v>
      </c>
      <c r="B39" s="284">
        <v>2696493.7680000002</v>
      </c>
    </row>
    <row r="40" spans="1:2" x14ac:dyDescent="0.2">
      <c r="A40" s="177">
        <v>2036</v>
      </c>
      <c r="B40" s="284">
        <v>2751863.9010000001</v>
      </c>
    </row>
    <row r="41" spans="1:2" x14ac:dyDescent="0.2">
      <c r="A41" s="177">
        <v>2037</v>
      </c>
      <c r="B41" s="284">
        <v>2806385.7179999999</v>
      </c>
    </row>
    <row r="42" spans="1:2" x14ac:dyDescent="0.2">
      <c r="A42" s="177">
        <v>2038</v>
      </c>
      <c r="B42" s="284">
        <v>2859679.7189999991</v>
      </c>
    </row>
    <row r="43" spans="1:2" x14ac:dyDescent="0.2">
      <c r="A43" s="177">
        <v>2039</v>
      </c>
      <c r="B43" s="284">
        <v>2910014.3849999998</v>
      </c>
    </row>
    <row r="44" spans="1:2" x14ac:dyDescent="0.2">
      <c r="A44" s="177">
        <v>2040</v>
      </c>
      <c r="B44" s="284">
        <v>2960977.3110000002</v>
      </c>
    </row>
    <row r="45" spans="1:2" x14ac:dyDescent="0.2">
      <c r="A45" s="177">
        <v>2041</v>
      </c>
      <c r="B45" s="284">
        <v>3011387.7959999996</v>
      </c>
    </row>
    <row r="46" spans="1:2" x14ac:dyDescent="0.2">
      <c r="A46" s="177">
        <v>2042</v>
      </c>
      <c r="B46" s="284">
        <v>3056558.6129399994</v>
      </c>
    </row>
    <row r="47" spans="1:2" x14ac:dyDescent="0.2">
      <c r="A47" s="177" t="s">
        <v>212</v>
      </c>
      <c r="B47" s="284">
        <v>86955624.176939994</v>
      </c>
    </row>
  </sheetData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5"/>
  <sheetViews>
    <sheetView view="pageBreakPreview" zoomScale="60" zoomScaleNormal="100" workbookViewId="0">
      <pane xSplit="2" ySplit="1" topLeftCell="C2" activePane="bottomRight" state="frozen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15.7109375" defaultRowHeight="12.75" x14ac:dyDescent="0.2"/>
  <cols>
    <col min="1" max="1" width="6" style="153" bestFit="1" customWidth="1"/>
    <col min="2" max="2" width="7.140625" style="153" bestFit="1" customWidth="1"/>
    <col min="3" max="3" width="10.7109375" style="169" bestFit="1" customWidth="1"/>
    <col min="4" max="4" width="10.85546875" style="174" bestFit="1" customWidth="1"/>
    <col min="5" max="6" width="10.85546875" style="174" customWidth="1"/>
    <col min="7" max="7" width="11.140625" style="173" bestFit="1" customWidth="1"/>
    <col min="8" max="8" width="18.42578125" style="162" bestFit="1" customWidth="1"/>
    <col min="9" max="9" width="10.85546875" style="162" customWidth="1"/>
    <col min="10" max="10" width="19.7109375" style="162" bestFit="1" customWidth="1"/>
    <col min="11" max="11" width="18.7109375" style="164" bestFit="1" customWidth="1"/>
    <col min="12" max="12" width="15.7109375" style="153"/>
    <col min="13" max="13" width="22.85546875" style="156" bestFit="1" customWidth="1"/>
    <col min="14" max="15" width="27.28515625" customWidth="1"/>
    <col min="16" max="16" width="6.7109375" style="169" bestFit="1" customWidth="1"/>
    <col min="17" max="17" width="5.5703125" style="169" bestFit="1" customWidth="1"/>
    <col min="18" max="18" width="14.42578125" style="166" bestFit="1" customWidth="1"/>
    <col min="19" max="19" width="14.28515625" style="166" bestFit="1" customWidth="1"/>
    <col min="20" max="21" width="14.28515625" style="166" customWidth="1"/>
    <col min="22" max="23" width="0" style="153" hidden="1" customWidth="1"/>
    <col min="24" max="262" width="15.7109375" style="153"/>
    <col min="263" max="263" width="6" style="153" bestFit="1" customWidth="1"/>
    <col min="264" max="264" width="7.140625" style="153" bestFit="1" customWidth="1"/>
    <col min="265" max="265" width="9.140625" style="153" bestFit="1" customWidth="1"/>
    <col min="266" max="266" width="10.85546875" style="153" bestFit="1" customWidth="1"/>
    <col min="267" max="267" width="10.85546875" style="153" customWidth="1"/>
    <col min="268" max="268" width="11.140625" style="153" bestFit="1" customWidth="1"/>
    <col min="269" max="269" width="10.85546875" style="153" bestFit="1" customWidth="1"/>
    <col min="270" max="270" width="11.42578125" style="153" bestFit="1" customWidth="1"/>
    <col min="271" max="271" width="15.85546875" style="153" bestFit="1" customWidth="1"/>
    <col min="272" max="272" width="6.7109375" style="153" bestFit="1" customWidth="1"/>
    <col min="273" max="273" width="5.5703125" style="153" bestFit="1" customWidth="1"/>
    <col min="274" max="274" width="14.42578125" style="153" bestFit="1" customWidth="1"/>
    <col min="275" max="275" width="14.28515625" style="153" bestFit="1" customWidth="1"/>
    <col min="276" max="276" width="14.28515625" style="153" customWidth="1"/>
    <col min="277" max="518" width="15.7109375" style="153"/>
    <col min="519" max="519" width="6" style="153" bestFit="1" customWidth="1"/>
    <col min="520" max="520" width="7.140625" style="153" bestFit="1" customWidth="1"/>
    <col min="521" max="521" width="9.140625" style="153" bestFit="1" customWidth="1"/>
    <col min="522" max="522" width="10.85546875" style="153" bestFit="1" customWidth="1"/>
    <col min="523" max="523" width="10.85546875" style="153" customWidth="1"/>
    <col min="524" max="524" width="11.140625" style="153" bestFit="1" customWidth="1"/>
    <col min="525" max="525" width="10.85546875" style="153" bestFit="1" customWidth="1"/>
    <col min="526" max="526" width="11.42578125" style="153" bestFit="1" customWidth="1"/>
    <col min="527" max="527" width="15.85546875" style="153" bestFit="1" customWidth="1"/>
    <col min="528" max="528" width="6.7109375" style="153" bestFit="1" customWidth="1"/>
    <col min="529" max="529" width="5.5703125" style="153" bestFit="1" customWidth="1"/>
    <col min="530" max="530" width="14.42578125" style="153" bestFit="1" customWidth="1"/>
    <col min="531" max="531" width="14.28515625" style="153" bestFit="1" customWidth="1"/>
    <col min="532" max="532" width="14.28515625" style="153" customWidth="1"/>
    <col min="533" max="774" width="15.7109375" style="153"/>
    <col min="775" max="775" width="6" style="153" bestFit="1" customWidth="1"/>
    <col min="776" max="776" width="7.140625" style="153" bestFit="1" customWidth="1"/>
    <col min="777" max="777" width="9.140625" style="153" bestFit="1" customWidth="1"/>
    <col min="778" max="778" width="10.85546875" style="153" bestFit="1" customWidth="1"/>
    <col min="779" max="779" width="10.85546875" style="153" customWidth="1"/>
    <col min="780" max="780" width="11.140625" style="153" bestFit="1" customWidth="1"/>
    <col min="781" max="781" width="10.85546875" style="153" bestFit="1" customWidth="1"/>
    <col min="782" max="782" width="11.42578125" style="153" bestFit="1" customWidth="1"/>
    <col min="783" max="783" width="15.85546875" style="153" bestFit="1" customWidth="1"/>
    <col min="784" max="784" width="6.7109375" style="153" bestFit="1" customWidth="1"/>
    <col min="785" max="785" width="5.5703125" style="153" bestFit="1" customWidth="1"/>
    <col min="786" max="786" width="14.42578125" style="153" bestFit="1" customWidth="1"/>
    <col min="787" max="787" width="14.28515625" style="153" bestFit="1" customWidth="1"/>
    <col min="788" max="788" width="14.28515625" style="153" customWidth="1"/>
    <col min="789" max="1030" width="15.7109375" style="153"/>
    <col min="1031" max="1031" width="6" style="153" bestFit="1" customWidth="1"/>
    <col min="1032" max="1032" width="7.140625" style="153" bestFit="1" customWidth="1"/>
    <col min="1033" max="1033" width="9.140625" style="153" bestFit="1" customWidth="1"/>
    <col min="1034" max="1034" width="10.85546875" style="153" bestFit="1" customWidth="1"/>
    <col min="1035" max="1035" width="10.85546875" style="153" customWidth="1"/>
    <col min="1036" max="1036" width="11.140625" style="153" bestFit="1" customWidth="1"/>
    <col min="1037" max="1037" width="10.85546875" style="153" bestFit="1" customWidth="1"/>
    <col min="1038" max="1038" width="11.42578125" style="153" bestFit="1" customWidth="1"/>
    <col min="1039" max="1039" width="15.85546875" style="153" bestFit="1" customWidth="1"/>
    <col min="1040" max="1040" width="6.7109375" style="153" bestFit="1" customWidth="1"/>
    <col min="1041" max="1041" width="5.5703125" style="153" bestFit="1" customWidth="1"/>
    <col min="1042" max="1042" width="14.42578125" style="153" bestFit="1" customWidth="1"/>
    <col min="1043" max="1043" width="14.28515625" style="153" bestFit="1" customWidth="1"/>
    <col min="1044" max="1044" width="14.28515625" style="153" customWidth="1"/>
    <col min="1045" max="1286" width="15.7109375" style="153"/>
    <col min="1287" max="1287" width="6" style="153" bestFit="1" customWidth="1"/>
    <col min="1288" max="1288" width="7.140625" style="153" bestFit="1" customWidth="1"/>
    <col min="1289" max="1289" width="9.140625" style="153" bestFit="1" customWidth="1"/>
    <col min="1290" max="1290" width="10.85546875" style="153" bestFit="1" customWidth="1"/>
    <col min="1291" max="1291" width="10.85546875" style="153" customWidth="1"/>
    <col min="1292" max="1292" width="11.140625" style="153" bestFit="1" customWidth="1"/>
    <col min="1293" max="1293" width="10.85546875" style="153" bestFit="1" customWidth="1"/>
    <col min="1294" max="1294" width="11.42578125" style="153" bestFit="1" customWidth="1"/>
    <col min="1295" max="1295" width="15.85546875" style="153" bestFit="1" customWidth="1"/>
    <col min="1296" max="1296" width="6.7109375" style="153" bestFit="1" customWidth="1"/>
    <col min="1297" max="1297" width="5.5703125" style="153" bestFit="1" customWidth="1"/>
    <col min="1298" max="1298" width="14.42578125" style="153" bestFit="1" customWidth="1"/>
    <col min="1299" max="1299" width="14.28515625" style="153" bestFit="1" customWidth="1"/>
    <col min="1300" max="1300" width="14.28515625" style="153" customWidth="1"/>
    <col min="1301" max="1542" width="15.7109375" style="153"/>
    <col min="1543" max="1543" width="6" style="153" bestFit="1" customWidth="1"/>
    <col min="1544" max="1544" width="7.140625" style="153" bestFit="1" customWidth="1"/>
    <col min="1545" max="1545" width="9.140625" style="153" bestFit="1" customWidth="1"/>
    <col min="1546" max="1546" width="10.85546875" style="153" bestFit="1" customWidth="1"/>
    <col min="1547" max="1547" width="10.85546875" style="153" customWidth="1"/>
    <col min="1548" max="1548" width="11.140625" style="153" bestFit="1" customWidth="1"/>
    <col min="1549" max="1549" width="10.85546875" style="153" bestFit="1" customWidth="1"/>
    <col min="1550" max="1550" width="11.42578125" style="153" bestFit="1" customWidth="1"/>
    <col min="1551" max="1551" width="15.85546875" style="153" bestFit="1" customWidth="1"/>
    <col min="1552" max="1552" width="6.7109375" style="153" bestFit="1" customWidth="1"/>
    <col min="1553" max="1553" width="5.5703125" style="153" bestFit="1" customWidth="1"/>
    <col min="1554" max="1554" width="14.42578125" style="153" bestFit="1" customWidth="1"/>
    <col min="1555" max="1555" width="14.28515625" style="153" bestFit="1" customWidth="1"/>
    <col min="1556" max="1556" width="14.28515625" style="153" customWidth="1"/>
    <col min="1557" max="1798" width="15.7109375" style="153"/>
    <col min="1799" max="1799" width="6" style="153" bestFit="1" customWidth="1"/>
    <col min="1800" max="1800" width="7.140625" style="153" bestFit="1" customWidth="1"/>
    <col min="1801" max="1801" width="9.140625" style="153" bestFit="1" customWidth="1"/>
    <col min="1802" max="1802" width="10.85546875" style="153" bestFit="1" customWidth="1"/>
    <col min="1803" max="1803" width="10.85546875" style="153" customWidth="1"/>
    <col min="1804" max="1804" width="11.140625" style="153" bestFit="1" customWidth="1"/>
    <col min="1805" max="1805" width="10.85546875" style="153" bestFit="1" customWidth="1"/>
    <col min="1806" max="1806" width="11.42578125" style="153" bestFit="1" customWidth="1"/>
    <col min="1807" max="1807" width="15.85546875" style="153" bestFit="1" customWidth="1"/>
    <col min="1808" max="1808" width="6.7109375" style="153" bestFit="1" customWidth="1"/>
    <col min="1809" max="1809" width="5.5703125" style="153" bestFit="1" customWidth="1"/>
    <col min="1810" max="1810" width="14.42578125" style="153" bestFit="1" customWidth="1"/>
    <col min="1811" max="1811" width="14.28515625" style="153" bestFit="1" customWidth="1"/>
    <col min="1812" max="1812" width="14.28515625" style="153" customWidth="1"/>
    <col min="1813" max="2054" width="15.7109375" style="153"/>
    <col min="2055" max="2055" width="6" style="153" bestFit="1" customWidth="1"/>
    <col min="2056" max="2056" width="7.140625" style="153" bestFit="1" customWidth="1"/>
    <col min="2057" max="2057" width="9.140625" style="153" bestFit="1" customWidth="1"/>
    <col min="2058" max="2058" width="10.85546875" style="153" bestFit="1" customWidth="1"/>
    <col min="2059" max="2059" width="10.85546875" style="153" customWidth="1"/>
    <col min="2060" max="2060" width="11.140625" style="153" bestFit="1" customWidth="1"/>
    <col min="2061" max="2061" width="10.85546875" style="153" bestFit="1" customWidth="1"/>
    <col min="2062" max="2062" width="11.42578125" style="153" bestFit="1" customWidth="1"/>
    <col min="2063" max="2063" width="15.85546875" style="153" bestFit="1" customWidth="1"/>
    <col min="2064" max="2064" width="6.7109375" style="153" bestFit="1" customWidth="1"/>
    <col min="2065" max="2065" width="5.5703125" style="153" bestFit="1" customWidth="1"/>
    <col min="2066" max="2066" width="14.42578125" style="153" bestFit="1" customWidth="1"/>
    <col min="2067" max="2067" width="14.28515625" style="153" bestFit="1" customWidth="1"/>
    <col min="2068" max="2068" width="14.28515625" style="153" customWidth="1"/>
    <col min="2069" max="2310" width="15.7109375" style="153"/>
    <col min="2311" max="2311" width="6" style="153" bestFit="1" customWidth="1"/>
    <col min="2312" max="2312" width="7.140625" style="153" bestFit="1" customWidth="1"/>
    <col min="2313" max="2313" width="9.140625" style="153" bestFit="1" customWidth="1"/>
    <col min="2314" max="2314" width="10.85546875" style="153" bestFit="1" customWidth="1"/>
    <col min="2315" max="2315" width="10.85546875" style="153" customWidth="1"/>
    <col min="2316" max="2316" width="11.140625" style="153" bestFit="1" customWidth="1"/>
    <col min="2317" max="2317" width="10.85546875" style="153" bestFit="1" customWidth="1"/>
    <col min="2318" max="2318" width="11.42578125" style="153" bestFit="1" customWidth="1"/>
    <col min="2319" max="2319" width="15.85546875" style="153" bestFit="1" customWidth="1"/>
    <col min="2320" max="2320" width="6.7109375" style="153" bestFit="1" customWidth="1"/>
    <col min="2321" max="2321" width="5.5703125" style="153" bestFit="1" customWidth="1"/>
    <col min="2322" max="2322" width="14.42578125" style="153" bestFit="1" customWidth="1"/>
    <col min="2323" max="2323" width="14.28515625" style="153" bestFit="1" customWidth="1"/>
    <col min="2324" max="2324" width="14.28515625" style="153" customWidth="1"/>
    <col min="2325" max="2566" width="15.7109375" style="153"/>
    <col min="2567" max="2567" width="6" style="153" bestFit="1" customWidth="1"/>
    <col min="2568" max="2568" width="7.140625" style="153" bestFit="1" customWidth="1"/>
    <col min="2569" max="2569" width="9.140625" style="153" bestFit="1" customWidth="1"/>
    <col min="2570" max="2570" width="10.85546875" style="153" bestFit="1" customWidth="1"/>
    <col min="2571" max="2571" width="10.85546875" style="153" customWidth="1"/>
    <col min="2572" max="2572" width="11.140625" style="153" bestFit="1" customWidth="1"/>
    <col min="2573" max="2573" width="10.85546875" style="153" bestFit="1" customWidth="1"/>
    <col min="2574" max="2574" width="11.42578125" style="153" bestFit="1" customWidth="1"/>
    <col min="2575" max="2575" width="15.85546875" style="153" bestFit="1" customWidth="1"/>
    <col min="2576" max="2576" width="6.7109375" style="153" bestFit="1" customWidth="1"/>
    <col min="2577" max="2577" width="5.5703125" style="153" bestFit="1" customWidth="1"/>
    <col min="2578" max="2578" width="14.42578125" style="153" bestFit="1" customWidth="1"/>
    <col min="2579" max="2579" width="14.28515625" style="153" bestFit="1" customWidth="1"/>
    <col min="2580" max="2580" width="14.28515625" style="153" customWidth="1"/>
    <col min="2581" max="2822" width="15.7109375" style="153"/>
    <col min="2823" max="2823" width="6" style="153" bestFit="1" customWidth="1"/>
    <col min="2824" max="2824" width="7.140625" style="153" bestFit="1" customWidth="1"/>
    <col min="2825" max="2825" width="9.140625" style="153" bestFit="1" customWidth="1"/>
    <col min="2826" max="2826" width="10.85546875" style="153" bestFit="1" customWidth="1"/>
    <col min="2827" max="2827" width="10.85546875" style="153" customWidth="1"/>
    <col min="2828" max="2828" width="11.140625" style="153" bestFit="1" customWidth="1"/>
    <col min="2829" max="2829" width="10.85546875" style="153" bestFit="1" customWidth="1"/>
    <col min="2830" max="2830" width="11.42578125" style="153" bestFit="1" customWidth="1"/>
    <col min="2831" max="2831" width="15.85546875" style="153" bestFit="1" customWidth="1"/>
    <col min="2832" max="2832" width="6.7109375" style="153" bestFit="1" customWidth="1"/>
    <col min="2833" max="2833" width="5.5703125" style="153" bestFit="1" customWidth="1"/>
    <col min="2834" max="2834" width="14.42578125" style="153" bestFit="1" customWidth="1"/>
    <col min="2835" max="2835" width="14.28515625" style="153" bestFit="1" customWidth="1"/>
    <col min="2836" max="2836" width="14.28515625" style="153" customWidth="1"/>
    <col min="2837" max="3078" width="15.7109375" style="153"/>
    <col min="3079" max="3079" width="6" style="153" bestFit="1" customWidth="1"/>
    <col min="3080" max="3080" width="7.140625" style="153" bestFit="1" customWidth="1"/>
    <col min="3081" max="3081" width="9.140625" style="153" bestFit="1" customWidth="1"/>
    <col min="3082" max="3082" width="10.85546875" style="153" bestFit="1" customWidth="1"/>
    <col min="3083" max="3083" width="10.85546875" style="153" customWidth="1"/>
    <col min="3084" max="3084" width="11.140625" style="153" bestFit="1" customWidth="1"/>
    <col min="3085" max="3085" width="10.85546875" style="153" bestFit="1" customWidth="1"/>
    <col min="3086" max="3086" width="11.42578125" style="153" bestFit="1" customWidth="1"/>
    <col min="3087" max="3087" width="15.85546875" style="153" bestFit="1" customWidth="1"/>
    <col min="3088" max="3088" width="6.7109375" style="153" bestFit="1" customWidth="1"/>
    <col min="3089" max="3089" width="5.5703125" style="153" bestFit="1" customWidth="1"/>
    <col min="3090" max="3090" width="14.42578125" style="153" bestFit="1" customWidth="1"/>
    <col min="3091" max="3091" width="14.28515625" style="153" bestFit="1" customWidth="1"/>
    <col min="3092" max="3092" width="14.28515625" style="153" customWidth="1"/>
    <col min="3093" max="3334" width="15.7109375" style="153"/>
    <col min="3335" max="3335" width="6" style="153" bestFit="1" customWidth="1"/>
    <col min="3336" max="3336" width="7.140625" style="153" bestFit="1" customWidth="1"/>
    <col min="3337" max="3337" width="9.140625" style="153" bestFit="1" customWidth="1"/>
    <col min="3338" max="3338" width="10.85546875" style="153" bestFit="1" customWidth="1"/>
    <col min="3339" max="3339" width="10.85546875" style="153" customWidth="1"/>
    <col min="3340" max="3340" width="11.140625" style="153" bestFit="1" customWidth="1"/>
    <col min="3341" max="3341" width="10.85546875" style="153" bestFit="1" customWidth="1"/>
    <col min="3342" max="3342" width="11.42578125" style="153" bestFit="1" customWidth="1"/>
    <col min="3343" max="3343" width="15.85546875" style="153" bestFit="1" customWidth="1"/>
    <col min="3344" max="3344" width="6.7109375" style="153" bestFit="1" customWidth="1"/>
    <col min="3345" max="3345" width="5.5703125" style="153" bestFit="1" customWidth="1"/>
    <col min="3346" max="3346" width="14.42578125" style="153" bestFit="1" customWidth="1"/>
    <col min="3347" max="3347" width="14.28515625" style="153" bestFit="1" customWidth="1"/>
    <col min="3348" max="3348" width="14.28515625" style="153" customWidth="1"/>
    <col min="3349" max="3590" width="15.7109375" style="153"/>
    <col min="3591" max="3591" width="6" style="153" bestFit="1" customWidth="1"/>
    <col min="3592" max="3592" width="7.140625" style="153" bestFit="1" customWidth="1"/>
    <col min="3593" max="3593" width="9.140625" style="153" bestFit="1" customWidth="1"/>
    <col min="3594" max="3594" width="10.85546875" style="153" bestFit="1" customWidth="1"/>
    <col min="3595" max="3595" width="10.85546875" style="153" customWidth="1"/>
    <col min="3596" max="3596" width="11.140625" style="153" bestFit="1" customWidth="1"/>
    <col min="3597" max="3597" width="10.85546875" style="153" bestFit="1" customWidth="1"/>
    <col min="3598" max="3598" width="11.42578125" style="153" bestFit="1" customWidth="1"/>
    <col min="3599" max="3599" width="15.85546875" style="153" bestFit="1" customWidth="1"/>
    <col min="3600" max="3600" width="6.7109375" style="153" bestFit="1" customWidth="1"/>
    <col min="3601" max="3601" width="5.5703125" style="153" bestFit="1" customWidth="1"/>
    <col min="3602" max="3602" width="14.42578125" style="153" bestFit="1" customWidth="1"/>
    <col min="3603" max="3603" width="14.28515625" style="153" bestFit="1" customWidth="1"/>
    <col min="3604" max="3604" width="14.28515625" style="153" customWidth="1"/>
    <col min="3605" max="3846" width="15.7109375" style="153"/>
    <col min="3847" max="3847" width="6" style="153" bestFit="1" customWidth="1"/>
    <col min="3848" max="3848" width="7.140625" style="153" bestFit="1" customWidth="1"/>
    <col min="3849" max="3849" width="9.140625" style="153" bestFit="1" customWidth="1"/>
    <col min="3850" max="3850" width="10.85546875" style="153" bestFit="1" customWidth="1"/>
    <col min="3851" max="3851" width="10.85546875" style="153" customWidth="1"/>
    <col min="3852" max="3852" width="11.140625" style="153" bestFit="1" customWidth="1"/>
    <col min="3853" max="3853" width="10.85546875" style="153" bestFit="1" customWidth="1"/>
    <col min="3854" max="3854" width="11.42578125" style="153" bestFit="1" customWidth="1"/>
    <col min="3855" max="3855" width="15.85546875" style="153" bestFit="1" customWidth="1"/>
    <col min="3856" max="3856" width="6.7109375" style="153" bestFit="1" customWidth="1"/>
    <col min="3857" max="3857" width="5.5703125" style="153" bestFit="1" customWidth="1"/>
    <col min="3858" max="3858" width="14.42578125" style="153" bestFit="1" customWidth="1"/>
    <col min="3859" max="3859" width="14.28515625" style="153" bestFit="1" customWidth="1"/>
    <col min="3860" max="3860" width="14.28515625" style="153" customWidth="1"/>
    <col min="3861" max="4102" width="15.7109375" style="153"/>
    <col min="4103" max="4103" width="6" style="153" bestFit="1" customWidth="1"/>
    <col min="4104" max="4104" width="7.140625" style="153" bestFit="1" customWidth="1"/>
    <col min="4105" max="4105" width="9.140625" style="153" bestFit="1" customWidth="1"/>
    <col min="4106" max="4106" width="10.85546875" style="153" bestFit="1" customWidth="1"/>
    <col min="4107" max="4107" width="10.85546875" style="153" customWidth="1"/>
    <col min="4108" max="4108" width="11.140625" style="153" bestFit="1" customWidth="1"/>
    <col min="4109" max="4109" width="10.85546875" style="153" bestFit="1" customWidth="1"/>
    <col min="4110" max="4110" width="11.42578125" style="153" bestFit="1" customWidth="1"/>
    <col min="4111" max="4111" width="15.85546875" style="153" bestFit="1" customWidth="1"/>
    <col min="4112" max="4112" width="6.7109375" style="153" bestFit="1" customWidth="1"/>
    <col min="4113" max="4113" width="5.5703125" style="153" bestFit="1" customWidth="1"/>
    <col min="4114" max="4114" width="14.42578125" style="153" bestFit="1" customWidth="1"/>
    <col min="4115" max="4115" width="14.28515625" style="153" bestFit="1" customWidth="1"/>
    <col min="4116" max="4116" width="14.28515625" style="153" customWidth="1"/>
    <col min="4117" max="4358" width="15.7109375" style="153"/>
    <col min="4359" max="4359" width="6" style="153" bestFit="1" customWidth="1"/>
    <col min="4360" max="4360" width="7.140625" style="153" bestFit="1" customWidth="1"/>
    <col min="4361" max="4361" width="9.140625" style="153" bestFit="1" customWidth="1"/>
    <col min="4362" max="4362" width="10.85546875" style="153" bestFit="1" customWidth="1"/>
    <col min="4363" max="4363" width="10.85546875" style="153" customWidth="1"/>
    <col min="4364" max="4364" width="11.140625" style="153" bestFit="1" customWidth="1"/>
    <col min="4365" max="4365" width="10.85546875" style="153" bestFit="1" customWidth="1"/>
    <col min="4366" max="4366" width="11.42578125" style="153" bestFit="1" customWidth="1"/>
    <col min="4367" max="4367" width="15.85546875" style="153" bestFit="1" customWidth="1"/>
    <col min="4368" max="4368" width="6.7109375" style="153" bestFit="1" customWidth="1"/>
    <col min="4369" max="4369" width="5.5703125" style="153" bestFit="1" customWidth="1"/>
    <col min="4370" max="4370" width="14.42578125" style="153" bestFit="1" customWidth="1"/>
    <col min="4371" max="4371" width="14.28515625" style="153" bestFit="1" customWidth="1"/>
    <col min="4372" max="4372" width="14.28515625" style="153" customWidth="1"/>
    <col min="4373" max="4614" width="15.7109375" style="153"/>
    <col min="4615" max="4615" width="6" style="153" bestFit="1" customWidth="1"/>
    <col min="4616" max="4616" width="7.140625" style="153" bestFit="1" customWidth="1"/>
    <col min="4617" max="4617" width="9.140625" style="153" bestFit="1" customWidth="1"/>
    <col min="4618" max="4618" width="10.85546875" style="153" bestFit="1" customWidth="1"/>
    <col min="4619" max="4619" width="10.85546875" style="153" customWidth="1"/>
    <col min="4620" max="4620" width="11.140625" style="153" bestFit="1" customWidth="1"/>
    <col min="4621" max="4621" width="10.85546875" style="153" bestFit="1" customWidth="1"/>
    <col min="4622" max="4622" width="11.42578125" style="153" bestFit="1" customWidth="1"/>
    <col min="4623" max="4623" width="15.85546875" style="153" bestFit="1" customWidth="1"/>
    <col min="4624" max="4624" width="6.7109375" style="153" bestFit="1" customWidth="1"/>
    <col min="4625" max="4625" width="5.5703125" style="153" bestFit="1" customWidth="1"/>
    <col min="4626" max="4626" width="14.42578125" style="153" bestFit="1" customWidth="1"/>
    <col min="4627" max="4627" width="14.28515625" style="153" bestFit="1" customWidth="1"/>
    <col min="4628" max="4628" width="14.28515625" style="153" customWidth="1"/>
    <col min="4629" max="4870" width="15.7109375" style="153"/>
    <col min="4871" max="4871" width="6" style="153" bestFit="1" customWidth="1"/>
    <col min="4872" max="4872" width="7.140625" style="153" bestFit="1" customWidth="1"/>
    <col min="4873" max="4873" width="9.140625" style="153" bestFit="1" customWidth="1"/>
    <col min="4874" max="4874" width="10.85546875" style="153" bestFit="1" customWidth="1"/>
    <col min="4875" max="4875" width="10.85546875" style="153" customWidth="1"/>
    <col min="4876" max="4876" width="11.140625" style="153" bestFit="1" customWidth="1"/>
    <col min="4877" max="4877" width="10.85546875" style="153" bestFit="1" customWidth="1"/>
    <col min="4878" max="4878" width="11.42578125" style="153" bestFit="1" customWidth="1"/>
    <col min="4879" max="4879" width="15.85546875" style="153" bestFit="1" customWidth="1"/>
    <col min="4880" max="4880" width="6.7109375" style="153" bestFit="1" customWidth="1"/>
    <col min="4881" max="4881" width="5.5703125" style="153" bestFit="1" customWidth="1"/>
    <col min="4882" max="4882" width="14.42578125" style="153" bestFit="1" customWidth="1"/>
    <col min="4883" max="4883" width="14.28515625" style="153" bestFit="1" customWidth="1"/>
    <col min="4884" max="4884" width="14.28515625" style="153" customWidth="1"/>
    <col min="4885" max="5126" width="15.7109375" style="153"/>
    <col min="5127" max="5127" width="6" style="153" bestFit="1" customWidth="1"/>
    <col min="5128" max="5128" width="7.140625" style="153" bestFit="1" customWidth="1"/>
    <col min="5129" max="5129" width="9.140625" style="153" bestFit="1" customWidth="1"/>
    <col min="5130" max="5130" width="10.85546875" style="153" bestFit="1" customWidth="1"/>
    <col min="5131" max="5131" width="10.85546875" style="153" customWidth="1"/>
    <col min="5132" max="5132" width="11.140625" style="153" bestFit="1" customWidth="1"/>
    <col min="5133" max="5133" width="10.85546875" style="153" bestFit="1" customWidth="1"/>
    <col min="5134" max="5134" width="11.42578125" style="153" bestFit="1" customWidth="1"/>
    <col min="5135" max="5135" width="15.85546875" style="153" bestFit="1" customWidth="1"/>
    <col min="5136" max="5136" width="6.7109375" style="153" bestFit="1" customWidth="1"/>
    <col min="5137" max="5137" width="5.5703125" style="153" bestFit="1" customWidth="1"/>
    <col min="5138" max="5138" width="14.42578125" style="153" bestFit="1" customWidth="1"/>
    <col min="5139" max="5139" width="14.28515625" style="153" bestFit="1" customWidth="1"/>
    <col min="5140" max="5140" width="14.28515625" style="153" customWidth="1"/>
    <col min="5141" max="5382" width="15.7109375" style="153"/>
    <col min="5383" max="5383" width="6" style="153" bestFit="1" customWidth="1"/>
    <col min="5384" max="5384" width="7.140625" style="153" bestFit="1" customWidth="1"/>
    <col min="5385" max="5385" width="9.140625" style="153" bestFit="1" customWidth="1"/>
    <col min="5386" max="5386" width="10.85546875" style="153" bestFit="1" customWidth="1"/>
    <col min="5387" max="5387" width="10.85546875" style="153" customWidth="1"/>
    <col min="5388" max="5388" width="11.140625" style="153" bestFit="1" customWidth="1"/>
    <col min="5389" max="5389" width="10.85546875" style="153" bestFit="1" customWidth="1"/>
    <col min="5390" max="5390" width="11.42578125" style="153" bestFit="1" customWidth="1"/>
    <col min="5391" max="5391" width="15.85546875" style="153" bestFit="1" customWidth="1"/>
    <col min="5392" max="5392" width="6.7109375" style="153" bestFit="1" customWidth="1"/>
    <col min="5393" max="5393" width="5.5703125" style="153" bestFit="1" customWidth="1"/>
    <col min="5394" max="5394" width="14.42578125" style="153" bestFit="1" customWidth="1"/>
    <col min="5395" max="5395" width="14.28515625" style="153" bestFit="1" customWidth="1"/>
    <col min="5396" max="5396" width="14.28515625" style="153" customWidth="1"/>
    <col min="5397" max="5638" width="15.7109375" style="153"/>
    <col min="5639" max="5639" width="6" style="153" bestFit="1" customWidth="1"/>
    <col min="5640" max="5640" width="7.140625" style="153" bestFit="1" customWidth="1"/>
    <col min="5641" max="5641" width="9.140625" style="153" bestFit="1" customWidth="1"/>
    <col min="5642" max="5642" width="10.85546875" style="153" bestFit="1" customWidth="1"/>
    <col min="5643" max="5643" width="10.85546875" style="153" customWidth="1"/>
    <col min="5644" max="5644" width="11.140625" style="153" bestFit="1" customWidth="1"/>
    <col min="5645" max="5645" width="10.85546875" style="153" bestFit="1" customWidth="1"/>
    <col min="5646" max="5646" width="11.42578125" style="153" bestFit="1" customWidth="1"/>
    <col min="5647" max="5647" width="15.85546875" style="153" bestFit="1" customWidth="1"/>
    <col min="5648" max="5648" width="6.7109375" style="153" bestFit="1" customWidth="1"/>
    <col min="5649" max="5649" width="5.5703125" style="153" bestFit="1" customWidth="1"/>
    <col min="5650" max="5650" width="14.42578125" style="153" bestFit="1" customWidth="1"/>
    <col min="5651" max="5651" width="14.28515625" style="153" bestFit="1" customWidth="1"/>
    <col min="5652" max="5652" width="14.28515625" style="153" customWidth="1"/>
    <col min="5653" max="5894" width="15.7109375" style="153"/>
    <col min="5895" max="5895" width="6" style="153" bestFit="1" customWidth="1"/>
    <col min="5896" max="5896" width="7.140625" style="153" bestFit="1" customWidth="1"/>
    <col min="5897" max="5897" width="9.140625" style="153" bestFit="1" customWidth="1"/>
    <col min="5898" max="5898" width="10.85546875" style="153" bestFit="1" customWidth="1"/>
    <col min="5899" max="5899" width="10.85546875" style="153" customWidth="1"/>
    <col min="5900" max="5900" width="11.140625" style="153" bestFit="1" customWidth="1"/>
    <col min="5901" max="5901" width="10.85546875" style="153" bestFit="1" customWidth="1"/>
    <col min="5902" max="5902" width="11.42578125" style="153" bestFit="1" customWidth="1"/>
    <col min="5903" max="5903" width="15.85546875" style="153" bestFit="1" customWidth="1"/>
    <col min="5904" max="5904" width="6.7109375" style="153" bestFit="1" customWidth="1"/>
    <col min="5905" max="5905" width="5.5703125" style="153" bestFit="1" customWidth="1"/>
    <col min="5906" max="5906" width="14.42578125" style="153" bestFit="1" customWidth="1"/>
    <col min="5907" max="5907" width="14.28515625" style="153" bestFit="1" customWidth="1"/>
    <col min="5908" max="5908" width="14.28515625" style="153" customWidth="1"/>
    <col min="5909" max="6150" width="15.7109375" style="153"/>
    <col min="6151" max="6151" width="6" style="153" bestFit="1" customWidth="1"/>
    <col min="6152" max="6152" width="7.140625" style="153" bestFit="1" customWidth="1"/>
    <col min="6153" max="6153" width="9.140625" style="153" bestFit="1" customWidth="1"/>
    <col min="6154" max="6154" width="10.85546875" style="153" bestFit="1" customWidth="1"/>
    <col min="6155" max="6155" width="10.85546875" style="153" customWidth="1"/>
    <col min="6156" max="6156" width="11.140625" style="153" bestFit="1" customWidth="1"/>
    <col min="6157" max="6157" width="10.85546875" style="153" bestFit="1" customWidth="1"/>
    <col min="6158" max="6158" width="11.42578125" style="153" bestFit="1" customWidth="1"/>
    <col min="6159" max="6159" width="15.85546875" style="153" bestFit="1" customWidth="1"/>
    <col min="6160" max="6160" width="6.7109375" style="153" bestFit="1" customWidth="1"/>
    <col min="6161" max="6161" width="5.5703125" style="153" bestFit="1" customWidth="1"/>
    <col min="6162" max="6162" width="14.42578125" style="153" bestFit="1" customWidth="1"/>
    <col min="6163" max="6163" width="14.28515625" style="153" bestFit="1" customWidth="1"/>
    <col min="6164" max="6164" width="14.28515625" style="153" customWidth="1"/>
    <col min="6165" max="6406" width="15.7109375" style="153"/>
    <col min="6407" max="6407" width="6" style="153" bestFit="1" customWidth="1"/>
    <col min="6408" max="6408" width="7.140625" style="153" bestFit="1" customWidth="1"/>
    <col min="6409" max="6409" width="9.140625" style="153" bestFit="1" customWidth="1"/>
    <col min="6410" max="6410" width="10.85546875" style="153" bestFit="1" customWidth="1"/>
    <col min="6411" max="6411" width="10.85546875" style="153" customWidth="1"/>
    <col min="6412" max="6412" width="11.140625" style="153" bestFit="1" customWidth="1"/>
    <col min="6413" max="6413" width="10.85546875" style="153" bestFit="1" customWidth="1"/>
    <col min="6414" max="6414" width="11.42578125" style="153" bestFit="1" customWidth="1"/>
    <col min="6415" max="6415" width="15.85546875" style="153" bestFit="1" customWidth="1"/>
    <col min="6416" max="6416" width="6.7109375" style="153" bestFit="1" customWidth="1"/>
    <col min="6417" max="6417" width="5.5703125" style="153" bestFit="1" customWidth="1"/>
    <col min="6418" max="6418" width="14.42578125" style="153" bestFit="1" customWidth="1"/>
    <col min="6419" max="6419" width="14.28515625" style="153" bestFit="1" customWidth="1"/>
    <col min="6420" max="6420" width="14.28515625" style="153" customWidth="1"/>
    <col min="6421" max="6662" width="15.7109375" style="153"/>
    <col min="6663" max="6663" width="6" style="153" bestFit="1" customWidth="1"/>
    <col min="6664" max="6664" width="7.140625" style="153" bestFit="1" customWidth="1"/>
    <col min="6665" max="6665" width="9.140625" style="153" bestFit="1" customWidth="1"/>
    <col min="6666" max="6666" width="10.85546875" style="153" bestFit="1" customWidth="1"/>
    <col min="6667" max="6667" width="10.85546875" style="153" customWidth="1"/>
    <col min="6668" max="6668" width="11.140625" style="153" bestFit="1" customWidth="1"/>
    <col min="6669" max="6669" width="10.85546875" style="153" bestFit="1" customWidth="1"/>
    <col min="6670" max="6670" width="11.42578125" style="153" bestFit="1" customWidth="1"/>
    <col min="6671" max="6671" width="15.85546875" style="153" bestFit="1" customWidth="1"/>
    <col min="6672" max="6672" width="6.7109375" style="153" bestFit="1" customWidth="1"/>
    <col min="6673" max="6673" width="5.5703125" style="153" bestFit="1" customWidth="1"/>
    <col min="6674" max="6674" width="14.42578125" style="153" bestFit="1" customWidth="1"/>
    <col min="6675" max="6675" width="14.28515625" style="153" bestFit="1" customWidth="1"/>
    <col min="6676" max="6676" width="14.28515625" style="153" customWidth="1"/>
    <col min="6677" max="6918" width="15.7109375" style="153"/>
    <col min="6919" max="6919" width="6" style="153" bestFit="1" customWidth="1"/>
    <col min="6920" max="6920" width="7.140625" style="153" bestFit="1" customWidth="1"/>
    <col min="6921" max="6921" width="9.140625" style="153" bestFit="1" customWidth="1"/>
    <col min="6922" max="6922" width="10.85546875" style="153" bestFit="1" customWidth="1"/>
    <col min="6923" max="6923" width="10.85546875" style="153" customWidth="1"/>
    <col min="6924" max="6924" width="11.140625" style="153" bestFit="1" customWidth="1"/>
    <col min="6925" max="6925" width="10.85546875" style="153" bestFit="1" customWidth="1"/>
    <col min="6926" max="6926" width="11.42578125" style="153" bestFit="1" customWidth="1"/>
    <col min="6927" max="6927" width="15.85546875" style="153" bestFit="1" customWidth="1"/>
    <col min="6928" max="6928" width="6.7109375" style="153" bestFit="1" customWidth="1"/>
    <col min="6929" max="6929" width="5.5703125" style="153" bestFit="1" customWidth="1"/>
    <col min="6930" max="6930" width="14.42578125" style="153" bestFit="1" customWidth="1"/>
    <col min="6931" max="6931" width="14.28515625" style="153" bestFit="1" customWidth="1"/>
    <col min="6932" max="6932" width="14.28515625" style="153" customWidth="1"/>
    <col min="6933" max="7174" width="15.7109375" style="153"/>
    <col min="7175" max="7175" width="6" style="153" bestFit="1" customWidth="1"/>
    <col min="7176" max="7176" width="7.140625" style="153" bestFit="1" customWidth="1"/>
    <col min="7177" max="7177" width="9.140625" style="153" bestFit="1" customWidth="1"/>
    <col min="7178" max="7178" width="10.85546875" style="153" bestFit="1" customWidth="1"/>
    <col min="7179" max="7179" width="10.85546875" style="153" customWidth="1"/>
    <col min="7180" max="7180" width="11.140625" style="153" bestFit="1" customWidth="1"/>
    <col min="7181" max="7181" width="10.85546875" style="153" bestFit="1" customWidth="1"/>
    <col min="7182" max="7182" width="11.42578125" style="153" bestFit="1" customWidth="1"/>
    <col min="7183" max="7183" width="15.85546875" style="153" bestFit="1" customWidth="1"/>
    <col min="7184" max="7184" width="6.7109375" style="153" bestFit="1" customWidth="1"/>
    <col min="7185" max="7185" width="5.5703125" style="153" bestFit="1" customWidth="1"/>
    <col min="7186" max="7186" width="14.42578125" style="153" bestFit="1" customWidth="1"/>
    <col min="7187" max="7187" width="14.28515625" style="153" bestFit="1" customWidth="1"/>
    <col min="7188" max="7188" width="14.28515625" style="153" customWidth="1"/>
    <col min="7189" max="7430" width="15.7109375" style="153"/>
    <col min="7431" max="7431" width="6" style="153" bestFit="1" customWidth="1"/>
    <col min="7432" max="7432" width="7.140625" style="153" bestFit="1" customWidth="1"/>
    <col min="7433" max="7433" width="9.140625" style="153" bestFit="1" customWidth="1"/>
    <col min="7434" max="7434" width="10.85546875" style="153" bestFit="1" customWidth="1"/>
    <col min="7435" max="7435" width="10.85546875" style="153" customWidth="1"/>
    <col min="7436" max="7436" width="11.140625" style="153" bestFit="1" customWidth="1"/>
    <col min="7437" max="7437" width="10.85546875" style="153" bestFit="1" customWidth="1"/>
    <col min="7438" max="7438" width="11.42578125" style="153" bestFit="1" customWidth="1"/>
    <col min="7439" max="7439" width="15.85546875" style="153" bestFit="1" customWidth="1"/>
    <col min="7440" max="7440" width="6.7109375" style="153" bestFit="1" customWidth="1"/>
    <col min="7441" max="7441" width="5.5703125" style="153" bestFit="1" customWidth="1"/>
    <col min="7442" max="7442" width="14.42578125" style="153" bestFit="1" customWidth="1"/>
    <col min="7443" max="7443" width="14.28515625" style="153" bestFit="1" customWidth="1"/>
    <col min="7444" max="7444" width="14.28515625" style="153" customWidth="1"/>
    <col min="7445" max="7686" width="15.7109375" style="153"/>
    <col min="7687" max="7687" width="6" style="153" bestFit="1" customWidth="1"/>
    <col min="7688" max="7688" width="7.140625" style="153" bestFit="1" customWidth="1"/>
    <col min="7689" max="7689" width="9.140625" style="153" bestFit="1" customWidth="1"/>
    <col min="7690" max="7690" width="10.85546875" style="153" bestFit="1" customWidth="1"/>
    <col min="7691" max="7691" width="10.85546875" style="153" customWidth="1"/>
    <col min="7692" max="7692" width="11.140625" style="153" bestFit="1" customWidth="1"/>
    <col min="7693" max="7693" width="10.85546875" style="153" bestFit="1" customWidth="1"/>
    <col min="7694" max="7694" width="11.42578125" style="153" bestFit="1" customWidth="1"/>
    <col min="7695" max="7695" width="15.85546875" style="153" bestFit="1" customWidth="1"/>
    <col min="7696" max="7696" width="6.7109375" style="153" bestFit="1" customWidth="1"/>
    <col min="7697" max="7697" width="5.5703125" style="153" bestFit="1" customWidth="1"/>
    <col min="7698" max="7698" width="14.42578125" style="153" bestFit="1" customWidth="1"/>
    <col min="7699" max="7699" width="14.28515625" style="153" bestFit="1" customWidth="1"/>
    <col min="7700" max="7700" width="14.28515625" style="153" customWidth="1"/>
    <col min="7701" max="7942" width="15.7109375" style="153"/>
    <col min="7943" max="7943" width="6" style="153" bestFit="1" customWidth="1"/>
    <col min="7944" max="7944" width="7.140625" style="153" bestFit="1" customWidth="1"/>
    <col min="7945" max="7945" width="9.140625" style="153" bestFit="1" customWidth="1"/>
    <col min="7946" max="7946" width="10.85546875" style="153" bestFit="1" customWidth="1"/>
    <col min="7947" max="7947" width="10.85546875" style="153" customWidth="1"/>
    <col min="7948" max="7948" width="11.140625" style="153" bestFit="1" customWidth="1"/>
    <col min="7949" max="7949" width="10.85546875" style="153" bestFit="1" customWidth="1"/>
    <col min="7950" max="7950" width="11.42578125" style="153" bestFit="1" customWidth="1"/>
    <col min="7951" max="7951" width="15.85546875" style="153" bestFit="1" customWidth="1"/>
    <col min="7952" max="7952" width="6.7109375" style="153" bestFit="1" customWidth="1"/>
    <col min="7953" max="7953" width="5.5703125" style="153" bestFit="1" customWidth="1"/>
    <col min="7954" max="7954" width="14.42578125" style="153" bestFit="1" customWidth="1"/>
    <col min="7955" max="7955" width="14.28515625" style="153" bestFit="1" customWidth="1"/>
    <col min="7956" max="7956" width="14.28515625" style="153" customWidth="1"/>
    <col min="7957" max="8198" width="15.7109375" style="153"/>
    <col min="8199" max="8199" width="6" style="153" bestFit="1" customWidth="1"/>
    <col min="8200" max="8200" width="7.140625" style="153" bestFit="1" customWidth="1"/>
    <col min="8201" max="8201" width="9.140625" style="153" bestFit="1" customWidth="1"/>
    <col min="8202" max="8202" width="10.85546875" style="153" bestFit="1" customWidth="1"/>
    <col min="8203" max="8203" width="10.85546875" style="153" customWidth="1"/>
    <col min="8204" max="8204" width="11.140625" style="153" bestFit="1" customWidth="1"/>
    <col min="8205" max="8205" width="10.85546875" style="153" bestFit="1" customWidth="1"/>
    <col min="8206" max="8206" width="11.42578125" style="153" bestFit="1" customWidth="1"/>
    <col min="8207" max="8207" width="15.85546875" style="153" bestFit="1" customWidth="1"/>
    <col min="8208" max="8208" width="6.7109375" style="153" bestFit="1" customWidth="1"/>
    <col min="8209" max="8209" width="5.5703125" style="153" bestFit="1" customWidth="1"/>
    <col min="8210" max="8210" width="14.42578125" style="153" bestFit="1" customWidth="1"/>
    <col min="8211" max="8211" width="14.28515625" style="153" bestFit="1" customWidth="1"/>
    <col min="8212" max="8212" width="14.28515625" style="153" customWidth="1"/>
    <col min="8213" max="8454" width="15.7109375" style="153"/>
    <col min="8455" max="8455" width="6" style="153" bestFit="1" customWidth="1"/>
    <col min="8456" max="8456" width="7.140625" style="153" bestFit="1" customWidth="1"/>
    <col min="8457" max="8457" width="9.140625" style="153" bestFit="1" customWidth="1"/>
    <col min="8458" max="8458" width="10.85546875" style="153" bestFit="1" customWidth="1"/>
    <col min="8459" max="8459" width="10.85546875" style="153" customWidth="1"/>
    <col min="8460" max="8460" width="11.140625" style="153" bestFit="1" customWidth="1"/>
    <col min="8461" max="8461" width="10.85546875" style="153" bestFit="1" customWidth="1"/>
    <col min="8462" max="8462" width="11.42578125" style="153" bestFit="1" customWidth="1"/>
    <col min="8463" max="8463" width="15.85546875" style="153" bestFit="1" customWidth="1"/>
    <col min="8464" max="8464" width="6.7109375" style="153" bestFit="1" customWidth="1"/>
    <col min="8465" max="8465" width="5.5703125" style="153" bestFit="1" customWidth="1"/>
    <col min="8466" max="8466" width="14.42578125" style="153" bestFit="1" customWidth="1"/>
    <col min="8467" max="8467" width="14.28515625" style="153" bestFit="1" customWidth="1"/>
    <col min="8468" max="8468" width="14.28515625" style="153" customWidth="1"/>
    <col min="8469" max="8710" width="15.7109375" style="153"/>
    <col min="8711" max="8711" width="6" style="153" bestFit="1" customWidth="1"/>
    <col min="8712" max="8712" width="7.140625" style="153" bestFit="1" customWidth="1"/>
    <col min="8713" max="8713" width="9.140625" style="153" bestFit="1" customWidth="1"/>
    <col min="8714" max="8714" width="10.85546875" style="153" bestFit="1" customWidth="1"/>
    <col min="8715" max="8715" width="10.85546875" style="153" customWidth="1"/>
    <col min="8716" max="8716" width="11.140625" style="153" bestFit="1" customWidth="1"/>
    <col min="8717" max="8717" width="10.85546875" style="153" bestFit="1" customWidth="1"/>
    <col min="8718" max="8718" width="11.42578125" style="153" bestFit="1" customWidth="1"/>
    <col min="8719" max="8719" width="15.85546875" style="153" bestFit="1" customWidth="1"/>
    <col min="8720" max="8720" width="6.7109375" style="153" bestFit="1" customWidth="1"/>
    <col min="8721" max="8721" width="5.5703125" style="153" bestFit="1" customWidth="1"/>
    <col min="8722" max="8722" width="14.42578125" style="153" bestFit="1" customWidth="1"/>
    <col min="8723" max="8723" width="14.28515625" style="153" bestFit="1" customWidth="1"/>
    <col min="8724" max="8724" width="14.28515625" style="153" customWidth="1"/>
    <col min="8725" max="8966" width="15.7109375" style="153"/>
    <col min="8967" max="8967" width="6" style="153" bestFit="1" customWidth="1"/>
    <col min="8968" max="8968" width="7.140625" style="153" bestFit="1" customWidth="1"/>
    <col min="8969" max="8969" width="9.140625" style="153" bestFit="1" customWidth="1"/>
    <col min="8970" max="8970" width="10.85546875" style="153" bestFit="1" customWidth="1"/>
    <col min="8971" max="8971" width="10.85546875" style="153" customWidth="1"/>
    <col min="8972" max="8972" width="11.140625" style="153" bestFit="1" customWidth="1"/>
    <col min="8973" max="8973" width="10.85546875" style="153" bestFit="1" customWidth="1"/>
    <col min="8974" max="8974" width="11.42578125" style="153" bestFit="1" customWidth="1"/>
    <col min="8975" max="8975" width="15.85546875" style="153" bestFit="1" customWidth="1"/>
    <col min="8976" max="8976" width="6.7109375" style="153" bestFit="1" customWidth="1"/>
    <col min="8977" max="8977" width="5.5703125" style="153" bestFit="1" customWidth="1"/>
    <col min="8978" max="8978" width="14.42578125" style="153" bestFit="1" customWidth="1"/>
    <col min="8979" max="8979" width="14.28515625" style="153" bestFit="1" customWidth="1"/>
    <col min="8980" max="8980" width="14.28515625" style="153" customWidth="1"/>
    <col min="8981" max="9222" width="15.7109375" style="153"/>
    <col min="9223" max="9223" width="6" style="153" bestFit="1" customWidth="1"/>
    <col min="9224" max="9224" width="7.140625" style="153" bestFit="1" customWidth="1"/>
    <col min="9225" max="9225" width="9.140625" style="153" bestFit="1" customWidth="1"/>
    <col min="9226" max="9226" width="10.85546875" style="153" bestFit="1" customWidth="1"/>
    <col min="9227" max="9227" width="10.85546875" style="153" customWidth="1"/>
    <col min="9228" max="9228" width="11.140625" style="153" bestFit="1" customWidth="1"/>
    <col min="9229" max="9229" width="10.85546875" style="153" bestFit="1" customWidth="1"/>
    <col min="9230" max="9230" width="11.42578125" style="153" bestFit="1" customWidth="1"/>
    <col min="9231" max="9231" width="15.85546875" style="153" bestFit="1" customWidth="1"/>
    <col min="9232" max="9232" width="6.7109375" style="153" bestFit="1" customWidth="1"/>
    <col min="9233" max="9233" width="5.5703125" style="153" bestFit="1" customWidth="1"/>
    <col min="9234" max="9234" width="14.42578125" style="153" bestFit="1" customWidth="1"/>
    <col min="9235" max="9235" width="14.28515625" style="153" bestFit="1" customWidth="1"/>
    <col min="9236" max="9236" width="14.28515625" style="153" customWidth="1"/>
    <col min="9237" max="9478" width="15.7109375" style="153"/>
    <col min="9479" max="9479" width="6" style="153" bestFit="1" customWidth="1"/>
    <col min="9480" max="9480" width="7.140625" style="153" bestFit="1" customWidth="1"/>
    <col min="9481" max="9481" width="9.140625" style="153" bestFit="1" customWidth="1"/>
    <col min="9482" max="9482" width="10.85546875" style="153" bestFit="1" customWidth="1"/>
    <col min="9483" max="9483" width="10.85546875" style="153" customWidth="1"/>
    <col min="9484" max="9484" width="11.140625" style="153" bestFit="1" customWidth="1"/>
    <col min="9485" max="9485" width="10.85546875" style="153" bestFit="1" customWidth="1"/>
    <col min="9486" max="9486" width="11.42578125" style="153" bestFit="1" customWidth="1"/>
    <col min="9487" max="9487" width="15.85546875" style="153" bestFit="1" customWidth="1"/>
    <col min="9488" max="9488" width="6.7109375" style="153" bestFit="1" customWidth="1"/>
    <col min="9489" max="9489" width="5.5703125" style="153" bestFit="1" customWidth="1"/>
    <col min="9490" max="9490" width="14.42578125" style="153" bestFit="1" customWidth="1"/>
    <col min="9491" max="9491" width="14.28515625" style="153" bestFit="1" customWidth="1"/>
    <col min="9492" max="9492" width="14.28515625" style="153" customWidth="1"/>
    <col min="9493" max="9734" width="15.7109375" style="153"/>
    <col min="9735" max="9735" width="6" style="153" bestFit="1" customWidth="1"/>
    <col min="9736" max="9736" width="7.140625" style="153" bestFit="1" customWidth="1"/>
    <col min="9737" max="9737" width="9.140625" style="153" bestFit="1" customWidth="1"/>
    <col min="9738" max="9738" width="10.85546875" style="153" bestFit="1" customWidth="1"/>
    <col min="9739" max="9739" width="10.85546875" style="153" customWidth="1"/>
    <col min="9740" max="9740" width="11.140625" style="153" bestFit="1" customWidth="1"/>
    <col min="9741" max="9741" width="10.85546875" style="153" bestFit="1" customWidth="1"/>
    <col min="9742" max="9742" width="11.42578125" style="153" bestFit="1" customWidth="1"/>
    <col min="9743" max="9743" width="15.85546875" style="153" bestFit="1" customWidth="1"/>
    <col min="9744" max="9744" width="6.7109375" style="153" bestFit="1" customWidth="1"/>
    <col min="9745" max="9745" width="5.5703125" style="153" bestFit="1" customWidth="1"/>
    <col min="9746" max="9746" width="14.42578125" style="153" bestFit="1" customWidth="1"/>
    <col min="9747" max="9747" width="14.28515625" style="153" bestFit="1" customWidth="1"/>
    <col min="9748" max="9748" width="14.28515625" style="153" customWidth="1"/>
    <col min="9749" max="9990" width="15.7109375" style="153"/>
    <col min="9991" max="9991" width="6" style="153" bestFit="1" customWidth="1"/>
    <col min="9992" max="9992" width="7.140625" style="153" bestFit="1" customWidth="1"/>
    <col min="9993" max="9993" width="9.140625" style="153" bestFit="1" customWidth="1"/>
    <col min="9994" max="9994" width="10.85546875" style="153" bestFit="1" customWidth="1"/>
    <col min="9995" max="9995" width="10.85546875" style="153" customWidth="1"/>
    <col min="9996" max="9996" width="11.140625" style="153" bestFit="1" customWidth="1"/>
    <col min="9997" max="9997" width="10.85546875" style="153" bestFit="1" customWidth="1"/>
    <col min="9998" max="9998" width="11.42578125" style="153" bestFit="1" customWidth="1"/>
    <col min="9999" max="9999" width="15.85546875" style="153" bestFit="1" customWidth="1"/>
    <col min="10000" max="10000" width="6.7109375" style="153" bestFit="1" customWidth="1"/>
    <col min="10001" max="10001" width="5.5703125" style="153" bestFit="1" customWidth="1"/>
    <col min="10002" max="10002" width="14.42578125" style="153" bestFit="1" customWidth="1"/>
    <col min="10003" max="10003" width="14.28515625" style="153" bestFit="1" customWidth="1"/>
    <col min="10004" max="10004" width="14.28515625" style="153" customWidth="1"/>
    <col min="10005" max="10246" width="15.7109375" style="153"/>
    <col min="10247" max="10247" width="6" style="153" bestFit="1" customWidth="1"/>
    <col min="10248" max="10248" width="7.140625" style="153" bestFit="1" customWidth="1"/>
    <col min="10249" max="10249" width="9.140625" style="153" bestFit="1" customWidth="1"/>
    <col min="10250" max="10250" width="10.85546875" style="153" bestFit="1" customWidth="1"/>
    <col min="10251" max="10251" width="10.85546875" style="153" customWidth="1"/>
    <col min="10252" max="10252" width="11.140625" style="153" bestFit="1" customWidth="1"/>
    <col min="10253" max="10253" width="10.85546875" style="153" bestFit="1" customWidth="1"/>
    <col min="10254" max="10254" width="11.42578125" style="153" bestFit="1" customWidth="1"/>
    <col min="10255" max="10255" width="15.85546875" style="153" bestFit="1" customWidth="1"/>
    <col min="10256" max="10256" width="6.7109375" style="153" bestFit="1" customWidth="1"/>
    <col min="10257" max="10257" width="5.5703125" style="153" bestFit="1" customWidth="1"/>
    <col min="10258" max="10258" width="14.42578125" style="153" bestFit="1" customWidth="1"/>
    <col min="10259" max="10259" width="14.28515625" style="153" bestFit="1" customWidth="1"/>
    <col min="10260" max="10260" width="14.28515625" style="153" customWidth="1"/>
    <col min="10261" max="10502" width="15.7109375" style="153"/>
    <col min="10503" max="10503" width="6" style="153" bestFit="1" customWidth="1"/>
    <col min="10504" max="10504" width="7.140625" style="153" bestFit="1" customWidth="1"/>
    <col min="10505" max="10505" width="9.140625" style="153" bestFit="1" customWidth="1"/>
    <col min="10506" max="10506" width="10.85546875" style="153" bestFit="1" customWidth="1"/>
    <col min="10507" max="10507" width="10.85546875" style="153" customWidth="1"/>
    <col min="10508" max="10508" width="11.140625" style="153" bestFit="1" customWidth="1"/>
    <col min="10509" max="10509" width="10.85546875" style="153" bestFit="1" customWidth="1"/>
    <col min="10510" max="10510" width="11.42578125" style="153" bestFit="1" customWidth="1"/>
    <col min="10511" max="10511" width="15.85546875" style="153" bestFit="1" customWidth="1"/>
    <col min="10512" max="10512" width="6.7109375" style="153" bestFit="1" customWidth="1"/>
    <col min="10513" max="10513" width="5.5703125" style="153" bestFit="1" customWidth="1"/>
    <col min="10514" max="10514" width="14.42578125" style="153" bestFit="1" customWidth="1"/>
    <col min="10515" max="10515" width="14.28515625" style="153" bestFit="1" customWidth="1"/>
    <col min="10516" max="10516" width="14.28515625" style="153" customWidth="1"/>
    <col min="10517" max="10758" width="15.7109375" style="153"/>
    <col min="10759" max="10759" width="6" style="153" bestFit="1" customWidth="1"/>
    <col min="10760" max="10760" width="7.140625" style="153" bestFit="1" customWidth="1"/>
    <col min="10761" max="10761" width="9.140625" style="153" bestFit="1" customWidth="1"/>
    <col min="10762" max="10762" width="10.85546875" style="153" bestFit="1" customWidth="1"/>
    <col min="10763" max="10763" width="10.85546875" style="153" customWidth="1"/>
    <col min="10764" max="10764" width="11.140625" style="153" bestFit="1" customWidth="1"/>
    <col min="10765" max="10765" width="10.85546875" style="153" bestFit="1" customWidth="1"/>
    <col min="10766" max="10766" width="11.42578125" style="153" bestFit="1" customWidth="1"/>
    <col min="10767" max="10767" width="15.85546875" style="153" bestFit="1" customWidth="1"/>
    <col min="10768" max="10768" width="6.7109375" style="153" bestFit="1" customWidth="1"/>
    <col min="10769" max="10769" width="5.5703125" style="153" bestFit="1" customWidth="1"/>
    <col min="10770" max="10770" width="14.42578125" style="153" bestFit="1" customWidth="1"/>
    <col min="10771" max="10771" width="14.28515625" style="153" bestFit="1" customWidth="1"/>
    <col min="10772" max="10772" width="14.28515625" style="153" customWidth="1"/>
    <col min="10773" max="11014" width="15.7109375" style="153"/>
    <col min="11015" max="11015" width="6" style="153" bestFit="1" customWidth="1"/>
    <col min="11016" max="11016" width="7.140625" style="153" bestFit="1" customWidth="1"/>
    <col min="11017" max="11017" width="9.140625" style="153" bestFit="1" customWidth="1"/>
    <col min="11018" max="11018" width="10.85546875" style="153" bestFit="1" customWidth="1"/>
    <col min="11019" max="11019" width="10.85546875" style="153" customWidth="1"/>
    <col min="11020" max="11020" width="11.140625" style="153" bestFit="1" customWidth="1"/>
    <col min="11021" max="11021" width="10.85546875" style="153" bestFit="1" customWidth="1"/>
    <col min="11022" max="11022" width="11.42578125" style="153" bestFit="1" customWidth="1"/>
    <col min="11023" max="11023" width="15.85546875" style="153" bestFit="1" customWidth="1"/>
    <col min="11024" max="11024" width="6.7109375" style="153" bestFit="1" customWidth="1"/>
    <col min="11025" max="11025" width="5.5703125" style="153" bestFit="1" customWidth="1"/>
    <col min="11026" max="11026" width="14.42578125" style="153" bestFit="1" customWidth="1"/>
    <col min="11027" max="11027" width="14.28515625" style="153" bestFit="1" customWidth="1"/>
    <col min="11028" max="11028" width="14.28515625" style="153" customWidth="1"/>
    <col min="11029" max="11270" width="15.7109375" style="153"/>
    <col min="11271" max="11271" width="6" style="153" bestFit="1" customWidth="1"/>
    <col min="11272" max="11272" width="7.140625" style="153" bestFit="1" customWidth="1"/>
    <col min="11273" max="11273" width="9.140625" style="153" bestFit="1" customWidth="1"/>
    <col min="11274" max="11274" width="10.85546875" style="153" bestFit="1" customWidth="1"/>
    <col min="11275" max="11275" width="10.85546875" style="153" customWidth="1"/>
    <col min="11276" max="11276" width="11.140625" style="153" bestFit="1" customWidth="1"/>
    <col min="11277" max="11277" width="10.85546875" style="153" bestFit="1" customWidth="1"/>
    <col min="11278" max="11278" width="11.42578125" style="153" bestFit="1" customWidth="1"/>
    <col min="11279" max="11279" width="15.85546875" style="153" bestFit="1" customWidth="1"/>
    <col min="11280" max="11280" width="6.7109375" style="153" bestFit="1" customWidth="1"/>
    <col min="11281" max="11281" width="5.5703125" style="153" bestFit="1" customWidth="1"/>
    <col min="11282" max="11282" width="14.42578125" style="153" bestFit="1" customWidth="1"/>
    <col min="11283" max="11283" width="14.28515625" style="153" bestFit="1" customWidth="1"/>
    <col min="11284" max="11284" width="14.28515625" style="153" customWidth="1"/>
    <col min="11285" max="11526" width="15.7109375" style="153"/>
    <col min="11527" max="11527" width="6" style="153" bestFit="1" customWidth="1"/>
    <col min="11528" max="11528" width="7.140625" style="153" bestFit="1" customWidth="1"/>
    <col min="11529" max="11529" width="9.140625" style="153" bestFit="1" customWidth="1"/>
    <col min="11530" max="11530" width="10.85546875" style="153" bestFit="1" customWidth="1"/>
    <col min="11531" max="11531" width="10.85546875" style="153" customWidth="1"/>
    <col min="11532" max="11532" width="11.140625" style="153" bestFit="1" customWidth="1"/>
    <col min="11533" max="11533" width="10.85546875" style="153" bestFit="1" customWidth="1"/>
    <col min="11534" max="11534" width="11.42578125" style="153" bestFit="1" customWidth="1"/>
    <col min="11535" max="11535" width="15.85546875" style="153" bestFit="1" customWidth="1"/>
    <col min="11536" max="11536" width="6.7109375" style="153" bestFit="1" customWidth="1"/>
    <col min="11537" max="11537" width="5.5703125" style="153" bestFit="1" customWidth="1"/>
    <col min="11538" max="11538" width="14.42578125" style="153" bestFit="1" customWidth="1"/>
    <col min="11539" max="11539" width="14.28515625" style="153" bestFit="1" customWidth="1"/>
    <col min="11540" max="11540" width="14.28515625" style="153" customWidth="1"/>
    <col min="11541" max="11782" width="15.7109375" style="153"/>
    <col min="11783" max="11783" width="6" style="153" bestFit="1" customWidth="1"/>
    <col min="11784" max="11784" width="7.140625" style="153" bestFit="1" customWidth="1"/>
    <col min="11785" max="11785" width="9.140625" style="153" bestFit="1" customWidth="1"/>
    <col min="11786" max="11786" width="10.85546875" style="153" bestFit="1" customWidth="1"/>
    <col min="11787" max="11787" width="10.85546875" style="153" customWidth="1"/>
    <col min="11788" max="11788" width="11.140625" style="153" bestFit="1" customWidth="1"/>
    <col min="11789" max="11789" width="10.85546875" style="153" bestFit="1" customWidth="1"/>
    <col min="11790" max="11790" width="11.42578125" style="153" bestFit="1" customWidth="1"/>
    <col min="11791" max="11791" width="15.85546875" style="153" bestFit="1" customWidth="1"/>
    <col min="11792" max="11792" width="6.7109375" style="153" bestFit="1" customWidth="1"/>
    <col min="11793" max="11793" width="5.5703125" style="153" bestFit="1" customWidth="1"/>
    <col min="11794" max="11794" width="14.42578125" style="153" bestFit="1" customWidth="1"/>
    <col min="11795" max="11795" width="14.28515625" style="153" bestFit="1" customWidth="1"/>
    <col min="11796" max="11796" width="14.28515625" style="153" customWidth="1"/>
    <col min="11797" max="12038" width="15.7109375" style="153"/>
    <col min="12039" max="12039" width="6" style="153" bestFit="1" customWidth="1"/>
    <col min="12040" max="12040" width="7.140625" style="153" bestFit="1" customWidth="1"/>
    <col min="12041" max="12041" width="9.140625" style="153" bestFit="1" customWidth="1"/>
    <col min="12042" max="12042" width="10.85546875" style="153" bestFit="1" customWidth="1"/>
    <col min="12043" max="12043" width="10.85546875" style="153" customWidth="1"/>
    <col min="12044" max="12044" width="11.140625" style="153" bestFit="1" customWidth="1"/>
    <col min="12045" max="12045" width="10.85546875" style="153" bestFit="1" customWidth="1"/>
    <col min="12046" max="12046" width="11.42578125" style="153" bestFit="1" customWidth="1"/>
    <col min="12047" max="12047" width="15.85546875" style="153" bestFit="1" customWidth="1"/>
    <col min="12048" max="12048" width="6.7109375" style="153" bestFit="1" customWidth="1"/>
    <col min="12049" max="12049" width="5.5703125" style="153" bestFit="1" customWidth="1"/>
    <col min="12050" max="12050" width="14.42578125" style="153" bestFit="1" customWidth="1"/>
    <col min="12051" max="12051" width="14.28515625" style="153" bestFit="1" customWidth="1"/>
    <col min="12052" max="12052" width="14.28515625" style="153" customWidth="1"/>
    <col min="12053" max="12294" width="15.7109375" style="153"/>
    <col min="12295" max="12295" width="6" style="153" bestFit="1" customWidth="1"/>
    <col min="12296" max="12296" width="7.140625" style="153" bestFit="1" customWidth="1"/>
    <col min="12297" max="12297" width="9.140625" style="153" bestFit="1" customWidth="1"/>
    <col min="12298" max="12298" width="10.85546875" style="153" bestFit="1" customWidth="1"/>
    <col min="12299" max="12299" width="10.85546875" style="153" customWidth="1"/>
    <col min="12300" max="12300" width="11.140625" style="153" bestFit="1" customWidth="1"/>
    <col min="12301" max="12301" width="10.85546875" style="153" bestFit="1" customWidth="1"/>
    <col min="12302" max="12302" width="11.42578125" style="153" bestFit="1" customWidth="1"/>
    <col min="12303" max="12303" width="15.85546875" style="153" bestFit="1" customWidth="1"/>
    <col min="12304" max="12304" width="6.7109375" style="153" bestFit="1" customWidth="1"/>
    <col min="12305" max="12305" width="5.5703125" style="153" bestFit="1" customWidth="1"/>
    <col min="12306" max="12306" width="14.42578125" style="153" bestFit="1" customWidth="1"/>
    <col min="12307" max="12307" width="14.28515625" style="153" bestFit="1" customWidth="1"/>
    <col min="12308" max="12308" width="14.28515625" style="153" customWidth="1"/>
    <col min="12309" max="12550" width="15.7109375" style="153"/>
    <col min="12551" max="12551" width="6" style="153" bestFit="1" customWidth="1"/>
    <col min="12552" max="12552" width="7.140625" style="153" bestFit="1" customWidth="1"/>
    <col min="12553" max="12553" width="9.140625" style="153" bestFit="1" customWidth="1"/>
    <col min="12554" max="12554" width="10.85546875" style="153" bestFit="1" customWidth="1"/>
    <col min="12555" max="12555" width="10.85546875" style="153" customWidth="1"/>
    <col min="12556" max="12556" width="11.140625" style="153" bestFit="1" customWidth="1"/>
    <col min="12557" max="12557" width="10.85546875" style="153" bestFit="1" customWidth="1"/>
    <col min="12558" max="12558" width="11.42578125" style="153" bestFit="1" customWidth="1"/>
    <col min="12559" max="12559" width="15.85546875" style="153" bestFit="1" customWidth="1"/>
    <col min="12560" max="12560" width="6.7109375" style="153" bestFit="1" customWidth="1"/>
    <col min="12561" max="12561" width="5.5703125" style="153" bestFit="1" customWidth="1"/>
    <col min="12562" max="12562" width="14.42578125" style="153" bestFit="1" customWidth="1"/>
    <col min="12563" max="12563" width="14.28515625" style="153" bestFit="1" customWidth="1"/>
    <col min="12564" max="12564" width="14.28515625" style="153" customWidth="1"/>
    <col min="12565" max="12806" width="15.7109375" style="153"/>
    <col min="12807" max="12807" width="6" style="153" bestFit="1" customWidth="1"/>
    <col min="12808" max="12808" width="7.140625" style="153" bestFit="1" customWidth="1"/>
    <col min="12809" max="12809" width="9.140625" style="153" bestFit="1" customWidth="1"/>
    <col min="12810" max="12810" width="10.85546875" style="153" bestFit="1" customWidth="1"/>
    <col min="12811" max="12811" width="10.85546875" style="153" customWidth="1"/>
    <col min="12812" max="12812" width="11.140625" style="153" bestFit="1" customWidth="1"/>
    <col min="12813" max="12813" width="10.85546875" style="153" bestFit="1" customWidth="1"/>
    <col min="12814" max="12814" width="11.42578125" style="153" bestFit="1" customWidth="1"/>
    <col min="12815" max="12815" width="15.85546875" style="153" bestFit="1" customWidth="1"/>
    <col min="12816" max="12816" width="6.7109375" style="153" bestFit="1" customWidth="1"/>
    <col min="12817" max="12817" width="5.5703125" style="153" bestFit="1" customWidth="1"/>
    <col min="12818" max="12818" width="14.42578125" style="153" bestFit="1" customWidth="1"/>
    <col min="12819" max="12819" width="14.28515625" style="153" bestFit="1" customWidth="1"/>
    <col min="12820" max="12820" width="14.28515625" style="153" customWidth="1"/>
    <col min="12821" max="13062" width="15.7109375" style="153"/>
    <col min="13063" max="13063" width="6" style="153" bestFit="1" customWidth="1"/>
    <col min="13064" max="13064" width="7.140625" style="153" bestFit="1" customWidth="1"/>
    <col min="13065" max="13065" width="9.140625" style="153" bestFit="1" customWidth="1"/>
    <col min="13066" max="13066" width="10.85546875" style="153" bestFit="1" customWidth="1"/>
    <col min="13067" max="13067" width="10.85546875" style="153" customWidth="1"/>
    <col min="13068" max="13068" width="11.140625" style="153" bestFit="1" customWidth="1"/>
    <col min="13069" max="13069" width="10.85546875" style="153" bestFit="1" customWidth="1"/>
    <col min="13070" max="13070" width="11.42578125" style="153" bestFit="1" customWidth="1"/>
    <col min="13071" max="13071" width="15.85546875" style="153" bestFit="1" customWidth="1"/>
    <col min="13072" max="13072" width="6.7109375" style="153" bestFit="1" customWidth="1"/>
    <col min="13073" max="13073" width="5.5703125" style="153" bestFit="1" customWidth="1"/>
    <col min="13074" max="13074" width="14.42578125" style="153" bestFit="1" customWidth="1"/>
    <col min="13075" max="13075" width="14.28515625" style="153" bestFit="1" customWidth="1"/>
    <col min="13076" max="13076" width="14.28515625" style="153" customWidth="1"/>
    <col min="13077" max="13318" width="15.7109375" style="153"/>
    <col min="13319" max="13319" width="6" style="153" bestFit="1" customWidth="1"/>
    <col min="13320" max="13320" width="7.140625" style="153" bestFit="1" customWidth="1"/>
    <col min="13321" max="13321" width="9.140625" style="153" bestFit="1" customWidth="1"/>
    <col min="13322" max="13322" width="10.85546875" style="153" bestFit="1" customWidth="1"/>
    <col min="13323" max="13323" width="10.85546875" style="153" customWidth="1"/>
    <col min="13324" max="13324" width="11.140625" style="153" bestFit="1" customWidth="1"/>
    <col min="13325" max="13325" width="10.85546875" style="153" bestFit="1" customWidth="1"/>
    <col min="13326" max="13326" width="11.42578125" style="153" bestFit="1" customWidth="1"/>
    <col min="13327" max="13327" width="15.85546875" style="153" bestFit="1" customWidth="1"/>
    <col min="13328" max="13328" width="6.7109375" style="153" bestFit="1" customWidth="1"/>
    <col min="13329" max="13329" width="5.5703125" style="153" bestFit="1" customWidth="1"/>
    <col min="13330" max="13330" width="14.42578125" style="153" bestFit="1" customWidth="1"/>
    <col min="13331" max="13331" width="14.28515625" style="153" bestFit="1" customWidth="1"/>
    <col min="13332" max="13332" width="14.28515625" style="153" customWidth="1"/>
    <col min="13333" max="13574" width="15.7109375" style="153"/>
    <col min="13575" max="13575" width="6" style="153" bestFit="1" customWidth="1"/>
    <col min="13576" max="13576" width="7.140625" style="153" bestFit="1" customWidth="1"/>
    <col min="13577" max="13577" width="9.140625" style="153" bestFit="1" customWidth="1"/>
    <col min="13578" max="13578" width="10.85546875" style="153" bestFit="1" customWidth="1"/>
    <col min="13579" max="13579" width="10.85546875" style="153" customWidth="1"/>
    <col min="13580" max="13580" width="11.140625" style="153" bestFit="1" customWidth="1"/>
    <col min="13581" max="13581" width="10.85546875" style="153" bestFit="1" customWidth="1"/>
    <col min="13582" max="13582" width="11.42578125" style="153" bestFit="1" customWidth="1"/>
    <col min="13583" max="13583" width="15.85546875" style="153" bestFit="1" customWidth="1"/>
    <col min="13584" max="13584" width="6.7109375" style="153" bestFit="1" customWidth="1"/>
    <col min="13585" max="13585" width="5.5703125" style="153" bestFit="1" customWidth="1"/>
    <col min="13586" max="13586" width="14.42578125" style="153" bestFit="1" customWidth="1"/>
    <col min="13587" max="13587" width="14.28515625" style="153" bestFit="1" customWidth="1"/>
    <col min="13588" max="13588" width="14.28515625" style="153" customWidth="1"/>
    <col min="13589" max="13830" width="15.7109375" style="153"/>
    <col min="13831" max="13831" width="6" style="153" bestFit="1" customWidth="1"/>
    <col min="13832" max="13832" width="7.140625" style="153" bestFit="1" customWidth="1"/>
    <col min="13833" max="13833" width="9.140625" style="153" bestFit="1" customWidth="1"/>
    <col min="13834" max="13834" width="10.85546875" style="153" bestFit="1" customWidth="1"/>
    <col min="13835" max="13835" width="10.85546875" style="153" customWidth="1"/>
    <col min="13836" max="13836" width="11.140625" style="153" bestFit="1" customWidth="1"/>
    <col min="13837" max="13837" width="10.85546875" style="153" bestFit="1" customWidth="1"/>
    <col min="13838" max="13838" width="11.42578125" style="153" bestFit="1" customWidth="1"/>
    <col min="13839" max="13839" width="15.85546875" style="153" bestFit="1" customWidth="1"/>
    <col min="13840" max="13840" width="6.7109375" style="153" bestFit="1" customWidth="1"/>
    <col min="13841" max="13841" width="5.5703125" style="153" bestFit="1" customWidth="1"/>
    <col min="13842" max="13842" width="14.42578125" style="153" bestFit="1" customWidth="1"/>
    <col min="13843" max="13843" width="14.28515625" style="153" bestFit="1" customWidth="1"/>
    <col min="13844" max="13844" width="14.28515625" style="153" customWidth="1"/>
    <col min="13845" max="14086" width="15.7109375" style="153"/>
    <col min="14087" max="14087" width="6" style="153" bestFit="1" customWidth="1"/>
    <col min="14088" max="14088" width="7.140625" style="153" bestFit="1" customWidth="1"/>
    <col min="14089" max="14089" width="9.140625" style="153" bestFit="1" customWidth="1"/>
    <col min="14090" max="14090" width="10.85546875" style="153" bestFit="1" customWidth="1"/>
    <col min="14091" max="14091" width="10.85546875" style="153" customWidth="1"/>
    <col min="14092" max="14092" width="11.140625" style="153" bestFit="1" customWidth="1"/>
    <col min="14093" max="14093" width="10.85546875" style="153" bestFit="1" customWidth="1"/>
    <col min="14094" max="14094" width="11.42578125" style="153" bestFit="1" customWidth="1"/>
    <col min="14095" max="14095" width="15.85546875" style="153" bestFit="1" customWidth="1"/>
    <col min="14096" max="14096" width="6.7109375" style="153" bestFit="1" customWidth="1"/>
    <col min="14097" max="14097" width="5.5703125" style="153" bestFit="1" customWidth="1"/>
    <col min="14098" max="14098" width="14.42578125" style="153" bestFit="1" customWidth="1"/>
    <col min="14099" max="14099" width="14.28515625" style="153" bestFit="1" customWidth="1"/>
    <col min="14100" max="14100" width="14.28515625" style="153" customWidth="1"/>
    <col min="14101" max="14342" width="15.7109375" style="153"/>
    <col min="14343" max="14343" width="6" style="153" bestFit="1" customWidth="1"/>
    <col min="14344" max="14344" width="7.140625" style="153" bestFit="1" customWidth="1"/>
    <col min="14345" max="14345" width="9.140625" style="153" bestFit="1" customWidth="1"/>
    <col min="14346" max="14346" width="10.85546875" style="153" bestFit="1" customWidth="1"/>
    <col min="14347" max="14347" width="10.85546875" style="153" customWidth="1"/>
    <col min="14348" max="14348" width="11.140625" style="153" bestFit="1" customWidth="1"/>
    <col min="14349" max="14349" width="10.85546875" style="153" bestFit="1" customWidth="1"/>
    <col min="14350" max="14350" width="11.42578125" style="153" bestFit="1" customWidth="1"/>
    <col min="14351" max="14351" width="15.85546875" style="153" bestFit="1" customWidth="1"/>
    <col min="14352" max="14352" width="6.7109375" style="153" bestFit="1" customWidth="1"/>
    <col min="14353" max="14353" width="5.5703125" style="153" bestFit="1" customWidth="1"/>
    <col min="14354" max="14354" width="14.42578125" style="153" bestFit="1" customWidth="1"/>
    <col min="14355" max="14355" width="14.28515625" style="153" bestFit="1" customWidth="1"/>
    <col min="14356" max="14356" width="14.28515625" style="153" customWidth="1"/>
    <col min="14357" max="14598" width="15.7109375" style="153"/>
    <col min="14599" max="14599" width="6" style="153" bestFit="1" customWidth="1"/>
    <col min="14600" max="14600" width="7.140625" style="153" bestFit="1" customWidth="1"/>
    <col min="14601" max="14601" width="9.140625" style="153" bestFit="1" customWidth="1"/>
    <col min="14602" max="14602" width="10.85546875" style="153" bestFit="1" customWidth="1"/>
    <col min="14603" max="14603" width="10.85546875" style="153" customWidth="1"/>
    <col min="14604" max="14604" width="11.140625" style="153" bestFit="1" customWidth="1"/>
    <col min="14605" max="14605" width="10.85546875" style="153" bestFit="1" customWidth="1"/>
    <col min="14606" max="14606" width="11.42578125" style="153" bestFit="1" customWidth="1"/>
    <col min="14607" max="14607" width="15.85546875" style="153" bestFit="1" customWidth="1"/>
    <col min="14608" max="14608" width="6.7109375" style="153" bestFit="1" customWidth="1"/>
    <col min="14609" max="14609" width="5.5703125" style="153" bestFit="1" customWidth="1"/>
    <col min="14610" max="14610" width="14.42578125" style="153" bestFit="1" customWidth="1"/>
    <col min="14611" max="14611" width="14.28515625" style="153" bestFit="1" customWidth="1"/>
    <col min="14612" max="14612" width="14.28515625" style="153" customWidth="1"/>
    <col min="14613" max="14854" width="15.7109375" style="153"/>
    <col min="14855" max="14855" width="6" style="153" bestFit="1" customWidth="1"/>
    <col min="14856" max="14856" width="7.140625" style="153" bestFit="1" customWidth="1"/>
    <col min="14857" max="14857" width="9.140625" style="153" bestFit="1" customWidth="1"/>
    <col min="14858" max="14858" width="10.85546875" style="153" bestFit="1" customWidth="1"/>
    <col min="14859" max="14859" width="10.85546875" style="153" customWidth="1"/>
    <col min="14860" max="14860" width="11.140625" style="153" bestFit="1" customWidth="1"/>
    <col min="14861" max="14861" width="10.85546875" style="153" bestFit="1" customWidth="1"/>
    <col min="14862" max="14862" width="11.42578125" style="153" bestFit="1" customWidth="1"/>
    <col min="14863" max="14863" width="15.85546875" style="153" bestFit="1" customWidth="1"/>
    <col min="14864" max="14864" width="6.7109375" style="153" bestFit="1" customWidth="1"/>
    <col min="14865" max="14865" width="5.5703125" style="153" bestFit="1" customWidth="1"/>
    <col min="14866" max="14866" width="14.42578125" style="153" bestFit="1" customWidth="1"/>
    <col min="14867" max="14867" width="14.28515625" style="153" bestFit="1" customWidth="1"/>
    <col min="14868" max="14868" width="14.28515625" style="153" customWidth="1"/>
    <col min="14869" max="15110" width="15.7109375" style="153"/>
    <col min="15111" max="15111" width="6" style="153" bestFit="1" customWidth="1"/>
    <col min="15112" max="15112" width="7.140625" style="153" bestFit="1" customWidth="1"/>
    <col min="15113" max="15113" width="9.140625" style="153" bestFit="1" customWidth="1"/>
    <col min="15114" max="15114" width="10.85546875" style="153" bestFit="1" customWidth="1"/>
    <col min="15115" max="15115" width="10.85546875" style="153" customWidth="1"/>
    <col min="15116" max="15116" width="11.140625" style="153" bestFit="1" customWidth="1"/>
    <col min="15117" max="15117" width="10.85546875" style="153" bestFit="1" customWidth="1"/>
    <col min="15118" max="15118" width="11.42578125" style="153" bestFit="1" customWidth="1"/>
    <col min="15119" max="15119" width="15.85546875" style="153" bestFit="1" customWidth="1"/>
    <col min="15120" max="15120" width="6.7109375" style="153" bestFit="1" customWidth="1"/>
    <col min="15121" max="15121" width="5.5703125" style="153" bestFit="1" customWidth="1"/>
    <col min="15122" max="15122" width="14.42578125" style="153" bestFit="1" customWidth="1"/>
    <col min="15123" max="15123" width="14.28515625" style="153" bestFit="1" customWidth="1"/>
    <col min="15124" max="15124" width="14.28515625" style="153" customWidth="1"/>
    <col min="15125" max="15366" width="15.7109375" style="153"/>
    <col min="15367" max="15367" width="6" style="153" bestFit="1" customWidth="1"/>
    <col min="15368" max="15368" width="7.140625" style="153" bestFit="1" customWidth="1"/>
    <col min="15369" max="15369" width="9.140625" style="153" bestFit="1" customWidth="1"/>
    <col min="15370" max="15370" width="10.85546875" style="153" bestFit="1" customWidth="1"/>
    <col min="15371" max="15371" width="10.85546875" style="153" customWidth="1"/>
    <col min="15372" max="15372" width="11.140625" style="153" bestFit="1" customWidth="1"/>
    <col min="15373" max="15373" width="10.85546875" style="153" bestFit="1" customWidth="1"/>
    <col min="15374" max="15374" width="11.42578125" style="153" bestFit="1" customWidth="1"/>
    <col min="15375" max="15375" width="15.85546875" style="153" bestFit="1" customWidth="1"/>
    <col min="15376" max="15376" width="6.7109375" style="153" bestFit="1" customWidth="1"/>
    <col min="15377" max="15377" width="5.5703125" style="153" bestFit="1" customWidth="1"/>
    <col min="15378" max="15378" width="14.42578125" style="153" bestFit="1" customWidth="1"/>
    <col min="15379" max="15379" width="14.28515625" style="153" bestFit="1" customWidth="1"/>
    <col min="15380" max="15380" width="14.28515625" style="153" customWidth="1"/>
    <col min="15381" max="15622" width="15.7109375" style="153"/>
    <col min="15623" max="15623" width="6" style="153" bestFit="1" customWidth="1"/>
    <col min="15624" max="15624" width="7.140625" style="153" bestFit="1" customWidth="1"/>
    <col min="15625" max="15625" width="9.140625" style="153" bestFit="1" customWidth="1"/>
    <col min="15626" max="15626" width="10.85546875" style="153" bestFit="1" customWidth="1"/>
    <col min="15627" max="15627" width="10.85546875" style="153" customWidth="1"/>
    <col min="15628" max="15628" width="11.140625" style="153" bestFit="1" customWidth="1"/>
    <col min="15629" max="15629" width="10.85546875" style="153" bestFit="1" customWidth="1"/>
    <col min="15630" max="15630" width="11.42578125" style="153" bestFit="1" customWidth="1"/>
    <col min="15631" max="15631" width="15.85546875" style="153" bestFit="1" customWidth="1"/>
    <col min="15632" max="15632" width="6.7109375" style="153" bestFit="1" customWidth="1"/>
    <col min="15633" max="15633" width="5.5703125" style="153" bestFit="1" customWidth="1"/>
    <col min="15634" max="15634" width="14.42578125" style="153" bestFit="1" customWidth="1"/>
    <col min="15635" max="15635" width="14.28515625" style="153" bestFit="1" customWidth="1"/>
    <col min="15636" max="15636" width="14.28515625" style="153" customWidth="1"/>
    <col min="15637" max="15878" width="15.7109375" style="153"/>
    <col min="15879" max="15879" width="6" style="153" bestFit="1" customWidth="1"/>
    <col min="15880" max="15880" width="7.140625" style="153" bestFit="1" customWidth="1"/>
    <col min="15881" max="15881" width="9.140625" style="153" bestFit="1" customWidth="1"/>
    <col min="15882" max="15882" width="10.85546875" style="153" bestFit="1" customWidth="1"/>
    <col min="15883" max="15883" width="10.85546875" style="153" customWidth="1"/>
    <col min="15884" max="15884" width="11.140625" style="153" bestFit="1" customWidth="1"/>
    <col min="15885" max="15885" width="10.85546875" style="153" bestFit="1" customWidth="1"/>
    <col min="15886" max="15886" width="11.42578125" style="153" bestFit="1" customWidth="1"/>
    <col min="15887" max="15887" width="15.85546875" style="153" bestFit="1" customWidth="1"/>
    <col min="15888" max="15888" width="6.7109375" style="153" bestFit="1" customWidth="1"/>
    <col min="15889" max="15889" width="5.5703125" style="153" bestFit="1" customWidth="1"/>
    <col min="15890" max="15890" width="14.42578125" style="153" bestFit="1" customWidth="1"/>
    <col min="15891" max="15891" width="14.28515625" style="153" bestFit="1" customWidth="1"/>
    <col min="15892" max="15892" width="14.28515625" style="153" customWidth="1"/>
    <col min="15893" max="16134" width="15.7109375" style="153"/>
    <col min="16135" max="16135" width="6" style="153" bestFit="1" customWidth="1"/>
    <col min="16136" max="16136" width="7.140625" style="153" bestFit="1" customWidth="1"/>
    <col min="16137" max="16137" width="9.140625" style="153" bestFit="1" customWidth="1"/>
    <col min="16138" max="16138" width="10.85546875" style="153" bestFit="1" customWidth="1"/>
    <col min="16139" max="16139" width="10.85546875" style="153" customWidth="1"/>
    <col min="16140" max="16140" width="11.140625" style="153" bestFit="1" customWidth="1"/>
    <col min="16141" max="16141" width="10.85546875" style="153" bestFit="1" customWidth="1"/>
    <col min="16142" max="16142" width="11.42578125" style="153" bestFit="1" customWidth="1"/>
    <col min="16143" max="16143" width="15.85546875" style="153" bestFit="1" customWidth="1"/>
    <col min="16144" max="16144" width="6.7109375" style="153" bestFit="1" customWidth="1"/>
    <col min="16145" max="16145" width="5.5703125" style="153" bestFit="1" customWidth="1"/>
    <col min="16146" max="16146" width="14.42578125" style="153" bestFit="1" customWidth="1"/>
    <col min="16147" max="16147" width="14.28515625" style="153" bestFit="1" customWidth="1"/>
    <col min="16148" max="16148" width="14.28515625" style="153" customWidth="1"/>
    <col min="16149" max="16384" width="15.7109375" style="153"/>
  </cols>
  <sheetData>
    <row r="1" spans="1:23" x14ac:dyDescent="0.2">
      <c r="A1" s="150" t="s">
        <v>15</v>
      </c>
      <c r="B1" s="150" t="s">
        <v>18</v>
      </c>
      <c r="C1" s="175" t="s">
        <v>153</v>
      </c>
      <c r="D1" s="172" t="s">
        <v>154</v>
      </c>
      <c r="E1" s="172" t="s">
        <v>175</v>
      </c>
      <c r="F1" s="172" t="s">
        <v>211</v>
      </c>
      <c r="G1" s="172" t="s">
        <v>155</v>
      </c>
      <c r="H1" s="151" t="s">
        <v>190</v>
      </c>
      <c r="I1" s="151" t="s">
        <v>156</v>
      </c>
      <c r="J1" s="152" t="s">
        <v>186</v>
      </c>
      <c r="K1" s="163" t="s">
        <v>191</v>
      </c>
      <c r="L1" s="153" t="s">
        <v>218</v>
      </c>
      <c r="M1" s="152" t="s">
        <v>157</v>
      </c>
      <c r="N1" s="152" t="s">
        <v>185</v>
      </c>
      <c r="O1" s="152" t="s">
        <v>245</v>
      </c>
      <c r="P1" s="165"/>
      <c r="Q1" s="165"/>
      <c r="R1" s="170" t="s">
        <v>160</v>
      </c>
      <c r="S1" s="170" t="s">
        <v>161</v>
      </c>
      <c r="T1" s="170" t="s">
        <v>176</v>
      </c>
      <c r="U1" s="170"/>
      <c r="W1" s="153" t="s">
        <v>177</v>
      </c>
    </row>
    <row r="2" spans="1:23" x14ac:dyDescent="0.2">
      <c r="A2" s="153">
        <v>2001</v>
      </c>
      <c r="B2" s="153">
        <v>1</v>
      </c>
      <c r="C2" s="164">
        <v>735535.00800000003</v>
      </c>
      <c r="D2" s="173">
        <v>4.2694402357305536</v>
      </c>
      <c r="E2" s="173">
        <v>4.2694402357305536</v>
      </c>
      <c r="F2" s="173"/>
      <c r="G2" s="173">
        <v>32.33</v>
      </c>
      <c r="H2" s="154">
        <v>0</v>
      </c>
      <c r="I2" s="190">
        <f>VLOOKUP($A2&amp;$B2,'KU Inputs'!$C$2:$I$505,MATCH('KU UtilityData'!I$1,'KU Inputs'!$C$1:$I$1,0),0)*1000</f>
        <v>4063346</v>
      </c>
      <c r="J2" s="190">
        <f>VLOOKUP($A2&amp;$B2,'KU Inputs'!$C$2:$I$505,MATCH('KU UtilityData'!J$1,'KU Inputs'!$C$1:$I$1,0),0)*1000</f>
        <v>1603592</v>
      </c>
      <c r="K2" s="246">
        <v>386121</v>
      </c>
      <c r="L2" s="255">
        <v>393204</v>
      </c>
      <c r="M2" s="164">
        <v>65851.988599585893</v>
      </c>
      <c r="N2" s="190">
        <f>VLOOKUP($A2&amp;$B2,'KU Inputs'!$C$2:$I$505,MATCH('KU UtilityData'!N$1,'KU Inputs'!$C$1:$I$1,0),0)</f>
        <v>113069.322</v>
      </c>
      <c r="O2" s="190" t="e">
        <f>VLOOKUP($A2&amp;$B2,'KU Inputs'!$C$2:$I$505,MATCH('KU UtilityData'!O$1,'KU Inputs'!$C$1:$I$1,0),0)</f>
        <v>#N/A</v>
      </c>
      <c r="P2" s="260"/>
      <c r="Q2" s="260"/>
      <c r="R2" s="166">
        <v>4512</v>
      </c>
      <c r="S2" s="166">
        <v>1455</v>
      </c>
      <c r="T2" s="182">
        <f>C2/K2*1000</f>
        <v>1904.9339662955397</v>
      </c>
      <c r="V2" s="153" t="e">
        <f>#REF!+1</f>
        <v>#REF!</v>
      </c>
      <c r="W2" s="157">
        <f t="shared" ref="W2:W32" si="0">SUMIF(A$2:A$493,V$2:V$31,K$2:K$493)/12</f>
        <v>0</v>
      </c>
    </row>
    <row r="3" spans="1:23" x14ac:dyDescent="0.2">
      <c r="A3" s="153">
        <v>2001</v>
      </c>
      <c r="B3" s="153">
        <v>2</v>
      </c>
      <c r="C3" s="164">
        <v>530191.82200000004</v>
      </c>
      <c r="D3" s="173">
        <v>4.2694402357305536</v>
      </c>
      <c r="E3" s="173">
        <v>4.2694402357305536</v>
      </c>
      <c r="F3" s="173"/>
      <c r="G3" s="173">
        <v>29.81</v>
      </c>
      <c r="H3" s="154">
        <v>0</v>
      </c>
      <c r="I3" s="190">
        <f>VLOOKUP($A3&amp;$B3,'KU Inputs'!$C$2:$I$505,MATCH('KU UtilityData'!I$1,'KU Inputs'!$C$1:$I$1,0),0)*1000</f>
        <v>4063346</v>
      </c>
      <c r="J3" s="190">
        <f>VLOOKUP($A3&amp;$B3,'KU Inputs'!$C$2:$I$505,MATCH('KU UtilityData'!J$1,'KU Inputs'!$C$1:$I$1,0),0)*1000</f>
        <v>1603592</v>
      </c>
      <c r="K3" s="246">
        <v>384372</v>
      </c>
      <c r="L3" s="255">
        <v>391327</v>
      </c>
      <c r="M3" s="164">
        <v>65851.988599585893</v>
      </c>
      <c r="N3" s="190">
        <f>VLOOKUP($A3&amp;$B3,'KU Inputs'!$C$2:$I$505,MATCH('KU UtilityData'!N$1,'KU Inputs'!$C$1:$I$1,0),0)</f>
        <v>113069.322</v>
      </c>
      <c r="O3" s="190" t="e">
        <f>VLOOKUP($A3&amp;$B3,'KU Inputs'!$C$2:$I$505,MATCH('KU UtilityData'!O$1,'KU Inputs'!$C$1:$I$1,0),0)</f>
        <v>#N/A</v>
      </c>
      <c r="P3" s="260"/>
      <c r="Q3" s="260"/>
      <c r="R3" s="166">
        <v>4512</v>
      </c>
      <c r="S3" s="166">
        <v>1455</v>
      </c>
      <c r="T3" s="182">
        <f t="shared" ref="T3:T66" si="1">C3/K3*1000</f>
        <v>1379.3716035507271</v>
      </c>
      <c r="V3" s="153" t="e">
        <f t="shared" ref="V3:V32" si="2">V2+1</f>
        <v>#REF!</v>
      </c>
      <c r="W3" s="157">
        <f t="shared" si="0"/>
        <v>0</v>
      </c>
    </row>
    <row r="4" spans="1:23" x14ac:dyDescent="0.2">
      <c r="A4" s="153">
        <v>2001</v>
      </c>
      <c r="B4" s="153">
        <v>3</v>
      </c>
      <c r="C4" s="164">
        <v>466800.62599999999</v>
      </c>
      <c r="D4" s="173">
        <v>4.2694402357305536</v>
      </c>
      <c r="E4" s="173">
        <v>4.2694402357305536</v>
      </c>
      <c r="F4" s="173"/>
      <c r="G4" s="173">
        <v>30.29</v>
      </c>
      <c r="H4" s="154">
        <v>0</v>
      </c>
      <c r="I4" s="190">
        <f>VLOOKUP($A4&amp;$B4,'KU Inputs'!$C$2:$I$505,MATCH('KU UtilityData'!I$1,'KU Inputs'!$C$1:$I$1,0),0)*1000</f>
        <v>4063346</v>
      </c>
      <c r="J4" s="190">
        <f>VLOOKUP($A4&amp;$B4,'KU Inputs'!$C$2:$I$505,MATCH('KU UtilityData'!J$1,'KU Inputs'!$C$1:$I$1,0),0)*1000</f>
        <v>1603592</v>
      </c>
      <c r="K4" s="246">
        <v>385021</v>
      </c>
      <c r="L4" s="255">
        <v>392005</v>
      </c>
      <c r="M4" s="164">
        <v>65851.988599585893</v>
      </c>
      <c r="N4" s="190">
        <f>VLOOKUP($A4&amp;$B4,'KU Inputs'!$C$2:$I$505,MATCH('KU UtilityData'!N$1,'KU Inputs'!$C$1:$I$1,0),0)</f>
        <v>113069.322</v>
      </c>
      <c r="O4" s="190" t="e">
        <f>VLOOKUP($A4&amp;$B4,'KU Inputs'!$C$2:$I$505,MATCH('KU UtilityData'!O$1,'KU Inputs'!$C$1:$I$1,0),0)</f>
        <v>#N/A</v>
      </c>
      <c r="P4" s="260"/>
      <c r="Q4" s="260"/>
      <c r="R4" s="166">
        <v>4512</v>
      </c>
      <c r="S4" s="166">
        <v>1455</v>
      </c>
      <c r="T4" s="182">
        <f t="shared" si="1"/>
        <v>1212.4030273673384</v>
      </c>
      <c r="V4" s="153" t="e">
        <f t="shared" si="2"/>
        <v>#REF!</v>
      </c>
      <c r="W4" s="157">
        <f t="shared" si="0"/>
        <v>0</v>
      </c>
    </row>
    <row r="5" spans="1:23" x14ac:dyDescent="0.2">
      <c r="A5" s="153">
        <v>2001</v>
      </c>
      <c r="B5" s="153">
        <v>4</v>
      </c>
      <c r="C5" s="164">
        <v>397306.68400000001</v>
      </c>
      <c r="D5" s="173">
        <v>4.2694402357305536</v>
      </c>
      <c r="E5" s="173">
        <v>4.2694402357305536</v>
      </c>
      <c r="F5" s="173"/>
      <c r="G5" s="173">
        <v>30.29</v>
      </c>
      <c r="H5" s="154">
        <v>0</v>
      </c>
      <c r="I5" s="190">
        <f>VLOOKUP($A5&amp;$B5,'KU Inputs'!$C$2:$I$505,MATCH('KU UtilityData'!I$1,'KU Inputs'!$C$1:$I$1,0),0)*1000</f>
        <v>4068132</v>
      </c>
      <c r="J5" s="190">
        <f>VLOOKUP($A5&amp;$B5,'KU Inputs'!$C$2:$I$505,MATCH('KU UtilityData'!J$1,'KU Inputs'!$C$1:$I$1,0),0)*1000</f>
        <v>1606740</v>
      </c>
      <c r="K5" s="246">
        <v>385295</v>
      </c>
      <c r="L5" s="255">
        <v>392162</v>
      </c>
      <c r="M5" s="164">
        <v>65503.892155562608</v>
      </c>
      <c r="N5" s="190">
        <f>VLOOKUP($A5&amp;$B5,'KU Inputs'!$C$2:$I$505,MATCH('KU UtilityData'!N$1,'KU Inputs'!$C$1:$I$1,0),0)</f>
        <v>112494.27</v>
      </c>
      <c r="O5" s="190" t="e">
        <f>VLOOKUP($A5&amp;$B5,'KU Inputs'!$C$2:$I$505,MATCH('KU UtilityData'!O$1,'KU Inputs'!$C$1:$I$1,0),0)</f>
        <v>#N/A</v>
      </c>
      <c r="P5" s="260"/>
      <c r="Q5" s="260"/>
      <c r="R5" s="166">
        <v>4512</v>
      </c>
      <c r="S5" s="166">
        <v>1455</v>
      </c>
      <c r="T5" s="182">
        <f t="shared" si="1"/>
        <v>1031.1752916596374</v>
      </c>
      <c r="V5" s="153" t="e">
        <f t="shared" si="2"/>
        <v>#REF!</v>
      </c>
      <c r="W5" s="157">
        <f t="shared" si="0"/>
        <v>0</v>
      </c>
    </row>
    <row r="6" spans="1:23" x14ac:dyDescent="0.2">
      <c r="A6" s="153">
        <v>2001</v>
      </c>
      <c r="B6" s="153">
        <v>5</v>
      </c>
      <c r="C6" s="164">
        <v>333455.40399999998</v>
      </c>
      <c r="D6" s="173">
        <v>4.2694402357305536</v>
      </c>
      <c r="E6" s="173">
        <v>4.2694402357305536</v>
      </c>
      <c r="F6" s="173"/>
      <c r="G6" s="173">
        <v>30.05</v>
      </c>
      <c r="H6" s="154">
        <v>0</v>
      </c>
      <c r="I6" s="190">
        <f>VLOOKUP($A6&amp;$B6,'KU Inputs'!$C$2:$I$505,MATCH('KU UtilityData'!I$1,'KU Inputs'!$C$1:$I$1,0),0)*1000</f>
        <v>4068132</v>
      </c>
      <c r="J6" s="190">
        <f>VLOOKUP($A6&amp;$B6,'KU Inputs'!$C$2:$I$505,MATCH('KU UtilityData'!J$1,'KU Inputs'!$C$1:$I$1,0),0)*1000</f>
        <v>1606740</v>
      </c>
      <c r="K6" s="246">
        <v>384748</v>
      </c>
      <c r="L6" s="255">
        <v>391549</v>
      </c>
      <c r="M6" s="164">
        <v>65503.892155562608</v>
      </c>
      <c r="N6" s="190">
        <f>VLOOKUP($A6&amp;$B6,'KU Inputs'!$C$2:$I$505,MATCH('KU UtilityData'!N$1,'KU Inputs'!$C$1:$I$1,0),0)</f>
        <v>112494.27</v>
      </c>
      <c r="O6" s="190" t="e">
        <f>VLOOKUP($A6&amp;$B6,'KU Inputs'!$C$2:$I$505,MATCH('KU UtilityData'!O$1,'KU Inputs'!$C$1:$I$1,0),0)</f>
        <v>#N/A</v>
      </c>
      <c r="P6" s="260"/>
      <c r="Q6" s="260"/>
      <c r="R6" s="166">
        <v>4512</v>
      </c>
      <c r="S6" s="166">
        <v>1455</v>
      </c>
      <c r="T6" s="182">
        <f t="shared" si="1"/>
        <v>866.68521733706211</v>
      </c>
      <c r="V6" s="153" t="e">
        <f t="shared" si="2"/>
        <v>#REF!</v>
      </c>
      <c r="W6" s="157">
        <f t="shared" si="0"/>
        <v>0</v>
      </c>
    </row>
    <row r="7" spans="1:23" x14ac:dyDescent="0.2">
      <c r="A7" s="153">
        <v>2001</v>
      </c>
      <c r="B7" s="153">
        <v>6</v>
      </c>
      <c r="C7" s="164">
        <v>370035.22499999998</v>
      </c>
      <c r="D7" s="173">
        <v>4.2694402357305536</v>
      </c>
      <c r="E7" s="173">
        <v>4.2694402357305536</v>
      </c>
      <c r="F7" s="173"/>
      <c r="G7" s="173">
        <v>30.62</v>
      </c>
      <c r="H7" s="154">
        <v>0</v>
      </c>
      <c r="I7" s="190">
        <f>VLOOKUP($A7&amp;$B7,'KU Inputs'!$C$2:$I$505,MATCH('KU UtilityData'!I$1,'KU Inputs'!$C$1:$I$1,0),0)*1000</f>
        <v>4068132</v>
      </c>
      <c r="J7" s="190">
        <f>VLOOKUP($A7&amp;$B7,'KU Inputs'!$C$2:$I$505,MATCH('KU UtilityData'!J$1,'KU Inputs'!$C$1:$I$1,0),0)*1000</f>
        <v>1606740</v>
      </c>
      <c r="K7" s="246">
        <v>384604</v>
      </c>
      <c r="L7" s="255">
        <v>391331</v>
      </c>
      <c r="M7" s="164">
        <v>65503.892155562608</v>
      </c>
      <c r="N7" s="190">
        <f>VLOOKUP($A7&amp;$B7,'KU Inputs'!$C$2:$I$505,MATCH('KU UtilityData'!N$1,'KU Inputs'!$C$1:$I$1,0),0)</f>
        <v>112494.27</v>
      </c>
      <c r="O7" s="190" t="e">
        <f>VLOOKUP($A7&amp;$B7,'KU Inputs'!$C$2:$I$505,MATCH('KU UtilityData'!O$1,'KU Inputs'!$C$1:$I$1,0),0)</f>
        <v>#N/A</v>
      </c>
      <c r="P7" s="260"/>
      <c r="Q7" s="260"/>
      <c r="R7" s="166">
        <v>4512</v>
      </c>
      <c r="S7" s="166">
        <v>1455</v>
      </c>
      <c r="T7" s="182">
        <f t="shared" si="1"/>
        <v>962.12006375388705</v>
      </c>
      <c r="V7" s="153" t="e">
        <f t="shared" si="2"/>
        <v>#REF!</v>
      </c>
      <c r="W7" s="157">
        <f t="shared" si="0"/>
        <v>0</v>
      </c>
    </row>
    <row r="8" spans="1:23" x14ac:dyDescent="0.2">
      <c r="A8" s="153">
        <v>2001</v>
      </c>
      <c r="B8" s="153">
        <v>7</v>
      </c>
      <c r="C8" s="164">
        <v>476322.60200000001</v>
      </c>
      <c r="D8" s="173">
        <v>4.2694402357305536</v>
      </c>
      <c r="E8" s="173">
        <v>4.2694402357305536</v>
      </c>
      <c r="F8" s="173"/>
      <c r="G8" s="173">
        <v>30.76</v>
      </c>
      <c r="H8" s="154">
        <v>0</v>
      </c>
      <c r="I8" s="190">
        <f>VLOOKUP($A8&amp;$B8,'KU Inputs'!$C$2:$I$505,MATCH('KU UtilityData'!I$1,'KU Inputs'!$C$1:$I$1,0),0)*1000</f>
        <v>4073557</v>
      </c>
      <c r="J8" s="190">
        <f>VLOOKUP($A8&amp;$B8,'KU Inputs'!$C$2:$I$505,MATCH('KU UtilityData'!J$1,'KU Inputs'!$C$1:$I$1,0),0)*1000</f>
        <v>1609894</v>
      </c>
      <c r="K8" s="246">
        <v>385225</v>
      </c>
      <c r="L8" s="255">
        <v>391916</v>
      </c>
      <c r="M8" s="164">
        <v>65423.339614173405</v>
      </c>
      <c r="N8" s="190">
        <f>VLOOKUP($A8&amp;$B8,'KU Inputs'!$C$2:$I$505,MATCH('KU UtilityData'!N$1,'KU Inputs'!$C$1:$I$1,0),0)</f>
        <v>112373.137</v>
      </c>
      <c r="O8" s="190" t="e">
        <f>VLOOKUP($A8&amp;$B8,'KU Inputs'!$C$2:$I$505,MATCH('KU UtilityData'!O$1,'KU Inputs'!$C$1:$I$1,0),0)</f>
        <v>#N/A</v>
      </c>
      <c r="P8" s="260"/>
      <c r="Q8" s="260"/>
      <c r="R8" s="166">
        <v>4512</v>
      </c>
      <c r="S8" s="166">
        <v>1455</v>
      </c>
      <c r="T8" s="182">
        <f t="shared" si="1"/>
        <v>1236.4789460704783</v>
      </c>
      <c r="V8" s="153" t="e">
        <f t="shared" si="2"/>
        <v>#REF!</v>
      </c>
      <c r="W8" s="157">
        <f t="shared" si="0"/>
        <v>0</v>
      </c>
    </row>
    <row r="9" spans="1:23" x14ac:dyDescent="0.2">
      <c r="A9" s="153">
        <v>2001</v>
      </c>
      <c r="B9" s="153">
        <v>8</v>
      </c>
      <c r="C9" s="164">
        <v>531500.745</v>
      </c>
      <c r="D9" s="173">
        <v>4.2694402357305536</v>
      </c>
      <c r="E9" s="173">
        <v>4.2694402357305536</v>
      </c>
      <c r="F9" s="173"/>
      <c r="G9" s="173">
        <v>29.48</v>
      </c>
      <c r="H9" s="154">
        <v>0</v>
      </c>
      <c r="I9" s="190">
        <f>VLOOKUP($A9&amp;$B9,'KU Inputs'!$C$2:$I$505,MATCH('KU UtilityData'!I$1,'KU Inputs'!$C$1:$I$1,0),0)*1000</f>
        <v>4073557</v>
      </c>
      <c r="J9" s="190">
        <f>VLOOKUP($A9&amp;$B9,'KU Inputs'!$C$2:$I$505,MATCH('KU UtilityData'!J$1,'KU Inputs'!$C$1:$I$1,0),0)*1000</f>
        <v>1609894</v>
      </c>
      <c r="K9" s="246">
        <v>384832</v>
      </c>
      <c r="L9" s="255">
        <v>391486</v>
      </c>
      <c r="M9" s="164">
        <v>65423.339614173405</v>
      </c>
      <c r="N9" s="190">
        <f>VLOOKUP($A9&amp;$B9,'KU Inputs'!$C$2:$I$505,MATCH('KU UtilityData'!N$1,'KU Inputs'!$C$1:$I$1,0),0)</f>
        <v>112373.137</v>
      </c>
      <c r="O9" s="190" t="e">
        <f>VLOOKUP($A9&amp;$B9,'KU Inputs'!$C$2:$I$505,MATCH('KU UtilityData'!O$1,'KU Inputs'!$C$1:$I$1,0),0)</f>
        <v>#N/A</v>
      </c>
      <c r="P9" s="260"/>
      <c r="Q9" s="260"/>
      <c r="R9" s="166">
        <v>4512</v>
      </c>
      <c r="S9" s="166">
        <v>1455</v>
      </c>
      <c r="T9" s="182">
        <f t="shared" si="1"/>
        <v>1381.1240879136869</v>
      </c>
      <c r="V9" s="153" t="e">
        <f t="shared" si="2"/>
        <v>#REF!</v>
      </c>
      <c r="W9" s="157">
        <f t="shared" si="0"/>
        <v>0</v>
      </c>
    </row>
    <row r="10" spans="1:23" x14ac:dyDescent="0.2">
      <c r="A10" s="153">
        <v>2001</v>
      </c>
      <c r="B10" s="153">
        <v>9</v>
      </c>
      <c r="C10" s="164">
        <v>467764.255</v>
      </c>
      <c r="D10" s="173">
        <v>4.2694402357305536</v>
      </c>
      <c r="E10" s="173">
        <v>4.2694402357305536</v>
      </c>
      <c r="F10" s="173"/>
      <c r="G10" s="173">
        <v>30.62</v>
      </c>
      <c r="H10" s="154">
        <v>0</v>
      </c>
      <c r="I10" s="190">
        <f>VLOOKUP($A10&amp;$B10,'KU Inputs'!$C$2:$I$505,MATCH('KU UtilityData'!I$1,'KU Inputs'!$C$1:$I$1,0),0)*1000</f>
        <v>4073557</v>
      </c>
      <c r="J10" s="190">
        <f>VLOOKUP($A10&amp;$B10,'KU Inputs'!$C$2:$I$505,MATCH('KU UtilityData'!J$1,'KU Inputs'!$C$1:$I$1,0),0)*1000</f>
        <v>1609894</v>
      </c>
      <c r="K10" s="246">
        <v>385113</v>
      </c>
      <c r="L10" s="255">
        <v>391681</v>
      </c>
      <c r="M10" s="164">
        <v>65423.339614173405</v>
      </c>
      <c r="N10" s="190">
        <f>VLOOKUP($A10&amp;$B10,'KU Inputs'!$C$2:$I$505,MATCH('KU UtilityData'!N$1,'KU Inputs'!$C$1:$I$1,0),0)</f>
        <v>112373.137</v>
      </c>
      <c r="O10" s="190" t="e">
        <f>VLOOKUP($A10&amp;$B10,'KU Inputs'!$C$2:$I$505,MATCH('KU UtilityData'!O$1,'KU Inputs'!$C$1:$I$1,0),0)</f>
        <v>#N/A</v>
      </c>
      <c r="P10" s="260"/>
      <c r="Q10" s="260"/>
      <c r="R10" s="166">
        <v>4512</v>
      </c>
      <c r="S10" s="166">
        <v>1455</v>
      </c>
      <c r="T10" s="182">
        <f t="shared" si="1"/>
        <v>1214.6155933453297</v>
      </c>
      <c r="V10" s="153" t="e">
        <f t="shared" si="2"/>
        <v>#REF!</v>
      </c>
      <c r="W10" s="157">
        <f t="shared" si="0"/>
        <v>0</v>
      </c>
    </row>
    <row r="11" spans="1:23" x14ac:dyDescent="0.2">
      <c r="A11" s="153">
        <v>2001</v>
      </c>
      <c r="B11" s="153">
        <v>10</v>
      </c>
      <c r="C11" s="164">
        <v>325728.20699999999</v>
      </c>
      <c r="D11" s="173">
        <v>4.2694402357305536</v>
      </c>
      <c r="E11" s="173">
        <v>4.2694402357305536</v>
      </c>
      <c r="F11" s="173"/>
      <c r="G11" s="173">
        <v>29.67</v>
      </c>
      <c r="H11" s="154">
        <v>0</v>
      </c>
      <c r="I11" s="190">
        <f>VLOOKUP($A11&amp;$B11,'KU Inputs'!$C$2:$I$505,MATCH('KU UtilityData'!I$1,'KU Inputs'!$C$1:$I$1,0),0)*1000</f>
        <v>4078989</v>
      </c>
      <c r="J11" s="190">
        <f>VLOOKUP($A11&amp;$B11,'KU Inputs'!$C$2:$I$505,MATCH('KU UtilityData'!J$1,'KU Inputs'!$C$1:$I$1,0),0)*1000</f>
        <v>1613055</v>
      </c>
      <c r="K11" s="246">
        <v>386152</v>
      </c>
      <c r="L11" s="255">
        <v>392693</v>
      </c>
      <c r="M11" s="164">
        <v>65757.301662036203</v>
      </c>
      <c r="N11" s="190">
        <f>VLOOKUP($A11&amp;$B11,'KU Inputs'!$C$2:$I$505,MATCH('KU UtilityData'!N$1,'KU Inputs'!$C$1:$I$1,0),0)</f>
        <v>112983.58500000001</v>
      </c>
      <c r="O11" s="190" t="e">
        <f>VLOOKUP($A11&amp;$B11,'KU Inputs'!$C$2:$I$505,MATCH('KU UtilityData'!O$1,'KU Inputs'!$C$1:$I$1,0),0)</f>
        <v>#N/A</v>
      </c>
      <c r="P11" s="260"/>
      <c r="Q11" s="260"/>
      <c r="R11" s="166">
        <v>4512</v>
      </c>
      <c r="S11" s="166">
        <v>1455</v>
      </c>
      <c r="T11" s="182">
        <f t="shared" si="1"/>
        <v>843.52329393606658</v>
      </c>
      <c r="V11" s="153" t="e">
        <f t="shared" si="2"/>
        <v>#REF!</v>
      </c>
      <c r="W11" s="157">
        <f t="shared" si="0"/>
        <v>0</v>
      </c>
    </row>
    <row r="12" spans="1:23" x14ac:dyDescent="0.2">
      <c r="A12" s="153">
        <v>2001</v>
      </c>
      <c r="B12" s="153">
        <v>11</v>
      </c>
      <c r="C12" s="164">
        <v>341927.77500000002</v>
      </c>
      <c r="D12" s="173">
        <v>4.2694402357305536</v>
      </c>
      <c r="E12" s="173">
        <v>4.2694402357305536</v>
      </c>
      <c r="F12" s="173"/>
      <c r="G12" s="173">
        <v>30</v>
      </c>
      <c r="H12" s="154">
        <v>0</v>
      </c>
      <c r="I12" s="190">
        <f>VLOOKUP($A12&amp;$B12,'KU Inputs'!$C$2:$I$505,MATCH('KU UtilityData'!I$1,'KU Inputs'!$C$1:$I$1,0),0)*1000</f>
        <v>4078989</v>
      </c>
      <c r="J12" s="190">
        <f>VLOOKUP($A12&amp;$B12,'KU Inputs'!$C$2:$I$505,MATCH('KU UtilityData'!J$1,'KU Inputs'!$C$1:$I$1,0),0)*1000</f>
        <v>1613055</v>
      </c>
      <c r="K12" s="246">
        <v>386390</v>
      </c>
      <c r="L12" s="255">
        <v>392884</v>
      </c>
      <c r="M12" s="164">
        <v>65757.301662036203</v>
      </c>
      <c r="N12" s="190">
        <f>VLOOKUP($A12&amp;$B12,'KU Inputs'!$C$2:$I$505,MATCH('KU UtilityData'!N$1,'KU Inputs'!$C$1:$I$1,0),0)</f>
        <v>112983.58500000001</v>
      </c>
      <c r="O12" s="190" t="e">
        <f>VLOOKUP($A12&amp;$B12,'KU Inputs'!$C$2:$I$505,MATCH('KU UtilityData'!O$1,'KU Inputs'!$C$1:$I$1,0),0)</f>
        <v>#N/A</v>
      </c>
      <c r="P12" s="260"/>
      <c r="Q12" s="260"/>
      <c r="R12" s="166">
        <v>4512</v>
      </c>
      <c r="S12" s="166">
        <v>1455</v>
      </c>
      <c r="T12" s="182">
        <f t="shared" si="1"/>
        <v>884.929151893165</v>
      </c>
      <c r="V12" s="153" t="e">
        <f t="shared" si="2"/>
        <v>#REF!</v>
      </c>
      <c r="W12" s="157">
        <f t="shared" si="0"/>
        <v>0</v>
      </c>
    </row>
    <row r="13" spans="1:23" x14ac:dyDescent="0.2">
      <c r="A13" s="153">
        <v>2001</v>
      </c>
      <c r="B13" s="153">
        <v>12</v>
      </c>
      <c r="C13" s="164">
        <v>411043.07199999999</v>
      </c>
      <c r="D13" s="173">
        <v>4.2694402357305536</v>
      </c>
      <c r="E13" s="173">
        <v>4.2694402357305536</v>
      </c>
      <c r="F13" s="173"/>
      <c r="G13" s="173">
        <v>31.43</v>
      </c>
      <c r="H13" s="154">
        <v>0</v>
      </c>
      <c r="I13" s="190">
        <f>VLOOKUP($A13&amp;$B13,'KU Inputs'!$C$2:$I$505,MATCH('KU UtilityData'!I$1,'KU Inputs'!$C$1:$I$1,0),0)*1000</f>
        <v>4078989</v>
      </c>
      <c r="J13" s="190">
        <f>VLOOKUP($A13&amp;$B13,'KU Inputs'!$C$2:$I$505,MATCH('KU UtilityData'!J$1,'KU Inputs'!$C$1:$I$1,0),0)*1000</f>
        <v>1613055</v>
      </c>
      <c r="K13" s="246">
        <v>386971</v>
      </c>
      <c r="L13" s="255">
        <v>393409</v>
      </c>
      <c r="M13" s="164">
        <v>65757.301662036203</v>
      </c>
      <c r="N13" s="190">
        <f>VLOOKUP($A13&amp;$B13,'KU Inputs'!$C$2:$I$505,MATCH('KU UtilityData'!N$1,'KU Inputs'!$C$1:$I$1,0),0)</f>
        <v>112983.58500000001</v>
      </c>
      <c r="O13" s="190" t="e">
        <f>VLOOKUP($A13&amp;$B13,'KU Inputs'!$C$2:$I$505,MATCH('KU UtilityData'!O$1,'KU Inputs'!$C$1:$I$1,0),0)</f>
        <v>#N/A</v>
      </c>
      <c r="P13" s="260"/>
      <c r="Q13" s="260"/>
      <c r="R13" s="166">
        <v>4512</v>
      </c>
      <c r="S13" s="166">
        <v>1455</v>
      </c>
      <c r="T13" s="182">
        <f t="shared" si="1"/>
        <v>1062.2063978954495</v>
      </c>
      <c r="V13" s="153" t="e">
        <f t="shared" si="2"/>
        <v>#REF!</v>
      </c>
      <c r="W13" s="157">
        <f t="shared" si="0"/>
        <v>0</v>
      </c>
    </row>
    <row r="14" spans="1:23" x14ac:dyDescent="0.2">
      <c r="A14" s="153">
        <v>2002</v>
      </c>
      <c r="B14" s="153">
        <v>1</v>
      </c>
      <c r="C14" s="164">
        <v>629385.50399999996</v>
      </c>
      <c r="D14" s="173">
        <v>4.457008293679027</v>
      </c>
      <c r="E14" s="173">
        <v>4.457008293679027</v>
      </c>
      <c r="F14" s="173"/>
      <c r="G14" s="173">
        <v>32.380000000000003</v>
      </c>
      <c r="H14" s="154">
        <v>3399.819</v>
      </c>
      <c r="I14" s="190">
        <f>VLOOKUP($A14&amp;$B14,'KU Inputs'!$C$2:$I$505,MATCH('KU UtilityData'!I$1,'KU Inputs'!$C$1:$I$1,0),0)*1000</f>
        <v>4084428</v>
      </c>
      <c r="J14" s="190">
        <f>VLOOKUP($A14&amp;$B14,'KU Inputs'!$C$2:$I$505,MATCH('KU UtilityData'!J$1,'KU Inputs'!$C$1:$I$1,0),0)*1000</f>
        <v>1616222</v>
      </c>
      <c r="K14" s="246">
        <v>389225</v>
      </c>
      <c r="L14" s="255">
        <v>395618</v>
      </c>
      <c r="M14" s="164">
        <v>65839.3861803287</v>
      </c>
      <c r="N14" s="190">
        <f>VLOOKUP($A14&amp;$B14,'KU Inputs'!$C$2:$I$505,MATCH('KU UtilityData'!N$1,'KU Inputs'!$C$1:$I$1,0),0)</f>
        <v>113421.694</v>
      </c>
      <c r="O14" s="190" t="e">
        <f>VLOOKUP($A14&amp;$B14,'KU Inputs'!$C$2:$I$505,MATCH('KU UtilityData'!O$1,'KU Inputs'!$C$1:$I$1,0),0)</f>
        <v>#N/A</v>
      </c>
      <c r="P14" s="260"/>
      <c r="Q14" s="260"/>
      <c r="R14" s="166">
        <v>4512</v>
      </c>
      <c r="S14" s="166">
        <v>1455</v>
      </c>
      <c r="T14" s="182">
        <f t="shared" si="1"/>
        <v>1617.0222981565933</v>
      </c>
      <c r="V14" s="153" t="e">
        <f t="shared" si="2"/>
        <v>#REF!</v>
      </c>
      <c r="W14" s="157">
        <f t="shared" si="0"/>
        <v>0</v>
      </c>
    </row>
    <row r="15" spans="1:23" x14ac:dyDescent="0.2">
      <c r="A15" s="153">
        <v>2002</v>
      </c>
      <c r="B15" s="153">
        <v>2</v>
      </c>
      <c r="C15" s="164">
        <v>497877.69300000003</v>
      </c>
      <c r="D15" s="173">
        <v>4.457008293679027</v>
      </c>
      <c r="E15" s="173">
        <v>4.457008293679027</v>
      </c>
      <c r="F15" s="173"/>
      <c r="G15" s="173">
        <v>29.9</v>
      </c>
      <c r="H15" s="154">
        <v>3402.067</v>
      </c>
      <c r="I15" s="190">
        <f>VLOOKUP($A15&amp;$B15,'KU Inputs'!$C$2:$I$505,MATCH('KU UtilityData'!I$1,'KU Inputs'!$C$1:$I$1,0),0)*1000</f>
        <v>4084428</v>
      </c>
      <c r="J15" s="190">
        <f>VLOOKUP($A15&amp;$B15,'KU Inputs'!$C$2:$I$505,MATCH('KU UtilityData'!J$1,'KU Inputs'!$C$1:$I$1,0),0)*1000</f>
        <v>1616222</v>
      </c>
      <c r="K15" s="246">
        <v>388299</v>
      </c>
      <c r="L15" s="255">
        <v>394645</v>
      </c>
      <c r="M15" s="164">
        <v>65839.3861803287</v>
      </c>
      <c r="N15" s="190">
        <f>VLOOKUP($A15&amp;$B15,'KU Inputs'!$C$2:$I$505,MATCH('KU UtilityData'!N$1,'KU Inputs'!$C$1:$I$1,0),0)</f>
        <v>113421.694</v>
      </c>
      <c r="O15" s="190" t="e">
        <f>VLOOKUP($A15&amp;$B15,'KU Inputs'!$C$2:$I$505,MATCH('KU UtilityData'!O$1,'KU Inputs'!$C$1:$I$1,0),0)</f>
        <v>#N/A</v>
      </c>
      <c r="P15" s="260"/>
      <c r="Q15" s="260"/>
      <c r="R15" s="166">
        <v>4512</v>
      </c>
      <c r="S15" s="166">
        <v>1455</v>
      </c>
      <c r="T15" s="182">
        <f t="shared" si="1"/>
        <v>1282.2018418795826</v>
      </c>
      <c r="V15" s="153" t="e">
        <f t="shared" si="2"/>
        <v>#REF!</v>
      </c>
      <c r="W15" s="157">
        <f t="shared" si="0"/>
        <v>0</v>
      </c>
    </row>
    <row r="16" spans="1:23" x14ac:dyDescent="0.2">
      <c r="A16" s="153">
        <v>2002</v>
      </c>
      <c r="B16" s="153">
        <v>3</v>
      </c>
      <c r="C16" s="164">
        <v>478100.77100000001</v>
      </c>
      <c r="D16" s="173">
        <v>4.457008293679027</v>
      </c>
      <c r="E16" s="173">
        <v>4.457008293679027</v>
      </c>
      <c r="F16" s="173"/>
      <c r="G16" s="173">
        <v>30.52</v>
      </c>
      <c r="H16" s="154">
        <v>3404.3150000000001</v>
      </c>
      <c r="I16" s="190">
        <f>VLOOKUP($A16&amp;$B16,'KU Inputs'!$C$2:$I$505,MATCH('KU UtilityData'!I$1,'KU Inputs'!$C$1:$I$1,0),0)*1000</f>
        <v>4084428</v>
      </c>
      <c r="J16" s="190">
        <f>VLOOKUP($A16&amp;$B16,'KU Inputs'!$C$2:$I$505,MATCH('KU UtilityData'!J$1,'KU Inputs'!$C$1:$I$1,0),0)*1000</f>
        <v>1616222</v>
      </c>
      <c r="K16" s="246">
        <v>388776</v>
      </c>
      <c r="L16" s="255">
        <v>395080</v>
      </c>
      <c r="M16" s="164">
        <v>65839.3861803287</v>
      </c>
      <c r="N16" s="190">
        <f>VLOOKUP($A16&amp;$B16,'KU Inputs'!$C$2:$I$505,MATCH('KU UtilityData'!N$1,'KU Inputs'!$C$1:$I$1,0),0)</f>
        <v>113421.694</v>
      </c>
      <c r="O16" s="190" t="e">
        <f>VLOOKUP($A16&amp;$B16,'KU Inputs'!$C$2:$I$505,MATCH('KU UtilityData'!O$1,'KU Inputs'!$C$1:$I$1,0),0)</f>
        <v>#N/A</v>
      </c>
      <c r="P16" s="260">
        <v>672.1</v>
      </c>
      <c r="Q16" s="260">
        <v>0</v>
      </c>
      <c r="R16" s="166">
        <v>4512</v>
      </c>
      <c r="S16" s="166">
        <v>1455</v>
      </c>
      <c r="T16" s="182">
        <f t="shared" si="1"/>
        <v>1229.7589640307015</v>
      </c>
      <c r="V16" s="153" t="e">
        <f t="shared" si="2"/>
        <v>#REF!</v>
      </c>
      <c r="W16" s="157">
        <f t="shared" si="0"/>
        <v>0</v>
      </c>
    </row>
    <row r="17" spans="1:23" x14ac:dyDescent="0.2">
      <c r="A17" s="153">
        <v>2002</v>
      </c>
      <c r="B17" s="153">
        <v>4</v>
      </c>
      <c r="C17" s="164">
        <v>398085.96500000003</v>
      </c>
      <c r="D17" s="173">
        <v>4.457008293679027</v>
      </c>
      <c r="E17" s="173">
        <v>4.457008293679027</v>
      </c>
      <c r="F17" s="173"/>
      <c r="G17" s="173">
        <v>30.57</v>
      </c>
      <c r="H17" s="154">
        <v>3406.5630000000001</v>
      </c>
      <c r="I17" s="190">
        <f>VLOOKUP($A17&amp;$B17,'KU Inputs'!$C$2:$I$505,MATCH('KU UtilityData'!I$1,'KU Inputs'!$C$1:$I$1,0),0)*1000</f>
        <v>4089875</v>
      </c>
      <c r="J17" s="190">
        <f>VLOOKUP($A17&amp;$B17,'KU Inputs'!$C$2:$I$505,MATCH('KU UtilityData'!J$1,'KU Inputs'!$C$1:$I$1,0),0)*1000</f>
        <v>1619394</v>
      </c>
      <c r="K17" s="246">
        <v>389456</v>
      </c>
      <c r="L17" s="255">
        <v>395723</v>
      </c>
      <c r="M17" s="164">
        <v>66279.735393823503</v>
      </c>
      <c r="N17" s="190">
        <f>VLOOKUP($A17&amp;$B17,'KU Inputs'!$C$2:$I$505,MATCH('KU UtilityData'!N$1,'KU Inputs'!$C$1:$I$1,0),0)</f>
        <v>114074.546</v>
      </c>
      <c r="O17" s="190" t="e">
        <f>VLOOKUP($A17&amp;$B17,'KU Inputs'!$C$2:$I$505,MATCH('KU UtilityData'!O$1,'KU Inputs'!$C$1:$I$1,0),0)</f>
        <v>#N/A</v>
      </c>
      <c r="P17" s="260">
        <v>452.65</v>
      </c>
      <c r="Q17" s="260">
        <v>20.350000000000001</v>
      </c>
      <c r="R17" s="166">
        <v>4512</v>
      </c>
      <c r="S17" s="166">
        <v>1455</v>
      </c>
      <c r="T17" s="182">
        <f t="shared" si="1"/>
        <v>1022.1590243827287</v>
      </c>
      <c r="V17" s="153" t="e">
        <f t="shared" si="2"/>
        <v>#REF!</v>
      </c>
      <c r="W17" s="157">
        <f t="shared" si="0"/>
        <v>0</v>
      </c>
    </row>
    <row r="18" spans="1:23" x14ac:dyDescent="0.2">
      <c r="A18" s="153">
        <v>2002</v>
      </c>
      <c r="B18" s="153">
        <v>5</v>
      </c>
      <c r="C18" s="164">
        <v>337871.52899999998</v>
      </c>
      <c r="D18" s="173">
        <v>4.457008293679027</v>
      </c>
      <c r="E18" s="173">
        <v>4.457008293679027</v>
      </c>
      <c r="F18" s="173"/>
      <c r="G18" s="173">
        <v>29.57</v>
      </c>
      <c r="H18" s="154">
        <v>3408.8110000000001</v>
      </c>
      <c r="I18" s="190">
        <f>VLOOKUP($A18&amp;$B18,'KU Inputs'!$C$2:$I$505,MATCH('KU UtilityData'!I$1,'KU Inputs'!$C$1:$I$1,0),0)*1000</f>
        <v>4089875</v>
      </c>
      <c r="J18" s="190">
        <f>VLOOKUP($A18&amp;$B18,'KU Inputs'!$C$2:$I$505,MATCH('KU UtilityData'!J$1,'KU Inputs'!$C$1:$I$1,0),0)*1000</f>
        <v>1619394</v>
      </c>
      <c r="K18" s="246">
        <v>389595</v>
      </c>
      <c r="L18" s="255">
        <v>395741</v>
      </c>
      <c r="M18" s="164">
        <v>66279.735393823503</v>
      </c>
      <c r="N18" s="190">
        <f>VLOOKUP($A18&amp;$B18,'KU Inputs'!$C$2:$I$505,MATCH('KU UtilityData'!N$1,'KU Inputs'!$C$1:$I$1,0),0)</f>
        <v>114074.546</v>
      </c>
      <c r="O18" s="190" t="e">
        <f>VLOOKUP($A18&amp;$B18,'KU Inputs'!$C$2:$I$505,MATCH('KU UtilityData'!O$1,'KU Inputs'!$C$1:$I$1,0),0)</f>
        <v>#N/A</v>
      </c>
      <c r="P18" s="260">
        <v>198.55</v>
      </c>
      <c r="Q18" s="260">
        <v>45.7</v>
      </c>
      <c r="R18" s="166">
        <v>4512</v>
      </c>
      <c r="S18" s="166">
        <v>1455</v>
      </c>
      <c r="T18" s="182">
        <f t="shared" si="1"/>
        <v>867.23784699495616</v>
      </c>
      <c r="V18" s="153" t="e">
        <f t="shared" si="2"/>
        <v>#REF!</v>
      </c>
      <c r="W18" s="157">
        <f t="shared" si="0"/>
        <v>0</v>
      </c>
    </row>
    <row r="19" spans="1:23" x14ac:dyDescent="0.2">
      <c r="A19" s="153">
        <v>2002</v>
      </c>
      <c r="B19" s="153">
        <v>6</v>
      </c>
      <c r="C19" s="164">
        <v>430108.217</v>
      </c>
      <c r="D19" s="173">
        <v>4.457008293679027</v>
      </c>
      <c r="E19" s="173">
        <v>4.457008293679027</v>
      </c>
      <c r="F19" s="173"/>
      <c r="G19" s="173">
        <v>30.67</v>
      </c>
      <c r="H19" s="154">
        <v>3411.0590000000002</v>
      </c>
      <c r="I19" s="190">
        <f>VLOOKUP($A19&amp;$B19,'KU Inputs'!$C$2:$I$505,MATCH('KU UtilityData'!I$1,'KU Inputs'!$C$1:$I$1,0),0)*1000</f>
        <v>4089875</v>
      </c>
      <c r="J19" s="190">
        <f>VLOOKUP($A19&amp;$B19,'KU Inputs'!$C$2:$I$505,MATCH('KU UtilityData'!J$1,'KU Inputs'!$C$1:$I$1,0),0)*1000</f>
        <v>1619394</v>
      </c>
      <c r="K19" s="246">
        <v>388113</v>
      </c>
      <c r="L19" s="255">
        <v>394223</v>
      </c>
      <c r="M19" s="164">
        <v>66279.735393823503</v>
      </c>
      <c r="N19" s="190">
        <f>VLOOKUP($A19&amp;$B19,'KU Inputs'!$C$2:$I$505,MATCH('KU UtilityData'!N$1,'KU Inputs'!$C$1:$I$1,0),0)</f>
        <v>114074.546</v>
      </c>
      <c r="O19" s="190" t="e">
        <f>VLOOKUP($A19&amp;$B19,'KU Inputs'!$C$2:$I$505,MATCH('KU UtilityData'!O$1,'KU Inputs'!$C$1:$I$1,0),0)</f>
        <v>#N/A</v>
      </c>
      <c r="P19" s="260">
        <v>80.900000000000006</v>
      </c>
      <c r="Q19" s="260">
        <v>194.75</v>
      </c>
      <c r="R19" s="166">
        <v>4512</v>
      </c>
      <c r="S19" s="166">
        <v>1455</v>
      </c>
      <c r="T19" s="182">
        <f t="shared" si="1"/>
        <v>1108.2035824618088</v>
      </c>
      <c r="V19" s="153" t="e">
        <f t="shared" si="2"/>
        <v>#REF!</v>
      </c>
      <c r="W19" s="157">
        <f t="shared" si="0"/>
        <v>0</v>
      </c>
    </row>
    <row r="20" spans="1:23" x14ac:dyDescent="0.2">
      <c r="A20" s="153">
        <v>2002</v>
      </c>
      <c r="B20" s="153">
        <v>7</v>
      </c>
      <c r="C20" s="164">
        <v>551654.24800000002</v>
      </c>
      <c r="D20" s="173">
        <v>4.457008293679027</v>
      </c>
      <c r="E20" s="173">
        <v>4.457008293679027</v>
      </c>
      <c r="F20" s="173"/>
      <c r="G20" s="173">
        <v>30.67</v>
      </c>
      <c r="H20" s="154">
        <v>3413.3069166666664</v>
      </c>
      <c r="I20" s="190">
        <f>VLOOKUP($A20&amp;$B20,'KU Inputs'!$C$2:$I$505,MATCH('KU UtilityData'!I$1,'KU Inputs'!$C$1:$I$1,0),0)*1000</f>
        <v>4096682</v>
      </c>
      <c r="J20" s="190">
        <f>VLOOKUP($A20&amp;$B20,'KU Inputs'!$C$2:$I$505,MATCH('KU UtilityData'!J$1,'KU Inputs'!$C$1:$I$1,0),0)*1000</f>
        <v>1622574</v>
      </c>
      <c r="K20" s="246">
        <v>390353</v>
      </c>
      <c r="L20" s="255">
        <v>396306</v>
      </c>
      <c r="M20" s="164">
        <v>66283.449737166302</v>
      </c>
      <c r="N20" s="190">
        <f>VLOOKUP($A20&amp;$B20,'KU Inputs'!$C$2:$I$505,MATCH('KU UtilityData'!N$1,'KU Inputs'!$C$1:$I$1,0),0)</f>
        <v>114002.70699999999</v>
      </c>
      <c r="O20" s="190" t="e">
        <f>VLOOKUP($A20&amp;$B20,'KU Inputs'!$C$2:$I$505,MATCH('KU UtilityData'!O$1,'KU Inputs'!$C$1:$I$1,0),0)</f>
        <v>#N/A</v>
      </c>
      <c r="P20" s="260">
        <v>0.5</v>
      </c>
      <c r="Q20" s="260">
        <v>377.2</v>
      </c>
      <c r="R20" s="166">
        <v>4512</v>
      </c>
      <c r="S20" s="166">
        <v>1455</v>
      </c>
      <c r="T20" s="182">
        <f t="shared" si="1"/>
        <v>1413.2189274835853</v>
      </c>
      <c r="V20" s="153" t="e">
        <f t="shared" si="2"/>
        <v>#REF!</v>
      </c>
      <c r="W20" s="157">
        <f t="shared" si="0"/>
        <v>0</v>
      </c>
    </row>
    <row r="21" spans="1:23" x14ac:dyDescent="0.2">
      <c r="A21" s="153">
        <v>2002</v>
      </c>
      <c r="B21" s="153">
        <v>8</v>
      </c>
      <c r="C21" s="164">
        <v>567815.27</v>
      </c>
      <c r="D21" s="173">
        <v>4.457008293679027</v>
      </c>
      <c r="E21" s="173">
        <v>4.457008293679027</v>
      </c>
      <c r="F21" s="173"/>
      <c r="G21" s="173">
        <v>29.48</v>
      </c>
      <c r="H21" s="154">
        <v>3415.5548333333331</v>
      </c>
      <c r="I21" s="190">
        <f>VLOOKUP($A21&amp;$B21,'KU Inputs'!$C$2:$I$505,MATCH('KU UtilityData'!I$1,'KU Inputs'!$C$1:$I$1,0),0)*1000</f>
        <v>4096682</v>
      </c>
      <c r="J21" s="190">
        <f>VLOOKUP($A21&amp;$B21,'KU Inputs'!$C$2:$I$505,MATCH('KU UtilityData'!J$1,'KU Inputs'!$C$1:$I$1,0),0)*1000</f>
        <v>1622574</v>
      </c>
      <c r="K21" s="246">
        <v>389691</v>
      </c>
      <c r="L21" s="255">
        <v>395621</v>
      </c>
      <c r="M21" s="164">
        <v>66283.449737166302</v>
      </c>
      <c r="N21" s="190">
        <f>VLOOKUP($A21&amp;$B21,'KU Inputs'!$C$2:$I$505,MATCH('KU UtilityData'!N$1,'KU Inputs'!$C$1:$I$1,0),0)</f>
        <v>114002.70699999999</v>
      </c>
      <c r="O21" s="190" t="e">
        <f>VLOOKUP($A21&amp;$B21,'KU Inputs'!$C$2:$I$505,MATCH('KU UtilityData'!O$1,'KU Inputs'!$C$1:$I$1,0),0)</f>
        <v>#N/A</v>
      </c>
      <c r="P21" s="260">
        <v>0</v>
      </c>
      <c r="Q21" s="260">
        <v>428.9</v>
      </c>
      <c r="R21" s="166">
        <v>4512</v>
      </c>
      <c r="S21" s="166">
        <v>1455</v>
      </c>
      <c r="T21" s="182">
        <f t="shared" si="1"/>
        <v>1457.0910541942205</v>
      </c>
      <c r="V21" s="153" t="e">
        <f t="shared" si="2"/>
        <v>#REF!</v>
      </c>
      <c r="W21" s="157">
        <f t="shared" si="0"/>
        <v>0</v>
      </c>
    </row>
    <row r="22" spans="1:23" x14ac:dyDescent="0.2">
      <c r="A22" s="153">
        <v>2002</v>
      </c>
      <c r="B22" s="153">
        <v>9</v>
      </c>
      <c r="C22" s="164">
        <v>521406.56300000002</v>
      </c>
      <c r="D22" s="173">
        <v>4.457008293679027</v>
      </c>
      <c r="E22" s="173">
        <v>4.457008293679027</v>
      </c>
      <c r="F22" s="173"/>
      <c r="G22" s="173">
        <v>30.76</v>
      </c>
      <c r="H22" s="154">
        <v>3417.8027499999994</v>
      </c>
      <c r="I22" s="190">
        <f>VLOOKUP($A22&amp;$B22,'KU Inputs'!$C$2:$I$505,MATCH('KU UtilityData'!I$1,'KU Inputs'!$C$1:$I$1,0),0)*1000</f>
        <v>4096682</v>
      </c>
      <c r="J22" s="190">
        <f>VLOOKUP($A22&amp;$B22,'KU Inputs'!$C$2:$I$505,MATCH('KU UtilityData'!J$1,'KU Inputs'!$C$1:$I$1,0),0)*1000</f>
        <v>1622574</v>
      </c>
      <c r="K22" s="246">
        <v>389845</v>
      </c>
      <c r="L22" s="255">
        <v>395714</v>
      </c>
      <c r="M22" s="164">
        <v>66283.449737166302</v>
      </c>
      <c r="N22" s="190">
        <f>VLOOKUP($A22&amp;$B22,'KU Inputs'!$C$2:$I$505,MATCH('KU UtilityData'!N$1,'KU Inputs'!$C$1:$I$1,0),0)</f>
        <v>114002.70699999999</v>
      </c>
      <c r="O22" s="190" t="e">
        <f>VLOOKUP($A22&amp;$B22,'KU Inputs'!$C$2:$I$505,MATCH('KU UtilityData'!O$1,'KU Inputs'!$C$1:$I$1,0),0)</f>
        <v>#N/A</v>
      </c>
      <c r="P22" s="260">
        <v>2.95</v>
      </c>
      <c r="Q22" s="260">
        <v>354.7</v>
      </c>
      <c r="R22" s="166">
        <v>4512</v>
      </c>
      <c r="S22" s="166">
        <v>1455</v>
      </c>
      <c r="T22" s="182">
        <f t="shared" si="1"/>
        <v>1337.4714642999143</v>
      </c>
      <c r="V22" s="153" t="e">
        <f t="shared" si="2"/>
        <v>#REF!</v>
      </c>
      <c r="W22" s="157">
        <f t="shared" si="0"/>
        <v>0</v>
      </c>
    </row>
    <row r="23" spans="1:23" x14ac:dyDescent="0.2">
      <c r="A23" s="153">
        <v>2002</v>
      </c>
      <c r="B23" s="153">
        <v>10</v>
      </c>
      <c r="C23" s="164">
        <v>375349.815</v>
      </c>
      <c r="D23" s="173">
        <v>4.457008293679027</v>
      </c>
      <c r="E23" s="173">
        <v>4.457008293679027</v>
      </c>
      <c r="F23" s="173"/>
      <c r="G23" s="173">
        <v>29.52</v>
      </c>
      <c r="H23" s="154">
        <v>3420.0506666666661</v>
      </c>
      <c r="I23" s="190">
        <f>VLOOKUP($A23&amp;$B23,'KU Inputs'!$C$2:$I$505,MATCH('KU UtilityData'!I$1,'KU Inputs'!$C$1:$I$1,0),0)*1000</f>
        <v>4103500</v>
      </c>
      <c r="J23" s="190">
        <f>VLOOKUP($A23&amp;$B23,'KU Inputs'!$C$2:$I$505,MATCH('KU UtilityData'!J$1,'KU Inputs'!$C$1:$I$1,0),0)*1000</f>
        <v>1625759</v>
      </c>
      <c r="K23" s="246">
        <v>390384</v>
      </c>
      <c r="L23" s="255">
        <v>396205</v>
      </c>
      <c r="M23" s="164">
        <v>66552.690652383608</v>
      </c>
      <c r="N23" s="190">
        <f>VLOOKUP($A23&amp;$B23,'KU Inputs'!$C$2:$I$505,MATCH('KU UtilityData'!N$1,'KU Inputs'!$C$1:$I$1,0),0)</f>
        <v>114407.613</v>
      </c>
      <c r="O23" s="190" t="e">
        <f>VLOOKUP($A23&amp;$B23,'KU Inputs'!$C$2:$I$505,MATCH('KU UtilityData'!O$1,'KU Inputs'!$C$1:$I$1,0),0)</f>
        <v>#N/A</v>
      </c>
      <c r="P23" s="260">
        <v>107.05</v>
      </c>
      <c r="Q23" s="260">
        <v>119.2</v>
      </c>
      <c r="R23" s="166">
        <v>4512</v>
      </c>
      <c r="S23" s="166">
        <v>1455</v>
      </c>
      <c r="T23" s="182">
        <f t="shared" si="1"/>
        <v>961.48872648469194</v>
      </c>
      <c r="V23" s="153" t="e">
        <f t="shared" si="2"/>
        <v>#REF!</v>
      </c>
      <c r="W23" s="157">
        <f t="shared" si="0"/>
        <v>0</v>
      </c>
    </row>
    <row r="24" spans="1:23" x14ac:dyDescent="0.2">
      <c r="A24" s="153">
        <v>2002</v>
      </c>
      <c r="B24" s="153">
        <v>11</v>
      </c>
      <c r="C24" s="164">
        <v>371218.49</v>
      </c>
      <c r="D24" s="173">
        <v>4.457008293679027</v>
      </c>
      <c r="E24" s="173">
        <v>4.457008293679027</v>
      </c>
      <c r="F24" s="173"/>
      <c r="G24" s="173">
        <v>29.43</v>
      </c>
      <c r="H24" s="154">
        <v>3422.2985833333328</v>
      </c>
      <c r="I24" s="190">
        <f>VLOOKUP($A24&amp;$B24,'KU Inputs'!$C$2:$I$505,MATCH('KU UtilityData'!I$1,'KU Inputs'!$C$1:$I$1,0),0)*1000</f>
        <v>4103500</v>
      </c>
      <c r="J24" s="190">
        <f>VLOOKUP($A24&amp;$B24,'KU Inputs'!$C$2:$I$505,MATCH('KU UtilityData'!J$1,'KU Inputs'!$C$1:$I$1,0),0)*1000</f>
        <v>1625759</v>
      </c>
      <c r="K24" s="246">
        <v>390656</v>
      </c>
      <c r="L24" s="255">
        <v>396445</v>
      </c>
      <c r="M24" s="164">
        <v>66552.690652383608</v>
      </c>
      <c r="N24" s="190">
        <f>VLOOKUP($A24&amp;$B24,'KU Inputs'!$C$2:$I$505,MATCH('KU UtilityData'!N$1,'KU Inputs'!$C$1:$I$1,0),0)</f>
        <v>114407.613</v>
      </c>
      <c r="O24" s="190" t="e">
        <f>VLOOKUP($A24&amp;$B24,'KU Inputs'!$C$2:$I$505,MATCH('KU UtilityData'!O$1,'KU Inputs'!$C$1:$I$1,0),0)</f>
        <v>#N/A</v>
      </c>
      <c r="P24" s="260">
        <v>464.25</v>
      </c>
      <c r="Q24" s="260">
        <v>5.8</v>
      </c>
      <c r="R24" s="166">
        <v>4512</v>
      </c>
      <c r="S24" s="166">
        <v>1455</v>
      </c>
      <c r="T24" s="182">
        <f t="shared" si="1"/>
        <v>950.2439230422674</v>
      </c>
      <c r="V24" s="153" t="e">
        <f t="shared" si="2"/>
        <v>#REF!</v>
      </c>
      <c r="W24" s="157">
        <f t="shared" si="0"/>
        <v>0</v>
      </c>
    </row>
    <row r="25" spans="1:23" x14ac:dyDescent="0.2">
      <c r="A25" s="153">
        <v>2002</v>
      </c>
      <c r="B25" s="153">
        <v>12</v>
      </c>
      <c r="C25" s="164">
        <v>570626.49800000002</v>
      </c>
      <c r="D25" s="173">
        <v>4.457008293679027</v>
      </c>
      <c r="E25" s="173">
        <v>4.457008293679027</v>
      </c>
      <c r="F25" s="173"/>
      <c r="G25" s="173">
        <v>32.049999999999997</v>
      </c>
      <c r="H25" s="154">
        <v>3424.546499999999</v>
      </c>
      <c r="I25" s="190">
        <f>VLOOKUP($A25&amp;$B25,'KU Inputs'!$C$2:$I$505,MATCH('KU UtilityData'!I$1,'KU Inputs'!$C$1:$I$1,0),0)*1000</f>
        <v>4103500</v>
      </c>
      <c r="J25" s="190">
        <f>VLOOKUP($A25&amp;$B25,'KU Inputs'!$C$2:$I$505,MATCH('KU UtilityData'!J$1,'KU Inputs'!$C$1:$I$1,0),0)*1000</f>
        <v>1625759</v>
      </c>
      <c r="K25" s="246">
        <v>392466</v>
      </c>
      <c r="L25" s="255">
        <v>398222</v>
      </c>
      <c r="M25" s="164">
        <v>66552.690652383608</v>
      </c>
      <c r="N25" s="190">
        <f>VLOOKUP($A25&amp;$B25,'KU Inputs'!$C$2:$I$505,MATCH('KU UtilityData'!N$1,'KU Inputs'!$C$1:$I$1,0),0)</f>
        <v>114407.613</v>
      </c>
      <c r="O25" s="190" t="e">
        <f>VLOOKUP($A25&amp;$B25,'KU Inputs'!$C$2:$I$505,MATCH('KU UtilityData'!O$1,'KU Inputs'!$C$1:$I$1,0),0)</f>
        <v>#N/A</v>
      </c>
      <c r="P25" s="260">
        <v>864.3</v>
      </c>
      <c r="Q25" s="260">
        <v>0.4</v>
      </c>
      <c r="R25" s="166">
        <v>4512</v>
      </c>
      <c r="S25" s="166">
        <v>1455</v>
      </c>
      <c r="T25" s="182">
        <f t="shared" si="1"/>
        <v>1453.9514199956177</v>
      </c>
      <c r="V25" s="153" t="e">
        <f t="shared" si="2"/>
        <v>#REF!</v>
      </c>
      <c r="W25" s="157">
        <f t="shared" si="0"/>
        <v>0</v>
      </c>
    </row>
    <row r="26" spans="1:23" x14ac:dyDescent="0.2">
      <c r="A26" s="153">
        <v>2003</v>
      </c>
      <c r="B26" s="153">
        <v>1</v>
      </c>
      <c r="C26" s="164">
        <v>664533.50600000005</v>
      </c>
      <c r="D26" s="173">
        <v>4.5960275764781944</v>
      </c>
      <c r="E26" s="173">
        <v>4.5960275764781944</v>
      </c>
      <c r="F26" s="173"/>
      <c r="G26" s="173">
        <v>33.33</v>
      </c>
      <c r="H26" s="154">
        <v>3426.7944166666657</v>
      </c>
      <c r="I26" s="190">
        <f>VLOOKUP($A26&amp;$B26,'KU Inputs'!$C$2:$I$505,MATCH('KU UtilityData'!I$1,'KU Inputs'!$C$1:$I$1,0),0)*1000</f>
        <v>4110328.9999999995</v>
      </c>
      <c r="J26" s="190">
        <f>VLOOKUP($A26&amp;$B26,'KU Inputs'!$C$2:$I$505,MATCH('KU UtilityData'!J$1,'KU Inputs'!$C$1:$I$1,0),0)*1000</f>
        <v>1628951</v>
      </c>
      <c r="K26" s="246">
        <v>394347</v>
      </c>
      <c r="L26" s="255">
        <v>400053</v>
      </c>
      <c r="M26" s="164">
        <v>66300.956284864485</v>
      </c>
      <c r="N26" s="190">
        <f>VLOOKUP($A26&amp;$B26,'KU Inputs'!$C$2:$I$505,MATCH('KU UtilityData'!N$1,'KU Inputs'!$C$1:$I$1,0),0)</f>
        <v>113801.59699999999</v>
      </c>
      <c r="O26" s="190" t="e">
        <f>VLOOKUP($A26&amp;$B26,'KU Inputs'!$C$2:$I$505,MATCH('KU UtilityData'!O$1,'KU Inputs'!$C$1:$I$1,0),0)</f>
        <v>#N/A</v>
      </c>
      <c r="P26" s="260">
        <v>1027.9000000000001</v>
      </c>
      <c r="Q26" s="260">
        <v>0</v>
      </c>
      <c r="R26" s="166">
        <v>4512</v>
      </c>
      <c r="S26" s="166">
        <v>1455</v>
      </c>
      <c r="T26" s="182">
        <f t="shared" si="1"/>
        <v>1685.1491351525433</v>
      </c>
      <c r="V26" s="153" t="e">
        <f t="shared" si="2"/>
        <v>#REF!</v>
      </c>
      <c r="W26" s="157">
        <f t="shared" si="0"/>
        <v>0</v>
      </c>
    </row>
    <row r="27" spans="1:23" x14ac:dyDescent="0.2">
      <c r="A27" s="153">
        <v>2003</v>
      </c>
      <c r="B27" s="153">
        <v>2</v>
      </c>
      <c r="C27" s="164">
        <v>678837.00199999998</v>
      </c>
      <c r="D27" s="173">
        <v>4.5960275764781944</v>
      </c>
      <c r="E27" s="173">
        <v>4.5960275764781944</v>
      </c>
      <c r="F27" s="173"/>
      <c r="G27" s="173">
        <v>31</v>
      </c>
      <c r="H27" s="154">
        <v>3429.042333333332</v>
      </c>
      <c r="I27" s="190">
        <f>VLOOKUP($A27&amp;$B27,'KU Inputs'!$C$2:$I$505,MATCH('KU UtilityData'!I$1,'KU Inputs'!$C$1:$I$1,0),0)*1000</f>
        <v>4110328.9999999995</v>
      </c>
      <c r="J27" s="190">
        <f>VLOOKUP($A27&amp;$B27,'KU Inputs'!$C$2:$I$505,MATCH('KU UtilityData'!J$1,'KU Inputs'!$C$1:$I$1,0),0)*1000</f>
        <v>1628951</v>
      </c>
      <c r="K27" s="246">
        <v>392292</v>
      </c>
      <c r="L27" s="255">
        <v>397920</v>
      </c>
      <c r="M27" s="164">
        <v>66300.956284864485</v>
      </c>
      <c r="N27" s="190">
        <f>VLOOKUP($A27&amp;$B27,'KU Inputs'!$C$2:$I$505,MATCH('KU UtilityData'!N$1,'KU Inputs'!$C$1:$I$1,0),0)</f>
        <v>113801.59699999999</v>
      </c>
      <c r="O27" s="190" t="e">
        <f>VLOOKUP($A27&amp;$B27,'KU Inputs'!$C$2:$I$505,MATCH('KU UtilityData'!O$1,'KU Inputs'!$C$1:$I$1,0),0)</f>
        <v>#N/A</v>
      </c>
      <c r="P27" s="260">
        <v>1138.75</v>
      </c>
      <c r="Q27" s="260">
        <v>0</v>
      </c>
      <c r="R27" s="166">
        <v>4512</v>
      </c>
      <c r="S27" s="166">
        <v>1455</v>
      </c>
      <c r="T27" s="182">
        <f t="shared" si="1"/>
        <v>1730.438046149297</v>
      </c>
      <c r="V27" s="153" t="e">
        <f t="shared" si="2"/>
        <v>#REF!</v>
      </c>
      <c r="W27" s="157">
        <f t="shared" si="0"/>
        <v>0</v>
      </c>
    </row>
    <row r="28" spans="1:23" x14ac:dyDescent="0.2">
      <c r="A28" s="153">
        <v>2003</v>
      </c>
      <c r="B28" s="153">
        <v>3</v>
      </c>
      <c r="C28" s="164">
        <v>526324.24100000004</v>
      </c>
      <c r="D28" s="173">
        <v>4.5960275764781944</v>
      </c>
      <c r="E28" s="173">
        <v>4.5960275764781944</v>
      </c>
      <c r="F28" s="173"/>
      <c r="G28" s="173">
        <v>31.19</v>
      </c>
      <c r="H28" s="154">
        <v>3431.2902499999987</v>
      </c>
      <c r="I28" s="190">
        <f>VLOOKUP($A28&amp;$B28,'KU Inputs'!$C$2:$I$505,MATCH('KU UtilityData'!I$1,'KU Inputs'!$C$1:$I$1,0),0)*1000</f>
        <v>4110328.9999999995</v>
      </c>
      <c r="J28" s="190">
        <f>VLOOKUP($A28&amp;$B28,'KU Inputs'!$C$2:$I$505,MATCH('KU UtilityData'!J$1,'KU Inputs'!$C$1:$I$1,0),0)*1000</f>
        <v>1628951</v>
      </c>
      <c r="K28" s="246">
        <v>393286</v>
      </c>
      <c r="L28" s="255">
        <v>398788</v>
      </c>
      <c r="M28" s="164">
        <v>66300.956284864485</v>
      </c>
      <c r="N28" s="190">
        <f>VLOOKUP($A28&amp;$B28,'KU Inputs'!$C$2:$I$505,MATCH('KU UtilityData'!N$1,'KU Inputs'!$C$1:$I$1,0),0)</f>
        <v>113801.59699999999</v>
      </c>
      <c r="O28" s="190" t="e">
        <f>VLOOKUP($A28&amp;$B28,'KU Inputs'!$C$2:$I$505,MATCH('KU UtilityData'!O$1,'KU Inputs'!$C$1:$I$1,0),0)</f>
        <v>#N/A</v>
      </c>
      <c r="P28" s="260">
        <v>743.75</v>
      </c>
      <c r="Q28" s="260">
        <v>0</v>
      </c>
      <c r="R28" s="166">
        <v>4512</v>
      </c>
      <c r="S28" s="166">
        <v>1455</v>
      </c>
      <c r="T28" s="182">
        <f t="shared" si="1"/>
        <v>1338.2735235935172</v>
      </c>
      <c r="V28" s="153" t="e">
        <f t="shared" si="2"/>
        <v>#REF!</v>
      </c>
      <c r="W28" s="157">
        <f t="shared" si="0"/>
        <v>0</v>
      </c>
    </row>
    <row r="29" spans="1:23" x14ac:dyDescent="0.2">
      <c r="A29" s="153">
        <v>2003</v>
      </c>
      <c r="B29" s="153">
        <v>4</v>
      </c>
      <c r="C29" s="164">
        <v>360442.18900000001</v>
      </c>
      <c r="D29" s="173">
        <v>4.5960275764781944</v>
      </c>
      <c r="E29" s="173">
        <v>4.5960275764781944</v>
      </c>
      <c r="F29" s="173"/>
      <c r="G29" s="173">
        <v>31</v>
      </c>
      <c r="H29" s="154">
        <v>3433.5381666666649</v>
      </c>
      <c r="I29" s="190">
        <f>VLOOKUP($A29&amp;$B29,'KU Inputs'!$C$2:$I$505,MATCH('KU UtilityData'!I$1,'KU Inputs'!$C$1:$I$1,0),0)*1000</f>
        <v>4117170</v>
      </c>
      <c r="J29" s="190">
        <f>VLOOKUP($A29&amp;$B29,'KU Inputs'!$C$2:$I$505,MATCH('KU UtilityData'!J$1,'KU Inputs'!$C$1:$I$1,0),0)*1000</f>
        <v>1632148</v>
      </c>
      <c r="K29" s="246">
        <v>391988</v>
      </c>
      <c r="L29" s="255">
        <v>397434</v>
      </c>
      <c r="M29" s="164">
        <v>66556.010647029296</v>
      </c>
      <c r="N29" s="190">
        <f>VLOOKUP($A29&amp;$B29,'KU Inputs'!$C$2:$I$505,MATCH('KU UtilityData'!N$1,'KU Inputs'!$C$1:$I$1,0),0)</f>
        <v>114321.784</v>
      </c>
      <c r="O29" s="190" t="e">
        <f>VLOOKUP($A29&amp;$B29,'KU Inputs'!$C$2:$I$505,MATCH('KU UtilityData'!O$1,'KU Inputs'!$C$1:$I$1,0),0)</f>
        <v>#N/A</v>
      </c>
      <c r="P29" s="260">
        <v>335.05</v>
      </c>
      <c r="Q29" s="260">
        <v>7.5</v>
      </c>
      <c r="R29" s="166">
        <v>4512</v>
      </c>
      <c r="S29" s="166">
        <v>1455</v>
      </c>
      <c r="T29" s="182">
        <f t="shared" si="1"/>
        <v>919.52352878149338</v>
      </c>
      <c r="V29" s="153" t="e">
        <f t="shared" si="2"/>
        <v>#REF!</v>
      </c>
      <c r="W29" s="157">
        <f t="shared" si="0"/>
        <v>0</v>
      </c>
    </row>
    <row r="30" spans="1:23" x14ac:dyDescent="0.2">
      <c r="A30" s="153">
        <v>2003</v>
      </c>
      <c r="B30" s="153">
        <v>5</v>
      </c>
      <c r="C30" s="164">
        <v>336675.74900000001</v>
      </c>
      <c r="D30" s="173">
        <v>4.5960275764781944</v>
      </c>
      <c r="E30" s="173">
        <v>4.5960275764781944</v>
      </c>
      <c r="F30" s="173"/>
      <c r="G30" s="173">
        <v>31.48</v>
      </c>
      <c r="H30" s="154">
        <v>3435.7860833333316</v>
      </c>
      <c r="I30" s="190">
        <f>VLOOKUP($A30&amp;$B30,'KU Inputs'!$C$2:$I$505,MATCH('KU UtilityData'!I$1,'KU Inputs'!$C$1:$I$1,0),0)*1000</f>
        <v>4117170</v>
      </c>
      <c r="J30" s="190">
        <f>VLOOKUP($A30&amp;$B30,'KU Inputs'!$C$2:$I$505,MATCH('KU UtilityData'!J$1,'KU Inputs'!$C$1:$I$1,0),0)*1000</f>
        <v>1632148</v>
      </c>
      <c r="K30" s="246">
        <v>392542</v>
      </c>
      <c r="L30" s="255">
        <v>397954</v>
      </c>
      <c r="M30" s="164">
        <v>66556.010647029296</v>
      </c>
      <c r="N30" s="190">
        <f>VLOOKUP($A30&amp;$B30,'KU Inputs'!$C$2:$I$505,MATCH('KU UtilityData'!N$1,'KU Inputs'!$C$1:$I$1,0),0)</f>
        <v>114321.784</v>
      </c>
      <c r="O30" s="190" t="e">
        <f>VLOOKUP($A30&amp;$B30,'KU Inputs'!$C$2:$I$505,MATCH('KU UtilityData'!O$1,'KU Inputs'!$C$1:$I$1,0),0)</f>
        <v>#N/A</v>
      </c>
      <c r="P30" s="260">
        <v>147.44999999999999</v>
      </c>
      <c r="Q30" s="260">
        <v>49.15</v>
      </c>
      <c r="R30" s="166">
        <v>4512</v>
      </c>
      <c r="S30" s="166">
        <v>1455</v>
      </c>
      <c r="T30" s="182">
        <f t="shared" si="1"/>
        <v>857.68083160528056</v>
      </c>
      <c r="V30" s="153" t="e">
        <f t="shared" si="2"/>
        <v>#REF!</v>
      </c>
      <c r="W30" s="157">
        <f t="shared" si="0"/>
        <v>0</v>
      </c>
    </row>
    <row r="31" spans="1:23" x14ac:dyDescent="0.2">
      <c r="A31" s="153">
        <v>2003</v>
      </c>
      <c r="B31" s="153">
        <v>6</v>
      </c>
      <c r="C31" s="164">
        <v>345184.80699999997</v>
      </c>
      <c r="D31" s="173">
        <v>4.5960275764781944</v>
      </c>
      <c r="E31" s="173">
        <v>4.5960275764781944</v>
      </c>
      <c r="F31" s="173"/>
      <c r="G31" s="173">
        <v>31.52</v>
      </c>
      <c r="H31" s="154">
        <v>3438.0340000000006</v>
      </c>
      <c r="I31" s="190">
        <f>VLOOKUP($A31&amp;$B31,'KU Inputs'!$C$2:$I$505,MATCH('KU UtilityData'!I$1,'KU Inputs'!$C$1:$I$1,0),0)*1000</f>
        <v>4117170</v>
      </c>
      <c r="J31" s="190">
        <f>VLOOKUP($A31&amp;$B31,'KU Inputs'!$C$2:$I$505,MATCH('KU UtilityData'!J$1,'KU Inputs'!$C$1:$I$1,0),0)*1000</f>
        <v>1632148</v>
      </c>
      <c r="K31" s="246">
        <v>392198</v>
      </c>
      <c r="L31" s="255">
        <v>397537</v>
      </c>
      <c r="M31" s="164">
        <v>66556.010647029296</v>
      </c>
      <c r="N31" s="190">
        <f>VLOOKUP($A31&amp;$B31,'KU Inputs'!$C$2:$I$505,MATCH('KU UtilityData'!N$1,'KU Inputs'!$C$1:$I$1,0),0)</f>
        <v>114321.784</v>
      </c>
      <c r="O31" s="190" t="e">
        <f>VLOOKUP($A31&amp;$B31,'KU Inputs'!$C$2:$I$505,MATCH('KU UtilityData'!O$1,'KU Inputs'!$C$1:$I$1,0),0)</f>
        <v>#N/A</v>
      </c>
      <c r="P31" s="260">
        <v>71.55</v>
      </c>
      <c r="Q31" s="260">
        <v>75.5</v>
      </c>
      <c r="R31" s="166">
        <v>4512</v>
      </c>
      <c r="S31" s="166">
        <v>1455</v>
      </c>
      <c r="T31" s="182">
        <f t="shared" si="1"/>
        <v>880.12893232499903</v>
      </c>
      <c r="V31" s="153" t="e">
        <f t="shared" si="2"/>
        <v>#REF!</v>
      </c>
      <c r="W31" s="157">
        <f t="shared" si="0"/>
        <v>0</v>
      </c>
    </row>
    <row r="32" spans="1:23" x14ac:dyDescent="0.2">
      <c r="A32" s="153">
        <v>2003</v>
      </c>
      <c r="B32" s="153">
        <v>7</v>
      </c>
      <c r="C32" s="164">
        <v>500726.78399999999</v>
      </c>
      <c r="D32" s="173">
        <v>4.5960275764781944</v>
      </c>
      <c r="E32" s="173">
        <v>4.5960275764781944</v>
      </c>
      <c r="F32" s="173"/>
      <c r="G32" s="173">
        <v>31.67</v>
      </c>
      <c r="H32" s="154">
        <v>3440.5087500000004</v>
      </c>
      <c r="I32" s="190">
        <f>VLOOKUP($A32&amp;$B32,'KU Inputs'!$C$2:$I$505,MATCH('KU UtilityData'!I$1,'KU Inputs'!$C$1:$I$1,0),0)*1000</f>
        <v>4124384</v>
      </c>
      <c r="J32" s="190">
        <f>VLOOKUP($A32&amp;$B32,'KU Inputs'!$C$2:$I$505,MATCH('KU UtilityData'!J$1,'KU Inputs'!$C$1:$I$1,0),0)*1000</f>
        <v>1635353</v>
      </c>
      <c r="K32" s="246">
        <v>393572</v>
      </c>
      <c r="L32" s="255">
        <v>398838</v>
      </c>
      <c r="M32" s="164">
        <v>66588.485110844194</v>
      </c>
      <c r="N32" s="190">
        <f>VLOOKUP($A32&amp;$B32,'KU Inputs'!$C$2:$I$505,MATCH('KU UtilityData'!N$1,'KU Inputs'!$C$1:$I$1,0),0)</f>
        <v>114399.553</v>
      </c>
      <c r="O32" s="190" t="e">
        <f>VLOOKUP($A32&amp;$B32,'KU Inputs'!$C$2:$I$505,MATCH('KU UtilityData'!O$1,'KU Inputs'!$C$1:$I$1,0),0)</f>
        <v>#N/A</v>
      </c>
      <c r="P32" s="260">
        <v>4</v>
      </c>
      <c r="Q32" s="260">
        <v>284.05</v>
      </c>
      <c r="R32" s="166">
        <v>4512</v>
      </c>
      <c r="S32" s="166">
        <v>1455</v>
      </c>
      <c r="T32" s="182">
        <f t="shared" si="1"/>
        <v>1272.2622137753701</v>
      </c>
      <c r="V32" s="153" t="e">
        <f t="shared" si="2"/>
        <v>#REF!</v>
      </c>
      <c r="W32" s="157">
        <f t="shared" si="0"/>
        <v>0</v>
      </c>
    </row>
    <row r="33" spans="1:20" x14ac:dyDescent="0.2">
      <c r="A33" s="153">
        <v>2003</v>
      </c>
      <c r="B33" s="153">
        <v>8</v>
      </c>
      <c r="C33" s="164">
        <v>500182.27</v>
      </c>
      <c r="D33" s="173">
        <v>4.5960275764781944</v>
      </c>
      <c r="E33" s="173">
        <v>4.5960275764781944</v>
      </c>
      <c r="F33" s="173"/>
      <c r="G33" s="173">
        <v>30.48</v>
      </c>
      <c r="H33" s="154">
        <v>3442.9835000000003</v>
      </c>
      <c r="I33" s="190">
        <f>VLOOKUP($A33&amp;$B33,'KU Inputs'!$C$2:$I$505,MATCH('KU UtilityData'!I$1,'KU Inputs'!$C$1:$I$1,0),0)*1000</f>
        <v>4124384</v>
      </c>
      <c r="J33" s="190">
        <f>VLOOKUP($A33&amp;$B33,'KU Inputs'!$C$2:$I$505,MATCH('KU UtilityData'!J$1,'KU Inputs'!$C$1:$I$1,0),0)*1000</f>
        <v>1635353</v>
      </c>
      <c r="K33" s="246">
        <v>392665</v>
      </c>
      <c r="L33" s="255">
        <v>397899</v>
      </c>
      <c r="M33" s="164">
        <v>66588.485110844194</v>
      </c>
      <c r="N33" s="190">
        <f>VLOOKUP($A33&amp;$B33,'KU Inputs'!$C$2:$I$505,MATCH('KU UtilityData'!N$1,'KU Inputs'!$C$1:$I$1,0),0)</f>
        <v>114399.553</v>
      </c>
      <c r="O33" s="190" t="e">
        <f>VLOOKUP($A33&amp;$B33,'KU Inputs'!$C$2:$I$505,MATCH('KU UtilityData'!O$1,'KU Inputs'!$C$1:$I$1,0),0)</f>
        <v>#N/A</v>
      </c>
      <c r="P33" s="260">
        <v>0</v>
      </c>
      <c r="Q33" s="260">
        <v>280.2</v>
      </c>
      <c r="R33" s="166">
        <v>4512</v>
      </c>
      <c r="S33" s="166">
        <v>1455</v>
      </c>
      <c r="T33" s="182">
        <f t="shared" si="1"/>
        <v>1273.8142436937339</v>
      </c>
    </row>
    <row r="34" spans="1:20" x14ac:dyDescent="0.2">
      <c r="A34" s="153">
        <v>2003</v>
      </c>
      <c r="B34" s="153">
        <v>9</v>
      </c>
      <c r="C34" s="164">
        <v>493363.09499999997</v>
      </c>
      <c r="D34" s="173">
        <v>4.5960275764781944</v>
      </c>
      <c r="E34" s="173">
        <v>4.5960275764781944</v>
      </c>
      <c r="F34" s="173"/>
      <c r="G34" s="173">
        <v>31.86</v>
      </c>
      <c r="H34" s="154">
        <v>3445.4582500000006</v>
      </c>
      <c r="I34" s="190">
        <f>VLOOKUP($A34&amp;$B34,'KU Inputs'!$C$2:$I$505,MATCH('KU UtilityData'!I$1,'KU Inputs'!$C$1:$I$1,0),0)*1000</f>
        <v>4124384</v>
      </c>
      <c r="J34" s="190">
        <f>VLOOKUP($A34&amp;$B34,'KU Inputs'!$C$2:$I$505,MATCH('KU UtilityData'!J$1,'KU Inputs'!$C$1:$I$1,0),0)*1000</f>
        <v>1635353</v>
      </c>
      <c r="K34" s="246">
        <v>393979</v>
      </c>
      <c r="L34" s="255">
        <v>399116</v>
      </c>
      <c r="M34" s="164">
        <v>66588.485110844194</v>
      </c>
      <c r="N34" s="190">
        <f>VLOOKUP($A34&amp;$B34,'KU Inputs'!$C$2:$I$505,MATCH('KU UtilityData'!N$1,'KU Inputs'!$C$1:$I$1,0),0)</f>
        <v>114399.553</v>
      </c>
      <c r="O34" s="190" t="e">
        <f>VLOOKUP($A34&amp;$B34,'KU Inputs'!$C$2:$I$505,MATCH('KU UtilityData'!O$1,'KU Inputs'!$C$1:$I$1,0),0)</f>
        <v>#N/A</v>
      </c>
      <c r="P34" s="260">
        <v>7.3</v>
      </c>
      <c r="Q34" s="260">
        <v>243.15</v>
      </c>
      <c r="R34" s="166">
        <v>4512</v>
      </c>
      <c r="S34" s="166">
        <v>1455</v>
      </c>
      <c r="T34" s="182">
        <f t="shared" si="1"/>
        <v>1252.2573411273188</v>
      </c>
    </row>
    <row r="35" spans="1:20" x14ac:dyDescent="0.2">
      <c r="A35" s="153">
        <v>2003</v>
      </c>
      <c r="B35" s="153">
        <v>10</v>
      </c>
      <c r="C35" s="164">
        <v>334700.14600000001</v>
      </c>
      <c r="D35" s="173">
        <v>4.5960275764781944</v>
      </c>
      <c r="E35" s="173">
        <v>4.5960275764781944</v>
      </c>
      <c r="F35" s="173"/>
      <c r="G35" s="173">
        <v>30.38</v>
      </c>
      <c r="H35" s="154">
        <v>3447.9330000000004</v>
      </c>
      <c r="I35" s="190">
        <f>VLOOKUP($A35&amp;$B35,'KU Inputs'!$C$2:$I$505,MATCH('KU UtilityData'!I$1,'KU Inputs'!$C$1:$I$1,0),0)*1000</f>
        <v>4131609.9999999995</v>
      </c>
      <c r="J35" s="190">
        <f>VLOOKUP($A35&amp;$B35,'KU Inputs'!$C$2:$I$505,MATCH('KU UtilityData'!J$1,'KU Inputs'!$C$1:$I$1,0),0)*1000</f>
        <v>1638563</v>
      </c>
      <c r="K35" s="246">
        <v>394197</v>
      </c>
      <c r="L35" s="255">
        <v>399289</v>
      </c>
      <c r="M35" s="164">
        <v>67377.964886805799</v>
      </c>
      <c r="N35" s="190">
        <f>VLOOKUP($A35&amp;$B35,'KU Inputs'!$C$2:$I$505,MATCH('KU UtilityData'!N$1,'KU Inputs'!$C$1:$I$1,0),0)</f>
        <v>115855.962</v>
      </c>
      <c r="O35" s="190" t="e">
        <f>VLOOKUP($A35&amp;$B35,'KU Inputs'!$C$2:$I$505,MATCH('KU UtilityData'!O$1,'KU Inputs'!$C$1:$I$1,0),0)</f>
        <v>#N/A</v>
      </c>
      <c r="P35" s="260">
        <v>173.2</v>
      </c>
      <c r="Q35" s="260">
        <v>20.45</v>
      </c>
      <c r="R35" s="166">
        <v>4512</v>
      </c>
      <c r="S35" s="166">
        <v>1455</v>
      </c>
      <c r="T35" s="182">
        <f t="shared" si="1"/>
        <v>849.06822223406061</v>
      </c>
    </row>
    <row r="36" spans="1:20" x14ac:dyDescent="0.2">
      <c r="A36" s="153">
        <v>2003</v>
      </c>
      <c r="B36" s="153">
        <v>11</v>
      </c>
      <c r="C36" s="164">
        <v>341222.022</v>
      </c>
      <c r="D36" s="173">
        <v>4.5960275764781944</v>
      </c>
      <c r="E36" s="173">
        <v>4.5960275764781944</v>
      </c>
      <c r="F36" s="173"/>
      <c r="G36" s="173">
        <v>30.62</v>
      </c>
      <c r="H36" s="154">
        <v>3450.4077500000003</v>
      </c>
      <c r="I36" s="190">
        <f>VLOOKUP($A36&amp;$B36,'KU Inputs'!$C$2:$I$505,MATCH('KU UtilityData'!I$1,'KU Inputs'!$C$1:$I$1,0),0)*1000</f>
        <v>4131609.9999999995</v>
      </c>
      <c r="J36" s="190">
        <f>VLOOKUP($A36&amp;$B36,'KU Inputs'!$C$2:$I$505,MATCH('KU UtilityData'!J$1,'KU Inputs'!$C$1:$I$1,0),0)*1000</f>
        <v>1638563</v>
      </c>
      <c r="K36" s="246">
        <v>393779</v>
      </c>
      <c r="L36" s="255">
        <v>398826</v>
      </c>
      <c r="M36" s="164">
        <v>67377.964886805799</v>
      </c>
      <c r="N36" s="190">
        <f>VLOOKUP($A36&amp;$B36,'KU Inputs'!$C$2:$I$505,MATCH('KU UtilityData'!N$1,'KU Inputs'!$C$1:$I$1,0),0)</f>
        <v>115855.962</v>
      </c>
      <c r="O36" s="190" t="e">
        <f>VLOOKUP($A36&amp;$B36,'KU Inputs'!$C$2:$I$505,MATCH('KU UtilityData'!O$1,'KU Inputs'!$C$1:$I$1,0),0)</f>
        <v>#N/A</v>
      </c>
      <c r="P36" s="260">
        <v>303.8</v>
      </c>
      <c r="Q36" s="260">
        <v>6.55</v>
      </c>
      <c r="R36" s="166">
        <v>4512</v>
      </c>
      <c r="S36" s="166">
        <v>1455</v>
      </c>
      <c r="T36" s="182">
        <f t="shared" si="1"/>
        <v>866.53179067446467</v>
      </c>
    </row>
    <row r="37" spans="1:20" x14ac:dyDescent="0.2">
      <c r="A37" s="153">
        <v>2003</v>
      </c>
      <c r="B37" s="153">
        <v>12</v>
      </c>
      <c r="C37" s="164">
        <v>530946.74800000002</v>
      </c>
      <c r="D37" s="173">
        <v>4.5960275764781944</v>
      </c>
      <c r="E37" s="173">
        <v>4.5960275764781944</v>
      </c>
      <c r="F37" s="173"/>
      <c r="G37" s="173">
        <v>32.81</v>
      </c>
      <c r="H37" s="154">
        <v>3452.8825000000006</v>
      </c>
      <c r="I37" s="190">
        <f>VLOOKUP($A37&amp;$B37,'KU Inputs'!$C$2:$I$505,MATCH('KU UtilityData'!I$1,'KU Inputs'!$C$1:$I$1,0),0)*1000</f>
        <v>4131609.9999999995</v>
      </c>
      <c r="J37" s="190">
        <f>VLOOKUP($A37&amp;$B37,'KU Inputs'!$C$2:$I$505,MATCH('KU UtilityData'!J$1,'KU Inputs'!$C$1:$I$1,0),0)*1000</f>
        <v>1638563</v>
      </c>
      <c r="K37" s="246">
        <v>396152</v>
      </c>
      <c r="L37" s="255">
        <v>401162</v>
      </c>
      <c r="M37" s="164">
        <v>67377.964886805799</v>
      </c>
      <c r="N37" s="190">
        <f>VLOOKUP($A37&amp;$B37,'KU Inputs'!$C$2:$I$505,MATCH('KU UtilityData'!N$1,'KU Inputs'!$C$1:$I$1,0),0)</f>
        <v>115855.962</v>
      </c>
      <c r="O37" s="190" t="e">
        <f>VLOOKUP($A37&amp;$B37,'KU Inputs'!$C$2:$I$505,MATCH('KU UtilityData'!O$1,'KU Inputs'!$C$1:$I$1,0),0)</f>
        <v>#N/A</v>
      </c>
      <c r="P37" s="260">
        <v>714.95</v>
      </c>
      <c r="Q37" s="260">
        <v>0.45</v>
      </c>
      <c r="R37" s="166">
        <v>4512</v>
      </c>
      <c r="S37" s="166">
        <v>1455</v>
      </c>
      <c r="T37" s="182">
        <f t="shared" si="1"/>
        <v>1340.2601728629415</v>
      </c>
    </row>
    <row r="38" spans="1:20" x14ac:dyDescent="0.2">
      <c r="A38" s="153">
        <v>2004</v>
      </c>
      <c r="B38" s="153">
        <v>1</v>
      </c>
      <c r="C38" s="164">
        <v>682257.12</v>
      </c>
      <c r="D38" s="173">
        <v>5</v>
      </c>
      <c r="E38" s="173">
        <v>5</v>
      </c>
      <c r="F38" s="173"/>
      <c r="G38" s="173">
        <v>32.450000000000003</v>
      </c>
      <c r="H38" s="154">
        <v>3455.3572500000005</v>
      </c>
      <c r="I38" s="190">
        <f>VLOOKUP($A38&amp;$B38,'KU Inputs'!$C$2:$I$505,MATCH('KU UtilityData'!I$1,'KU Inputs'!$C$1:$I$1,0),0)*1000</f>
        <v>4138849</v>
      </c>
      <c r="J38" s="190">
        <f>VLOOKUP($A38&amp;$B38,'KU Inputs'!$C$2:$I$505,MATCH('KU UtilityData'!J$1,'KU Inputs'!$C$1:$I$1,0),0)*1000</f>
        <v>1641780</v>
      </c>
      <c r="K38" s="246">
        <v>398151</v>
      </c>
      <c r="L38" s="255">
        <v>403119</v>
      </c>
      <c r="M38" s="164">
        <v>67602.005679945403</v>
      </c>
      <c r="N38" s="190">
        <f>VLOOKUP($A38&amp;$B38,'KU Inputs'!$C$2:$I$505,MATCH('KU UtilityData'!N$1,'KU Inputs'!$C$1:$I$1,0),0)</f>
        <v>116263.073</v>
      </c>
      <c r="O38" s="190" t="e">
        <f>VLOOKUP($A38&amp;$B38,'KU Inputs'!$C$2:$I$505,MATCH('KU UtilityData'!O$1,'KU Inputs'!$C$1:$I$1,0),0)</f>
        <v>#N/A</v>
      </c>
      <c r="P38" s="260">
        <v>995.05</v>
      </c>
      <c r="Q38" s="260">
        <v>0</v>
      </c>
      <c r="R38" s="166">
        <v>4512</v>
      </c>
      <c r="S38" s="166">
        <v>1455</v>
      </c>
      <c r="T38" s="182">
        <f t="shared" si="1"/>
        <v>1713.5637484271042</v>
      </c>
    </row>
    <row r="39" spans="1:20" x14ac:dyDescent="0.2">
      <c r="A39" s="153">
        <v>2004</v>
      </c>
      <c r="B39" s="153">
        <v>2</v>
      </c>
      <c r="C39" s="164">
        <v>654596.57200000004</v>
      </c>
      <c r="D39" s="173">
        <v>5</v>
      </c>
      <c r="E39" s="173">
        <v>5</v>
      </c>
      <c r="F39" s="173"/>
      <c r="G39" s="173">
        <v>30.15</v>
      </c>
      <c r="H39" s="154">
        <v>3457.8320000000003</v>
      </c>
      <c r="I39" s="190">
        <f>VLOOKUP($A39&amp;$B39,'KU Inputs'!$C$2:$I$505,MATCH('KU UtilityData'!I$1,'KU Inputs'!$C$1:$I$1,0),0)*1000</f>
        <v>4138849</v>
      </c>
      <c r="J39" s="190">
        <f>VLOOKUP($A39&amp;$B39,'KU Inputs'!$C$2:$I$505,MATCH('KU UtilityData'!J$1,'KU Inputs'!$C$1:$I$1,0),0)*1000</f>
        <v>1641780</v>
      </c>
      <c r="K39" s="246">
        <v>397261</v>
      </c>
      <c r="L39" s="255">
        <v>402126</v>
      </c>
      <c r="M39" s="164">
        <v>67602.005679945403</v>
      </c>
      <c r="N39" s="190">
        <f>VLOOKUP($A39&amp;$B39,'KU Inputs'!$C$2:$I$505,MATCH('KU UtilityData'!N$1,'KU Inputs'!$C$1:$I$1,0),0)</f>
        <v>116263.073</v>
      </c>
      <c r="O39" s="190" t="e">
        <f>VLOOKUP($A39&amp;$B39,'KU Inputs'!$C$2:$I$505,MATCH('KU UtilityData'!O$1,'KU Inputs'!$C$1:$I$1,0),0)</f>
        <v>#N/A</v>
      </c>
      <c r="P39" s="260">
        <v>1026.55</v>
      </c>
      <c r="Q39" s="260">
        <v>0</v>
      </c>
      <c r="R39" s="166">
        <v>4512</v>
      </c>
      <c r="S39" s="166">
        <v>1455</v>
      </c>
      <c r="T39" s="182">
        <f t="shared" si="1"/>
        <v>1647.7745663430342</v>
      </c>
    </row>
    <row r="40" spans="1:20" x14ac:dyDescent="0.2">
      <c r="A40" s="153">
        <v>2004</v>
      </c>
      <c r="B40" s="153">
        <v>3</v>
      </c>
      <c r="C40" s="164">
        <v>488775.788</v>
      </c>
      <c r="D40" s="173">
        <v>5</v>
      </c>
      <c r="E40" s="173">
        <v>5</v>
      </c>
      <c r="F40" s="173"/>
      <c r="G40" s="173">
        <v>30.05</v>
      </c>
      <c r="H40" s="154">
        <v>3460.3067500000006</v>
      </c>
      <c r="I40" s="190">
        <f>VLOOKUP($A40&amp;$B40,'KU Inputs'!$C$2:$I$505,MATCH('KU UtilityData'!I$1,'KU Inputs'!$C$1:$I$1,0),0)*1000</f>
        <v>4138849</v>
      </c>
      <c r="J40" s="190">
        <f>VLOOKUP($A40&amp;$B40,'KU Inputs'!$C$2:$I$505,MATCH('KU UtilityData'!J$1,'KU Inputs'!$C$1:$I$1,0),0)*1000</f>
        <v>1641780</v>
      </c>
      <c r="K40" s="246">
        <v>397405</v>
      </c>
      <c r="L40" s="255">
        <v>402171</v>
      </c>
      <c r="M40" s="164">
        <v>67602.005679945403</v>
      </c>
      <c r="N40" s="190">
        <f>VLOOKUP($A40&amp;$B40,'KU Inputs'!$C$2:$I$505,MATCH('KU UtilityData'!N$1,'KU Inputs'!$C$1:$I$1,0),0)</f>
        <v>116263.073</v>
      </c>
      <c r="O40" s="190" t="e">
        <f>VLOOKUP($A40&amp;$B40,'KU Inputs'!$C$2:$I$505,MATCH('KU UtilityData'!O$1,'KU Inputs'!$C$1:$I$1,0),0)</f>
        <v>#N/A</v>
      </c>
      <c r="P40" s="260">
        <v>662.6</v>
      </c>
      <c r="Q40" s="260">
        <v>0.4</v>
      </c>
      <c r="R40" s="166">
        <v>4512</v>
      </c>
      <c r="S40" s="166">
        <v>1455</v>
      </c>
      <c r="T40" s="182">
        <f t="shared" si="1"/>
        <v>1229.9185667014758</v>
      </c>
    </row>
    <row r="41" spans="1:20" x14ac:dyDescent="0.2">
      <c r="A41" s="153">
        <v>2004</v>
      </c>
      <c r="B41" s="153">
        <v>4</v>
      </c>
      <c r="C41" s="164">
        <v>424797.68599999999</v>
      </c>
      <c r="D41" s="173">
        <v>5</v>
      </c>
      <c r="E41" s="173">
        <v>5</v>
      </c>
      <c r="F41" s="173"/>
      <c r="G41" s="173">
        <v>30.45</v>
      </c>
      <c r="H41" s="154">
        <v>3462.7815000000005</v>
      </c>
      <c r="I41" s="190">
        <f>VLOOKUP($A41&amp;$B41,'KU Inputs'!$C$2:$I$505,MATCH('KU UtilityData'!I$1,'KU Inputs'!$C$1:$I$1,0),0)*1000</f>
        <v>4146100.9999999995</v>
      </c>
      <c r="J41" s="190">
        <f>VLOOKUP($A41&amp;$B41,'KU Inputs'!$C$2:$I$505,MATCH('KU UtilityData'!J$1,'KU Inputs'!$C$1:$I$1,0),0)*1000</f>
        <v>1645002</v>
      </c>
      <c r="K41" s="246">
        <v>398079</v>
      </c>
      <c r="L41" s="255">
        <v>402767</v>
      </c>
      <c r="M41" s="164">
        <v>67861.087139863899</v>
      </c>
      <c r="N41" s="190">
        <f>VLOOKUP($A41&amp;$B41,'KU Inputs'!$C$2:$I$505,MATCH('KU UtilityData'!N$1,'KU Inputs'!$C$1:$I$1,0),0)</f>
        <v>116694.558</v>
      </c>
      <c r="O41" s="190" t="e">
        <f>VLOOKUP($A41&amp;$B41,'KU Inputs'!$C$2:$I$505,MATCH('KU UtilityData'!O$1,'KU Inputs'!$C$1:$I$1,0),0)</f>
        <v>#N/A</v>
      </c>
      <c r="P41" s="260">
        <v>449.2</v>
      </c>
      <c r="Q41" s="260">
        <v>7.55</v>
      </c>
      <c r="R41" s="166">
        <v>4512</v>
      </c>
      <c r="S41" s="166">
        <v>1455</v>
      </c>
      <c r="T41" s="182">
        <f t="shared" si="1"/>
        <v>1067.1190542580744</v>
      </c>
    </row>
    <row r="42" spans="1:20" x14ac:dyDescent="0.2">
      <c r="A42" s="153">
        <v>2004</v>
      </c>
      <c r="B42" s="153">
        <v>5</v>
      </c>
      <c r="C42" s="164">
        <v>365898.78200000001</v>
      </c>
      <c r="D42" s="173">
        <v>5</v>
      </c>
      <c r="E42" s="173">
        <v>5</v>
      </c>
      <c r="F42" s="173"/>
      <c r="G42" s="173">
        <v>29.8</v>
      </c>
      <c r="H42" s="154">
        <v>3465.2562500000004</v>
      </c>
      <c r="I42" s="190">
        <f>VLOOKUP($A42&amp;$B42,'KU Inputs'!$C$2:$I$505,MATCH('KU UtilityData'!I$1,'KU Inputs'!$C$1:$I$1,0),0)*1000</f>
        <v>4146100.9999999995</v>
      </c>
      <c r="J42" s="190">
        <f>VLOOKUP($A42&amp;$B42,'KU Inputs'!$C$2:$I$505,MATCH('KU UtilityData'!J$1,'KU Inputs'!$C$1:$I$1,0),0)*1000</f>
        <v>1645002</v>
      </c>
      <c r="K42" s="246">
        <v>396693</v>
      </c>
      <c r="L42" s="255">
        <v>401362</v>
      </c>
      <c r="M42" s="164">
        <v>67861.087139863899</v>
      </c>
      <c r="N42" s="190">
        <f>VLOOKUP($A42&amp;$B42,'KU Inputs'!$C$2:$I$505,MATCH('KU UtilityData'!N$1,'KU Inputs'!$C$1:$I$1,0),0)</f>
        <v>116694.558</v>
      </c>
      <c r="O42" s="190" t="e">
        <f>VLOOKUP($A42&amp;$B42,'KU Inputs'!$C$2:$I$505,MATCH('KU UtilityData'!O$1,'KU Inputs'!$C$1:$I$1,0),0)</f>
        <v>#N/A</v>
      </c>
      <c r="P42" s="260">
        <v>149.94999999999999</v>
      </c>
      <c r="Q42" s="260">
        <v>80.400000000000006</v>
      </c>
      <c r="R42" s="166">
        <v>4512</v>
      </c>
      <c r="S42" s="166">
        <v>1455</v>
      </c>
      <c r="T42" s="182">
        <f t="shared" si="1"/>
        <v>922.37267105797184</v>
      </c>
    </row>
    <row r="43" spans="1:20" x14ac:dyDescent="0.2">
      <c r="A43" s="153">
        <v>2004</v>
      </c>
      <c r="B43" s="153">
        <v>6</v>
      </c>
      <c r="C43" s="164">
        <v>447174.71100000001</v>
      </c>
      <c r="D43" s="173">
        <v>5</v>
      </c>
      <c r="E43" s="173">
        <v>5</v>
      </c>
      <c r="F43" s="173"/>
      <c r="G43" s="173">
        <v>30.75</v>
      </c>
      <c r="H43" s="154">
        <v>3467.7310000000007</v>
      </c>
      <c r="I43" s="190">
        <f>VLOOKUP($A43&amp;$B43,'KU Inputs'!$C$2:$I$505,MATCH('KU UtilityData'!I$1,'KU Inputs'!$C$1:$I$1,0),0)*1000</f>
        <v>4146100.9999999995</v>
      </c>
      <c r="J43" s="190">
        <f>VLOOKUP($A43&amp;$B43,'KU Inputs'!$C$2:$I$505,MATCH('KU UtilityData'!J$1,'KU Inputs'!$C$1:$I$1,0),0)*1000</f>
        <v>1645002</v>
      </c>
      <c r="K43" s="246">
        <v>397881</v>
      </c>
      <c r="L43" s="255">
        <v>402477</v>
      </c>
      <c r="M43" s="164">
        <v>67861.087139863899</v>
      </c>
      <c r="N43" s="190">
        <f>VLOOKUP($A43&amp;$B43,'KU Inputs'!$C$2:$I$505,MATCH('KU UtilityData'!N$1,'KU Inputs'!$C$1:$I$1,0),0)</f>
        <v>116694.558</v>
      </c>
      <c r="O43" s="190" t="e">
        <f>VLOOKUP($A43&amp;$B43,'KU Inputs'!$C$2:$I$505,MATCH('KU UtilityData'!O$1,'KU Inputs'!$C$1:$I$1,0),0)</f>
        <v>#N/A</v>
      </c>
      <c r="P43" s="260">
        <v>4.8</v>
      </c>
      <c r="Q43" s="260">
        <v>195.7</v>
      </c>
      <c r="R43" s="166">
        <v>4512</v>
      </c>
      <c r="S43" s="166">
        <v>1455</v>
      </c>
      <c r="T43" s="182">
        <f t="shared" si="1"/>
        <v>1123.890587889344</v>
      </c>
    </row>
    <row r="44" spans="1:20" x14ac:dyDescent="0.2">
      <c r="A44" s="153">
        <v>2004</v>
      </c>
      <c r="B44" s="153">
        <v>7</v>
      </c>
      <c r="C44" s="164">
        <v>521545.85499999998</v>
      </c>
      <c r="D44" s="173">
        <v>5</v>
      </c>
      <c r="E44" s="173">
        <v>5</v>
      </c>
      <c r="F44" s="173"/>
      <c r="G44" s="173">
        <v>30.65</v>
      </c>
      <c r="H44" s="154">
        <v>3470.6730000000007</v>
      </c>
      <c r="I44" s="190">
        <f>VLOOKUP($A44&amp;$B44,'KU Inputs'!$C$2:$I$505,MATCH('KU UtilityData'!I$1,'KU Inputs'!$C$1:$I$1,0),0)*1000</f>
        <v>4155231</v>
      </c>
      <c r="J44" s="190">
        <f>VLOOKUP($A44&amp;$B44,'KU Inputs'!$C$2:$I$505,MATCH('KU UtilityData'!J$1,'KU Inputs'!$C$1:$I$1,0),0)*1000</f>
        <v>1648232</v>
      </c>
      <c r="K44" s="246">
        <v>399016</v>
      </c>
      <c r="L44" s="255">
        <v>403573</v>
      </c>
      <c r="M44" s="164">
        <v>68434.917046964692</v>
      </c>
      <c r="N44" s="190">
        <f>VLOOKUP($A44&amp;$B44,'KU Inputs'!$C$2:$I$505,MATCH('KU UtilityData'!N$1,'KU Inputs'!$C$1:$I$1,0),0)</f>
        <v>117551.33500000001</v>
      </c>
      <c r="O44" s="190" t="e">
        <f>VLOOKUP($A44&amp;$B44,'KU Inputs'!$C$2:$I$505,MATCH('KU UtilityData'!O$1,'KU Inputs'!$C$1:$I$1,0),0)</f>
        <v>#N/A</v>
      </c>
      <c r="P44" s="260">
        <v>0.6</v>
      </c>
      <c r="Q44" s="260">
        <v>262.64999999999998</v>
      </c>
      <c r="R44" s="166">
        <v>4512</v>
      </c>
      <c r="S44" s="166">
        <v>1455</v>
      </c>
      <c r="T44" s="182">
        <f t="shared" si="1"/>
        <v>1307.0800544339074</v>
      </c>
    </row>
    <row r="45" spans="1:20" x14ac:dyDescent="0.2">
      <c r="A45" s="153">
        <v>2004</v>
      </c>
      <c r="B45" s="153">
        <v>8</v>
      </c>
      <c r="C45" s="164">
        <v>473871.16600000003</v>
      </c>
      <c r="D45" s="173">
        <v>5</v>
      </c>
      <c r="E45" s="173">
        <v>5</v>
      </c>
      <c r="F45" s="173"/>
      <c r="G45" s="173">
        <v>29.55</v>
      </c>
      <c r="H45" s="154">
        <v>3473.6150000000007</v>
      </c>
      <c r="I45" s="190">
        <f>VLOOKUP($A45&amp;$B45,'KU Inputs'!$C$2:$I$505,MATCH('KU UtilityData'!I$1,'KU Inputs'!$C$1:$I$1,0),0)*1000</f>
        <v>4155231</v>
      </c>
      <c r="J45" s="190">
        <f>VLOOKUP($A45&amp;$B45,'KU Inputs'!$C$2:$I$505,MATCH('KU UtilityData'!J$1,'KU Inputs'!$C$1:$I$1,0),0)*1000</f>
        <v>1648232</v>
      </c>
      <c r="K45" s="246">
        <v>397797</v>
      </c>
      <c r="L45" s="255">
        <v>401757</v>
      </c>
      <c r="M45" s="164">
        <v>68434.917046964692</v>
      </c>
      <c r="N45" s="190">
        <f>VLOOKUP($A45&amp;$B45,'KU Inputs'!$C$2:$I$505,MATCH('KU UtilityData'!N$1,'KU Inputs'!$C$1:$I$1,0),0)</f>
        <v>117551.33500000001</v>
      </c>
      <c r="O45" s="190" t="e">
        <f>VLOOKUP($A45&amp;$B45,'KU Inputs'!$C$2:$I$505,MATCH('KU UtilityData'!O$1,'KU Inputs'!$C$1:$I$1,0),0)</f>
        <v>#N/A</v>
      </c>
      <c r="P45" s="260">
        <v>7.6</v>
      </c>
      <c r="Q45" s="260">
        <v>196.55</v>
      </c>
      <c r="R45" s="166">
        <v>4512</v>
      </c>
      <c r="S45" s="166">
        <v>1455</v>
      </c>
      <c r="T45" s="182">
        <f t="shared" si="1"/>
        <v>1191.2386619305828</v>
      </c>
    </row>
    <row r="46" spans="1:20" x14ac:dyDescent="0.2">
      <c r="A46" s="153">
        <v>2004</v>
      </c>
      <c r="B46" s="153">
        <v>9</v>
      </c>
      <c r="C46" s="164">
        <v>456567.098</v>
      </c>
      <c r="D46" s="173">
        <v>5</v>
      </c>
      <c r="E46" s="173">
        <v>5</v>
      </c>
      <c r="F46" s="173"/>
      <c r="G46" s="173">
        <v>30.55</v>
      </c>
      <c r="H46" s="154">
        <v>3476.5570000000002</v>
      </c>
      <c r="I46" s="190">
        <f>VLOOKUP($A46&amp;$B46,'KU Inputs'!$C$2:$I$505,MATCH('KU UtilityData'!I$1,'KU Inputs'!$C$1:$I$1,0),0)*1000</f>
        <v>4155231</v>
      </c>
      <c r="J46" s="190">
        <f>VLOOKUP($A46&amp;$B46,'KU Inputs'!$C$2:$I$505,MATCH('KU UtilityData'!J$1,'KU Inputs'!$C$1:$I$1,0),0)*1000</f>
        <v>1648232</v>
      </c>
      <c r="K46" s="246">
        <v>398158</v>
      </c>
      <c r="L46" s="255">
        <v>400716</v>
      </c>
      <c r="M46" s="164">
        <v>68434.917046964692</v>
      </c>
      <c r="N46" s="190">
        <f>VLOOKUP($A46&amp;$B46,'KU Inputs'!$C$2:$I$505,MATCH('KU UtilityData'!N$1,'KU Inputs'!$C$1:$I$1,0),0)</f>
        <v>117551.33500000001</v>
      </c>
      <c r="O46" s="190" t="e">
        <f>VLOOKUP($A46&amp;$B46,'KU Inputs'!$C$2:$I$505,MATCH('KU UtilityData'!O$1,'KU Inputs'!$C$1:$I$1,0),0)</f>
        <v>#N/A</v>
      </c>
      <c r="P46" s="260">
        <v>10.1</v>
      </c>
      <c r="Q46" s="260">
        <v>192.55</v>
      </c>
      <c r="R46" s="166">
        <v>4512</v>
      </c>
      <c r="S46" s="166">
        <v>1455</v>
      </c>
      <c r="T46" s="182">
        <f t="shared" si="1"/>
        <v>1146.6982906283436</v>
      </c>
    </row>
    <row r="47" spans="1:20" x14ac:dyDescent="0.2">
      <c r="A47" s="153">
        <v>2004</v>
      </c>
      <c r="B47" s="153">
        <v>10</v>
      </c>
      <c r="C47" s="164">
        <v>355424.22700000001</v>
      </c>
      <c r="D47" s="173">
        <v>5</v>
      </c>
      <c r="E47" s="173">
        <v>5</v>
      </c>
      <c r="F47" s="173"/>
      <c r="G47" s="173">
        <v>29.65</v>
      </c>
      <c r="H47" s="154">
        <v>3479.4990000000003</v>
      </c>
      <c r="I47" s="190">
        <f>VLOOKUP($A47&amp;$B47,'KU Inputs'!$C$2:$I$505,MATCH('KU UtilityData'!I$1,'KU Inputs'!$C$1:$I$1,0),0)*1000</f>
        <v>4164381.0000000005</v>
      </c>
      <c r="J47" s="190">
        <f>VLOOKUP($A47&amp;$B47,'KU Inputs'!$C$2:$I$505,MATCH('KU UtilityData'!J$1,'KU Inputs'!$C$1:$I$1,0),0)*1000</f>
        <v>1651467</v>
      </c>
      <c r="K47" s="246">
        <v>399637</v>
      </c>
      <c r="L47" s="255">
        <v>401100</v>
      </c>
      <c r="M47" s="164">
        <v>69307.734943339397</v>
      </c>
      <c r="N47" s="190">
        <f>VLOOKUP($A47&amp;$B47,'KU Inputs'!$C$2:$I$505,MATCH('KU UtilityData'!N$1,'KU Inputs'!$C$1:$I$1,0),0)</f>
        <v>118914.68</v>
      </c>
      <c r="O47" s="190" t="e">
        <f>VLOOKUP($A47&amp;$B47,'KU Inputs'!$C$2:$I$505,MATCH('KU UtilityData'!O$1,'KU Inputs'!$C$1:$I$1,0),0)</f>
        <v>#N/A</v>
      </c>
      <c r="P47" s="260">
        <v>119.1</v>
      </c>
      <c r="Q47" s="260">
        <v>50.2</v>
      </c>
      <c r="R47" s="166">
        <v>4512</v>
      </c>
      <c r="S47" s="166">
        <v>1455</v>
      </c>
      <c r="T47" s="182">
        <f t="shared" si="1"/>
        <v>889.36766865930838</v>
      </c>
    </row>
    <row r="48" spans="1:20" x14ac:dyDescent="0.2">
      <c r="A48" s="153">
        <v>2004</v>
      </c>
      <c r="B48" s="153">
        <v>11</v>
      </c>
      <c r="C48" s="164">
        <v>344393.125</v>
      </c>
      <c r="D48" s="173">
        <v>5</v>
      </c>
      <c r="E48" s="173">
        <v>5</v>
      </c>
      <c r="F48" s="173"/>
      <c r="G48" s="173">
        <v>29.8</v>
      </c>
      <c r="H48" s="154">
        <v>3482.4410000000003</v>
      </c>
      <c r="I48" s="190">
        <f>VLOOKUP($A48&amp;$B48,'KU Inputs'!$C$2:$I$505,MATCH('KU UtilityData'!I$1,'KU Inputs'!$C$1:$I$1,0),0)*1000</f>
        <v>4164381.0000000005</v>
      </c>
      <c r="J48" s="190">
        <f>VLOOKUP($A48&amp;$B48,'KU Inputs'!$C$2:$I$505,MATCH('KU UtilityData'!J$1,'KU Inputs'!$C$1:$I$1,0),0)*1000</f>
        <v>1651467</v>
      </c>
      <c r="K48" s="246">
        <v>399577</v>
      </c>
      <c r="L48" s="255">
        <v>400268</v>
      </c>
      <c r="M48" s="164">
        <v>69307.734943339397</v>
      </c>
      <c r="N48" s="190">
        <f>VLOOKUP($A48&amp;$B48,'KU Inputs'!$C$2:$I$505,MATCH('KU UtilityData'!N$1,'KU Inputs'!$C$1:$I$1,0),0)</f>
        <v>118914.68</v>
      </c>
      <c r="O48" s="190" t="e">
        <f>VLOOKUP($A48&amp;$B48,'KU Inputs'!$C$2:$I$505,MATCH('KU UtilityData'!O$1,'KU Inputs'!$C$1:$I$1,0),0)</f>
        <v>#N/A</v>
      </c>
      <c r="P48" s="260">
        <v>266.45</v>
      </c>
      <c r="Q48" s="260">
        <v>8.85</v>
      </c>
      <c r="R48" s="166">
        <v>4512</v>
      </c>
      <c r="S48" s="166">
        <v>1455</v>
      </c>
      <c r="T48" s="182">
        <f t="shared" si="1"/>
        <v>861.89426568596298</v>
      </c>
    </row>
    <row r="49" spans="1:20" x14ac:dyDescent="0.2">
      <c r="A49" s="153">
        <v>2004</v>
      </c>
      <c r="B49" s="153">
        <v>12</v>
      </c>
      <c r="C49" s="164">
        <v>521174.141</v>
      </c>
      <c r="D49" s="173">
        <v>5</v>
      </c>
      <c r="E49" s="173">
        <v>5</v>
      </c>
      <c r="F49" s="173"/>
      <c r="G49" s="173">
        <v>31.5</v>
      </c>
      <c r="H49" s="154">
        <v>3485.3830000000003</v>
      </c>
      <c r="I49" s="190">
        <f>VLOOKUP($A49&amp;$B49,'KU Inputs'!$C$2:$I$505,MATCH('KU UtilityData'!I$1,'KU Inputs'!$C$1:$I$1,0),0)*1000</f>
        <v>4164381.0000000005</v>
      </c>
      <c r="J49" s="190">
        <f>VLOOKUP($A49&amp;$B49,'KU Inputs'!$C$2:$I$505,MATCH('KU UtilityData'!J$1,'KU Inputs'!$C$1:$I$1,0),0)*1000</f>
        <v>1651467</v>
      </c>
      <c r="K49" s="246">
        <v>400941</v>
      </c>
      <c r="L49" s="255">
        <v>400971</v>
      </c>
      <c r="M49" s="164">
        <v>69307.734943339397</v>
      </c>
      <c r="N49" s="190">
        <f>VLOOKUP($A49&amp;$B49,'KU Inputs'!$C$2:$I$505,MATCH('KU UtilityData'!N$1,'KU Inputs'!$C$1:$I$1,0),0)</f>
        <v>118914.68</v>
      </c>
      <c r="O49" s="190" t="e">
        <f>VLOOKUP($A49&amp;$B49,'KU Inputs'!$C$2:$I$505,MATCH('KU UtilityData'!O$1,'KU Inputs'!$C$1:$I$1,0),0)</f>
        <v>#N/A</v>
      </c>
      <c r="P49" s="260">
        <v>652.20000000000005</v>
      </c>
      <c r="Q49" s="260">
        <v>0.15</v>
      </c>
      <c r="R49" s="166">
        <v>4512</v>
      </c>
      <c r="S49" s="166">
        <v>1455</v>
      </c>
      <c r="T49" s="182">
        <f t="shared" si="1"/>
        <v>1299.8773909378187</v>
      </c>
    </row>
    <row r="50" spans="1:20" x14ac:dyDescent="0.2">
      <c r="A50" s="153">
        <v>2005</v>
      </c>
      <c r="B50" s="153">
        <v>1</v>
      </c>
      <c r="C50" s="164">
        <v>652167.62399999995</v>
      </c>
      <c r="D50" s="173">
        <v>5.1824420638157411</v>
      </c>
      <c r="E50" s="173">
        <v>5.1824420638157411</v>
      </c>
      <c r="F50" s="173"/>
      <c r="G50" s="173">
        <v>32.5</v>
      </c>
      <c r="H50" s="154">
        <v>3488.3250000000003</v>
      </c>
      <c r="I50" s="190">
        <f>VLOOKUP($A50&amp;$B50,'KU Inputs'!$C$2:$I$505,MATCH('KU UtilityData'!I$1,'KU Inputs'!$C$1:$I$1,0),0)*1000</f>
        <v>4173551.9999999995</v>
      </c>
      <c r="J50" s="190">
        <f>VLOOKUP($A50&amp;$B50,'KU Inputs'!$C$2:$I$505,MATCH('KU UtilityData'!J$1,'KU Inputs'!$C$1:$I$1,0),0)*1000</f>
        <v>1654709</v>
      </c>
      <c r="K50" s="246">
        <v>403590</v>
      </c>
      <c r="L50" s="255">
        <v>402833</v>
      </c>
      <c r="M50" s="164">
        <v>69321.409113322501</v>
      </c>
      <c r="N50" s="190">
        <f>VLOOKUP($A50&amp;$B50,'KU Inputs'!$C$2:$I$505,MATCH('KU UtilityData'!N$1,'KU Inputs'!$C$1:$I$1,0),0)</f>
        <v>118334.43</v>
      </c>
      <c r="O50" s="190" t="e">
        <f>VLOOKUP($A50&amp;$B50,'KU Inputs'!$C$2:$I$505,MATCH('KU UtilityData'!O$1,'KU Inputs'!$C$1:$I$1,0),0)</f>
        <v>#N/A</v>
      </c>
      <c r="P50" s="260">
        <v>869.65</v>
      </c>
      <c r="Q50" s="260">
        <v>0</v>
      </c>
      <c r="R50" s="166">
        <v>4512</v>
      </c>
      <c r="S50" s="166">
        <v>1455</v>
      </c>
      <c r="T50" s="182">
        <f t="shared" si="1"/>
        <v>1615.9162119973239</v>
      </c>
    </row>
    <row r="51" spans="1:20" x14ac:dyDescent="0.2">
      <c r="A51" s="153">
        <v>2005</v>
      </c>
      <c r="B51" s="153">
        <v>2</v>
      </c>
      <c r="C51" s="164">
        <v>601921.18799999997</v>
      </c>
      <c r="D51" s="173">
        <v>5.1824420638157411</v>
      </c>
      <c r="E51" s="173">
        <v>5.1824420638157411</v>
      </c>
      <c r="F51" s="173"/>
      <c r="G51" s="173">
        <v>29.4</v>
      </c>
      <c r="H51" s="154">
        <v>3491.2670000000003</v>
      </c>
      <c r="I51" s="190">
        <f>VLOOKUP($A51&amp;$B51,'KU Inputs'!$C$2:$I$505,MATCH('KU UtilityData'!I$1,'KU Inputs'!$C$1:$I$1,0),0)*1000</f>
        <v>4173551.9999999995</v>
      </c>
      <c r="J51" s="190">
        <f>VLOOKUP($A51&amp;$B51,'KU Inputs'!$C$2:$I$505,MATCH('KU UtilityData'!J$1,'KU Inputs'!$C$1:$I$1,0),0)*1000</f>
        <v>1654709</v>
      </c>
      <c r="K51" s="246">
        <v>402020</v>
      </c>
      <c r="L51" s="255">
        <v>400431</v>
      </c>
      <c r="M51" s="164">
        <v>69321.409113322501</v>
      </c>
      <c r="N51" s="190">
        <f>VLOOKUP($A51&amp;$B51,'KU Inputs'!$C$2:$I$505,MATCH('KU UtilityData'!N$1,'KU Inputs'!$C$1:$I$1,0),0)</f>
        <v>118334.43</v>
      </c>
      <c r="O51" s="190" t="e">
        <f>VLOOKUP($A51&amp;$B51,'KU Inputs'!$C$2:$I$505,MATCH('KU UtilityData'!O$1,'KU Inputs'!$C$1:$I$1,0),0)</f>
        <v>#N/A</v>
      </c>
      <c r="P51" s="260">
        <v>856.3</v>
      </c>
      <c r="Q51" s="260">
        <v>0</v>
      </c>
      <c r="R51" s="166">
        <v>4512</v>
      </c>
      <c r="S51" s="166">
        <v>1455</v>
      </c>
      <c r="T51" s="182">
        <f t="shared" si="1"/>
        <v>1497.2418984130143</v>
      </c>
    </row>
    <row r="52" spans="1:20" x14ac:dyDescent="0.2">
      <c r="A52" s="153">
        <v>2005</v>
      </c>
      <c r="B52" s="153">
        <v>3</v>
      </c>
      <c r="C52" s="164">
        <v>557602.72</v>
      </c>
      <c r="D52" s="173">
        <v>5.1824420638157411</v>
      </c>
      <c r="E52" s="173">
        <v>5.1824420638157411</v>
      </c>
      <c r="F52" s="173"/>
      <c r="G52" s="173">
        <v>29.7</v>
      </c>
      <c r="H52" s="154">
        <v>3494.2090000000003</v>
      </c>
      <c r="I52" s="190">
        <f>VLOOKUP($A52&amp;$B52,'KU Inputs'!$C$2:$I$505,MATCH('KU UtilityData'!I$1,'KU Inputs'!$C$1:$I$1,0),0)*1000</f>
        <v>4173551.9999999995</v>
      </c>
      <c r="J52" s="190">
        <f>VLOOKUP($A52&amp;$B52,'KU Inputs'!$C$2:$I$505,MATCH('KU UtilityData'!J$1,'KU Inputs'!$C$1:$I$1,0),0)*1000</f>
        <v>1654709</v>
      </c>
      <c r="K52" s="246">
        <v>402944</v>
      </c>
      <c r="L52" s="255">
        <v>401220</v>
      </c>
      <c r="M52" s="164">
        <v>69321.409113322501</v>
      </c>
      <c r="N52" s="190">
        <f>VLOOKUP($A52&amp;$B52,'KU Inputs'!$C$2:$I$505,MATCH('KU UtilityData'!N$1,'KU Inputs'!$C$1:$I$1,0),0)</f>
        <v>118334.43</v>
      </c>
      <c r="O52" s="190" t="e">
        <f>VLOOKUP($A52&amp;$B52,'KU Inputs'!$C$2:$I$505,MATCH('KU UtilityData'!O$1,'KU Inputs'!$C$1:$I$1,0),0)</f>
        <v>#N/A</v>
      </c>
      <c r="P52" s="260">
        <v>793.35</v>
      </c>
      <c r="Q52" s="260">
        <v>0</v>
      </c>
      <c r="R52" s="166">
        <v>4512</v>
      </c>
      <c r="S52" s="166">
        <v>1455</v>
      </c>
      <c r="T52" s="182">
        <f t="shared" si="1"/>
        <v>1383.8218710292249</v>
      </c>
    </row>
    <row r="53" spans="1:20" x14ac:dyDescent="0.2">
      <c r="A53" s="153">
        <v>2005</v>
      </c>
      <c r="B53" s="153">
        <v>4</v>
      </c>
      <c r="C53" s="164">
        <v>430368.53600000002</v>
      </c>
      <c r="D53" s="173">
        <v>5.1824420638157411</v>
      </c>
      <c r="E53" s="173">
        <v>5.1824420638157411</v>
      </c>
      <c r="F53" s="173"/>
      <c r="G53" s="173">
        <v>30.5</v>
      </c>
      <c r="H53" s="154">
        <v>3497.1510000000003</v>
      </c>
      <c r="I53" s="190">
        <f>VLOOKUP($A53&amp;$B53,'KU Inputs'!$C$2:$I$505,MATCH('KU UtilityData'!I$1,'KU Inputs'!$C$1:$I$1,0),0)*1000</f>
        <v>4182742</v>
      </c>
      <c r="J53" s="190">
        <f>VLOOKUP($A53&amp;$B53,'KU Inputs'!$C$2:$I$505,MATCH('KU UtilityData'!J$1,'KU Inputs'!$C$1:$I$1,0),0)*1000</f>
        <v>1657957</v>
      </c>
      <c r="K53" s="246">
        <v>402741</v>
      </c>
      <c r="L53" s="255">
        <v>400997</v>
      </c>
      <c r="M53" s="164">
        <v>69780.777624331997</v>
      </c>
      <c r="N53" s="190">
        <f>VLOOKUP($A53&amp;$B53,'KU Inputs'!$C$2:$I$505,MATCH('KU UtilityData'!N$1,'KU Inputs'!$C$1:$I$1,0),0)</f>
        <v>119333.414</v>
      </c>
      <c r="O53" s="190" t="e">
        <f>VLOOKUP($A53&amp;$B53,'KU Inputs'!$C$2:$I$505,MATCH('KU UtilityData'!O$1,'KU Inputs'!$C$1:$I$1,0),0)</f>
        <v>#N/A</v>
      </c>
      <c r="P53" s="260">
        <v>429.25</v>
      </c>
      <c r="Q53" s="260">
        <v>5.85</v>
      </c>
      <c r="R53" s="166">
        <v>4512</v>
      </c>
      <c r="S53" s="166">
        <v>1455</v>
      </c>
      <c r="T53" s="182">
        <f t="shared" si="1"/>
        <v>1068.5987669494787</v>
      </c>
    </row>
    <row r="54" spans="1:20" x14ac:dyDescent="0.2">
      <c r="A54" s="153">
        <v>2005</v>
      </c>
      <c r="B54" s="153">
        <v>5</v>
      </c>
      <c r="C54" s="164">
        <v>361076.33</v>
      </c>
      <c r="D54" s="173">
        <v>5.1824420638157411</v>
      </c>
      <c r="E54" s="173">
        <v>5.1824420638157411</v>
      </c>
      <c r="F54" s="173"/>
      <c r="G54" s="173">
        <v>28</v>
      </c>
      <c r="H54" s="154">
        <v>3500.0930000000003</v>
      </c>
      <c r="I54" s="190">
        <f>VLOOKUP($A54&amp;$B54,'KU Inputs'!$C$2:$I$505,MATCH('KU UtilityData'!I$1,'KU Inputs'!$C$1:$I$1,0),0)*1000</f>
        <v>4182742</v>
      </c>
      <c r="J54" s="190">
        <f>VLOOKUP($A54&amp;$B54,'KU Inputs'!$C$2:$I$505,MATCH('KU UtilityData'!J$1,'KU Inputs'!$C$1:$I$1,0),0)*1000</f>
        <v>1657957</v>
      </c>
      <c r="K54" s="246">
        <v>402471</v>
      </c>
      <c r="L54" s="255">
        <v>400723</v>
      </c>
      <c r="M54" s="164">
        <v>69780.777624331997</v>
      </c>
      <c r="N54" s="190">
        <f>VLOOKUP($A54&amp;$B54,'KU Inputs'!$C$2:$I$505,MATCH('KU UtilityData'!N$1,'KU Inputs'!$C$1:$I$1,0),0)</f>
        <v>119333.414</v>
      </c>
      <c r="O54" s="190" t="e">
        <f>VLOOKUP($A54&amp;$B54,'KU Inputs'!$C$2:$I$505,MATCH('KU UtilityData'!O$1,'KU Inputs'!$C$1:$I$1,0),0)</f>
        <v>#N/A</v>
      </c>
      <c r="P54" s="260">
        <v>249.4</v>
      </c>
      <c r="Q54" s="260">
        <v>25.3</v>
      </c>
      <c r="R54" s="166">
        <v>4512</v>
      </c>
      <c r="S54" s="166">
        <v>1455</v>
      </c>
      <c r="T54" s="182">
        <f t="shared" si="1"/>
        <v>897.14868897386407</v>
      </c>
    </row>
    <row r="55" spans="1:20" x14ac:dyDescent="0.2">
      <c r="A55" s="153">
        <v>2005</v>
      </c>
      <c r="B55" s="153">
        <v>6</v>
      </c>
      <c r="C55" s="164">
        <v>424942.36200000002</v>
      </c>
      <c r="D55" s="173">
        <v>5.1824420638157411</v>
      </c>
      <c r="E55" s="173">
        <v>5.1824420638157411</v>
      </c>
      <c r="F55" s="173"/>
      <c r="G55" s="173">
        <v>30.8</v>
      </c>
      <c r="H55" s="154">
        <v>3503.0349999999999</v>
      </c>
      <c r="I55" s="190">
        <f>VLOOKUP($A55&amp;$B55,'KU Inputs'!$C$2:$I$505,MATCH('KU UtilityData'!I$1,'KU Inputs'!$C$1:$I$1,0),0)*1000</f>
        <v>4182742</v>
      </c>
      <c r="J55" s="190">
        <f>VLOOKUP($A55&amp;$B55,'KU Inputs'!$C$2:$I$505,MATCH('KU UtilityData'!J$1,'KU Inputs'!$C$1:$I$1,0),0)*1000</f>
        <v>1657957</v>
      </c>
      <c r="K55" s="246">
        <v>402987</v>
      </c>
      <c r="L55" s="255">
        <v>401251</v>
      </c>
      <c r="M55" s="164">
        <v>69780.777624331997</v>
      </c>
      <c r="N55" s="190">
        <f>VLOOKUP($A55&amp;$B55,'KU Inputs'!$C$2:$I$505,MATCH('KU UtilityData'!N$1,'KU Inputs'!$C$1:$I$1,0),0)</f>
        <v>119333.414</v>
      </c>
      <c r="O55" s="190" t="e">
        <f>VLOOKUP($A55&amp;$B55,'KU Inputs'!$C$2:$I$505,MATCH('KU UtilityData'!O$1,'KU Inputs'!$C$1:$I$1,0),0)</f>
        <v>#N/A</v>
      </c>
      <c r="P55" s="260">
        <v>39.6</v>
      </c>
      <c r="Q55" s="260">
        <v>153.44999999999999</v>
      </c>
      <c r="R55" s="166">
        <v>4512</v>
      </c>
      <c r="S55" s="166">
        <v>1455</v>
      </c>
      <c r="T55" s="182">
        <f t="shared" si="1"/>
        <v>1054.4815639214169</v>
      </c>
    </row>
    <row r="56" spans="1:20" x14ac:dyDescent="0.2">
      <c r="A56" s="153">
        <v>2005</v>
      </c>
      <c r="B56" s="153">
        <v>7</v>
      </c>
      <c r="C56" s="164">
        <v>585237.576</v>
      </c>
      <c r="D56" s="173">
        <v>5.1824420638157411</v>
      </c>
      <c r="E56" s="173">
        <v>5.1824420638157411</v>
      </c>
      <c r="F56" s="173"/>
      <c r="G56" s="173">
        <v>30.6</v>
      </c>
      <c r="H56" s="154">
        <v>3504.9511666666667</v>
      </c>
      <c r="I56" s="190">
        <f>VLOOKUP($A56&amp;$B56,'KU Inputs'!$C$2:$I$505,MATCH('KU UtilityData'!I$1,'KU Inputs'!$C$1:$I$1,0),0)*1000</f>
        <v>4191837.0000000005</v>
      </c>
      <c r="J56" s="190">
        <f>VLOOKUP($A56&amp;$B56,'KU Inputs'!$C$2:$I$505,MATCH('KU UtilityData'!J$1,'KU Inputs'!$C$1:$I$1,0),0)*1000</f>
        <v>1657652</v>
      </c>
      <c r="K56" s="246">
        <v>403765</v>
      </c>
      <c r="L56" s="255">
        <v>402025</v>
      </c>
      <c r="M56" s="164">
        <v>69690.554847379302</v>
      </c>
      <c r="N56" s="190">
        <f>VLOOKUP($A56&amp;$B56,'KU Inputs'!$C$2:$I$505,MATCH('KU UtilityData'!N$1,'KU Inputs'!$C$1:$I$1,0),0)</f>
        <v>119379.652</v>
      </c>
      <c r="O56" s="190" t="e">
        <f>VLOOKUP($A56&amp;$B56,'KU Inputs'!$C$2:$I$505,MATCH('KU UtilityData'!O$1,'KU Inputs'!$C$1:$I$1,0),0)</f>
        <v>#N/A</v>
      </c>
      <c r="P56" s="260">
        <v>0</v>
      </c>
      <c r="Q56" s="260">
        <v>379</v>
      </c>
      <c r="R56" s="166">
        <v>4512</v>
      </c>
      <c r="S56" s="166">
        <v>1455</v>
      </c>
      <c r="T56" s="182">
        <f t="shared" si="1"/>
        <v>1449.4509826260326</v>
      </c>
    </row>
    <row r="57" spans="1:20" x14ac:dyDescent="0.2">
      <c r="A57" s="153">
        <v>2005</v>
      </c>
      <c r="B57" s="153">
        <v>8</v>
      </c>
      <c r="C57" s="164">
        <v>583771.62</v>
      </c>
      <c r="D57" s="173">
        <v>5.1824420638157411</v>
      </c>
      <c r="E57" s="173">
        <v>5.1824420638157411</v>
      </c>
      <c r="F57" s="173"/>
      <c r="G57" s="173">
        <v>29.6</v>
      </c>
      <c r="H57" s="154">
        <v>3506.8673333333331</v>
      </c>
      <c r="I57" s="190">
        <f>VLOOKUP($A57&amp;$B57,'KU Inputs'!$C$2:$I$505,MATCH('KU UtilityData'!I$1,'KU Inputs'!$C$1:$I$1,0),0)*1000</f>
        <v>4191837.0000000005</v>
      </c>
      <c r="J57" s="190">
        <f>VLOOKUP($A57&amp;$B57,'KU Inputs'!$C$2:$I$505,MATCH('KU UtilityData'!J$1,'KU Inputs'!$C$1:$I$1,0),0)*1000</f>
        <v>1657652</v>
      </c>
      <c r="K57" s="246">
        <v>404660</v>
      </c>
      <c r="L57" s="255">
        <v>401556</v>
      </c>
      <c r="M57" s="164">
        <v>69690.554847379302</v>
      </c>
      <c r="N57" s="190">
        <f>VLOOKUP($A57&amp;$B57,'KU Inputs'!$C$2:$I$505,MATCH('KU UtilityData'!N$1,'KU Inputs'!$C$1:$I$1,0),0)</f>
        <v>119379.652</v>
      </c>
      <c r="O57" s="190" t="e">
        <f>VLOOKUP($A57&amp;$B57,'KU Inputs'!$C$2:$I$505,MATCH('KU UtilityData'!O$1,'KU Inputs'!$C$1:$I$1,0),0)</f>
        <v>#N/A</v>
      </c>
      <c r="P57" s="260">
        <v>0</v>
      </c>
      <c r="Q57" s="260">
        <v>407.1</v>
      </c>
      <c r="R57" s="166">
        <v>4512</v>
      </c>
      <c r="S57" s="166">
        <v>1455</v>
      </c>
      <c r="T57" s="182">
        <f t="shared" si="1"/>
        <v>1442.622497899471</v>
      </c>
    </row>
    <row r="58" spans="1:20" x14ac:dyDescent="0.2">
      <c r="A58" s="153">
        <v>2005</v>
      </c>
      <c r="B58" s="153">
        <v>9</v>
      </c>
      <c r="C58" s="164">
        <v>552628</v>
      </c>
      <c r="D58" s="173">
        <v>5.1824420638157411</v>
      </c>
      <c r="E58" s="173">
        <v>5.1824420638157411</v>
      </c>
      <c r="F58" s="173"/>
      <c r="G58" s="173">
        <v>30.55</v>
      </c>
      <c r="H58" s="154">
        <v>3508.7834999999995</v>
      </c>
      <c r="I58" s="190">
        <f>VLOOKUP($A58&amp;$B58,'KU Inputs'!$C$2:$I$505,MATCH('KU UtilityData'!I$1,'KU Inputs'!$C$1:$I$1,0),0)*1000</f>
        <v>4191837.0000000005</v>
      </c>
      <c r="J58" s="190">
        <f>VLOOKUP($A58&amp;$B58,'KU Inputs'!$C$2:$I$505,MATCH('KU UtilityData'!J$1,'KU Inputs'!$C$1:$I$1,0),0)*1000</f>
        <v>1657652</v>
      </c>
      <c r="K58" s="246">
        <v>405191</v>
      </c>
      <c r="L58" s="255">
        <v>403062</v>
      </c>
      <c r="M58" s="164">
        <v>69690.554847379302</v>
      </c>
      <c r="N58" s="190">
        <f>VLOOKUP($A58&amp;$B58,'KU Inputs'!$C$2:$I$505,MATCH('KU UtilityData'!N$1,'KU Inputs'!$C$1:$I$1,0),0)</f>
        <v>119379.652</v>
      </c>
      <c r="O58" s="190" t="e">
        <f>VLOOKUP($A58&amp;$B58,'KU Inputs'!$C$2:$I$505,MATCH('KU UtilityData'!O$1,'KU Inputs'!$C$1:$I$1,0),0)</f>
        <v>#N/A</v>
      </c>
      <c r="P58" s="260">
        <v>0</v>
      </c>
      <c r="Q58" s="260">
        <v>326</v>
      </c>
      <c r="R58" s="166">
        <v>4512</v>
      </c>
      <c r="S58" s="166">
        <v>1455</v>
      </c>
      <c r="T58" s="182">
        <f t="shared" si="1"/>
        <v>1363.870372244201</v>
      </c>
    </row>
    <row r="59" spans="1:20" x14ac:dyDescent="0.2">
      <c r="A59" s="153">
        <v>2005</v>
      </c>
      <c r="B59" s="153">
        <v>10</v>
      </c>
      <c r="C59" s="164">
        <v>409184.223</v>
      </c>
      <c r="D59" s="173">
        <v>5.1824420638157411</v>
      </c>
      <c r="E59" s="173">
        <v>5.1824420638157411</v>
      </c>
      <c r="F59" s="173"/>
      <c r="G59" s="173">
        <v>29.75</v>
      </c>
      <c r="H59" s="154">
        <v>3510.699666666666</v>
      </c>
      <c r="I59" s="190">
        <f>VLOOKUP($A59&amp;$B59,'KU Inputs'!$C$2:$I$505,MATCH('KU UtilityData'!I$1,'KU Inputs'!$C$1:$I$1,0),0)*1000</f>
        <v>4200951</v>
      </c>
      <c r="J59" s="190">
        <f>VLOOKUP($A59&amp;$B59,'KU Inputs'!$C$2:$I$505,MATCH('KU UtilityData'!J$1,'KU Inputs'!$C$1:$I$1,0),0)*1000</f>
        <v>1657348</v>
      </c>
      <c r="K59" s="246">
        <v>406028</v>
      </c>
      <c r="L59" s="255">
        <v>402703</v>
      </c>
      <c r="M59" s="164">
        <v>69671.995471132497</v>
      </c>
      <c r="N59" s="190">
        <f>VLOOKUP($A59&amp;$B59,'KU Inputs'!$C$2:$I$505,MATCH('KU UtilityData'!N$1,'KU Inputs'!$C$1:$I$1,0),0)</f>
        <v>119542.07799999999</v>
      </c>
      <c r="O59" s="190" t="e">
        <f>VLOOKUP($A59&amp;$B59,'KU Inputs'!$C$2:$I$505,MATCH('KU UtilityData'!O$1,'KU Inputs'!$C$1:$I$1,0),0)</f>
        <v>#N/A</v>
      </c>
      <c r="P59" s="260">
        <v>67.2</v>
      </c>
      <c r="Q59" s="260">
        <v>150.94999999999999</v>
      </c>
      <c r="R59" s="166">
        <v>4512</v>
      </c>
      <c r="S59" s="166">
        <v>1455</v>
      </c>
      <c r="T59" s="182">
        <f t="shared" si="1"/>
        <v>1007.7734121784705</v>
      </c>
    </row>
    <row r="60" spans="1:20" x14ac:dyDescent="0.2">
      <c r="A60" s="153">
        <v>2005</v>
      </c>
      <c r="B60" s="153">
        <v>11</v>
      </c>
      <c r="C60" s="164">
        <v>381632.25799999997</v>
      </c>
      <c r="D60" s="173">
        <v>5.1824420638157411</v>
      </c>
      <c r="E60" s="173">
        <v>5.1824420638157411</v>
      </c>
      <c r="F60" s="173"/>
      <c r="G60" s="173">
        <v>29.75</v>
      </c>
      <c r="H60" s="154">
        <v>3512.6158333333324</v>
      </c>
      <c r="I60" s="190">
        <f>VLOOKUP($A60&amp;$B60,'KU Inputs'!$C$2:$I$505,MATCH('KU UtilityData'!I$1,'KU Inputs'!$C$1:$I$1,0),0)*1000</f>
        <v>4200951</v>
      </c>
      <c r="J60" s="190">
        <f>VLOOKUP($A60&amp;$B60,'KU Inputs'!$C$2:$I$505,MATCH('KU UtilityData'!J$1,'KU Inputs'!$C$1:$I$1,0),0)*1000</f>
        <v>1657348</v>
      </c>
      <c r="K60" s="246">
        <v>407133</v>
      </c>
      <c r="L60" s="255">
        <v>403470</v>
      </c>
      <c r="M60" s="164">
        <v>69671.995471132497</v>
      </c>
      <c r="N60" s="190">
        <f>VLOOKUP($A60&amp;$B60,'KU Inputs'!$C$2:$I$505,MATCH('KU UtilityData'!N$1,'KU Inputs'!$C$1:$I$1,0),0)</f>
        <v>119542.07799999999</v>
      </c>
      <c r="O60" s="190" t="e">
        <f>VLOOKUP($A60&amp;$B60,'KU Inputs'!$C$2:$I$505,MATCH('KU UtilityData'!O$1,'KU Inputs'!$C$1:$I$1,0),0)</f>
        <v>#N/A</v>
      </c>
      <c r="P60" s="260">
        <v>374.1</v>
      </c>
      <c r="Q60" s="260">
        <v>8.35</v>
      </c>
      <c r="R60" s="166">
        <v>4512</v>
      </c>
      <c r="S60" s="166">
        <v>1455</v>
      </c>
      <c r="T60" s="182">
        <f t="shared" si="1"/>
        <v>937.36508217216488</v>
      </c>
    </row>
    <row r="61" spans="1:20" x14ac:dyDescent="0.2">
      <c r="A61" s="153">
        <v>2005</v>
      </c>
      <c r="B61" s="153">
        <v>12</v>
      </c>
      <c r="C61" s="164">
        <v>608430.19700000004</v>
      </c>
      <c r="D61" s="173">
        <v>5.1824420638157411</v>
      </c>
      <c r="E61" s="173">
        <v>5.1824420638157411</v>
      </c>
      <c r="F61" s="173"/>
      <c r="G61" s="173">
        <v>32.4</v>
      </c>
      <c r="H61" s="154">
        <v>3514.5319999999992</v>
      </c>
      <c r="I61" s="190">
        <f>VLOOKUP($A61&amp;$B61,'KU Inputs'!$C$2:$I$505,MATCH('KU UtilityData'!I$1,'KU Inputs'!$C$1:$I$1,0),0)*1000</f>
        <v>4200951</v>
      </c>
      <c r="J61" s="190">
        <f>VLOOKUP($A61&amp;$B61,'KU Inputs'!$C$2:$I$505,MATCH('KU UtilityData'!J$1,'KU Inputs'!$C$1:$I$1,0),0)*1000</f>
        <v>1657348</v>
      </c>
      <c r="K61" s="246">
        <v>407961</v>
      </c>
      <c r="L61" s="255">
        <v>405006</v>
      </c>
      <c r="M61" s="164">
        <v>69671.995471132497</v>
      </c>
      <c r="N61" s="190">
        <f>VLOOKUP($A61&amp;$B61,'KU Inputs'!$C$2:$I$505,MATCH('KU UtilityData'!N$1,'KU Inputs'!$C$1:$I$1,0),0)</f>
        <v>119542.07799999999</v>
      </c>
      <c r="O61" s="190" t="e">
        <f>VLOOKUP($A61&amp;$B61,'KU Inputs'!$C$2:$I$505,MATCH('KU UtilityData'!O$1,'KU Inputs'!$C$1:$I$1,0),0)</f>
        <v>#N/A</v>
      </c>
      <c r="P61" s="260">
        <v>833.75</v>
      </c>
      <c r="Q61" s="260">
        <v>0</v>
      </c>
      <c r="R61" s="166">
        <v>4512</v>
      </c>
      <c r="S61" s="166">
        <v>1455</v>
      </c>
      <c r="T61" s="182">
        <f t="shared" si="1"/>
        <v>1491.3930424721973</v>
      </c>
    </row>
    <row r="62" spans="1:20" x14ac:dyDescent="0.2">
      <c r="A62" s="153">
        <v>2006</v>
      </c>
      <c r="B62" s="153">
        <v>1</v>
      </c>
      <c r="C62" s="164">
        <v>676286.88199999998</v>
      </c>
      <c r="D62" s="173">
        <v>5.7326028990148874</v>
      </c>
      <c r="E62" s="173">
        <v>5.7326028990148874</v>
      </c>
      <c r="F62" s="173"/>
      <c r="G62" s="173">
        <v>33.25</v>
      </c>
      <c r="H62" s="154">
        <v>3516.4481666666657</v>
      </c>
      <c r="I62" s="190">
        <f>VLOOKUP($A62&amp;$B62,'KU Inputs'!$C$2:$I$505,MATCH('KU UtilityData'!I$1,'KU Inputs'!$C$1:$I$1,0),0)*1000</f>
        <v>4210085</v>
      </c>
      <c r="J62" s="190">
        <f>VLOOKUP($A62&amp;$B62,'KU Inputs'!$C$2:$I$505,MATCH('KU UtilityData'!J$1,'KU Inputs'!$C$1:$I$1,0),0)*1000</f>
        <v>1657043</v>
      </c>
      <c r="K62" s="246">
        <v>408008</v>
      </c>
      <c r="L62" s="255">
        <v>407135</v>
      </c>
      <c r="M62" s="164">
        <v>70786.727443908807</v>
      </c>
      <c r="N62" s="190">
        <f>VLOOKUP($A62&amp;$B62,'KU Inputs'!$C$2:$I$505,MATCH('KU UtilityData'!N$1,'KU Inputs'!$C$1:$I$1,0),0)</f>
        <v>121891.27099999999</v>
      </c>
      <c r="O62" s="190" t="e">
        <f>VLOOKUP($A62&amp;$B62,'KU Inputs'!$C$2:$I$505,MATCH('KU UtilityData'!O$1,'KU Inputs'!$C$1:$I$1,0),0)</f>
        <v>#N/A</v>
      </c>
      <c r="P62" s="260">
        <v>874.05</v>
      </c>
      <c r="Q62" s="260">
        <v>0</v>
      </c>
      <c r="R62" s="166">
        <v>4512</v>
      </c>
      <c r="S62" s="166">
        <v>1455</v>
      </c>
      <c r="T62" s="182">
        <f t="shared" si="1"/>
        <v>1657.5333866002627</v>
      </c>
    </row>
    <row r="63" spans="1:20" x14ac:dyDescent="0.2">
      <c r="A63" s="153">
        <v>2006</v>
      </c>
      <c r="B63" s="153">
        <v>2</v>
      </c>
      <c r="C63" s="164">
        <v>578669.86499999999</v>
      </c>
      <c r="D63" s="173">
        <v>5.7326028990148874</v>
      </c>
      <c r="E63" s="173">
        <v>5.7326028990148874</v>
      </c>
      <c r="F63" s="173"/>
      <c r="G63" s="173">
        <v>29.35</v>
      </c>
      <c r="H63" s="154">
        <v>3518.3643333333321</v>
      </c>
      <c r="I63" s="190">
        <f>VLOOKUP($A63&amp;$B63,'KU Inputs'!$C$2:$I$505,MATCH('KU UtilityData'!I$1,'KU Inputs'!$C$1:$I$1,0),0)*1000</f>
        <v>4210085</v>
      </c>
      <c r="J63" s="190">
        <f>VLOOKUP($A63&amp;$B63,'KU Inputs'!$C$2:$I$505,MATCH('KU UtilityData'!J$1,'KU Inputs'!$C$1:$I$1,0),0)*1000</f>
        <v>1657043</v>
      </c>
      <c r="K63" s="246">
        <v>408625</v>
      </c>
      <c r="L63" s="255">
        <v>405353</v>
      </c>
      <c r="M63" s="164">
        <v>70786.727443908807</v>
      </c>
      <c r="N63" s="190">
        <f>VLOOKUP($A63&amp;$B63,'KU Inputs'!$C$2:$I$505,MATCH('KU UtilityData'!N$1,'KU Inputs'!$C$1:$I$1,0),0)</f>
        <v>121891.27099999999</v>
      </c>
      <c r="O63" s="190" t="e">
        <f>VLOOKUP($A63&amp;$B63,'KU Inputs'!$C$2:$I$505,MATCH('KU UtilityData'!O$1,'KU Inputs'!$C$1:$I$1,0),0)</f>
        <v>#N/A</v>
      </c>
      <c r="P63" s="260">
        <v>777.9</v>
      </c>
      <c r="Q63" s="260">
        <v>0</v>
      </c>
      <c r="R63" s="166">
        <v>4512</v>
      </c>
      <c r="S63" s="166">
        <v>1455</v>
      </c>
      <c r="T63" s="182">
        <f t="shared" si="1"/>
        <v>1416.1391618231876</v>
      </c>
    </row>
    <row r="64" spans="1:20" x14ac:dyDescent="0.2">
      <c r="A64" s="153">
        <v>2006</v>
      </c>
      <c r="B64" s="153">
        <v>3</v>
      </c>
      <c r="C64" s="164">
        <v>540729.00600000005</v>
      </c>
      <c r="D64" s="173">
        <v>5.7326028990148874</v>
      </c>
      <c r="E64" s="173">
        <v>5.7326028990148874</v>
      </c>
      <c r="F64" s="173"/>
      <c r="G64" s="173">
        <v>29.45</v>
      </c>
      <c r="H64" s="154">
        <v>3520.2804999999985</v>
      </c>
      <c r="I64" s="190">
        <f>VLOOKUP($A64&amp;$B64,'KU Inputs'!$C$2:$I$505,MATCH('KU UtilityData'!I$1,'KU Inputs'!$C$1:$I$1,0),0)*1000</f>
        <v>4210085</v>
      </c>
      <c r="J64" s="190">
        <f>VLOOKUP($A64&amp;$B64,'KU Inputs'!$C$2:$I$505,MATCH('KU UtilityData'!J$1,'KU Inputs'!$C$1:$I$1,0),0)*1000</f>
        <v>1657043</v>
      </c>
      <c r="K64" s="246">
        <v>408786</v>
      </c>
      <c r="L64" s="255">
        <v>406594</v>
      </c>
      <c r="M64" s="164">
        <v>70786.727443908807</v>
      </c>
      <c r="N64" s="190">
        <f>VLOOKUP($A64&amp;$B64,'KU Inputs'!$C$2:$I$505,MATCH('KU UtilityData'!N$1,'KU Inputs'!$C$1:$I$1,0),0)</f>
        <v>121891.27099999999</v>
      </c>
      <c r="O64" s="190" t="e">
        <f>VLOOKUP($A64&amp;$B64,'KU Inputs'!$C$2:$I$505,MATCH('KU UtilityData'!O$1,'KU Inputs'!$C$1:$I$1,0),0)</f>
        <v>#N/A</v>
      </c>
      <c r="P64" s="260">
        <v>713.9</v>
      </c>
      <c r="Q64" s="260">
        <v>0</v>
      </c>
      <c r="R64" s="166">
        <v>4512</v>
      </c>
      <c r="S64" s="166">
        <v>1455</v>
      </c>
      <c r="T64" s="182">
        <f t="shared" si="1"/>
        <v>1322.7679176879835</v>
      </c>
    </row>
    <row r="65" spans="1:20" x14ac:dyDescent="0.2">
      <c r="A65" s="153">
        <v>2006</v>
      </c>
      <c r="B65" s="153">
        <v>4</v>
      </c>
      <c r="C65" s="164">
        <v>433400.75699999998</v>
      </c>
      <c r="D65" s="173">
        <v>5.7326028990148874</v>
      </c>
      <c r="E65" s="173">
        <v>5.7326028990148874</v>
      </c>
      <c r="F65" s="173"/>
      <c r="G65" s="173">
        <v>30</v>
      </c>
      <c r="H65" s="154">
        <v>3522.1966666666649</v>
      </c>
      <c r="I65" s="190">
        <f>VLOOKUP($A65&amp;$B65,'KU Inputs'!$C$2:$I$505,MATCH('KU UtilityData'!I$1,'KU Inputs'!$C$1:$I$1,0),0)*1000</f>
        <v>4219239</v>
      </c>
      <c r="J65" s="190">
        <f>VLOOKUP($A65&amp;$B65,'KU Inputs'!$C$2:$I$505,MATCH('KU UtilityData'!J$1,'KU Inputs'!$C$1:$I$1,0),0)*1000</f>
        <v>1656738</v>
      </c>
      <c r="K65" s="246">
        <v>408747</v>
      </c>
      <c r="L65" s="255">
        <v>406329</v>
      </c>
      <c r="M65" s="164">
        <v>71408.611096027889</v>
      </c>
      <c r="N65" s="190">
        <f>VLOOKUP($A65&amp;$B65,'KU Inputs'!$C$2:$I$505,MATCH('KU UtilityData'!N$1,'KU Inputs'!$C$1:$I$1,0),0)</f>
        <v>123006.787</v>
      </c>
      <c r="O65" s="190" t="e">
        <f>VLOOKUP($A65&amp;$B65,'KU Inputs'!$C$2:$I$505,MATCH('KU UtilityData'!O$1,'KU Inputs'!$C$1:$I$1,0),0)</f>
        <v>#N/A</v>
      </c>
      <c r="P65" s="260">
        <v>437.55</v>
      </c>
      <c r="Q65" s="260">
        <v>14.7</v>
      </c>
      <c r="R65" s="166">
        <v>4512</v>
      </c>
      <c r="S65" s="166">
        <v>1455</v>
      </c>
      <c r="T65" s="182">
        <f t="shared" si="1"/>
        <v>1060.3154445170239</v>
      </c>
    </row>
    <row r="66" spans="1:20" x14ac:dyDescent="0.2">
      <c r="A66" s="153">
        <v>2006</v>
      </c>
      <c r="B66" s="153">
        <v>5</v>
      </c>
      <c r="C66" s="164">
        <v>346852.65600000002</v>
      </c>
      <c r="D66" s="173">
        <v>5.7326028990148874</v>
      </c>
      <c r="E66" s="173">
        <v>5.7326028990148874</v>
      </c>
      <c r="F66" s="173"/>
      <c r="G66" s="173">
        <v>30.95</v>
      </c>
      <c r="H66" s="154">
        <v>3524.1128333333318</v>
      </c>
      <c r="I66" s="190">
        <f>VLOOKUP($A66&amp;$B66,'KU Inputs'!$C$2:$I$505,MATCH('KU UtilityData'!I$1,'KU Inputs'!$C$1:$I$1,0),0)*1000</f>
        <v>4219239</v>
      </c>
      <c r="J66" s="190">
        <f>VLOOKUP($A66&amp;$B66,'KU Inputs'!$C$2:$I$505,MATCH('KU UtilityData'!J$1,'KU Inputs'!$C$1:$I$1,0),0)*1000</f>
        <v>1656738</v>
      </c>
      <c r="K66" s="246">
        <v>408906</v>
      </c>
      <c r="L66" s="255">
        <v>407533</v>
      </c>
      <c r="M66" s="164">
        <v>71408.611096027889</v>
      </c>
      <c r="N66" s="190">
        <f>VLOOKUP($A66&amp;$B66,'KU Inputs'!$C$2:$I$505,MATCH('KU UtilityData'!N$1,'KU Inputs'!$C$1:$I$1,0),0)</f>
        <v>123006.787</v>
      </c>
      <c r="O66" s="190" t="e">
        <f>VLOOKUP($A66&amp;$B66,'KU Inputs'!$C$2:$I$505,MATCH('KU UtilityData'!O$1,'KU Inputs'!$C$1:$I$1,0),0)</f>
        <v>#N/A</v>
      </c>
      <c r="P66" s="260">
        <v>166.95</v>
      </c>
      <c r="Q66" s="260">
        <v>24.1</v>
      </c>
      <c r="R66" s="166">
        <v>4512</v>
      </c>
      <c r="S66" s="166">
        <v>1455</v>
      </c>
      <c r="T66" s="182">
        <f t="shared" si="1"/>
        <v>848.24545494563552</v>
      </c>
    </row>
    <row r="67" spans="1:20" x14ac:dyDescent="0.2">
      <c r="A67" s="153">
        <v>2006</v>
      </c>
      <c r="B67" s="153">
        <v>6</v>
      </c>
      <c r="C67" s="164">
        <v>431787.72200000001</v>
      </c>
      <c r="D67" s="173">
        <v>5.7326028990148874</v>
      </c>
      <c r="E67" s="173">
        <v>5.7326028990148874</v>
      </c>
      <c r="F67" s="173"/>
      <c r="G67" s="173">
        <v>31.35</v>
      </c>
      <c r="H67" s="154">
        <v>3526.029</v>
      </c>
      <c r="I67" s="190">
        <f>VLOOKUP($A67&amp;$B67,'KU Inputs'!$C$2:$I$505,MATCH('KU UtilityData'!I$1,'KU Inputs'!$C$1:$I$1,0),0)*1000</f>
        <v>4219239</v>
      </c>
      <c r="J67" s="190">
        <f>VLOOKUP($A67&amp;$B67,'KU Inputs'!$C$2:$I$505,MATCH('KU UtilityData'!J$1,'KU Inputs'!$C$1:$I$1,0),0)*1000</f>
        <v>1656738</v>
      </c>
      <c r="K67" s="246">
        <v>409618</v>
      </c>
      <c r="L67" s="255">
        <v>407620</v>
      </c>
      <c r="M67" s="164">
        <v>71408.611096027889</v>
      </c>
      <c r="N67" s="190">
        <f>VLOOKUP($A67&amp;$B67,'KU Inputs'!$C$2:$I$505,MATCH('KU UtilityData'!N$1,'KU Inputs'!$C$1:$I$1,0),0)</f>
        <v>123006.787</v>
      </c>
      <c r="O67" s="190" t="e">
        <f>VLOOKUP($A67&amp;$B67,'KU Inputs'!$C$2:$I$505,MATCH('KU UtilityData'!O$1,'KU Inputs'!$C$1:$I$1,0),0)</f>
        <v>#N/A</v>
      </c>
      <c r="P67" s="260">
        <v>64.25</v>
      </c>
      <c r="Q67" s="260">
        <v>140.35</v>
      </c>
      <c r="R67" s="166">
        <v>4512</v>
      </c>
      <c r="S67" s="166">
        <v>1455</v>
      </c>
      <c r="T67" s="182">
        <f t="shared" ref="T67:T124" si="3">C67/K67*1000</f>
        <v>1054.1229194029561</v>
      </c>
    </row>
    <row r="68" spans="1:20" x14ac:dyDescent="0.2">
      <c r="A68" s="153">
        <v>2006</v>
      </c>
      <c r="B68" s="153">
        <v>7</v>
      </c>
      <c r="C68" s="164">
        <v>535597.69299999997</v>
      </c>
      <c r="D68" s="173">
        <v>5.7326028990148874</v>
      </c>
      <c r="E68" s="173">
        <v>5.7326028990148874</v>
      </c>
      <c r="F68" s="173"/>
      <c r="G68" s="173">
        <v>30.75</v>
      </c>
      <c r="H68" s="154">
        <v>3528.4263333333333</v>
      </c>
      <c r="I68" s="190">
        <f>VLOOKUP($A68&amp;$B68,'KU Inputs'!$C$2:$I$505,MATCH('KU UtilityData'!I$1,'KU Inputs'!$C$1:$I$1,0),0)*1000</f>
        <v>4228566</v>
      </c>
      <c r="J68" s="190">
        <f>VLOOKUP($A68&amp;$B68,'KU Inputs'!$C$2:$I$505,MATCH('KU UtilityData'!J$1,'KU Inputs'!$C$1:$I$1,0),0)*1000</f>
        <v>1657897</v>
      </c>
      <c r="K68" s="246">
        <v>410075</v>
      </c>
      <c r="L68" s="255">
        <v>407855</v>
      </c>
      <c r="M68" s="164">
        <v>71677.002331526397</v>
      </c>
      <c r="N68" s="190">
        <f>VLOOKUP($A68&amp;$B68,'KU Inputs'!$C$2:$I$505,MATCH('KU UtilityData'!N$1,'KU Inputs'!$C$1:$I$1,0),0)</f>
        <v>123530.77899999999</v>
      </c>
      <c r="O68" s="190" t="e">
        <f>VLOOKUP($A68&amp;$B68,'KU Inputs'!$C$2:$I$505,MATCH('KU UtilityData'!O$1,'KU Inputs'!$C$1:$I$1,0),0)</f>
        <v>#N/A</v>
      </c>
      <c r="P68" s="260">
        <v>0.35</v>
      </c>
      <c r="Q68" s="260">
        <v>299.35000000000002</v>
      </c>
      <c r="R68" s="166">
        <v>4512</v>
      </c>
      <c r="S68" s="166">
        <v>1455</v>
      </c>
      <c r="T68" s="182">
        <f t="shared" si="3"/>
        <v>1306.0969164177284</v>
      </c>
    </row>
    <row r="69" spans="1:20" x14ac:dyDescent="0.2">
      <c r="A69" s="153">
        <v>2006</v>
      </c>
      <c r="B69" s="153">
        <v>8</v>
      </c>
      <c r="C69" s="164">
        <v>600834.49399999995</v>
      </c>
      <c r="D69" s="173">
        <v>5.7326028990148874</v>
      </c>
      <c r="E69" s="173">
        <v>5.7326028990148874</v>
      </c>
      <c r="F69" s="173"/>
      <c r="G69" s="173">
        <v>29.5</v>
      </c>
      <c r="H69" s="154">
        <v>3530.8236666666671</v>
      </c>
      <c r="I69" s="190">
        <f>VLOOKUP($A69&amp;$B69,'KU Inputs'!$C$2:$I$505,MATCH('KU UtilityData'!I$1,'KU Inputs'!$C$1:$I$1,0),0)*1000</f>
        <v>4228566</v>
      </c>
      <c r="J69" s="190">
        <f>VLOOKUP($A69&amp;$B69,'KU Inputs'!$C$2:$I$505,MATCH('KU UtilityData'!J$1,'KU Inputs'!$C$1:$I$1,0),0)*1000</f>
        <v>1657897</v>
      </c>
      <c r="K69" s="246">
        <v>410580</v>
      </c>
      <c r="L69" s="255">
        <v>407129</v>
      </c>
      <c r="M69" s="164">
        <v>71677.002331526397</v>
      </c>
      <c r="N69" s="190">
        <f>VLOOKUP($A69&amp;$B69,'KU Inputs'!$C$2:$I$505,MATCH('KU UtilityData'!N$1,'KU Inputs'!$C$1:$I$1,0),0)</f>
        <v>123530.77899999999</v>
      </c>
      <c r="O69" s="190" t="e">
        <f>VLOOKUP($A69&amp;$B69,'KU Inputs'!$C$2:$I$505,MATCH('KU UtilityData'!O$1,'KU Inputs'!$C$1:$I$1,0),0)</f>
        <v>#N/A</v>
      </c>
      <c r="P69" s="260">
        <v>0</v>
      </c>
      <c r="Q69" s="260">
        <v>393.4</v>
      </c>
      <c r="R69" s="166">
        <v>4512</v>
      </c>
      <c r="S69" s="166">
        <v>1455</v>
      </c>
      <c r="T69" s="182">
        <f t="shared" si="3"/>
        <v>1463.3798382775585</v>
      </c>
    </row>
    <row r="70" spans="1:20" x14ac:dyDescent="0.2">
      <c r="A70" s="153">
        <v>2006</v>
      </c>
      <c r="B70" s="153">
        <v>9</v>
      </c>
      <c r="C70" s="164">
        <v>482079.32699999999</v>
      </c>
      <c r="D70" s="173">
        <v>5.7326028990148874</v>
      </c>
      <c r="E70" s="173">
        <v>5.7326028990148874</v>
      </c>
      <c r="F70" s="173"/>
      <c r="G70" s="173">
        <v>30.55</v>
      </c>
      <c r="H70" s="154">
        <v>3533.2210000000005</v>
      </c>
      <c r="I70" s="190">
        <f>VLOOKUP($A70&amp;$B70,'KU Inputs'!$C$2:$I$505,MATCH('KU UtilityData'!I$1,'KU Inputs'!$C$1:$I$1,0),0)*1000</f>
        <v>4228566</v>
      </c>
      <c r="J70" s="190">
        <f>VLOOKUP($A70&amp;$B70,'KU Inputs'!$C$2:$I$505,MATCH('KU UtilityData'!J$1,'KU Inputs'!$C$1:$I$1,0),0)*1000</f>
        <v>1657897</v>
      </c>
      <c r="K70" s="246">
        <v>410788</v>
      </c>
      <c r="L70" s="255">
        <v>408424</v>
      </c>
      <c r="M70" s="164">
        <v>71677.002331526397</v>
      </c>
      <c r="N70" s="190">
        <f>VLOOKUP($A70&amp;$B70,'KU Inputs'!$C$2:$I$505,MATCH('KU UtilityData'!N$1,'KU Inputs'!$C$1:$I$1,0),0)</f>
        <v>123530.77899999999</v>
      </c>
      <c r="O70" s="190" t="e">
        <f>VLOOKUP($A70&amp;$B70,'KU Inputs'!$C$2:$I$505,MATCH('KU UtilityData'!O$1,'KU Inputs'!$C$1:$I$1,0),0)</f>
        <v>#N/A</v>
      </c>
      <c r="P70" s="260">
        <v>20.25</v>
      </c>
      <c r="Q70" s="260">
        <v>216.8</v>
      </c>
      <c r="R70" s="166">
        <v>4512</v>
      </c>
      <c r="S70" s="166">
        <v>1455</v>
      </c>
      <c r="T70" s="182">
        <f t="shared" si="3"/>
        <v>1173.5477350847639</v>
      </c>
    </row>
    <row r="71" spans="1:20" x14ac:dyDescent="0.2">
      <c r="A71" s="153">
        <v>2006</v>
      </c>
      <c r="B71" s="153">
        <v>10</v>
      </c>
      <c r="C71" s="164">
        <v>359332.43699999998</v>
      </c>
      <c r="D71" s="173">
        <v>5.7326028990148874</v>
      </c>
      <c r="E71" s="173">
        <v>5.7326028990148874</v>
      </c>
      <c r="F71" s="173"/>
      <c r="G71" s="173">
        <v>29.75</v>
      </c>
      <c r="H71" s="154">
        <v>3535.6183333333338</v>
      </c>
      <c r="I71" s="190">
        <f>VLOOKUP($A71&amp;$B71,'KU Inputs'!$C$2:$I$505,MATCH('KU UtilityData'!I$1,'KU Inputs'!$C$1:$I$1,0),0)*1000</f>
        <v>4237914</v>
      </c>
      <c r="J71" s="190">
        <f>VLOOKUP($A71&amp;$B71,'KU Inputs'!$C$2:$I$505,MATCH('KU UtilityData'!J$1,'KU Inputs'!$C$1:$I$1,0),0)*1000</f>
        <v>1659057</v>
      </c>
      <c r="K71" s="246">
        <v>411359</v>
      </c>
      <c r="L71" s="255">
        <v>408696</v>
      </c>
      <c r="M71" s="164">
        <v>72506.286129546002</v>
      </c>
      <c r="N71" s="190">
        <f>VLOOKUP($A71&amp;$B71,'KU Inputs'!$C$2:$I$505,MATCH('KU UtilityData'!N$1,'KU Inputs'!$C$1:$I$1,0),0)</f>
        <v>124988.379</v>
      </c>
      <c r="O71" s="190" t="e">
        <f>VLOOKUP($A71&amp;$B71,'KU Inputs'!$C$2:$I$505,MATCH('KU UtilityData'!O$1,'KU Inputs'!$C$1:$I$1,0),0)</f>
        <v>#N/A</v>
      </c>
      <c r="P71" s="260">
        <v>178.95</v>
      </c>
      <c r="Q71" s="260">
        <v>32.65</v>
      </c>
      <c r="R71" s="166">
        <v>4512</v>
      </c>
      <c r="S71" s="166">
        <v>1455</v>
      </c>
      <c r="T71" s="182">
        <f t="shared" si="3"/>
        <v>873.52516172005471</v>
      </c>
    </row>
    <row r="72" spans="1:20" x14ac:dyDescent="0.2">
      <c r="A72" s="153">
        <v>2006</v>
      </c>
      <c r="B72" s="153">
        <v>11</v>
      </c>
      <c r="C72" s="164">
        <v>434049.48800000001</v>
      </c>
      <c r="D72" s="173">
        <v>5.7326028990148874</v>
      </c>
      <c r="E72" s="173">
        <v>5.7326028990148874</v>
      </c>
      <c r="F72" s="173"/>
      <c r="G72" s="173">
        <v>29.75</v>
      </c>
      <c r="H72" s="154">
        <v>3538.0156666666676</v>
      </c>
      <c r="I72" s="190">
        <f>VLOOKUP($A72&amp;$B72,'KU Inputs'!$C$2:$I$505,MATCH('KU UtilityData'!I$1,'KU Inputs'!$C$1:$I$1,0),0)*1000</f>
        <v>4237914</v>
      </c>
      <c r="J72" s="190">
        <f>VLOOKUP($A72&amp;$B72,'KU Inputs'!$C$2:$I$505,MATCH('KU UtilityData'!J$1,'KU Inputs'!$C$1:$I$1,0),0)*1000</f>
        <v>1659057</v>
      </c>
      <c r="K72" s="246">
        <v>412377</v>
      </c>
      <c r="L72" s="255">
        <v>408556</v>
      </c>
      <c r="M72" s="164">
        <v>72506.286129546002</v>
      </c>
      <c r="N72" s="190">
        <f>VLOOKUP($A72&amp;$B72,'KU Inputs'!$C$2:$I$505,MATCH('KU UtilityData'!N$1,'KU Inputs'!$C$1:$I$1,0),0)</f>
        <v>124988.379</v>
      </c>
      <c r="O72" s="190" t="e">
        <f>VLOOKUP($A72&amp;$B72,'KU Inputs'!$C$2:$I$505,MATCH('KU UtilityData'!O$1,'KU Inputs'!$C$1:$I$1,0),0)</f>
        <v>#N/A</v>
      </c>
      <c r="P72" s="260">
        <v>488.95</v>
      </c>
      <c r="Q72" s="260">
        <v>1.1499999999999999</v>
      </c>
      <c r="R72" s="166">
        <v>4512</v>
      </c>
      <c r="S72" s="166">
        <v>1455</v>
      </c>
      <c r="T72" s="182">
        <f t="shared" si="3"/>
        <v>1052.5550358046157</v>
      </c>
    </row>
    <row r="73" spans="1:20" x14ac:dyDescent="0.2">
      <c r="A73" s="153">
        <v>2006</v>
      </c>
      <c r="B73" s="153">
        <v>12</v>
      </c>
      <c r="C73" s="164">
        <v>558042.30700000003</v>
      </c>
      <c r="D73" s="173">
        <v>5.7326028990148874</v>
      </c>
      <c r="E73" s="173">
        <v>5.7326028990148874</v>
      </c>
      <c r="F73" s="173"/>
      <c r="G73" s="173">
        <v>30.6</v>
      </c>
      <c r="H73" s="154">
        <v>3540.4130000000009</v>
      </c>
      <c r="I73" s="190">
        <f>VLOOKUP($A73&amp;$B73,'KU Inputs'!$C$2:$I$505,MATCH('KU UtilityData'!I$1,'KU Inputs'!$C$1:$I$1,0),0)*1000</f>
        <v>4237914</v>
      </c>
      <c r="J73" s="190">
        <f>VLOOKUP($A73&amp;$B73,'KU Inputs'!$C$2:$I$505,MATCH('KU UtilityData'!J$1,'KU Inputs'!$C$1:$I$1,0),0)*1000</f>
        <v>1659057</v>
      </c>
      <c r="K73" s="246">
        <v>412789</v>
      </c>
      <c r="L73" s="255">
        <v>410499</v>
      </c>
      <c r="M73" s="164">
        <v>72506.286129546002</v>
      </c>
      <c r="N73" s="190">
        <f>VLOOKUP($A73&amp;$B73,'KU Inputs'!$C$2:$I$505,MATCH('KU UtilityData'!N$1,'KU Inputs'!$C$1:$I$1,0),0)</f>
        <v>124988.379</v>
      </c>
      <c r="O73" s="190" t="e">
        <f>VLOOKUP($A73&amp;$B73,'KU Inputs'!$C$2:$I$505,MATCH('KU UtilityData'!O$1,'KU Inputs'!$C$1:$I$1,0),0)</f>
        <v>#N/A</v>
      </c>
      <c r="P73" s="260">
        <v>629.15</v>
      </c>
      <c r="Q73" s="260">
        <v>0</v>
      </c>
      <c r="R73" s="166">
        <v>4512</v>
      </c>
      <c r="S73" s="166">
        <v>1455</v>
      </c>
      <c r="T73" s="182">
        <f t="shared" si="3"/>
        <v>1351.8826979401099</v>
      </c>
    </row>
    <row r="74" spans="1:20" x14ac:dyDescent="0.2">
      <c r="A74" s="153">
        <v>2007</v>
      </c>
      <c r="B74" s="153">
        <v>1</v>
      </c>
      <c r="C74" s="164">
        <v>610021.201</v>
      </c>
      <c r="D74" s="173">
        <v>6.2826028990148872</v>
      </c>
      <c r="E74" s="173">
        <v>6.2826028990148872</v>
      </c>
      <c r="F74" s="173"/>
      <c r="G74" s="173">
        <v>33.35</v>
      </c>
      <c r="H74" s="154">
        <v>3542.8103333333343</v>
      </c>
      <c r="I74" s="190">
        <f>VLOOKUP($A74&amp;$B74,'KU Inputs'!$C$2:$I$505,MATCH('KU UtilityData'!I$1,'KU Inputs'!$C$1:$I$1,0),0)*1000</f>
        <v>4247283</v>
      </c>
      <c r="J74" s="190">
        <f>VLOOKUP($A74&amp;$B74,'KU Inputs'!$C$2:$I$505,MATCH('KU UtilityData'!J$1,'KU Inputs'!$C$1:$I$1,0),0)*1000</f>
        <v>1660218</v>
      </c>
      <c r="K74" s="246">
        <v>413337</v>
      </c>
      <c r="L74" s="255">
        <v>412264</v>
      </c>
      <c r="M74" s="164">
        <v>72536.336841998011</v>
      </c>
      <c r="N74" s="190">
        <f>VLOOKUP($A74&amp;$B74,'KU Inputs'!$C$2:$I$505,MATCH('KU UtilityData'!N$1,'KU Inputs'!$C$1:$I$1,0),0)</f>
        <v>125421.274</v>
      </c>
      <c r="O74" s="190" t="e">
        <f>VLOOKUP($A74&amp;$B74,'KU Inputs'!$C$2:$I$505,MATCH('KU UtilityData'!O$1,'KU Inputs'!$C$1:$I$1,0),0)</f>
        <v>#N/A</v>
      </c>
      <c r="P74" s="260">
        <v>735.15</v>
      </c>
      <c r="Q74" s="260">
        <v>0</v>
      </c>
      <c r="R74" s="166">
        <v>4512</v>
      </c>
      <c r="S74" s="166">
        <v>1455</v>
      </c>
      <c r="T74" s="182">
        <f t="shared" si="3"/>
        <v>1475.8446521845369</v>
      </c>
    </row>
    <row r="75" spans="1:20" x14ac:dyDescent="0.2">
      <c r="A75" s="153">
        <v>2007</v>
      </c>
      <c r="B75" s="153">
        <v>2</v>
      </c>
      <c r="C75" s="164">
        <v>751898.35499999998</v>
      </c>
      <c r="D75" s="173">
        <v>6.2826028990148872</v>
      </c>
      <c r="E75" s="173">
        <v>6.2826028990148872</v>
      </c>
      <c r="F75" s="173"/>
      <c r="G75" s="173">
        <v>29.35</v>
      </c>
      <c r="H75" s="154">
        <v>3545.207666666668</v>
      </c>
      <c r="I75" s="190">
        <f>VLOOKUP($A75&amp;$B75,'KU Inputs'!$C$2:$I$505,MATCH('KU UtilityData'!I$1,'KU Inputs'!$C$1:$I$1,0),0)*1000</f>
        <v>4247283</v>
      </c>
      <c r="J75" s="190">
        <f>VLOOKUP($A75&amp;$B75,'KU Inputs'!$C$2:$I$505,MATCH('KU UtilityData'!J$1,'KU Inputs'!$C$1:$I$1,0),0)*1000</f>
        <v>1660218</v>
      </c>
      <c r="K75" s="246">
        <v>413721</v>
      </c>
      <c r="L75" s="256">
        <v>410727</v>
      </c>
      <c r="M75" s="164">
        <v>72536.336841998011</v>
      </c>
      <c r="N75" s="190">
        <f>VLOOKUP($A75&amp;$B75,'KU Inputs'!$C$2:$I$505,MATCH('KU UtilityData'!N$1,'KU Inputs'!$C$1:$I$1,0),0)</f>
        <v>125421.274</v>
      </c>
      <c r="O75" s="190" t="e">
        <f>VLOOKUP($A75&amp;$B75,'KU Inputs'!$C$2:$I$505,MATCH('KU UtilityData'!O$1,'KU Inputs'!$C$1:$I$1,0),0)</f>
        <v>#N/A</v>
      </c>
      <c r="P75" s="260">
        <v>1088</v>
      </c>
      <c r="Q75" s="260">
        <v>0</v>
      </c>
      <c r="R75" s="166">
        <v>4512</v>
      </c>
      <c r="S75" s="166">
        <v>1455</v>
      </c>
      <c r="T75" s="182">
        <f t="shared" si="3"/>
        <v>1817.4043739621627</v>
      </c>
    </row>
    <row r="76" spans="1:20" x14ac:dyDescent="0.2">
      <c r="A76" s="153">
        <v>2007</v>
      </c>
      <c r="B76" s="153">
        <v>3</v>
      </c>
      <c r="C76" s="164">
        <v>601547.09499999997</v>
      </c>
      <c r="D76" s="173">
        <v>6.2826028990148872</v>
      </c>
      <c r="E76" s="173">
        <v>6.2826028990148872</v>
      </c>
      <c r="F76" s="173"/>
      <c r="G76" s="173">
        <v>29.45</v>
      </c>
      <c r="H76" s="154">
        <v>3547.6050000000014</v>
      </c>
      <c r="I76" s="190">
        <f>VLOOKUP($A76&amp;$B76,'KU Inputs'!$C$2:$I$505,MATCH('KU UtilityData'!I$1,'KU Inputs'!$C$1:$I$1,0),0)*1000</f>
        <v>4247283</v>
      </c>
      <c r="J76" s="190">
        <f>VLOOKUP($A76&amp;$B76,'KU Inputs'!$C$2:$I$505,MATCH('KU UtilityData'!J$1,'KU Inputs'!$C$1:$I$1,0),0)*1000</f>
        <v>1660218</v>
      </c>
      <c r="K76" s="246">
        <v>413267</v>
      </c>
      <c r="L76" s="256">
        <v>411731</v>
      </c>
      <c r="M76" s="164">
        <v>72536.336841998011</v>
      </c>
      <c r="N76" s="190">
        <f>VLOOKUP($A76&amp;$B76,'KU Inputs'!$C$2:$I$505,MATCH('KU UtilityData'!N$1,'KU Inputs'!$C$1:$I$1,0),0)</f>
        <v>125421.274</v>
      </c>
      <c r="O76" s="190" t="e">
        <f>VLOOKUP($A76&amp;$B76,'KU Inputs'!$C$2:$I$505,MATCH('KU UtilityData'!O$1,'KU Inputs'!$C$1:$I$1,0),0)</f>
        <v>#N/A</v>
      </c>
      <c r="P76" s="260">
        <v>729.75</v>
      </c>
      <c r="Q76" s="260">
        <v>5.3</v>
      </c>
      <c r="R76" s="166">
        <v>4512</v>
      </c>
      <c r="S76" s="166">
        <v>1455</v>
      </c>
      <c r="T76" s="182">
        <f t="shared" si="3"/>
        <v>1455.5894736332684</v>
      </c>
    </row>
    <row r="77" spans="1:20" x14ac:dyDescent="0.2">
      <c r="A77" s="153">
        <v>2007</v>
      </c>
      <c r="B77" s="153">
        <v>4</v>
      </c>
      <c r="C77" s="164">
        <v>433539.62099999998</v>
      </c>
      <c r="D77" s="173">
        <v>6.2826028990148872</v>
      </c>
      <c r="E77" s="173">
        <v>6.2826028990148872</v>
      </c>
      <c r="F77" s="173"/>
      <c r="G77" s="173">
        <v>30.55</v>
      </c>
      <c r="H77" s="154">
        <v>3550.0023333333347</v>
      </c>
      <c r="I77" s="190">
        <f>VLOOKUP($A77&amp;$B77,'KU Inputs'!$C$2:$I$505,MATCH('KU UtilityData'!I$1,'KU Inputs'!$C$1:$I$1,0),0)*1000</f>
        <v>4256672</v>
      </c>
      <c r="J77" s="190">
        <f>VLOOKUP($A77&amp;$B77,'KU Inputs'!$C$2:$I$505,MATCH('KU UtilityData'!J$1,'KU Inputs'!$C$1:$I$1,0),0)*1000</f>
        <v>1661379</v>
      </c>
      <c r="K77" s="246">
        <v>413106</v>
      </c>
      <c r="L77" s="255">
        <v>411166</v>
      </c>
      <c r="M77" s="164">
        <v>72785.382921712095</v>
      </c>
      <c r="N77" s="190">
        <f>VLOOKUP($A77&amp;$B77,'KU Inputs'!$C$2:$I$505,MATCH('KU UtilityData'!N$1,'KU Inputs'!$C$1:$I$1,0),0)</f>
        <v>125696.571</v>
      </c>
      <c r="O77" s="190" t="e">
        <f>VLOOKUP($A77&amp;$B77,'KU Inputs'!$C$2:$I$505,MATCH('KU UtilityData'!O$1,'KU Inputs'!$C$1:$I$1,0),0)</f>
        <v>#N/A</v>
      </c>
      <c r="P77" s="260">
        <v>361</v>
      </c>
      <c r="Q77" s="260">
        <v>25.75</v>
      </c>
      <c r="R77" s="166">
        <v>4512</v>
      </c>
      <c r="S77" s="166">
        <v>1455</v>
      </c>
      <c r="T77" s="182">
        <f t="shared" si="3"/>
        <v>1049.4633847002947</v>
      </c>
    </row>
    <row r="78" spans="1:20" x14ac:dyDescent="0.2">
      <c r="A78" s="153">
        <v>2007</v>
      </c>
      <c r="B78" s="153">
        <v>5</v>
      </c>
      <c r="C78" s="164">
        <v>390060.02399999998</v>
      </c>
      <c r="D78" s="173">
        <v>6.2826028990148872</v>
      </c>
      <c r="E78" s="173">
        <v>6.2826028990148872</v>
      </c>
      <c r="F78" s="173"/>
      <c r="G78" s="173">
        <v>29.75</v>
      </c>
      <c r="H78" s="154">
        <v>3552.3996666666685</v>
      </c>
      <c r="I78" s="190">
        <f>VLOOKUP($A78&amp;$B78,'KU Inputs'!$C$2:$I$505,MATCH('KU UtilityData'!I$1,'KU Inputs'!$C$1:$I$1,0),0)*1000</f>
        <v>4256672</v>
      </c>
      <c r="J78" s="190">
        <f>VLOOKUP($A78&amp;$B78,'KU Inputs'!$C$2:$I$505,MATCH('KU UtilityData'!J$1,'KU Inputs'!$C$1:$I$1,0),0)*1000</f>
        <v>1661379</v>
      </c>
      <c r="K78" s="246">
        <v>412972</v>
      </c>
      <c r="L78" s="255">
        <v>411177</v>
      </c>
      <c r="M78" s="164">
        <v>72785.382921712095</v>
      </c>
      <c r="N78" s="190">
        <f>VLOOKUP($A78&amp;$B78,'KU Inputs'!$C$2:$I$505,MATCH('KU UtilityData'!N$1,'KU Inputs'!$C$1:$I$1,0),0)</f>
        <v>125696.571</v>
      </c>
      <c r="O78" s="190" t="e">
        <f>VLOOKUP($A78&amp;$B78,'KU Inputs'!$C$2:$I$505,MATCH('KU UtilityData'!O$1,'KU Inputs'!$C$1:$I$1,0),0)</f>
        <v>#N/A</v>
      </c>
      <c r="P78" s="260">
        <v>160.25</v>
      </c>
      <c r="Q78" s="260">
        <v>69.45</v>
      </c>
      <c r="R78" s="166">
        <v>4512</v>
      </c>
      <c r="S78" s="166">
        <v>1455</v>
      </c>
      <c r="T78" s="182">
        <f t="shared" si="3"/>
        <v>944.51929912923868</v>
      </c>
    </row>
    <row r="79" spans="1:20" x14ac:dyDescent="0.2">
      <c r="A79" s="153">
        <v>2007</v>
      </c>
      <c r="B79" s="153">
        <v>6</v>
      </c>
      <c r="C79" s="164">
        <v>474783.136</v>
      </c>
      <c r="D79" s="173">
        <v>6.2826028990148872</v>
      </c>
      <c r="E79" s="173">
        <v>6.2826028990148872</v>
      </c>
      <c r="F79" s="173"/>
      <c r="G79" s="173">
        <v>30.7</v>
      </c>
      <c r="H79" s="154">
        <v>3554.797</v>
      </c>
      <c r="I79" s="190">
        <f>VLOOKUP($A79&amp;$B79,'KU Inputs'!$C$2:$I$505,MATCH('KU UtilityData'!I$1,'KU Inputs'!$C$1:$I$1,0),0)*1000</f>
        <v>4256672</v>
      </c>
      <c r="J79" s="190">
        <f>VLOOKUP($A79&amp;$B79,'KU Inputs'!$C$2:$I$505,MATCH('KU UtilityData'!J$1,'KU Inputs'!$C$1:$I$1,0),0)*1000</f>
        <v>1661379</v>
      </c>
      <c r="K79" s="246">
        <v>413679</v>
      </c>
      <c r="L79" s="255">
        <v>410932</v>
      </c>
      <c r="M79" s="164">
        <v>72785.382921712095</v>
      </c>
      <c r="N79" s="190">
        <f>VLOOKUP($A79&amp;$B79,'KU Inputs'!$C$2:$I$505,MATCH('KU UtilityData'!N$1,'KU Inputs'!$C$1:$I$1,0),0)</f>
        <v>125696.571</v>
      </c>
      <c r="O79" s="190" t="e">
        <f>VLOOKUP($A79&amp;$B79,'KU Inputs'!$C$2:$I$505,MATCH('KU UtilityData'!O$1,'KU Inputs'!$C$1:$I$1,0),0)</f>
        <v>#N/A</v>
      </c>
      <c r="P79" s="260">
        <v>26.6</v>
      </c>
      <c r="Q79" s="260">
        <v>238.35</v>
      </c>
      <c r="R79" s="166">
        <v>4512</v>
      </c>
      <c r="S79" s="166">
        <v>1455</v>
      </c>
      <c r="T79" s="182">
        <f t="shared" si="3"/>
        <v>1147.7090594398071</v>
      </c>
    </row>
    <row r="80" spans="1:20" x14ac:dyDescent="0.2">
      <c r="A80" s="153">
        <v>2007</v>
      </c>
      <c r="B80" s="153">
        <v>7</v>
      </c>
      <c r="C80" s="164">
        <v>546854.30000000005</v>
      </c>
      <c r="D80" s="173">
        <v>6.2826028990148872</v>
      </c>
      <c r="E80" s="173">
        <v>6.2826028990148872</v>
      </c>
      <c r="F80" s="173"/>
      <c r="G80" s="173">
        <v>30.7</v>
      </c>
      <c r="H80" s="154">
        <v>3557.0427500000001</v>
      </c>
      <c r="I80" s="190">
        <f>VLOOKUP($A80&amp;$B80,'KU Inputs'!$C$2:$I$505,MATCH('KU UtilityData'!I$1,'KU Inputs'!$C$1:$I$1,0),0)*1000</f>
        <v>4264949</v>
      </c>
      <c r="J80" s="190">
        <f>VLOOKUP($A80&amp;$B80,'KU Inputs'!$C$2:$I$505,MATCH('KU UtilityData'!J$1,'KU Inputs'!$C$1:$I$1,0),0)*1000</f>
        <v>1669175</v>
      </c>
      <c r="K80" s="246">
        <v>413877</v>
      </c>
      <c r="L80" s="255">
        <v>412225</v>
      </c>
      <c r="M80" s="164">
        <v>72802.124413899001</v>
      </c>
      <c r="N80" s="190">
        <f>VLOOKUP($A80&amp;$B80,'KU Inputs'!$C$2:$I$505,MATCH('KU UtilityData'!N$1,'KU Inputs'!$C$1:$I$1,0),0)</f>
        <v>125601.717</v>
      </c>
      <c r="O80" s="190" t="e">
        <f>VLOOKUP($A80&amp;$B80,'KU Inputs'!$C$2:$I$505,MATCH('KU UtilityData'!O$1,'KU Inputs'!$C$1:$I$1,0),0)</f>
        <v>#N/A</v>
      </c>
      <c r="P80" s="260">
        <v>0</v>
      </c>
      <c r="Q80" s="260">
        <v>312.35000000000002</v>
      </c>
      <c r="R80" s="166">
        <v>4512</v>
      </c>
      <c r="S80" s="166">
        <v>1455</v>
      </c>
      <c r="T80" s="182">
        <f t="shared" si="3"/>
        <v>1321.2966654344168</v>
      </c>
    </row>
    <row r="81" spans="1:21" x14ac:dyDescent="0.2">
      <c r="A81" s="153">
        <v>2007</v>
      </c>
      <c r="B81" s="153">
        <v>8</v>
      </c>
      <c r="C81" s="164">
        <v>602578.93799999997</v>
      </c>
      <c r="D81" s="173">
        <v>6.2826028990148872</v>
      </c>
      <c r="E81" s="173">
        <v>6.2826028990148872</v>
      </c>
      <c r="F81" s="173"/>
      <c r="G81" s="173">
        <v>30.2</v>
      </c>
      <c r="H81" s="154">
        <v>3559.2885000000001</v>
      </c>
      <c r="I81" s="190">
        <f>VLOOKUP($A81&amp;$B81,'KU Inputs'!$C$2:$I$505,MATCH('KU UtilityData'!I$1,'KU Inputs'!$C$1:$I$1,0),0)*1000</f>
        <v>4264949</v>
      </c>
      <c r="J81" s="190">
        <f>VLOOKUP($A81&amp;$B81,'KU Inputs'!$C$2:$I$505,MATCH('KU UtilityData'!J$1,'KU Inputs'!$C$1:$I$1,0),0)*1000</f>
        <v>1669175</v>
      </c>
      <c r="K81" s="246">
        <v>414673</v>
      </c>
      <c r="L81" s="256">
        <v>411997</v>
      </c>
      <c r="M81" s="164">
        <v>72802.124413899001</v>
      </c>
      <c r="N81" s="190">
        <f>VLOOKUP($A81&amp;$B81,'KU Inputs'!$C$2:$I$505,MATCH('KU UtilityData'!N$1,'KU Inputs'!$C$1:$I$1,0),0)</f>
        <v>125601.717</v>
      </c>
      <c r="O81" s="190" t="e">
        <f>VLOOKUP($A81&amp;$B81,'KU Inputs'!$C$2:$I$505,MATCH('KU UtilityData'!O$1,'KU Inputs'!$C$1:$I$1,0),0)</f>
        <v>#N/A</v>
      </c>
      <c r="P81" s="260">
        <v>0</v>
      </c>
      <c r="Q81" s="260">
        <v>399</v>
      </c>
      <c r="R81" s="166">
        <v>4512</v>
      </c>
      <c r="S81" s="166">
        <v>1455</v>
      </c>
      <c r="T81" s="182">
        <f t="shared" si="3"/>
        <v>1453.1424471812729</v>
      </c>
    </row>
    <row r="82" spans="1:21" x14ac:dyDescent="0.2">
      <c r="A82" s="153">
        <v>2007</v>
      </c>
      <c r="B82" s="153">
        <v>9</v>
      </c>
      <c r="C82" s="164">
        <v>618222.55700000003</v>
      </c>
      <c r="D82" s="173">
        <v>6.2826028990148872</v>
      </c>
      <c r="E82" s="173">
        <v>6.2826028990148872</v>
      </c>
      <c r="F82" s="173"/>
      <c r="G82" s="173">
        <v>31.3</v>
      </c>
      <c r="H82" s="154">
        <v>3561.5342500000002</v>
      </c>
      <c r="I82" s="190">
        <f>VLOOKUP($A82&amp;$B82,'KU Inputs'!$C$2:$I$505,MATCH('KU UtilityData'!I$1,'KU Inputs'!$C$1:$I$1,0),0)*1000</f>
        <v>4264949</v>
      </c>
      <c r="J82" s="190">
        <f>VLOOKUP($A82&amp;$B82,'KU Inputs'!$C$2:$I$505,MATCH('KU UtilityData'!J$1,'KU Inputs'!$C$1:$I$1,0),0)*1000</f>
        <v>1669175</v>
      </c>
      <c r="K82" s="246">
        <v>414759</v>
      </c>
      <c r="L82" s="256">
        <v>411703</v>
      </c>
      <c r="M82" s="164">
        <v>72802.124413899001</v>
      </c>
      <c r="N82" s="190">
        <f>VLOOKUP($A82&amp;$B82,'KU Inputs'!$C$2:$I$505,MATCH('KU UtilityData'!N$1,'KU Inputs'!$C$1:$I$1,0),0)</f>
        <v>125601.717</v>
      </c>
      <c r="O82" s="190" t="e">
        <f>VLOOKUP($A82&amp;$B82,'KU Inputs'!$C$2:$I$505,MATCH('KU UtilityData'!O$1,'KU Inputs'!$C$1:$I$1,0),0)</f>
        <v>#N/A</v>
      </c>
      <c r="P82" s="260">
        <v>5.5</v>
      </c>
      <c r="Q82" s="260">
        <v>382.75</v>
      </c>
      <c r="R82" s="166">
        <v>4512</v>
      </c>
      <c r="S82" s="166">
        <v>1455</v>
      </c>
      <c r="T82" s="182">
        <f t="shared" si="3"/>
        <v>1490.5585098816423</v>
      </c>
    </row>
    <row r="83" spans="1:21" x14ac:dyDescent="0.2">
      <c r="A83" s="153">
        <v>2007</v>
      </c>
      <c r="B83" s="153">
        <v>10</v>
      </c>
      <c r="C83" s="164">
        <v>431007.451</v>
      </c>
      <c r="D83" s="173">
        <v>6.2826028990148872</v>
      </c>
      <c r="E83" s="173">
        <v>6.2826028990148872</v>
      </c>
      <c r="F83" s="173"/>
      <c r="G83" s="173">
        <v>29.6</v>
      </c>
      <c r="H83" s="154">
        <v>3563.78</v>
      </c>
      <c r="I83" s="190">
        <f>VLOOKUP($A83&amp;$B83,'KU Inputs'!$C$2:$I$505,MATCH('KU UtilityData'!I$1,'KU Inputs'!$C$1:$I$1,0),0)*1000</f>
        <v>4273243</v>
      </c>
      <c r="J83" s="190">
        <f>VLOOKUP($A83&amp;$B83,'KU Inputs'!$C$2:$I$505,MATCH('KU UtilityData'!J$1,'KU Inputs'!$C$1:$I$1,0),0)*1000</f>
        <v>1677007</v>
      </c>
      <c r="K83" s="246">
        <v>414960</v>
      </c>
      <c r="L83" s="255">
        <v>412483</v>
      </c>
      <c r="M83" s="164">
        <v>72849.053099913493</v>
      </c>
      <c r="N83" s="190">
        <f>VLOOKUP($A83&amp;$B83,'KU Inputs'!$C$2:$I$505,MATCH('KU UtilityData'!N$1,'KU Inputs'!$C$1:$I$1,0),0)</f>
        <v>126411.315</v>
      </c>
      <c r="O83" s="190" t="e">
        <f>VLOOKUP($A83&amp;$B83,'KU Inputs'!$C$2:$I$505,MATCH('KU UtilityData'!O$1,'KU Inputs'!$C$1:$I$1,0),0)</f>
        <v>#N/A</v>
      </c>
      <c r="P83" s="260">
        <v>50.3</v>
      </c>
      <c r="Q83" s="260">
        <v>178</v>
      </c>
      <c r="R83" s="166">
        <v>4512</v>
      </c>
      <c r="S83" s="171">
        <v>1455</v>
      </c>
      <c r="T83" s="182">
        <f t="shared" si="3"/>
        <v>1038.6722840755735</v>
      </c>
    </row>
    <row r="84" spans="1:21" x14ac:dyDescent="0.2">
      <c r="A84" s="153">
        <v>2007</v>
      </c>
      <c r="B84" s="153">
        <v>11</v>
      </c>
      <c r="C84" s="164">
        <v>401915.174</v>
      </c>
      <c r="D84" s="173">
        <v>6.2826028990148872</v>
      </c>
      <c r="E84" s="173">
        <v>6.2826028990148872</v>
      </c>
      <c r="F84" s="173"/>
      <c r="G84" s="173">
        <v>29.95</v>
      </c>
      <c r="H84" s="154">
        <v>3566.0257499999998</v>
      </c>
      <c r="I84" s="190">
        <f>VLOOKUP($A84&amp;$B84,'KU Inputs'!$C$2:$I$505,MATCH('KU UtilityData'!I$1,'KU Inputs'!$C$1:$I$1,0),0)*1000</f>
        <v>4273243</v>
      </c>
      <c r="J84" s="190">
        <f>VLOOKUP($A84&amp;$B84,'KU Inputs'!$C$2:$I$505,MATCH('KU UtilityData'!J$1,'KU Inputs'!$C$1:$I$1,0),0)*1000</f>
        <v>1677007</v>
      </c>
      <c r="K84" s="246">
        <v>415914</v>
      </c>
      <c r="L84" s="255">
        <v>412654</v>
      </c>
      <c r="M84" s="164">
        <v>72849.053099913493</v>
      </c>
      <c r="N84" s="190">
        <f>VLOOKUP($A84&amp;$B84,'KU Inputs'!$C$2:$I$505,MATCH('KU UtilityData'!N$1,'KU Inputs'!$C$1:$I$1,0),0)</f>
        <v>126411.315</v>
      </c>
      <c r="O84" s="190" t="e">
        <f>VLOOKUP($A84&amp;$B84,'KU Inputs'!$C$2:$I$505,MATCH('KU UtilityData'!O$1,'KU Inputs'!$C$1:$I$1,0),0)</f>
        <v>#N/A</v>
      </c>
      <c r="P84" s="260">
        <v>373.15</v>
      </c>
      <c r="Q84" s="260">
        <v>23</v>
      </c>
      <c r="R84" s="166">
        <v>4512</v>
      </c>
      <c r="S84" s="166">
        <v>1455</v>
      </c>
      <c r="T84" s="182">
        <f t="shared" si="3"/>
        <v>966.34201782099183</v>
      </c>
    </row>
    <row r="85" spans="1:21" x14ac:dyDescent="0.2">
      <c r="A85" s="153">
        <v>2007</v>
      </c>
      <c r="B85" s="153">
        <v>12</v>
      </c>
      <c r="C85" s="164">
        <v>559332.47499999998</v>
      </c>
      <c r="D85" s="173">
        <v>6.2826028990148872</v>
      </c>
      <c r="E85" s="173">
        <v>6.2826028990148872</v>
      </c>
      <c r="F85" s="173"/>
      <c r="G85" s="173">
        <v>30.7</v>
      </c>
      <c r="H85" s="154">
        <v>3568.2714999999998</v>
      </c>
      <c r="I85" s="190">
        <f>VLOOKUP($A85&amp;$B85,'KU Inputs'!$C$2:$I$505,MATCH('KU UtilityData'!I$1,'KU Inputs'!$C$1:$I$1,0),0)*1000</f>
        <v>4273243</v>
      </c>
      <c r="J85" s="190">
        <f>VLOOKUP($A85&amp;$B85,'KU Inputs'!$C$2:$I$505,MATCH('KU UtilityData'!J$1,'KU Inputs'!$C$1:$I$1,0),0)*1000</f>
        <v>1677007</v>
      </c>
      <c r="K85" s="246">
        <v>416334</v>
      </c>
      <c r="L85" s="255">
        <v>413378</v>
      </c>
      <c r="M85" s="164">
        <v>72849.053099913493</v>
      </c>
      <c r="N85" s="190">
        <f>VLOOKUP($A85&amp;$B85,'KU Inputs'!$C$2:$I$505,MATCH('KU UtilityData'!N$1,'KU Inputs'!$C$1:$I$1,0),0)</f>
        <v>126411.315</v>
      </c>
      <c r="O85" s="190" t="e">
        <f>VLOOKUP($A85&amp;$B85,'KU Inputs'!$C$2:$I$505,MATCH('KU UtilityData'!O$1,'KU Inputs'!$C$1:$I$1,0),0)</f>
        <v>#N/A</v>
      </c>
      <c r="P85" s="260">
        <v>687.1</v>
      </c>
      <c r="Q85" s="260">
        <v>0</v>
      </c>
      <c r="R85" s="166">
        <v>4512</v>
      </c>
      <c r="S85" s="166">
        <v>1455</v>
      </c>
      <c r="T85" s="182">
        <f t="shared" si="3"/>
        <v>1343.4705669006132</v>
      </c>
    </row>
    <row r="86" spans="1:21" x14ac:dyDescent="0.2">
      <c r="A86" s="153">
        <v>2008</v>
      </c>
      <c r="B86" s="153">
        <v>1</v>
      </c>
      <c r="C86" s="164">
        <v>727455.55799999996</v>
      </c>
      <c r="D86" s="173">
        <v>6.8191285113595219</v>
      </c>
      <c r="E86" s="173">
        <v>6.8191285113595219</v>
      </c>
      <c r="F86" s="173"/>
      <c r="G86" s="173">
        <v>33.15</v>
      </c>
      <c r="H86" s="154">
        <v>3570.5172499999999</v>
      </c>
      <c r="I86" s="190">
        <f>VLOOKUP($A86&amp;$B86,'KU Inputs'!$C$2:$I$505,MATCH('KU UtilityData'!I$1,'KU Inputs'!$C$1:$I$1,0),0)*1000</f>
        <v>4281552</v>
      </c>
      <c r="J86" s="190">
        <f>VLOOKUP($A86&amp;$B86,'KU Inputs'!$C$2:$I$505,MATCH('KU UtilityData'!J$1,'KU Inputs'!$C$1:$I$1,0),0)*1000</f>
        <v>1684875</v>
      </c>
      <c r="K86" s="246">
        <v>416223</v>
      </c>
      <c r="L86" s="256">
        <v>415541</v>
      </c>
      <c r="M86" s="164">
        <v>72890.436909906304</v>
      </c>
      <c r="N86" s="190">
        <f>VLOOKUP($A86&amp;$B86,'KU Inputs'!$C$2:$I$505,MATCH('KU UtilityData'!N$1,'KU Inputs'!$C$1:$I$1,0),0)</f>
        <v>128364.796</v>
      </c>
      <c r="O86" s="190" t="e">
        <f>VLOOKUP($A86&amp;$B86,'KU Inputs'!$C$2:$I$505,MATCH('KU UtilityData'!O$1,'KU Inputs'!$C$1:$I$1,0),0)</f>
        <v>#N/A</v>
      </c>
      <c r="P86" s="260">
        <v>908</v>
      </c>
      <c r="Q86" s="260">
        <v>0</v>
      </c>
      <c r="R86" s="166">
        <v>4512</v>
      </c>
      <c r="S86" s="166">
        <v>1455</v>
      </c>
      <c r="T86" s="182">
        <f t="shared" si="3"/>
        <v>1747.754348029782</v>
      </c>
    </row>
    <row r="87" spans="1:21" x14ac:dyDescent="0.2">
      <c r="A87" s="153">
        <v>2008</v>
      </c>
      <c r="B87" s="153">
        <v>2</v>
      </c>
      <c r="C87" s="164">
        <v>698141.01500000001</v>
      </c>
      <c r="D87" s="173">
        <v>6.8191285113595219</v>
      </c>
      <c r="E87" s="173">
        <v>6.8191285113595219</v>
      </c>
      <c r="F87" s="173"/>
      <c r="G87" s="173">
        <v>29.35</v>
      </c>
      <c r="H87" s="154">
        <v>3572.7629999999999</v>
      </c>
      <c r="I87" s="190">
        <f>VLOOKUP($A87&amp;$B87,'KU Inputs'!$C$2:$I$505,MATCH('KU UtilityData'!I$1,'KU Inputs'!$C$1:$I$1,0),0)*1000</f>
        <v>4281552</v>
      </c>
      <c r="J87" s="190">
        <f>VLOOKUP($A87&amp;$B87,'KU Inputs'!$C$2:$I$505,MATCH('KU UtilityData'!J$1,'KU Inputs'!$C$1:$I$1,0),0)*1000</f>
        <v>1684875</v>
      </c>
      <c r="K87" s="246">
        <v>415886</v>
      </c>
      <c r="L87" s="255">
        <v>414147</v>
      </c>
      <c r="M87" s="164">
        <v>72890.436909906304</v>
      </c>
      <c r="N87" s="190">
        <f>VLOOKUP($A87&amp;$B87,'KU Inputs'!$C$2:$I$505,MATCH('KU UtilityData'!N$1,'KU Inputs'!$C$1:$I$1,0),0)</f>
        <v>128364.796</v>
      </c>
      <c r="O87" s="190" t="e">
        <f>VLOOKUP($A87&amp;$B87,'KU Inputs'!$C$2:$I$505,MATCH('KU UtilityData'!O$1,'KU Inputs'!$C$1:$I$1,0),0)</f>
        <v>#N/A</v>
      </c>
      <c r="P87" s="260">
        <v>909.1</v>
      </c>
      <c r="Q87" s="260">
        <v>0</v>
      </c>
      <c r="R87" s="166">
        <v>4512</v>
      </c>
      <c r="S87" s="166">
        <v>1455</v>
      </c>
      <c r="T87" s="182">
        <f t="shared" si="3"/>
        <v>1678.683617625984</v>
      </c>
    </row>
    <row r="88" spans="1:21" x14ac:dyDescent="0.2">
      <c r="A88" s="153">
        <v>2008</v>
      </c>
      <c r="B88" s="153">
        <v>3</v>
      </c>
      <c r="C88" s="164">
        <v>619483</v>
      </c>
      <c r="D88" s="173">
        <v>6.8191285113595219</v>
      </c>
      <c r="E88" s="173">
        <v>6.8191285113595219</v>
      </c>
      <c r="F88" s="173"/>
      <c r="G88" s="173">
        <v>29.9</v>
      </c>
      <c r="H88" s="154">
        <v>3575.00875</v>
      </c>
      <c r="I88" s="190">
        <f>VLOOKUP($A88&amp;$B88,'KU Inputs'!$C$2:$I$505,MATCH('KU UtilityData'!I$1,'KU Inputs'!$C$1:$I$1,0),0)*1000</f>
        <v>4281552</v>
      </c>
      <c r="J88" s="190">
        <f>VLOOKUP($A88&amp;$B88,'KU Inputs'!$C$2:$I$505,MATCH('KU UtilityData'!J$1,'KU Inputs'!$C$1:$I$1,0),0)*1000</f>
        <v>1684875</v>
      </c>
      <c r="K88" s="246">
        <v>415211</v>
      </c>
      <c r="L88" s="255">
        <v>414028</v>
      </c>
      <c r="M88" s="164">
        <v>72890.436909906304</v>
      </c>
      <c r="N88" s="190">
        <f>VLOOKUP($A88&amp;$B88,'KU Inputs'!$C$2:$I$505,MATCH('KU UtilityData'!N$1,'KU Inputs'!$C$1:$I$1,0),0)</f>
        <v>128364.796</v>
      </c>
      <c r="O88" s="190" t="e">
        <f>VLOOKUP($A88&amp;$B88,'KU Inputs'!$C$2:$I$505,MATCH('KU UtilityData'!O$1,'KU Inputs'!$C$1:$I$1,0),0)</f>
        <v>#N/A</v>
      </c>
      <c r="P88" s="260">
        <v>802</v>
      </c>
      <c r="Q88" s="260">
        <v>0</v>
      </c>
      <c r="R88" s="166">
        <v>4512</v>
      </c>
      <c r="S88" s="166">
        <v>1455</v>
      </c>
      <c r="T88" s="182">
        <f t="shared" si="3"/>
        <v>1491.9715518134153</v>
      </c>
    </row>
    <row r="89" spans="1:21" s="158" customFormat="1" x14ac:dyDescent="0.2">
      <c r="A89" s="158">
        <v>2008</v>
      </c>
      <c r="B89" s="158">
        <v>4</v>
      </c>
      <c r="C89" s="164">
        <v>450443.674</v>
      </c>
      <c r="D89" s="173">
        <v>6.8191285113595219</v>
      </c>
      <c r="E89" s="173">
        <v>6.8191285113595219</v>
      </c>
      <c r="F89" s="173"/>
      <c r="G89" s="173">
        <v>30.3</v>
      </c>
      <c r="H89" s="154">
        <v>3577.2545</v>
      </c>
      <c r="I89" s="190">
        <f>VLOOKUP($A89&amp;$B89,'KU Inputs'!$C$2:$I$505,MATCH('KU UtilityData'!I$1,'KU Inputs'!$C$1:$I$1,0),0)*1000</f>
        <v>4289878</v>
      </c>
      <c r="J89" s="190">
        <f>VLOOKUP($A89&amp;$B89,'KU Inputs'!$C$2:$I$505,MATCH('KU UtilityData'!J$1,'KU Inputs'!$C$1:$I$1,0),0)*1000</f>
        <v>1692781</v>
      </c>
      <c r="K89" s="246">
        <v>414599</v>
      </c>
      <c r="L89" s="255">
        <v>413228</v>
      </c>
      <c r="M89" s="164">
        <v>73693.953274233791</v>
      </c>
      <c r="N89" s="190">
        <f>VLOOKUP($A89&amp;$B89,'KU Inputs'!$C$2:$I$505,MATCH('KU UtilityData'!N$1,'KU Inputs'!$C$1:$I$1,0),0)</f>
        <v>129399.736</v>
      </c>
      <c r="O89" s="190" t="e">
        <f>VLOOKUP($A89&amp;$B89,'KU Inputs'!$C$2:$I$505,MATCH('KU UtilityData'!O$1,'KU Inputs'!$C$1:$I$1,0),0)</f>
        <v>#N/A</v>
      </c>
      <c r="P89" s="261">
        <v>454</v>
      </c>
      <c r="Q89" s="261">
        <v>3</v>
      </c>
      <c r="R89" s="166">
        <v>4512</v>
      </c>
      <c r="S89" s="167">
        <v>1455</v>
      </c>
      <c r="T89" s="182">
        <f t="shared" si="3"/>
        <v>1086.4562480854995</v>
      </c>
      <c r="U89" s="166"/>
    </row>
    <row r="90" spans="1:21" x14ac:dyDescent="0.2">
      <c r="A90" s="153">
        <v>2008</v>
      </c>
      <c r="B90" s="153">
        <v>5</v>
      </c>
      <c r="C90" s="164">
        <v>346552.73100000003</v>
      </c>
      <c r="D90" s="173">
        <v>6.8191285113595219</v>
      </c>
      <c r="E90" s="173">
        <v>6.8191285113595219</v>
      </c>
      <c r="F90" s="173"/>
      <c r="G90" s="173">
        <v>29.57</v>
      </c>
      <c r="H90" s="154">
        <v>3579.5002500000001</v>
      </c>
      <c r="I90" s="190">
        <f>VLOOKUP($A90&amp;$B90,'KU Inputs'!$C$2:$I$505,MATCH('KU UtilityData'!I$1,'KU Inputs'!$C$1:$I$1,0),0)*1000</f>
        <v>4289878</v>
      </c>
      <c r="J90" s="190">
        <f>VLOOKUP($A90&amp;$B90,'KU Inputs'!$C$2:$I$505,MATCH('KU UtilityData'!J$1,'KU Inputs'!$C$1:$I$1,0),0)*1000</f>
        <v>1692781</v>
      </c>
      <c r="K90" s="246">
        <v>414655</v>
      </c>
      <c r="L90" s="255">
        <v>413348</v>
      </c>
      <c r="M90" s="164">
        <v>73693.953274233791</v>
      </c>
      <c r="N90" s="190">
        <f>VLOOKUP($A90&amp;$B90,'KU Inputs'!$C$2:$I$505,MATCH('KU UtilityData'!N$1,'KU Inputs'!$C$1:$I$1,0),0)</f>
        <v>129399.736</v>
      </c>
      <c r="O90" s="190" t="e">
        <f>VLOOKUP($A90&amp;$B90,'KU Inputs'!$C$2:$I$505,MATCH('KU UtilityData'!O$1,'KU Inputs'!$C$1:$I$1,0),0)</f>
        <v>#N/A</v>
      </c>
      <c r="P90" s="260">
        <v>220.85</v>
      </c>
      <c r="Q90" s="260">
        <v>18.649999999999999</v>
      </c>
      <c r="R90" s="166">
        <v>4512</v>
      </c>
      <c r="S90" s="166">
        <v>1455</v>
      </c>
      <c r="T90" s="182">
        <f t="shared" si="3"/>
        <v>835.76161146012964</v>
      </c>
    </row>
    <row r="91" spans="1:21" x14ac:dyDescent="0.2">
      <c r="A91" s="153">
        <v>2008</v>
      </c>
      <c r="B91" s="153">
        <v>6</v>
      </c>
      <c r="C91" s="164">
        <v>431303.158</v>
      </c>
      <c r="D91" s="173">
        <v>6.8191285113595219</v>
      </c>
      <c r="E91" s="173">
        <v>6.8191285113595219</v>
      </c>
      <c r="F91" s="173"/>
      <c r="G91" s="173">
        <v>30.67</v>
      </c>
      <c r="H91" s="154">
        <v>3581.7460000000001</v>
      </c>
      <c r="I91" s="190">
        <f>VLOOKUP($A91&amp;$B91,'KU Inputs'!$C$2:$I$505,MATCH('KU UtilityData'!I$1,'KU Inputs'!$C$1:$I$1,0),0)*1000</f>
        <v>4289878</v>
      </c>
      <c r="J91" s="190">
        <f>VLOOKUP($A91&amp;$B91,'KU Inputs'!$C$2:$I$505,MATCH('KU UtilityData'!J$1,'KU Inputs'!$C$1:$I$1,0),0)*1000</f>
        <v>1692781</v>
      </c>
      <c r="K91" s="246">
        <v>415067</v>
      </c>
      <c r="L91" s="255">
        <v>413120</v>
      </c>
      <c r="M91" s="164">
        <v>73693.953274233791</v>
      </c>
      <c r="N91" s="190">
        <f>VLOOKUP($A91&amp;$B91,'KU Inputs'!$C$2:$I$505,MATCH('KU UtilityData'!N$1,'KU Inputs'!$C$1:$I$1,0),0)</f>
        <v>129399.736</v>
      </c>
      <c r="O91" s="190" t="e">
        <f>VLOOKUP($A91&amp;$B91,'KU Inputs'!$C$2:$I$505,MATCH('KU UtilityData'!O$1,'KU Inputs'!$C$1:$I$1,0),0)</f>
        <v>#N/A</v>
      </c>
      <c r="P91" s="260">
        <v>62.4</v>
      </c>
      <c r="Q91" s="260">
        <v>170.75</v>
      </c>
      <c r="R91" s="166">
        <v>4512</v>
      </c>
      <c r="S91" s="166">
        <v>1455</v>
      </c>
      <c r="T91" s="182">
        <f t="shared" si="3"/>
        <v>1039.1169570213965</v>
      </c>
    </row>
    <row r="92" spans="1:21" x14ac:dyDescent="0.2">
      <c r="A92" s="153">
        <v>2008</v>
      </c>
      <c r="B92" s="153">
        <v>7</v>
      </c>
      <c r="C92" s="164">
        <v>538081.12800000003</v>
      </c>
      <c r="D92" s="173">
        <v>6.8191285113595219</v>
      </c>
      <c r="E92" s="173">
        <v>6.8191285113595219</v>
      </c>
      <c r="F92" s="173"/>
      <c r="G92" s="173">
        <v>30.62</v>
      </c>
      <c r="H92" s="154">
        <v>3583.3619166666667</v>
      </c>
      <c r="I92" s="190">
        <f>VLOOKUP($A92&amp;$B92,'KU Inputs'!$C$2:$I$505,MATCH('KU UtilityData'!I$1,'KU Inputs'!$C$1:$I$1,0),0)*1000</f>
        <v>4296661</v>
      </c>
      <c r="J92" s="190">
        <f>VLOOKUP($A92&amp;$B92,'KU Inputs'!$C$2:$I$505,MATCH('KU UtilityData'!J$1,'KU Inputs'!$C$1:$I$1,0),0)*1000</f>
        <v>1694962</v>
      </c>
      <c r="K92" s="246">
        <v>415400</v>
      </c>
      <c r="L92" s="255">
        <v>414507</v>
      </c>
      <c r="M92" s="164">
        <v>72512.075311887602</v>
      </c>
      <c r="N92" s="190">
        <f>VLOOKUP($A92&amp;$B92,'KU Inputs'!$C$2:$I$505,MATCH('KU UtilityData'!N$1,'KU Inputs'!$C$1:$I$1,0),0)</f>
        <v>126756.973</v>
      </c>
      <c r="O92" s="190" t="e">
        <f>VLOOKUP($A92&amp;$B92,'KU Inputs'!$C$2:$I$505,MATCH('KU UtilityData'!O$1,'KU Inputs'!$C$1:$I$1,0),0)</f>
        <v>#N/A</v>
      </c>
      <c r="P92" s="260">
        <v>0</v>
      </c>
      <c r="Q92" s="260">
        <v>284</v>
      </c>
      <c r="R92" s="166">
        <v>4512</v>
      </c>
      <c r="S92" s="166">
        <v>1455</v>
      </c>
      <c r="T92" s="182">
        <f t="shared" si="3"/>
        <v>1295.3325180548868</v>
      </c>
    </row>
    <row r="93" spans="1:21" x14ac:dyDescent="0.2">
      <c r="A93" s="153">
        <v>2008</v>
      </c>
      <c r="B93" s="153">
        <v>8</v>
      </c>
      <c r="C93" s="164">
        <v>544448.42500000005</v>
      </c>
      <c r="D93" s="173">
        <v>6.8191285113595219</v>
      </c>
      <c r="E93" s="173">
        <v>6.8191285113595219</v>
      </c>
      <c r="F93" s="173"/>
      <c r="G93" s="173">
        <v>29.52</v>
      </c>
      <c r="H93" s="154">
        <v>3584.9778333333329</v>
      </c>
      <c r="I93" s="190">
        <f>VLOOKUP($A93&amp;$B93,'KU Inputs'!$C$2:$I$505,MATCH('KU UtilityData'!I$1,'KU Inputs'!$C$1:$I$1,0),0)*1000</f>
        <v>4296661</v>
      </c>
      <c r="J93" s="190">
        <f>VLOOKUP($A93&amp;$B93,'KU Inputs'!$C$2:$I$505,MATCH('KU UtilityData'!J$1,'KU Inputs'!$C$1:$I$1,0),0)*1000</f>
        <v>1694962</v>
      </c>
      <c r="K93" s="246">
        <v>415744</v>
      </c>
      <c r="L93" s="255">
        <v>413096</v>
      </c>
      <c r="M93" s="164">
        <v>72512.075311887602</v>
      </c>
      <c r="N93" s="190">
        <f>VLOOKUP($A93&amp;$B93,'KU Inputs'!$C$2:$I$505,MATCH('KU UtilityData'!N$1,'KU Inputs'!$C$1:$I$1,0),0)</f>
        <v>126756.973</v>
      </c>
      <c r="O93" s="190" t="e">
        <f>VLOOKUP($A93&amp;$B93,'KU Inputs'!$C$2:$I$505,MATCH('KU UtilityData'!O$1,'KU Inputs'!$C$1:$I$1,0),0)</f>
        <v>#N/A</v>
      </c>
      <c r="P93" s="260">
        <v>0</v>
      </c>
      <c r="Q93" s="260">
        <v>315</v>
      </c>
      <c r="R93" s="166">
        <v>4512</v>
      </c>
      <c r="S93" s="166">
        <v>1455</v>
      </c>
      <c r="T93" s="182">
        <f t="shared" si="3"/>
        <v>1309.5761454164103</v>
      </c>
    </row>
    <row r="94" spans="1:21" x14ac:dyDescent="0.2">
      <c r="A94" s="153">
        <v>2008</v>
      </c>
      <c r="B94" s="153">
        <v>9</v>
      </c>
      <c r="C94" s="164">
        <v>526327.11600000004</v>
      </c>
      <c r="D94" s="173">
        <v>6.8191285113595219</v>
      </c>
      <c r="E94" s="173">
        <v>6.8191285113595219</v>
      </c>
      <c r="F94" s="173"/>
      <c r="G94" s="173">
        <v>30.71</v>
      </c>
      <c r="H94" s="154">
        <v>3586.5937499999995</v>
      </c>
      <c r="I94" s="190">
        <f>VLOOKUP($A94&amp;$B94,'KU Inputs'!$C$2:$I$505,MATCH('KU UtilityData'!I$1,'KU Inputs'!$C$1:$I$1,0),0)*1000</f>
        <v>4296661</v>
      </c>
      <c r="J94" s="190">
        <f>VLOOKUP($A94&amp;$B94,'KU Inputs'!$C$2:$I$505,MATCH('KU UtilityData'!J$1,'KU Inputs'!$C$1:$I$1,0),0)*1000</f>
        <v>1694962</v>
      </c>
      <c r="K94" s="246">
        <v>415849</v>
      </c>
      <c r="L94" s="255">
        <v>413969</v>
      </c>
      <c r="M94" s="164">
        <v>72512.075311887602</v>
      </c>
      <c r="N94" s="190">
        <f>VLOOKUP($A94&amp;$B94,'KU Inputs'!$C$2:$I$505,MATCH('KU UtilityData'!N$1,'KU Inputs'!$C$1:$I$1,0),0)</f>
        <v>126756.973</v>
      </c>
      <c r="O94" s="190" t="e">
        <f>VLOOKUP($A94&amp;$B94,'KU Inputs'!$C$2:$I$505,MATCH('KU UtilityData'!O$1,'KU Inputs'!$C$1:$I$1,0),0)</f>
        <v>#N/A</v>
      </c>
      <c r="P94" s="260">
        <v>1</v>
      </c>
      <c r="Q94" s="260">
        <v>295.14999999999998</v>
      </c>
      <c r="R94" s="166">
        <v>4512</v>
      </c>
      <c r="S94" s="166">
        <v>1455</v>
      </c>
      <c r="T94" s="182">
        <f t="shared" si="3"/>
        <v>1265.6688269059202</v>
      </c>
    </row>
    <row r="95" spans="1:21" x14ac:dyDescent="0.2">
      <c r="A95" s="153">
        <v>2008</v>
      </c>
      <c r="B95" s="153">
        <v>10</v>
      </c>
      <c r="C95" s="164">
        <v>376636.53100000002</v>
      </c>
      <c r="D95" s="173">
        <v>6.8191285113595219</v>
      </c>
      <c r="E95" s="173">
        <v>6.8191285113595219</v>
      </c>
      <c r="F95" s="173"/>
      <c r="G95" s="173">
        <v>29.52</v>
      </c>
      <c r="H95" s="154">
        <v>3588.2096666666662</v>
      </c>
      <c r="I95" s="190">
        <f>VLOOKUP($A95&amp;$B95,'KU Inputs'!$C$2:$I$505,MATCH('KU UtilityData'!I$1,'KU Inputs'!$C$1:$I$1,0),0)*1000</f>
        <v>4303455</v>
      </c>
      <c r="J95" s="190">
        <f>VLOOKUP($A95&amp;$B95,'KU Inputs'!$C$2:$I$505,MATCH('KU UtilityData'!J$1,'KU Inputs'!$C$1:$I$1,0),0)*1000</f>
        <v>1697147</v>
      </c>
      <c r="K95" s="246">
        <v>415759</v>
      </c>
      <c r="L95" s="255">
        <v>413875</v>
      </c>
      <c r="M95" s="164">
        <v>73414.227448214195</v>
      </c>
      <c r="N95" s="190">
        <f>VLOOKUP($A95&amp;$B95,'KU Inputs'!$C$2:$I$505,MATCH('KU UtilityData'!N$1,'KU Inputs'!$C$1:$I$1,0),0)</f>
        <v>127793.833</v>
      </c>
      <c r="O95" s="190" t="e">
        <f>VLOOKUP($A95&amp;$B95,'KU Inputs'!$C$2:$I$505,MATCH('KU UtilityData'!O$1,'KU Inputs'!$C$1:$I$1,0),0)</f>
        <v>#N/A</v>
      </c>
      <c r="P95" s="260">
        <v>73</v>
      </c>
      <c r="Q95" s="260">
        <v>98</v>
      </c>
      <c r="R95" s="166">
        <v>4512</v>
      </c>
      <c r="S95" s="166">
        <v>1455</v>
      </c>
      <c r="T95" s="182">
        <f t="shared" si="3"/>
        <v>905.90108933300303</v>
      </c>
    </row>
    <row r="96" spans="1:21" x14ac:dyDescent="0.2">
      <c r="A96" s="153">
        <v>2008</v>
      </c>
      <c r="B96" s="153">
        <v>11</v>
      </c>
      <c r="C96" s="164">
        <v>403306.239</v>
      </c>
      <c r="D96" s="173">
        <v>6.8191285113595219</v>
      </c>
      <c r="E96" s="173">
        <v>6.8191285113595219</v>
      </c>
      <c r="F96" s="173"/>
      <c r="G96" s="173">
        <v>29.38</v>
      </c>
      <c r="H96" s="154">
        <v>3589.8255833333324</v>
      </c>
      <c r="I96" s="190">
        <f>VLOOKUP($A96&amp;$B96,'KU Inputs'!$C$2:$I$505,MATCH('KU UtilityData'!I$1,'KU Inputs'!$C$1:$I$1,0),0)*1000</f>
        <v>4303455</v>
      </c>
      <c r="J96" s="190">
        <f>VLOOKUP($A96&amp;$B96,'KU Inputs'!$C$2:$I$505,MATCH('KU UtilityData'!J$1,'KU Inputs'!$C$1:$I$1,0),0)*1000</f>
        <v>1697147</v>
      </c>
      <c r="K96" s="246">
        <v>416736</v>
      </c>
      <c r="L96" s="257">
        <v>412987</v>
      </c>
      <c r="M96" s="164">
        <v>73414.227448214195</v>
      </c>
      <c r="N96" s="190">
        <f>VLOOKUP($A96&amp;$B96,'KU Inputs'!$C$2:$I$505,MATCH('KU UtilityData'!N$1,'KU Inputs'!$C$1:$I$1,0),0)</f>
        <v>127793.833</v>
      </c>
      <c r="O96" s="190" t="e">
        <f>VLOOKUP($A96&amp;$B96,'KU Inputs'!$C$2:$I$505,MATCH('KU UtilityData'!O$1,'KU Inputs'!$C$1:$I$1,0),0)</f>
        <v>#N/A</v>
      </c>
      <c r="P96" s="260">
        <v>411</v>
      </c>
      <c r="Q96" s="260">
        <v>15</v>
      </c>
      <c r="R96" s="166">
        <v>4512</v>
      </c>
      <c r="S96" s="166">
        <v>1455</v>
      </c>
      <c r="T96" s="182">
        <f t="shared" si="3"/>
        <v>967.77393601704671</v>
      </c>
    </row>
    <row r="97" spans="1:21" x14ac:dyDescent="0.2">
      <c r="A97" s="153">
        <v>2008</v>
      </c>
      <c r="B97" s="153">
        <v>12</v>
      </c>
      <c r="C97" s="164">
        <v>663425.48800000001</v>
      </c>
      <c r="D97" s="173">
        <v>6.8191285113595219</v>
      </c>
      <c r="E97" s="173">
        <v>6.8191285113595219</v>
      </c>
      <c r="F97" s="173"/>
      <c r="G97" s="173">
        <v>32.81</v>
      </c>
      <c r="H97" s="154">
        <v>3591.441499999999</v>
      </c>
      <c r="I97" s="190">
        <f>VLOOKUP($A97&amp;$B97,'KU Inputs'!$C$2:$I$505,MATCH('KU UtilityData'!I$1,'KU Inputs'!$C$1:$I$1,0),0)*1000</f>
        <v>4303455</v>
      </c>
      <c r="J97" s="190">
        <f>VLOOKUP($A97&amp;$B97,'KU Inputs'!$C$2:$I$505,MATCH('KU UtilityData'!J$1,'KU Inputs'!$C$1:$I$1,0),0)*1000</f>
        <v>1697147</v>
      </c>
      <c r="K97" s="246">
        <v>417150</v>
      </c>
      <c r="L97" s="257">
        <v>415778</v>
      </c>
      <c r="M97" s="164">
        <v>73414.227448214195</v>
      </c>
      <c r="N97" s="190">
        <f>VLOOKUP($A97&amp;$B97,'KU Inputs'!$C$2:$I$505,MATCH('KU UtilityData'!N$1,'KU Inputs'!$C$1:$I$1,0),0)</f>
        <v>127793.833</v>
      </c>
      <c r="O97" s="190" t="e">
        <f>VLOOKUP($A97&amp;$B97,'KU Inputs'!$C$2:$I$505,MATCH('KU UtilityData'!O$1,'KU Inputs'!$C$1:$I$1,0),0)</f>
        <v>#N/A</v>
      </c>
      <c r="P97" s="260">
        <v>881.55</v>
      </c>
      <c r="Q97" s="260">
        <v>0</v>
      </c>
      <c r="R97" s="166">
        <v>4512</v>
      </c>
      <c r="S97" s="166">
        <v>1455</v>
      </c>
      <c r="T97" s="182">
        <f t="shared" si="3"/>
        <v>1590.3763346518037</v>
      </c>
    </row>
    <row r="98" spans="1:21" x14ac:dyDescent="0.2">
      <c r="A98" s="153">
        <v>2009</v>
      </c>
      <c r="B98" s="153">
        <v>1</v>
      </c>
      <c r="C98" s="164">
        <v>763578.95400000003</v>
      </c>
      <c r="D98" s="173">
        <v>6.8549750593316237</v>
      </c>
      <c r="E98" s="173">
        <v>6.8549750593316237</v>
      </c>
      <c r="F98" s="173"/>
      <c r="G98" s="173">
        <v>32.950000000000003</v>
      </c>
      <c r="H98" s="154">
        <v>3593.0574166666656</v>
      </c>
      <c r="I98" s="190">
        <f>VLOOKUP($A98&amp;$B98,'KU Inputs'!$C$2:$I$505,MATCH('KU UtilityData'!I$1,'KU Inputs'!$C$1:$I$1,0),0)*1000</f>
        <v>4310259</v>
      </c>
      <c r="J98" s="190">
        <f>VLOOKUP($A98&amp;$B98,'KU Inputs'!$C$2:$I$505,MATCH('KU UtilityData'!J$1,'KU Inputs'!$C$1:$I$1,0),0)*1000</f>
        <v>1699334</v>
      </c>
      <c r="K98" s="246">
        <v>417463</v>
      </c>
      <c r="L98" s="258">
        <v>414456</v>
      </c>
      <c r="M98" s="164">
        <v>73248.58848190229</v>
      </c>
      <c r="N98" s="190">
        <f>VLOOKUP($A98&amp;$B98,'KU Inputs'!$C$2:$I$505,MATCH('KU UtilityData'!N$1,'KU Inputs'!$C$1:$I$1,0),0)</f>
        <v>126804.629</v>
      </c>
      <c r="O98" s="190" t="e">
        <f>VLOOKUP($A98&amp;$B98,'KU Inputs'!$C$2:$I$505,MATCH('KU UtilityData'!O$1,'KU Inputs'!$C$1:$I$1,0),0)</f>
        <v>#N/A</v>
      </c>
      <c r="P98" s="260">
        <v>1008.15</v>
      </c>
      <c r="Q98" s="260">
        <v>0</v>
      </c>
      <c r="R98" s="166">
        <v>4512</v>
      </c>
      <c r="S98" s="166">
        <v>1455</v>
      </c>
      <c r="T98" s="182">
        <f t="shared" si="3"/>
        <v>1829.0937256714967</v>
      </c>
    </row>
    <row r="99" spans="1:21" x14ac:dyDescent="0.2">
      <c r="A99" s="153">
        <v>2009</v>
      </c>
      <c r="B99" s="153">
        <v>2</v>
      </c>
      <c r="C99" s="164">
        <v>700940.31599999999</v>
      </c>
      <c r="D99" s="173">
        <v>6.8549750593316237</v>
      </c>
      <c r="E99" s="173">
        <v>6.8549750593316237</v>
      </c>
      <c r="F99" s="173"/>
      <c r="G99" s="173">
        <v>30.19</v>
      </c>
      <c r="H99" s="154">
        <v>3594.6733333333323</v>
      </c>
      <c r="I99" s="190">
        <f>VLOOKUP($A99&amp;$B99,'KU Inputs'!$C$2:$I$505,MATCH('KU UtilityData'!I$1,'KU Inputs'!$C$1:$I$1,0),0)*1000</f>
        <v>4310259</v>
      </c>
      <c r="J99" s="190">
        <f>VLOOKUP($A99&amp;$B99,'KU Inputs'!$C$2:$I$505,MATCH('KU UtilityData'!J$1,'KU Inputs'!$C$1:$I$1,0),0)*1000</f>
        <v>1699334</v>
      </c>
      <c r="K99" s="246">
        <v>416999</v>
      </c>
      <c r="L99" s="258">
        <v>416366</v>
      </c>
      <c r="M99" s="164">
        <v>73248.58848190229</v>
      </c>
      <c r="N99" s="190">
        <f>VLOOKUP($A99&amp;$B99,'KU Inputs'!$C$2:$I$505,MATCH('KU UtilityData'!N$1,'KU Inputs'!$C$1:$I$1,0),0)</f>
        <v>126804.629</v>
      </c>
      <c r="O99" s="190" t="e">
        <f>VLOOKUP($A99&amp;$B99,'KU Inputs'!$C$2:$I$505,MATCH('KU UtilityData'!O$1,'KU Inputs'!$C$1:$I$1,0),0)</f>
        <v>#N/A</v>
      </c>
      <c r="P99" s="260">
        <v>951</v>
      </c>
      <c r="Q99" s="260">
        <v>0</v>
      </c>
      <c r="R99" s="166">
        <v>4512</v>
      </c>
      <c r="S99" s="166">
        <v>1455</v>
      </c>
      <c r="T99" s="182">
        <f t="shared" si="3"/>
        <v>1680.916059750743</v>
      </c>
    </row>
    <row r="100" spans="1:21" s="158" customFormat="1" x14ac:dyDescent="0.2">
      <c r="A100" s="158">
        <v>2009</v>
      </c>
      <c r="B100" s="158">
        <v>3</v>
      </c>
      <c r="C100" s="164">
        <v>520849.36700000003</v>
      </c>
      <c r="D100" s="173">
        <v>6.8549750593316237</v>
      </c>
      <c r="E100" s="173">
        <v>6.8549750593316237</v>
      </c>
      <c r="F100" s="173"/>
      <c r="G100" s="173">
        <v>30.05</v>
      </c>
      <c r="H100" s="154">
        <v>3596.2892499999984</v>
      </c>
      <c r="I100" s="190">
        <f>VLOOKUP($A100&amp;$B100,'KU Inputs'!$C$2:$I$505,MATCH('KU UtilityData'!I$1,'KU Inputs'!$C$1:$I$1,0),0)*1000</f>
        <v>4310259</v>
      </c>
      <c r="J100" s="190">
        <f>VLOOKUP($A100&amp;$B100,'KU Inputs'!$C$2:$I$505,MATCH('KU UtilityData'!J$1,'KU Inputs'!$C$1:$I$1,0),0)*1000</f>
        <v>1699334</v>
      </c>
      <c r="K100" s="246">
        <v>417363</v>
      </c>
      <c r="L100" s="258">
        <v>413089</v>
      </c>
      <c r="M100" s="164">
        <v>73248.58848190229</v>
      </c>
      <c r="N100" s="190">
        <f>VLOOKUP($A100&amp;$B100,'KU Inputs'!$C$2:$I$505,MATCH('KU UtilityData'!N$1,'KU Inputs'!$C$1:$I$1,0),0)</f>
        <v>126804.629</v>
      </c>
      <c r="O100" s="190" t="e">
        <f>VLOOKUP($A100&amp;$B100,'KU Inputs'!$C$2:$I$505,MATCH('KU UtilityData'!O$1,'KU Inputs'!$C$1:$I$1,0),0)</f>
        <v>#N/A</v>
      </c>
      <c r="P100" s="262">
        <v>652.4</v>
      </c>
      <c r="Q100" s="262">
        <v>0</v>
      </c>
      <c r="R100" s="167">
        <v>4512</v>
      </c>
      <c r="S100" s="167">
        <v>1455</v>
      </c>
      <c r="T100" s="182">
        <f t="shared" si="3"/>
        <v>1247.9529019103275</v>
      </c>
      <c r="U100" s="166"/>
    </row>
    <row r="101" spans="1:21" x14ac:dyDescent="0.2">
      <c r="A101" s="153">
        <v>2009</v>
      </c>
      <c r="B101" s="153">
        <v>4</v>
      </c>
      <c r="C101" s="164">
        <v>486363.99699999997</v>
      </c>
      <c r="D101" s="173">
        <v>6.8549750593316237</v>
      </c>
      <c r="E101" s="173">
        <v>6.8549750593316237</v>
      </c>
      <c r="F101" s="173"/>
      <c r="G101" s="173">
        <v>30.38</v>
      </c>
      <c r="H101" s="154">
        <v>3597.9051666666651</v>
      </c>
      <c r="I101" s="190">
        <f>VLOOKUP($A101&amp;$B101,'KU Inputs'!$C$2:$I$505,MATCH('KU UtilityData'!I$1,'KU Inputs'!$C$1:$I$1,0),0)*1000</f>
        <v>4317074</v>
      </c>
      <c r="J101" s="190">
        <f>VLOOKUP($A101&amp;$B101,'KU Inputs'!$C$2:$I$505,MATCH('KU UtilityData'!J$1,'KU Inputs'!$C$1:$I$1,0),0)*1000</f>
        <v>1701524</v>
      </c>
      <c r="K101" s="246">
        <v>419129</v>
      </c>
      <c r="L101" s="259">
        <v>417844</v>
      </c>
      <c r="M101" s="164">
        <v>74179.834975342397</v>
      </c>
      <c r="N101" s="190">
        <f>VLOOKUP($A101&amp;$B101,'KU Inputs'!$C$2:$I$505,MATCH('KU UtilityData'!N$1,'KU Inputs'!$C$1:$I$1,0),0)</f>
        <v>127078.37</v>
      </c>
      <c r="O101" s="190" t="e">
        <f>VLOOKUP($A101&amp;$B101,'KU Inputs'!$C$2:$I$505,MATCH('KU UtilityData'!O$1,'KU Inputs'!$C$1:$I$1,0),0)</f>
        <v>#N/A</v>
      </c>
      <c r="P101" s="263">
        <v>444</v>
      </c>
      <c r="Q101" s="263">
        <v>2</v>
      </c>
      <c r="R101" s="166">
        <v>4512</v>
      </c>
      <c r="S101" s="166">
        <v>1455</v>
      </c>
      <c r="T101" s="182">
        <f t="shared" si="3"/>
        <v>1160.415998415762</v>
      </c>
    </row>
    <row r="102" spans="1:21" x14ac:dyDescent="0.2">
      <c r="A102" s="153">
        <v>2009</v>
      </c>
      <c r="B102" s="153">
        <v>5</v>
      </c>
      <c r="C102" s="164">
        <v>349813.93099999998</v>
      </c>
      <c r="D102" s="173">
        <v>6.8549750593316237</v>
      </c>
      <c r="E102" s="173">
        <v>6.8549750593316237</v>
      </c>
      <c r="F102" s="173"/>
      <c r="G102" s="173">
        <v>30.24</v>
      </c>
      <c r="H102" s="154">
        <v>3599.5210833333317</v>
      </c>
      <c r="I102" s="190">
        <f>VLOOKUP($A102&amp;$B102,'KU Inputs'!$C$2:$I$505,MATCH('KU UtilityData'!I$1,'KU Inputs'!$C$1:$I$1,0),0)*1000</f>
        <v>4317074</v>
      </c>
      <c r="J102" s="190">
        <f>VLOOKUP($A102&amp;$B102,'KU Inputs'!$C$2:$I$505,MATCH('KU UtilityData'!J$1,'KU Inputs'!$C$1:$I$1,0),0)*1000</f>
        <v>1701524</v>
      </c>
      <c r="K102" s="246">
        <v>419582</v>
      </c>
      <c r="L102" s="259">
        <v>417385</v>
      </c>
      <c r="M102" s="164">
        <v>74179.834975342397</v>
      </c>
      <c r="N102" s="190">
        <f>VLOOKUP($A102&amp;$B102,'KU Inputs'!$C$2:$I$505,MATCH('KU UtilityData'!N$1,'KU Inputs'!$C$1:$I$1,0),0)</f>
        <v>127078.37</v>
      </c>
      <c r="O102" s="190" t="e">
        <f>VLOOKUP($A102&amp;$B102,'KU Inputs'!$C$2:$I$505,MATCH('KU UtilityData'!O$1,'KU Inputs'!$C$1:$I$1,0),0)</f>
        <v>#N/A</v>
      </c>
      <c r="P102" s="263">
        <v>198.7</v>
      </c>
      <c r="Q102" s="263">
        <v>48.2</v>
      </c>
      <c r="R102" s="166">
        <v>4512</v>
      </c>
      <c r="S102" s="166">
        <v>1455</v>
      </c>
      <c r="T102" s="182">
        <f t="shared" si="3"/>
        <v>833.72006187110026</v>
      </c>
    </row>
    <row r="103" spans="1:21" x14ac:dyDescent="0.2">
      <c r="A103" s="153">
        <v>2009</v>
      </c>
      <c r="B103" s="153">
        <v>6</v>
      </c>
      <c r="C103" s="164">
        <v>445749.39399999997</v>
      </c>
      <c r="D103" s="173">
        <v>6.8549750593316237</v>
      </c>
      <c r="E103" s="173">
        <v>6.8549750593316237</v>
      </c>
      <c r="F103" s="173"/>
      <c r="G103" s="173">
        <v>30.38</v>
      </c>
      <c r="H103" s="154">
        <v>3601.1370000000002</v>
      </c>
      <c r="I103" s="190">
        <f>VLOOKUP($A103&amp;$B103,'KU Inputs'!$C$2:$I$505,MATCH('KU UtilityData'!I$1,'KU Inputs'!$C$1:$I$1,0),0)*1000</f>
        <v>4317074</v>
      </c>
      <c r="J103" s="190">
        <f>VLOOKUP($A103&amp;$B103,'KU Inputs'!$C$2:$I$505,MATCH('KU UtilityData'!J$1,'KU Inputs'!$C$1:$I$1,0),0)*1000</f>
        <v>1701524</v>
      </c>
      <c r="K103" s="246">
        <v>421143</v>
      </c>
      <c r="L103" s="259">
        <v>419411</v>
      </c>
      <c r="M103" s="164">
        <v>74179.834975342397</v>
      </c>
      <c r="N103" s="190">
        <f>VLOOKUP($A103&amp;$B103,'KU Inputs'!$C$2:$I$505,MATCH('KU UtilityData'!N$1,'KU Inputs'!$C$1:$I$1,0),0)</f>
        <v>127078.37</v>
      </c>
      <c r="O103" s="190" t="e">
        <f>VLOOKUP($A103&amp;$B103,'KU Inputs'!$C$2:$I$505,MATCH('KU UtilityData'!O$1,'KU Inputs'!$C$1:$I$1,0),0)</f>
        <v>#N/A</v>
      </c>
      <c r="P103" s="263">
        <v>44</v>
      </c>
      <c r="Q103" s="263">
        <v>168</v>
      </c>
      <c r="R103" s="166">
        <v>4512</v>
      </c>
      <c r="S103" s="166">
        <v>1455</v>
      </c>
      <c r="T103" s="182">
        <f t="shared" si="3"/>
        <v>1058.4276457165381</v>
      </c>
    </row>
    <row r="104" spans="1:21" x14ac:dyDescent="0.2">
      <c r="A104" s="153">
        <v>2009</v>
      </c>
      <c r="B104" s="153">
        <v>7</v>
      </c>
      <c r="C104" s="164">
        <v>519283.15</v>
      </c>
      <c r="D104" s="173">
        <v>6.8549750593316237</v>
      </c>
      <c r="E104" s="173">
        <v>6.8549750593316237</v>
      </c>
      <c r="F104" s="173"/>
      <c r="G104" s="173">
        <v>30.71</v>
      </c>
      <c r="H104" s="154">
        <v>3603.1294136904762</v>
      </c>
      <c r="I104" s="190">
        <f>VLOOKUP($A104&amp;$B104,'KU Inputs'!$C$2:$I$505,MATCH('KU UtilityData'!I$1,'KU Inputs'!$C$1:$I$1,0),0)*1000</f>
        <v>4324505</v>
      </c>
      <c r="J104" s="190">
        <f>VLOOKUP($A104&amp;$B104,'KU Inputs'!$C$2:$I$505,MATCH('KU UtilityData'!J$1,'KU Inputs'!$C$1:$I$1,0),0)*1000</f>
        <v>1707499</v>
      </c>
      <c r="K104" s="246">
        <v>421238</v>
      </c>
      <c r="L104" s="259">
        <v>419168</v>
      </c>
      <c r="M104" s="164">
        <v>73602.515778471512</v>
      </c>
      <c r="N104" s="190">
        <f>VLOOKUP($A104&amp;$B104,'KU Inputs'!$C$2:$I$505,MATCH('KU UtilityData'!N$1,'KU Inputs'!$C$1:$I$1,0),0)</f>
        <v>125951.257</v>
      </c>
      <c r="O104" s="190" t="e">
        <f>VLOOKUP($A104&amp;$B104,'KU Inputs'!$C$2:$I$505,MATCH('KU UtilityData'!O$1,'KU Inputs'!$C$1:$I$1,0),0)</f>
        <v>#N/A</v>
      </c>
      <c r="P104" s="263">
        <v>2.5499999999999998</v>
      </c>
      <c r="Q104" s="263">
        <v>275.7</v>
      </c>
      <c r="R104" s="166">
        <v>4512</v>
      </c>
      <c r="S104" s="166">
        <v>1455</v>
      </c>
      <c r="T104" s="182">
        <f t="shared" si="3"/>
        <v>1232.7547609664846</v>
      </c>
    </row>
    <row r="105" spans="1:21" x14ac:dyDescent="0.2">
      <c r="A105" s="153">
        <v>2009</v>
      </c>
      <c r="B105" s="153">
        <v>8</v>
      </c>
      <c r="C105" s="164">
        <v>490804.217</v>
      </c>
      <c r="D105" s="173">
        <v>6.8549750593316237</v>
      </c>
      <c r="E105" s="173">
        <v>6.8549750593316237</v>
      </c>
      <c r="F105" s="173"/>
      <c r="G105" s="173">
        <v>29.52</v>
      </c>
      <c r="H105" s="154">
        <v>3605.1218273809523</v>
      </c>
      <c r="I105" s="190">
        <f>VLOOKUP($A105&amp;$B105,'KU Inputs'!$C$2:$I$505,MATCH('KU UtilityData'!I$1,'KU Inputs'!$C$1:$I$1,0),0)*1000</f>
        <v>4324505</v>
      </c>
      <c r="J105" s="190">
        <f>VLOOKUP($A105&amp;$B105,'KU Inputs'!$C$2:$I$505,MATCH('KU UtilityData'!J$1,'KU Inputs'!$C$1:$I$1,0),0)*1000</f>
        <v>1707499</v>
      </c>
      <c r="K105" s="246">
        <v>421403</v>
      </c>
      <c r="L105" s="259">
        <v>419609</v>
      </c>
      <c r="M105" s="164">
        <v>73602.515778471512</v>
      </c>
      <c r="N105" s="190">
        <f>VLOOKUP($A105&amp;$B105,'KU Inputs'!$C$2:$I$505,MATCH('KU UtilityData'!N$1,'KU Inputs'!$C$1:$I$1,0),0)</f>
        <v>125951.257</v>
      </c>
      <c r="O105" s="190" t="e">
        <f>VLOOKUP($A105&amp;$B105,'KU Inputs'!$C$2:$I$505,MATCH('KU UtilityData'!O$1,'KU Inputs'!$C$1:$I$1,0),0)</f>
        <v>#N/A</v>
      </c>
      <c r="P105" s="263">
        <v>2</v>
      </c>
      <c r="Q105" s="263">
        <v>248</v>
      </c>
      <c r="R105" s="166">
        <v>4512</v>
      </c>
      <c r="S105" s="166">
        <v>1455</v>
      </c>
      <c r="T105" s="182">
        <f t="shared" si="3"/>
        <v>1164.6908470039368</v>
      </c>
    </row>
    <row r="106" spans="1:21" x14ac:dyDescent="0.2">
      <c r="A106" s="153">
        <v>2009</v>
      </c>
      <c r="B106" s="153">
        <v>9</v>
      </c>
      <c r="C106" s="164">
        <v>473412.82900000003</v>
      </c>
      <c r="D106" s="173">
        <v>6.8549750593316237</v>
      </c>
      <c r="E106" s="173">
        <v>6.8549750593316237</v>
      </c>
      <c r="F106" s="173"/>
      <c r="G106" s="173">
        <v>30.48</v>
      </c>
      <c r="H106" s="154">
        <v>3607.1142410714288</v>
      </c>
      <c r="I106" s="190">
        <f>VLOOKUP($A106&amp;$B106,'KU Inputs'!$C$2:$I$505,MATCH('KU UtilityData'!I$1,'KU Inputs'!$C$1:$I$1,0),0)*1000</f>
        <v>4324505</v>
      </c>
      <c r="J106" s="190">
        <f>VLOOKUP($A106&amp;$B106,'KU Inputs'!$C$2:$I$505,MATCH('KU UtilityData'!J$1,'KU Inputs'!$C$1:$I$1,0),0)*1000</f>
        <v>1707499</v>
      </c>
      <c r="K106" s="246">
        <v>420797</v>
      </c>
      <c r="L106" s="259">
        <v>419004</v>
      </c>
      <c r="M106" s="164">
        <v>73602.515778471512</v>
      </c>
      <c r="N106" s="190">
        <f>VLOOKUP($A106&amp;$B106,'KU Inputs'!$C$2:$I$505,MATCH('KU UtilityData'!N$1,'KU Inputs'!$C$1:$I$1,0),0)</f>
        <v>125951.257</v>
      </c>
      <c r="O106" s="190" t="e">
        <f>VLOOKUP($A106&amp;$B106,'KU Inputs'!$C$2:$I$505,MATCH('KU UtilityData'!O$1,'KU Inputs'!$C$1:$I$1,0),0)</f>
        <v>#N/A</v>
      </c>
      <c r="P106" s="164">
        <v>3.9</v>
      </c>
      <c r="Q106" s="164">
        <v>210.15</v>
      </c>
      <c r="R106" s="166">
        <v>4512</v>
      </c>
      <c r="S106" s="166">
        <v>1455</v>
      </c>
      <c r="T106" s="182">
        <f t="shared" si="3"/>
        <v>1125.0385078790962</v>
      </c>
    </row>
    <row r="107" spans="1:21" x14ac:dyDescent="0.2">
      <c r="A107" s="153">
        <v>2009</v>
      </c>
      <c r="B107" s="153">
        <v>10</v>
      </c>
      <c r="C107" s="164">
        <v>377414.3</v>
      </c>
      <c r="D107" s="173">
        <v>6.8549750593316237</v>
      </c>
      <c r="E107" s="173">
        <v>6.8549750593316237</v>
      </c>
      <c r="F107" s="173"/>
      <c r="G107" s="173">
        <v>29.67</v>
      </c>
      <c r="H107" s="154">
        <v>3609.1066547619048</v>
      </c>
      <c r="I107" s="190">
        <f>VLOOKUP($A107&amp;$B107,'KU Inputs'!$C$2:$I$505,MATCH('KU UtilityData'!I$1,'KU Inputs'!$C$1:$I$1,0),0)*1000</f>
        <v>4331936</v>
      </c>
      <c r="J107" s="190">
        <f>VLOOKUP($A107&amp;$B107,'KU Inputs'!$C$2:$I$505,MATCH('KU UtilityData'!J$1,'KU Inputs'!$C$1:$I$1,0),0)*1000</f>
        <v>1713644</v>
      </c>
      <c r="K107" s="246">
        <v>421222</v>
      </c>
      <c r="L107" s="259">
        <v>419358</v>
      </c>
      <c r="M107" s="164">
        <v>73970.709220813296</v>
      </c>
      <c r="N107" s="190">
        <f>VLOOKUP($A107&amp;$B107,'KU Inputs'!$C$2:$I$505,MATCH('KU UtilityData'!N$1,'KU Inputs'!$C$1:$I$1,0),0)</f>
        <v>125669.07</v>
      </c>
      <c r="O107" s="190" t="e">
        <f>VLOOKUP($A107&amp;$B107,'KU Inputs'!$C$2:$I$505,MATCH('KU UtilityData'!O$1,'KU Inputs'!$C$1:$I$1,0),0)</f>
        <v>#N/A</v>
      </c>
      <c r="P107" s="263">
        <v>159</v>
      </c>
      <c r="Q107" s="263">
        <v>77.050000000000011</v>
      </c>
      <c r="R107" s="166">
        <v>4512</v>
      </c>
      <c r="S107" s="166">
        <v>1455</v>
      </c>
      <c r="T107" s="182">
        <f t="shared" si="3"/>
        <v>895.99854708443524</v>
      </c>
    </row>
    <row r="108" spans="1:21" x14ac:dyDescent="0.2">
      <c r="A108" s="153">
        <v>2009</v>
      </c>
      <c r="B108" s="153">
        <v>11</v>
      </c>
      <c r="C108" s="164">
        <v>382254.54399999999</v>
      </c>
      <c r="D108" s="173">
        <v>6.8549750593316237</v>
      </c>
      <c r="E108" s="173">
        <v>6.8549750593316237</v>
      </c>
      <c r="F108" s="173"/>
      <c r="G108" s="173">
        <v>29.76</v>
      </c>
      <c r="H108" s="154">
        <v>3611.0990684523813</v>
      </c>
      <c r="I108" s="190">
        <f>VLOOKUP($A108&amp;$B108,'KU Inputs'!$C$2:$I$505,MATCH('KU UtilityData'!I$1,'KU Inputs'!$C$1:$I$1,0),0)*1000</f>
        <v>4331936</v>
      </c>
      <c r="J108" s="190">
        <f>VLOOKUP($A108&amp;$B108,'KU Inputs'!$C$2:$I$505,MATCH('KU UtilityData'!J$1,'KU Inputs'!$C$1:$I$1,0),0)*1000</f>
        <v>1713644</v>
      </c>
      <c r="K108" s="246">
        <v>421375</v>
      </c>
      <c r="L108" s="259">
        <v>419994</v>
      </c>
      <c r="M108" s="164">
        <v>73970.709220813296</v>
      </c>
      <c r="N108" s="190">
        <f>VLOOKUP($A108&amp;$B108,'KU Inputs'!$C$2:$I$505,MATCH('KU UtilityData'!N$1,'KU Inputs'!$C$1:$I$1,0),0)</f>
        <v>125669.07</v>
      </c>
      <c r="O108" s="190" t="e">
        <f>VLOOKUP($A108&amp;$B108,'KU Inputs'!$C$2:$I$505,MATCH('KU UtilityData'!O$1,'KU Inputs'!$C$1:$I$1,0),0)</f>
        <v>#N/A</v>
      </c>
      <c r="P108" s="164">
        <v>399.8</v>
      </c>
      <c r="Q108" s="164">
        <v>6</v>
      </c>
      <c r="R108" s="166">
        <v>4512</v>
      </c>
      <c r="S108" s="166">
        <v>1455</v>
      </c>
      <c r="T108" s="182">
        <f t="shared" si="3"/>
        <v>907.15999762681702</v>
      </c>
    </row>
    <row r="109" spans="1:21" x14ac:dyDescent="0.2">
      <c r="A109" s="153">
        <v>2009</v>
      </c>
      <c r="B109" s="153">
        <v>12</v>
      </c>
      <c r="C109" s="164">
        <v>590186.25699999998</v>
      </c>
      <c r="D109" s="173">
        <v>6.8549750593316237</v>
      </c>
      <c r="E109" s="173">
        <v>6.8549750593316237</v>
      </c>
      <c r="F109" s="173"/>
      <c r="G109" s="173">
        <v>31.57</v>
      </c>
      <c r="H109" s="154">
        <v>3613.0914821428573</v>
      </c>
      <c r="I109" s="190">
        <f>VLOOKUP($A109&amp;$B109,'KU Inputs'!$C$2:$I$505,MATCH('KU UtilityData'!I$1,'KU Inputs'!$C$1:$I$1,0),0)*1000</f>
        <v>4331936</v>
      </c>
      <c r="J109" s="190">
        <f>VLOOKUP($A109&amp;$B109,'KU Inputs'!$C$2:$I$505,MATCH('KU UtilityData'!J$1,'KU Inputs'!$C$1:$I$1,0),0)*1000</f>
        <v>1713644</v>
      </c>
      <c r="K109" s="246">
        <v>422620</v>
      </c>
      <c r="L109" s="259">
        <v>420911</v>
      </c>
      <c r="M109" s="164">
        <v>73970.709220813296</v>
      </c>
      <c r="N109" s="190">
        <f>VLOOKUP($A109&amp;$B109,'KU Inputs'!$C$2:$I$505,MATCH('KU UtilityData'!N$1,'KU Inputs'!$C$1:$I$1,0),0)</f>
        <v>125669.07</v>
      </c>
      <c r="O109" s="190" t="e">
        <f>VLOOKUP($A109&amp;$B109,'KU Inputs'!$C$2:$I$505,MATCH('KU UtilityData'!O$1,'KU Inputs'!$C$1:$I$1,0),0)</f>
        <v>#N/A</v>
      </c>
      <c r="P109" s="263">
        <v>718</v>
      </c>
      <c r="Q109" s="164">
        <v>1</v>
      </c>
      <c r="R109" s="166">
        <v>4512</v>
      </c>
      <c r="S109" s="166">
        <v>1455</v>
      </c>
      <c r="T109" s="182">
        <f t="shared" si="3"/>
        <v>1396.4939117883678</v>
      </c>
    </row>
    <row r="110" spans="1:21" x14ac:dyDescent="0.2">
      <c r="A110" s="153">
        <v>2010</v>
      </c>
      <c r="B110" s="153">
        <v>1</v>
      </c>
      <c r="C110" s="164">
        <v>843332.54799999995</v>
      </c>
      <c r="D110" s="173">
        <v>7.05998860191138</v>
      </c>
      <c r="E110" s="173">
        <v>7.05998860191138</v>
      </c>
      <c r="F110" s="173"/>
      <c r="G110" s="173">
        <v>32.520000000000003</v>
      </c>
      <c r="H110" s="154">
        <v>3615.0838958333334</v>
      </c>
      <c r="I110" s="190">
        <f>VLOOKUP($A110&amp;$B110,'KU Inputs'!$C$2:$I$505,MATCH('KU UtilityData'!I$1,'KU Inputs'!$C$1:$I$1,0),0)*1000</f>
        <v>4339367</v>
      </c>
      <c r="J110" s="190">
        <f>VLOOKUP($A110&amp;$B110,'KU Inputs'!$C$2:$I$505,MATCH('KU UtilityData'!J$1,'KU Inputs'!$C$1:$I$1,0),0)*1000</f>
        <v>1719965</v>
      </c>
      <c r="K110" s="247">
        <v>420593</v>
      </c>
      <c r="L110" s="259">
        <v>420814</v>
      </c>
      <c r="M110" s="164">
        <v>73889.682775873109</v>
      </c>
      <c r="N110" s="190">
        <f>VLOOKUP($A110&amp;$B110,'KU Inputs'!$C$2:$I$505,MATCH('KU UtilityData'!N$1,'KU Inputs'!$C$1:$I$1,0),0)</f>
        <v>124919.205</v>
      </c>
      <c r="O110" s="190" t="e">
        <f>VLOOKUP($A110&amp;$B110,'KU Inputs'!$C$2:$I$505,MATCH('KU UtilityData'!O$1,'KU Inputs'!$C$1:$I$1,0),0)</f>
        <v>#N/A</v>
      </c>
      <c r="P110" s="263">
        <v>1096.8000000000002</v>
      </c>
      <c r="Q110" s="263">
        <v>0</v>
      </c>
      <c r="R110" s="166">
        <v>4512</v>
      </c>
      <c r="S110" s="166">
        <v>1455</v>
      </c>
      <c r="T110" s="182">
        <f t="shared" si="3"/>
        <v>2005.1036227421757</v>
      </c>
    </row>
    <row r="111" spans="1:21" x14ac:dyDescent="0.2">
      <c r="A111" s="153">
        <v>2010</v>
      </c>
      <c r="B111" s="153">
        <v>2</v>
      </c>
      <c r="C111" s="164">
        <v>718201.08799999999</v>
      </c>
      <c r="D111" s="173">
        <v>7.05998860191138</v>
      </c>
      <c r="E111" s="173">
        <v>7.05998860191138</v>
      </c>
      <c r="F111" s="173"/>
      <c r="G111" s="173">
        <v>30.14</v>
      </c>
      <c r="H111" s="154">
        <v>3617.0763095238099</v>
      </c>
      <c r="I111" s="190">
        <f>VLOOKUP($A111&amp;$B111,'KU Inputs'!$C$2:$I$505,MATCH('KU UtilityData'!I$1,'KU Inputs'!$C$1:$I$1,0),0)*1000</f>
        <v>4339367</v>
      </c>
      <c r="J111" s="190">
        <f>VLOOKUP($A111&amp;$B111,'KU Inputs'!$C$2:$I$505,MATCH('KU UtilityData'!J$1,'KU Inputs'!$C$1:$I$1,0),0)*1000</f>
        <v>1719965</v>
      </c>
      <c r="K111" s="247">
        <v>420428</v>
      </c>
      <c r="L111" s="259">
        <v>420768</v>
      </c>
      <c r="M111" s="164">
        <v>73889.682775873109</v>
      </c>
      <c r="N111" s="190">
        <f>VLOOKUP($A111&amp;$B111,'KU Inputs'!$C$2:$I$505,MATCH('KU UtilityData'!N$1,'KU Inputs'!$C$1:$I$1,0),0)</f>
        <v>124919.205</v>
      </c>
      <c r="O111" s="190" t="e">
        <f>VLOOKUP($A111&amp;$B111,'KU Inputs'!$C$2:$I$505,MATCH('KU UtilityData'!O$1,'KU Inputs'!$C$1:$I$1,0),0)</f>
        <v>#N/A</v>
      </c>
      <c r="P111" s="263">
        <v>990</v>
      </c>
      <c r="Q111" s="263">
        <v>0</v>
      </c>
      <c r="R111" s="166">
        <v>4512</v>
      </c>
      <c r="S111" s="166">
        <v>1455</v>
      </c>
      <c r="T111" s="182">
        <f t="shared" si="3"/>
        <v>1708.261790366008</v>
      </c>
    </row>
    <row r="112" spans="1:21" x14ac:dyDescent="0.2">
      <c r="A112" s="153">
        <v>2010</v>
      </c>
      <c r="B112" s="153">
        <v>3</v>
      </c>
      <c r="C112" s="164">
        <v>640593.848</v>
      </c>
      <c r="D112" s="173">
        <v>7.05998860191138</v>
      </c>
      <c r="E112" s="173">
        <v>7.05998860191138</v>
      </c>
      <c r="F112" s="173"/>
      <c r="G112" s="173">
        <v>30</v>
      </c>
      <c r="H112" s="154">
        <v>3619.0687232142859</v>
      </c>
      <c r="I112" s="190">
        <f>VLOOKUP($A112&amp;$B112,'KU Inputs'!$C$2:$I$505,MATCH('KU UtilityData'!I$1,'KU Inputs'!$C$1:$I$1,0),0)*1000</f>
        <v>4339367</v>
      </c>
      <c r="J112" s="190">
        <f>VLOOKUP($A112&amp;$B112,'KU Inputs'!$C$2:$I$505,MATCH('KU UtilityData'!J$1,'KU Inputs'!$C$1:$I$1,0),0)*1000</f>
        <v>1719965</v>
      </c>
      <c r="K112" s="247">
        <v>421699</v>
      </c>
      <c r="L112" s="259">
        <v>421606</v>
      </c>
      <c r="M112" s="164">
        <v>73889.682775873109</v>
      </c>
      <c r="N112" s="190">
        <f>VLOOKUP($A112&amp;$B112,'KU Inputs'!$C$2:$I$505,MATCH('KU UtilityData'!N$1,'KU Inputs'!$C$1:$I$1,0),0)</f>
        <v>124919.205</v>
      </c>
      <c r="O112" s="190" t="e">
        <f>VLOOKUP($A112&amp;$B112,'KU Inputs'!$C$2:$I$505,MATCH('KU UtilityData'!O$1,'KU Inputs'!$C$1:$I$1,0),0)</f>
        <v>#N/A</v>
      </c>
      <c r="P112" s="263">
        <v>891</v>
      </c>
      <c r="Q112" s="263">
        <v>0</v>
      </c>
      <c r="R112" s="166">
        <v>4512</v>
      </c>
      <c r="S112" s="166">
        <v>1455</v>
      </c>
      <c r="T112" s="182">
        <f t="shared" si="3"/>
        <v>1519.0784137500918</v>
      </c>
    </row>
    <row r="113" spans="1:20" x14ac:dyDescent="0.2">
      <c r="A113" s="153">
        <v>2010</v>
      </c>
      <c r="B113" s="153">
        <v>4</v>
      </c>
      <c r="C113" s="164">
        <v>414730.73</v>
      </c>
      <c r="D113" s="173">
        <v>7.05998860191138</v>
      </c>
      <c r="E113" s="173">
        <v>7.05998860191138</v>
      </c>
      <c r="F113" s="173"/>
      <c r="G113" s="173">
        <v>30.86</v>
      </c>
      <c r="H113" s="154">
        <v>3621.061136904762</v>
      </c>
      <c r="I113" s="190">
        <f>VLOOKUP($A113&amp;$B113,'KU Inputs'!$C$2:$I$505,MATCH('KU UtilityData'!I$1,'KU Inputs'!$C$1:$I$1,0),0)*1000</f>
        <v>4347223</v>
      </c>
      <c r="J113" s="190">
        <f>VLOOKUP($A113&amp;$B113,'KU Inputs'!$C$2:$I$505,MATCH('KU UtilityData'!J$1,'KU Inputs'!$C$1:$I$1,0),0)*1000</f>
        <v>1722917</v>
      </c>
      <c r="K113" s="167">
        <v>420712</v>
      </c>
      <c r="L113" s="259">
        <v>420651</v>
      </c>
      <c r="M113" s="164">
        <v>75266.988768390496</v>
      </c>
      <c r="N113" s="190">
        <f>VLOOKUP($A113&amp;$B113,'KU Inputs'!$C$2:$I$505,MATCH('KU UtilityData'!N$1,'KU Inputs'!$C$1:$I$1,0),0)</f>
        <v>126480.192</v>
      </c>
      <c r="O113" s="190" t="e">
        <f>VLOOKUP($A113&amp;$B113,'KU Inputs'!$C$2:$I$505,MATCH('KU UtilityData'!O$1,'KU Inputs'!$C$1:$I$1,0),0)</f>
        <v>#N/A</v>
      </c>
      <c r="P113" s="164">
        <v>365.6</v>
      </c>
      <c r="Q113" s="164">
        <v>24.8</v>
      </c>
      <c r="R113" s="166">
        <v>4512</v>
      </c>
      <c r="S113" s="166">
        <v>1455</v>
      </c>
      <c r="T113" s="182">
        <f t="shared" si="3"/>
        <v>985.78298218258567</v>
      </c>
    </row>
    <row r="114" spans="1:20" x14ac:dyDescent="0.2">
      <c r="A114" s="153">
        <v>2010</v>
      </c>
      <c r="B114" s="153">
        <v>5</v>
      </c>
      <c r="C114" s="164">
        <v>343043.68699999998</v>
      </c>
      <c r="D114" s="173">
        <v>7.05998860191138</v>
      </c>
      <c r="E114" s="173">
        <v>7.05998860191138</v>
      </c>
      <c r="F114" s="173"/>
      <c r="G114" s="173">
        <v>30.48</v>
      </c>
      <c r="H114" s="154">
        <v>3623.0535505952384</v>
      </c>
      <c r="I114" s="190">
        <f>VLOOKUP($A114&amp;$B114,'KU Inputs'!$C$2:$I$505,MATCH('KU UtilityData'!I$1,'KU Inputs'!$C$1:$I$1,0),0)*1000</f>
        <v>4347223</v>
      </c>
      <c r="J114" s="190">
        <f>VLOOKUP($A114&amp;$B114,'KU Inputs'!$C$2:$I$505,MATCH('KU UtilityData'!J$1,'KU Inputs'!$C$1:$I$1,0),0)*1000</f>
        <v>1722917</v>
      </c>
      <c r="K114" s="167">
        <v>420466</v>
      </c>
      <c r="L114" s="259">
        <v>420639</v>
      </c>
      <c r="M114" s="164">
        <v>75266.988768390496</v>
      </c>
      <c r="N114" s="190">
        <f>VLOOKUP($A114&amp;$B114,'KU Inputs'!$C$2:$I$505,MATCH('KU UtilityData'!N$1,'KU Inputs'!$C$1:$I$1,0),0)</f>
        <v>126480.192</v>
      </c>
      <c r="O114" s="190" t="e">
        <f>VLOOKUP($A114&amp;$B114,'KU Inputs'!$C$2:$I$505,MATCH('KU UtilityData'!O$1,'KU Inputs'!$C$1:$I$1,0),0)</f>
        <v>#N/A</v>
      </c>
      <c r="P114" s="263">
        <v>167.25</v>
      </c>
      <c r="Q114" s="263">
        <v>46.900000000000006</v>
      </c>
      <c r="R114" s="166">
        <v>4512</v>
      </c>
      <c r="S114" s="166">
        <v>1455</v>
      </c>
      <c r="T114" s="182">
        <f t="shared" si="3"/>
        <v>815.86546117878731</v>
      </c>
    </row>
    <row r="115" spans="1:20" x14ac:dyDescent="0.2">
      <c r="A115" s="153">
        <v>2010</v>
      </c>
      <c r="B115" s="153">
        <v>6</v>
      </c>
      <c r="C115" s="164">
        <v>497970.86700000003</v>
      </c>
      <c r="D115" s="173">
        <v>7.05998860191138</v>
      </c>
      <c r="E115" s="173">
        <v>7.05998860191138</v>
      </c>
      <c r="F115" s="173"/>
      <c r="G115" s="173">
        <v>30.67</v>
      </c>
      <c r="H115" s="154">
        <v>3625.0459642857127</v>
      </c>
      <c r="I115" s="190">
        <f>VLOOKUP($A115&amp;$B115,'KU Inputs'!$C$2:$I$505,MATCH('KU UtilityData'!I$1,'KU Inputs'!$C$1:$I$1,0),0)*1000</f>
        <v>4347223</v>
      </c>
      <c r="J115" s="190">
        <f>VLOOKUP($A115&amp;$B115,'KU Inputs'!$C$2:$I$505,MATCH('KU UtilityData'!J$1,'KU Inputs'!$C$1:$I$1,0),0)*1000</f>
        <v>1722917</v>
      </c>
      <c r="K115" s="167">
        <v>421916</v>
      </c>
      <c r="L115" s="259">
        <v>421909</v>
      </c>
      <c r="M115" s="164">
        <v>75266.988768390496</v>
      </c>
      <c r="N115" s="190">
        <f>VLOOKUP($A115&amp;$B115,'KU Inputs'!$C$2:$I$505,MATCH('KU UtilityData'!N$1,'KU Inputs'!$C$1:$I$1,0),0)</f>
        <v>126480.192</v>
      </c>
      <c r="O115" s="190" t="e">
        <f>VLOOKUP($A115&amp;$B115,'KU Inputs'!$C$2:$I$505,MATCH('KU UtilityData'!O$1,'KU Inputs'!$C$1:$I$1,0),0)</f>
        <v>#N/A</v>
      </c>
      <c r="P115" s="263">
        <v>35.5</v>
      </c>
      <c r="Q115" s="263">
        <v>241.10000000000002</v>
      </c>
      <c r="R115" s="166">
        <v>4512</v>
      </c>
      <c r="S115" s="166">
        <v>1455</v>
      </c>
      <c r="T115" s="182">
        <f t="shared" si="3"/>
        <v>1180.2606845912458</v>
      </c>
    </row>
    <row r="116" spans="1:20" x14ac:dyDescent="0.2">
      <c r="A116" s="153">
        <v>2010</v>
      </c>
      <c r="B116" s="153">
        <v>7</v>
      </c>
      <c r="C116" s="164">
        <v>612322.51300000004</v>
      </c>
      <c r="D116" s="173">
        <v>7.05998860191138</v>
      </c>
      <c r="E116" s="173">
        <v>7.05998860191138</v>
      </c>
      <c r="F116" s="173"/>
      <c r="G116" s="173">
        <v>30.71</v>
      </c>
      <c r="H116" s="154">
        <v>3626.8494751984113</v>
      </c>
      <c r="I116" s="190">
        <f>VLOOKUP($A116&amp;$B116,'KU Inputs'!$C$2:$I$505,MATCH('KU UtilityData'!I$1,'KU Inputs'!$C$1:$I$1,0),0)*1000</f>
        <v>4352756</v>
      </c>
      <c r="J116" s="190">
        <f>VLOOKUP($A116&amp;$B116,'KU Inputs'!$C$2:$I$505,MATCH('KU UtilityData'!J$1,'KU Inputs'!$C$1:$I$1,0),0)*1000</f>
        <v>1724191</v>
      </c>
      <c r="K116" s="167">
        <v>420996</v>
      </c>
      <c r="L116" s="259">
        <v>421060</v>
      </c>
      <c r="M116" s="164">
        <v>75982.102212246595</v>
      </c>
      <c r="N116" s="190">
        <f>VLOOKUP($A116&amp;$B116,'KU Inputs'!$C$2:$I$505,MATCH('KU UtilityData'!N$1,'KU Inputs'!$C$1:$I$1,0),0)</f>
        <v>127650.806</v>
      </c>
      <c r="O116" s="190" t="e">
        <f>VLOOKUP($A116&amp;$B116,'KU Inputs'!$C$2:$I$505,MATCH('KU UtilityData'!O$1,'KU Inputs'!$C$1:$I$1,0),0)</f>
        <v>#N/A</v>
      </c>
      <c r="P116" s="263">
        <v>0</v>
      </c>
      <c r="Q116" s="263">
        <v>381.4</v>
      </c>
      <c r="R116" s="166">
        <v>4512</v>
      </c>
      <c r="S116" s="166">
        <v>1455</v>
      </c>
      <c r="T116" s="182">
        <f t="shared" si="3"/>
        <v>1454.4615934593203</v>
      </c>
    </row>
    <row r="117" spans="1:20" x14ac:dyDescent="0.2">
      <c r="A117" s="153">
        <v>2010</v>
      </c>
      <c r="B117" s="153">
        <v>8</v>
      </c>
      <c r="C117" s="164">
        <v>639552.73400000005</v>
      </c>
      <c r="D117" s="173">
        <v>7.05998860191138</v>
      </c>
      <c r="E117" s="173">
        <v>7.05998860191138</v>
      </c>
      <c r="F117" s="173"/>
      <c r="G117" s="173">
        <v>29.52</v>
      </c>
      <c r="H117" s="154">
        <v>3628.6529861111103</v>
      </c>
      <c r="I117" s="190">
        <f>VLOOKUP($A117&amp;$B117,'KU Inputs'!$C$2:$I$505,MATCH('KU UtilityData'!I$1,'KU Inputs'!$C$1:$I$1,0),0)*1000</f>
        <v>4352756</v>
      </c>
      <c r="J117" s="190">
        <f>VLOOKUP($A117&amp;$B117,'KU Inputs'!$C$2:$I$505,MATCH('KU UtilityData'!J$1,'KU Inputs'!$C$1:$I$1,0),0)*1000</f>
        <v>1724191</v>
      </c>
      <c r="K117" s="167">
        <v>423248</v>
      </c>
      <c r="L117" s="259">
        <v>422802</v>
      </c>
      <c r="M117" s="164">
        <v>75982.102212246595</v>
      </c>
      <c r="N117" s="190">
        <f>VLOOKUP($A117&amp;$B117,'KU Inputs'!$C$2:$I$505,MATCH('KU UtilityData'!N$1,'KU Inputs'!$C$1:$I$1,0),0)</f>
        <v>127650.806</v>
      </c>
      <c r="O117" s="190" t="e">
        <f>VLOOKUP($A117&amp;$B117,'KU Inputs'!$C$2:$I$505,MATCH('KU UtilityData'!O$1,'KU Inputs'!$C$1:$I$1,0),0)</f>
        <v>#N/A</v>
      </c>
      <c r="P117" s="263">
        <v>0</v>
      </c>
      <c r="Q117" s="263">
        <v>435.95000000000005</v>
      </c>
      <c r="R117" s="166">
        <v>4512</v>
      </c>
      <c r="S117" s="166">
        <v>1455</v>
      </c>
      <c r="T117" s="182">
        <f t="shared" si="3"/>
        <v>1511.0590812006201</v>
      </c>
    </row>
    <row r="118" spans="1:20" x14ac:dyDescent="0.2">
      <c r="A118" s="153">
        <v>2010</v>
      </c>
      <c r="B118" s="153">
        <v>9</v>
      </c>
      <c r="C118" s="164">
        <v>548693.46</v>
      </c>
      <c r="D118" s="173">
        <v>7.05998860191138</v>
      </c>
      <c r="E118" s="173">
        <v>7.05998860191138</v>
      </c>
      <c r="F118" s="173"/>
      <c r="G118" s="173">
        <v>30.52</v>
      </c>
      <c r="H118" s="154">
        <v>3630.4564970238089</v>
      </c>
      <c r="I118" s="190">
        <f>VLOOKUP($A118&amp;$B118,'KU Inputs'!$C$2:$I$505,MATCH('KU UtilityData'!I$1,'KU Inputs'!$C$1:$I$1,0),0)*1000</f>
        <v>4352756</v>
      </c>
      <c r="J118" s="190">
        <f>VLOOKUP($A118&amp;$B118,'KU Inputs'!$C$2:$I$505,MATCH('KU UtilityData'!J$1,'KU Inputs'!$C$1:$I$1,0),0)*1000</f>
        <v>1724191</v>
      </c>
      <c r="K118" s="167">
        <v>421593</v>
      </c>
      <c r="L118" s="259">
        <v>421107</v>
      </c>
      <c r="M118" s="164">
        <v>75982.102212246595</v>
      </c>
      <c r="N118" s="190">
        <f>VLOOKUP($A118&amp;$B118,'KU Inputs'!$C$2:$I$505,MATCH('KU UtilityData'!N$1,'KU Inputs'!$C$1:$I$1,0),0)</f>
        <v>127650.806</v>
      </c>
      <c r="O118" s="190" t="e">
        <f>VLOOKUP($A118&amp;$B118,'KU Inputs'!$C$2:$I$505,MATCH('KU UtilityData'!O$1,'KU Inputs'!$C$1:$I$1,0),0)</f>
        <v>#N/A</v>
      </c>
      <c r="P118" s="263">
        <v>2.9</v>
      </c>
      <c r="Q118" s="263">
        <v>327.5</v>
      </c>
      <c r="R118" s="166">
        <v>4512</v>
      </c>
      <c r="S118" s="166">
        <v>1455</v>
      </c>
      <c r="T118" s="182">
        <f t="shared" si="3"/>
        <v>1301.4766848595682</v>
      </c>
    </row>
    <row r="119" spans="1:20" x14ac:dyDescent="0.2">
      <c r="A119" s="153">
        <v>2010</v>
      </c>
      <c r="B119" s="153">
        <v>10</v>
      </c>
      <c r="C119" s="164">
        <v>385659.34899999999</v>
      </c>
      <c r="D119" s="173">
        <v>7.05998860191138</v>
      </c>
      <c r="E119" s="173">
        <v>7.05998860191138</v>
      </c>
      <c r="F119" s="173"/>
      <c r="G119" s="173">
        <v>29.62</v>
      </c>
      <c r="H119" s="154">
        <v>3632.2600079365075</v>
      </c>
      <c r="I119" s="190">
        <f>VLOOKUP($A119&amp;$B119,'KU Inputs'!$C$2:$I$505,MATCH('KU UtilityData'!I$1,'KU Inputs'!$C$1:$I$1,0),0)*1000</f>
        <v>4358290</v>
      </c>
      <c r="J119" s="190">
        <f>VLOOKUP($A119&amp;$B119,'KU Inputs'!$C$2:$I$505,MATCH('KU UtilityData'!J$1,'KU Inputs'!$C$1:$I$1,0),0)*1000</f>
        <v>1725083</v>
      </c>
      <c r="K119" s="167">
        <v>420904</v>
      </c>
      <c r="L119" s="259">
        <v>420489</v>
      </c>
      <c r="M119" s="164">
        <v>76532.570387493703</v>
      </c>
      <c r="N119" s="190">
        <f>VLOOKUP($A119&amp;$B119,'KU Inputs'!$C$2:$I$505,MATCH('KU UtilityData'!N$1,'KU Inputs'!$C$1:$I$1,0),0)</f>
        <v>127503.515</v>
      </c>
      <c r="O119" s="190" t="e">
        <f>VLOOKUP($A119&amp;$B119,'KU Inputs'!$C$2:$I$505,MATCH('KU UtilityData'!O$1,'KU Inputs'!$C$1:$I$1,0),0)</f>
        <v>#N/A</v>
      </c>
      <c r="P119" s="263">
        <v>100.1</v>
      </c>
      <c r="Q119" s="263">
        <v>119.2</v>
      </c>
      <c r="R119" s="166">
        <v>4512</v>
      </c>
      <c r="S119" s="166">
        <v>1455</v>
      </c>
      <c r="T119" s="182">
        <f t="shared" si="3"/>
        <v>916.26439520650786</v>
      </c>
    </row>
    <row r="120" spans="1:20" x14ac:dyDescent="0.2">
      <c r="A120" s="153">
        <v>2010</v>
      </c>
      <c r="B120" s="153">
        <v>11</v>
      </c>
      <c r="C120" s="164">
        <v>364022.15299999999</v>
      </c>
      <c r="D120" s="173">
        <v>7.05998860191138</v>
      </c>
      <c r="E120" s="173">
        <v>7.05998860191138</v>
      </c>
      <c r="F120" s="173"/>
      <c r="G120" s="173">
        <v>29.6</v>
      </c>
      <c r="H120" s="154">
        <v>3634.063518849206</v>
      </c>
      <c r="I120" s="190">
        <f>VLOOKUP($A120&amp;$B120,'KU Inputs'!$C$2:$I$505,MATCH('KU UtilityData'!I$1,'KU Inputs'!$C$1:$I$1,0),0)*1000</f>
        <v>4358290</v>
      </c>
      <c r="J120" s="190">
        <f>VLOOKUP($A120&amp;$B120,'KU Inputs'!$C$2:$I$505,MATCH('KU UtilityData'!J$1,'KU Inputs'!$C$1:$I$1,0),0)*1000</f>
        <v>1725083</v>
      </c>
      <c r="K120" s="167">
        <v>421213</v>
      </c>
      <c r="L120" s="259">
        <v>420832</v>
      </c>
      <c r="M120" s="164">
        <v>76532.570387493703</v>
      </c>
      <c r="N120" s="190">
        <f>VLOOKUP($A120&amp;$B120,'KU Inputs'!$C$2:$I$505,MATCH('KU UtilityData'!N$1,'KU Inputs'!$C$1:$I$1,0),0)</f>
        <v>127503.515</v>
      </c>
      <c r="O120" s="190" t="e">
        <f>VLOOKUP($A120&amp;$B120,'KU Inputs'!$C$2:$I$505,MATCH('KU UtilityData'!O$1,'KU Inputs'!$C$1:$I$1,0),0)</f>
        <v>#N/A</v>
      </c>
      <c r="P120" s="263">
        <v>321</v>
      </c>
      <c r="Q120" s="263">
        <v>10</v>
      </c>
      <c r="R120" s="166">
        <v>4512</v>
      </c>
      <c r="S120" s="166">
        <v>1455</v>
      </c>
      <c r="T120" s="182">
        <f t="shared" si="3"/>
        <v>864.22345226761752</v>
      </c>
    </row>
    <row r="121" spans="1:20" x14ac:dyDescent="0.2">
      <c r="A121" s="153">
        <v>2010</v>
      </c>
      <c r="B121" s="153">
        <v>12</v>
      </c>
      <c r="C121" s="164">
        <v>640553.13399999996</v>
      </c>
      <c r="D121" s="173">
        <v>7.05998860191138</v>
      </c>
      <c r="E121" s="173">
        <v>7.05998860191138</v>
      </c>
      <c r="F121" s="173"/>
      <c r="G121" s="173">
        <v>31.17</v>
      </c>
      <c r="H121" s="154">
        <v>3635.8670297619046</v>
      </c>
      <c r="I121" s="190">
        <f>VLOOKUP($A121&amp;$B121,'KU Inputs'!$C$2:$I$505,MATCH('KU UtilityData'!I$1,'KU Inputs'!$C$1:$I$1,0),0)*1000</f>
        <v>4358290</v>
      </c>
      <c r="J121" s="190">
        <f>VLOOKUP($A121&amp;$B121,'KU Inputs'!$C$2:$I$505,MATCH('KU UtilityData'!J$1,'KU Inputs'!$C$1:$I$1,0),0)*1000</f>
        <v>1725083</v>
      </c>
      <c r="K121" s="167">
        <v>420617</v>
      </c>
      <c r="L121" s="259">
        <v>420931</v>
      </c>
      <c r="M121" s="164">
        <v>76532.570387493703</v>
      </c>
      <c r="N121" s="190">
        <f>VLOOKUP($A121&amp;$B121,'KU Inputs'!$C$2:$I$505,MATCH('KU UtilityData'!N$1,'KU Inputs'!$C$1:$I$1,0),0)</f>
        <v>127503.515</v>
      </c>
      <c r="O121" s="190" t="e">
        <f>VLOOKUP($A121&amp;$B121,'KU Inputs'!$C$2:$I$505,MATCH('KU UtilityData'!O$1,'KU Inputs'!$C$1:$I$1,0),0)</f>
        <v>#N/A</v>
      </c>
      <c r="P121" s="263">
        <v>822.75</v>
      </c>
      <c r="Q121" s="263">
        <v>0</v>
      </c>
      <c r="R121" s="166">
        <v>4512</v>
      </c>
      <c r="S121" s="166">
        <v>1455</v>
      </c>
      <c r="T121" s="182">
        <f t="shared" si="3"/>
        <v>1522.8893126050541</v>
      </c>
    </row>
    <row r="122" spans="1:20" x14ac:dyDescent="0.2">
      <c r="A122" s="153">
        <v>2011</v>
      </c>
      <c r="B122" s="153">
        <v>1</v>
      </c>
      <c r="C122" s="250">
        <v>850990.94400000002</v>
      </c>
      <c r="D122" s="279">
        <f>E122</f>
        <v>8.16</v>
      </c>
      <c r="E122" s="173">
        <v>8.16</v>
      </c>
      <c r="F122" s="173"/>
      <c r="G122" s="173">
        <v>32.71</v>
      </c>
      <c r="H122" s="154">
        <v>3637.6705406746037</v>
      </c>
      <c r="I122" s="190">
        <f>VLOOKUP($A122&amp;$B122,'KU Inputs'!$C$2:$I$505,MATCH('KU UtilityData'!I$1,'KU Inputs'!$C$1:$I$1,0),0)*1000</f>
        <v>4363823</v>
      </c>
      <c r="J122" s="190">
        <f>VLOOKUP($A122&amp;$B122,'KU Inputs'!$C$2:$I$505,MATCH('KU UtilityData'!J$1,'KU Inputs'!$C$1:$I$1,0),0)*1000</f>
        <v>1728158</v>
      </c>
      <c r="K122" s="167">
        <v>422106</v>
      </c>
      <c r="L122" s="259">
        <v>421768</v>
      </c>
      <c r="M122" s="164">
        <v>77007.431778499798</v>
      </c>
      <c r="N122" s="190">
        <f>VLOOKUP($A122&amp;$B122,'KU Inputs'!$C$2:$I$505,MATCH('KU UtilityData'!N$1,'KU Inputs'!$C$1:$I$1,0),0)</f>
        <v>128893.008</v>
      </c>
      <c r="O122" s="190" t="e">
        <f>VLOOKUP($A122&amp;$B122,'KU Inputs'!$C$2:$I$505,MATCH('KU UtilityData'!O$1,'KU Inputs'!$C$1:$I$1,0),0)</f>
        <v>#N/A</v>
      </c>
      <c r="P122" s="263">
        <v>1213.5999999999999</v>
      </c>
      <c r="Q122" s="263">
        <v>0</v>
      </c>
      <c r="R122" s="166">
        <v>4512</v>
      </c>
      <c r="S122" s="166">
        <v>1455</v>
      </c>
      <c r="T122" s="182">
        <f t="shared" si="3"/>
        <v>2016.0598143594264</v>
      </c>
    </row>
    <row r="123" spans="1:20" x14ac:dyDescent="0.2">
      <c r="A123" s="153">
        <v>2011</v>
      </c>
      <c r="B123" s="153">
        <v>2</v>
      </c>
      <c r="C123" s="250">
        <v>691197.25199999998</v>
      </c>
      <c r="D123" s="279">
        <f t="shared" ref="D123:D133" si="4">E123</f>
        <v>8.16</v>
      </c>
      <c r="E123" s="173">
        <v>8.16</v>
      </c>
      <c r="F123" s="173"/>
      <c r="G123" s="173">
        <v>29.81</v>
      </c>
      <c r="H123" s="154">
        <v>3639.4740515873023</v>
      </c>
      <c r="I123" s="190">
        <f>VLOOKUP($A123&amp;$B123,'KU Inputs'!$C$2:$I$505,MATCH('KU UtilityData'!I$1,'KU Inputs'!$C$1:$I$1,0),0)*1000</f>
        <v>4363823</v>
      </c>
      <c r="J123" s="190">
        <f>VLOOKUP($A123&amp;$B123,'KU Inputs'!$C$2:$I$505,MATCH('KU UtilityData'!J$1,'KU Inputs'!$C$1:$I$1,0),0)*1000</f>
        <v>1728158</v>
      </c>
      <c r="K123" s="167">
        <v>407747</v>
      </c>
      <c r="L123" s="259">
        <v>421555</v>
      </c>
      <c r="M123" s="164">
        <v>77007.431778499798</v>
      </c>
      <c r="N123" s="190">
        <f>VLOOKUP($A123&amp;$B123,'KU Inputs'!$C$2:$I$505,MATCH('KU UtilityData'!N$1,'KU Inputs'!$C$1:$I$1,0),0)</f>
        <v>128893.008</v>
      </c>
      <c r="O123" s="190" t="e">
        <f>VLOOKUP($A123&amp;$B123,'KU Inputs'!$C$2:$I$505,MATCH('KU UtilityData'!O$1,'KU Inputs'!$C$1:$I$1,0),0)</f>
        <v>#N/A</v>
      </c>
      <c r="P123" s="263">
        <v>949.84999999999991</v>
      </c>
      <c r="Q123" s="263">
        <v>0</v>
      </c>
      <c r="R123" s="166">
        <v>4512</v>
      </c>
      <c r="S123" s="166">
        <v>1455</v>
      </c>
      <c r="T123" s="182">
        <f t="shared" si="3"/>
        <v>1695.1620784457029</v>
      </c>
    </row>
    <row r="124" spans="1:20" x14ac:dyDescent="0.2">
      <c r="A124" s="153">
        <v>2011</v>
      </c>
      <c r="B124" s="153">
        <v>3</v>
      </c>
      <c r="C124" s="250">
        <v>532338.09699999995</v>
      </c>
      <c r="D124" s="279">
        <f t="shared" si="4"/>
        <v>8.16</v>
      </c>
      <c r="E124" s="173">
        <v>8.16</v>
      </c>
      <c r="F124" s="173"/>
      <c r="G124" s="173">
        <v>30.33</v>
      </c>
      <c r="H124" s="154">
        <v>3641.2775625000008</v>
      </c>
      <c r="I124" s="190">
        <f>VLOOKUP($A124&amp;$B124,'KU Inputs'!$C$2:$I$505,MATCH('KU UtilityData'!I$1,'KU Inputs'!$C$1:$I$1,0),0)*1000</f>
        <v>4363823</v>
      </c>
      <c r="J124" s="190">
        <f>VLOOKUP($A124&amp;$B124,'KU Inputs'!$C$2:$I$505,MATCH('KU UtilityData'!J$1,'KU Inputs'!$C$1:$I$1,0),0)*1000</f>
        <v>1728158</v>
      </c>
      <c r="K124" s="167">
        <v>421908</v>
      </c>
      <c r="L124" s="259">
        <v>421752</v>
      </c>
      <c r="M124" s="164">
        <v>77007.431778499798</v>
      </c>
      <c r="N124" s="190">
        <f>VLOOKUP($A124&amp;$B124,'KU Inputs'!$C$2:$I$505,MATCH('KU UtilityData'!N$1,'KU Inputs'!$C$1:$I$1,0),0)</f>
        <v>128893.008</v>
      </c>
      <c r="O124" s="190" t="e">
        <f>VLOOKUP($A124&amp;$B124,'KU Inputs'!$C$2:$I$505,MATCH('KU UtilityData'!O$1,'KU Inputs'!$C$1:$I$1,0),0)</f>
        <v>#N/A</v>
      </c>
      <c r="P124" s="263">
        <v>643.70000000000005</v>
      </c>
      <c r="Q124" s="263">
        <v>1.1499999999999999</v>
      </c>
      <c r="R124" s="166">
        <v>4512</v>
      </c>
      <c r="S124" s="166">
        <v>1455</v>
      </c>
      <c r="T124" s="182">
        <f t="shared" si="3"/>
        <v>1261.7397560605627</v>
      </c>
    </row>
    <row r="125" spans="1:20" x14ac:dyDescent="0.2">
      <c r="A125" s="153">
        <v>2011</v>
      </c>
      <c r="B125" s="153">
        <v>4</v>
      </c>
      <c r="C125" s="250">
        <v>438271.37699999998</v>
      </c>
      <c r="D125" s="279">
        <f t="shared" si="4"/>
        <v>8.16</v>
      </c>
      <c r="E125" s="173">
        <v>8.16</v>
      </c>
      <c r="F125" s="173"/>
      <c r="G125" s="173">
        <v>29.86</v>
      </c>
      <c r="H125" s="154">
        <v>3643.0810734126994</v>
      </c>
      <c r="I125" s="190">
        <f>VLOOKUP($A125&amp;$B125,'KU Inputs'!$C$2:$I$505,MATCH('KU UtilityData'!I$1,'KU Inputs'!$C$1:$I$1,0),0)*1000</f>
        <v>4369356</v>
      </c>
      <c r="J125" s="190">
        <f>VLOOKUP($A125&amp;$B125,'KU Inputs'!$C$2:$I$505,MATCH('KU UtilityData'!J$1,'KU Inputs'!$C$1:$I$1,0),0)*1000</f>
        <v>1730301</v>
      </c>
      <c r="K125" s="265">
        <v>421736.33333333331</v>
      </c>
      <c r="L125" s="259">
        <v>420307</v>
      </c>
      <c r="M125" s="164">
        <v>77457.563347201605</v>
      </c>
      <c r="N125" s="190">
        <f>VLOOKUP($A125&amp;$B125,'KU Inputs'!$C$2:$I$505,MATCH('KU UtilityData'!N$1,'KU Inputs'!$C$1:$I$1,0),0)</f>
        <v>129036.827</v>
      </c>
      <c r="O125" s="190" t="e">
        <f>VLOOKUP($A125&amp;$B125,'KU Inputs'!$C$2:$I$505,MATCH('KU UtilityData'!O$1,'KU Inputs'!$C$1:$I$1,0),0)</f>
        <v>#N/A</v>
      </c>
      <c r="P125" s="263">
        <v>443.45</v>
      </c>
      <c r="Q125" s="263">
        <v>12.65</v>
      </c>
      <c r="R125" s="166">
        <v>4512</v>
      </c>
      <c r="S125" s="166">
        <v>1455</v>
      </c>
      <c r="T125" s="182">
        <f>C125/L125*1000</f>
        <v>1042.7410844930014</v>
      </c>
    </row>
    <row r="126" spans="1:20" x14ac:dyDescent="0.2">
      <c r="A126" s="153">
        <v>2011</v>
      </c>
      <c r="B126" s="153">
        <v>5</v>
      </c>
      <c r="C126" s="250">
        <v>360909.25599999999</v>
      </c>
      <c r="D126" s="279">
        <f t="shared" si="4"/>
        <v>8.16</v>
      </c>
      <c r="E126" s="173">
        <v>8.16</v>
      </c>
      <c r="F126" s="173"/>
      <c r="G126" s="173">
        <v>30.48</v>
      </c>
      <c r="H126" s="154">
        <v>3644.8845843253985</v>
      </c>
      <c r="I126" s="190">
        <f>VLOOKUP($A126&amp;$B126,'KU Inputs'!$C$2:$I$505,MATCH('KU UtilityData'!I$1,'KU Inputs'!$C$1:$I$1,0),0)*1000</f>
        <v>4369356</v>
      </c>
      <c r="J126" s="190">
        <f>VLOOKUP($A126&amp;$B126,'KU Inputs'!$C$2:$I$505,MATCH('KU UtilityData'!J$1,'KU Inputs'!$C$1:$I$1,0),0)*1000</f>
        <v>1730301</v>
      </c>
      <c r="K126" s="265">
        <v>422142.39407882135</v>
      </c>
      <c r="L126" s="259">
        <v>421495</v>
      </c>
      <c r="M126" s="164">
        <v>77457.563347201605</v>
      </c>
      <c r="N126" s="190">
        <f>VLOOKUP($A126&amp;$B126,'KU Inputs'!$C$2:$I$505,MATCH('KU UtilityData'!N$1,'KU Inputs'!$C$1:$I$1,0),0)</f>
        <v>129036.827</v>
      </c>
      <c r="O126" s="190" t="e">
        <f>VLOOKUP($A126&amp;$B126,'KU Inputs'!$C$2:$I$505,MATCH('KU UtilityData'!O$1,'KU Inputs'!$C$1:$I$1,0),0)</f>
        <v>#N/A</v>
      </c>
      <c r="P126" s="263">
        <v>195.89999999999998</v>
      </c>
      <c r="Q126" s="263">
        <v>43.5</v>
      </c>
      <c r="R126" s="166">
        <v>4512</v>
      </c>
      <c r="S126" s="166">
        <v>1455</v>
      </c>
      <c r="T126" s="182">
        <f>C126/L126*1000</f>
        <v>856.2598749688608</v>
      </c>
    </row>
    <row r="127" spans="1:20" x14ac:dyDescent="0.2">
      <c r="A127" s="153">
        <v>2011</v>
      </c>
      <c r="B127" s="153">
        <v>6</v>
      </c>
      <c r="C127" s="250">
        <v>486266.201</v>
      </c>
      <c r="D127" s="279">
        <f t="shared" si="4"/>
        <v>8.16</v>
      </c>
      <c r="E127" s="173">
        <v>8.16</v>
      </c>
      <c r="F127" s="173"/>
      <c r="G127" s="173">
        <v>30.67</v>
      </c>
      <c r="H127" s="154">
        <v>3646.6880952380948</v>
      </c>
      <c r="I127" s="190">
        <f>VLOOKUP($A127&amp;$B127,'KU Inputs'!$C$2:$I$505,MATCH('KU UtilityData'!I$1,'KU Inputs'!$C$1:$I$1,0),0)*1000</f>
        <v>4369356</v>
      </c>
      <c r="J127" s="190">
        <f>VLOOKUP($A127&amp;$B127,'KU Inputs'!$C$2:$I$505,MATCH('KU UtilityData'!J$1,'KU Inputs'!$C$1:$I$1,0),0)*1000</f>
        <v>1730301</v>
      </c>
      <c r="K127" s="265">
        <v>422548.84579211555</v>
      </c>
      <c r="L127" s="259">
        <v>420875</v>
      </c>
      <c r="M127" s="164">
        <v>77457.563347201605</v>
      </c>
      <c r="N127" s="190">
        <f>VLOOKUP($A127&amp;$B127,'KU Inputs'!$C$2:$I$505,MATCH('KU UtilityData'!N$1,'KU Inputs'!$C$1:$I$1,0),0)</f>
        <v>129036.827</v>
      </c>
      <c r="O127" s="190" t="e">
        <f>VLOOKUP($A127&amp;$B127,'KU Inputs'!$C$2:$I$505,MATCH('KU UtilityData'!O$1,'KU Inputs'!$C$1:$I$1,0),0)</f>
        <v>#N/A</v>
      </c>
      <c r="P127" s="263">
        <v>53.85</v>
      </c>
      <c r="Q127" s="263">
        <v>224.7</v>
      </c>
      <c r="R127" s="166">
        <v>4512</v>
      </c>
      <c r="S127" s="166">
        <v>1455</v>
      </c>
      <c r="T127" s="182">
        <f>C127/L127*1000</f>
        <v>1155.3696489456488</v>
      </c>
    </row>
    <row r="128" spans="1:20" x14ac:dyDescent="0.2">
      <c r="A128" s="153">
        <v>2011</v>
      </c>
      <c r="B128" s="153">
        <v>7</v>
      </c>
      <c r="C128" s="250">
        <v>539548.81999999995</v>
      </c>
      <c r="D128" s="279">
        <f t="shared" si="4"/>
        <v>8.16</v>
      </c>
      <c r="E128" s="173">
        <v>8.16</v>
      </c>
      <c r="F128" s="173"/>
      <c r="G128" s="173">
        <v>30.71</v>
      </c>
      <c r="H128" s="154">
        <v>3648.6168561507934</v>
      </c>
      <c r="I128" s="190">
        <f>VLOOKUP($A128&amp;$B128,'KU Inputs'!$C$2:$I$505,MATCH('KU UtilityData'!I$1,'KU Inputs'!$C$1:$I$1,0),0)*1000</f>
        <v>4375233</v>
      </c>
      <c r="J128" s="190">
        <f>VLOOKUP($A128&amp;$B128,'KU Inputs'!$C$2:$I$505,MATCH('KU UtilityData'!J$1,'KU Inputs'!$C$1:$I$1,0),0)*1000</f>
        <v>1732753</v>
      </c>
      <c r="K128" s="265">
        <v>422955.68884965178</v>
      </c>
      <c r="L128" s="259">
        <v>420192</v>
      </c>
      <c r="M128" s="164">
        <v>77940.265879917511</v>
      </c>
      <c r="N128" s="190">
        <f>VLOOKUP($A128&amp;$B128,'KU Inputs'!$C$2:$I$505,MATCH('KU UtilityData'!N$1,'KU Inputs'!$C$1:$I$1,0),0)</f>
        <v>128885.583</v>
      </c>
      <c r="O128" s="190" t="e">
        <f>VLOOKUP($A128&amp;$B128,'KU Inputs'!$C$2:$I$505,MATCH('KU UtilityData'!O$1,'KU Inputs'!$C$1:$I$1,0),0)</f>
        <v>#N/A</v>
      </c>
      <c r="P128" s="263">
        <v>0</v>
      </c>
      <c r="Q128" s="263">
        <v>307.14999999999998</v>
      </c>
      <c r="R128" s="166">
        <v>4512</v>
      </c>
      <c r="S128" s="166">
        <v>1455</v>
      </c>
      <c r="T128" s="182">
        <f t="shared" ref="T128:T136" si="5">C128/L128*1000</f>
        <v>1284.0530519381614</v>
      </c>
    </row>
    <row r="129" spans="1:20" x14ac:dyDescent="0.2">
      <c r="A129" s="153">
        <v>2011</v>
      </c>
      <c r="B129" s="153">
        <v>8</v>
      </c>
      <c r="C129" s="250">
        <v>631263.21</v>
      </c>
      <c r="D129" s="279">
        <f t="shared" si="4"/>
        <v>8.16</v>
      </c>
      <c r="E129" s="173">
        <v>8.16</v>
      </c>
      <c r="F129" s="173"/>
      <c r="G129" s="173">
        <v>29.52</v>
      </c>
      <c r="H129" s="154">
        <v>3650.545617063492</v>
      </c>
      <c r="I129" s="190">
        <f>VLOOKUP($A129&amp;$B129,'KU Inputs'!$C$2:$I$505,MATCH('KU UtilityData'!I$1,'KU Inputs'!$C$1:$I$1,0),0)*1000</f>
        <v>4375233</v>
      </c>
      <c r="J129" s="190">
        <f>VLOOKUP($A129&amp;$B129,'KU Inputs'!$C$2:$I$505,MATCH('KU UtilityData'!J$1,'KU Inputs'!$C$1:$I$1,0),0)*1000</f>
        <v>1732753</v>
      </c>
      <c r="K129" s="265">
        <v>423362.92362822831</v>
      </c>
      <c r="L129" s="259">
        <v>422280</v>
      </c>
      <c r="M129" s="164">
        <v>77940.265879917511</v>
      </c>
      <c r="N129" s="190">
        <f>VLOOKUP($A129&amp;$B129,'KU Inputs'!$C$2:$I$505,MATCH('KU UtilityData'!N$1,'KU Inputs'!$C$1:$I$1,0),0)</f>
        <v>128885.583</v>
      </c>
      <c r="O129" s="190" t="e">
        <f>VLOOKUP($A129&amp;$B129,'KU Inputs'!$C$2:$I$505,MATCH('KU UtilityData'!O$1,'KU Inputs'!$C$1:$I$1,0),0)</f>
        <v>#N/A</v>
      </c>
      <c r="P129" s="263">
        <v>0</v>
      </c>
      <c r="Q129" s="263">
        <v>427.1</v>
      </c>
      <c r="R129" s="166">
        <v>4512</v>
      </c>
      <c r="S129" s="166">
        <v>1455</v>
      </c>
      <c r="T129" s="182">
        <f t="shared" si="5"/>
        <v>1494.8925120772947</v>
      </c>
    </row>
    <row r="130" spans="1:20" x14ac:dyDescent="0.2">
      <c r="A130" s="153">
        <v>2011</v>
      </c>
      <c r="B130" s="153">
        <v>9</v>
      </c>
      <c r="C130" s="250">
        <v>511784.92800000001</v>
      </c>
      <c r="D130" s="279">
        <f t="shared" si="4"/>
        <v>8.16</v>
      </c>
      <c r="E130" s="173">
        <v>8.16</v>
      </c>
      <c r="F130" s="173"/>
      <c r="G130" s="173">
        <v>30.52</v>
      </c>
      <c r="H130" s="154">
        <v>3652.4743779761907</v>
      </c>
      <c r="I130" s="190">
        <f>VLOOKUP($A130&amp;$B130,'KU Inputs'!$C$2:$I$505,MATCH('KU UtilityData'!I$1,'KU Inputs'!$C$1:$I$1,0),0)*1000</f>
        <v>4375233</v>
      </c>
      <c r="J130" s="190">
        <f>VLOOKUP($A130&amp;$B130,'KU Inputs'!$C$2:$I$505,MATCH('KU UtilityData'!J$1,'KU Inputs'!$C$1:$I$1,0),0)*1000</f>
        <v>1732753</v>
      </c>
      <c r="K130" s="265">
        <v>423770.55050500628</v>
      </c>
      <c r="L130" s="259">
        <v>419766</v>
      </c>
      <c r="M130" s="164">
        <v>77940.265879917511</v>
      </c>
      <c r="N130" s="190">
        <f>VLOOKUP($A130&amp;$B130,'KU Inputs'!$C$2:$I$505,MATCH('KU UtilityData'!N$1,'KU Inputs'!$C$1:$I$1,0),0)</f>
        <v>128885.583</v>
      </c>
      <c r="O130" s="190" t="e">
        <f>VLOOKUP($A130&amp;$B130,'KU Inputs'!$C$2:$I$505,MATCH('KU UtilityData'!O$1,'KU Inputs'!$C$1:$I$1,0),0)</f>
        <v>#N/A</v>
      </c>
      <c r="P130" s="263">
        <v>27.9</v>
      </c>
      <c r="Q130" s="263">
        <v>254.25</v>
      </c>
      <c r="R130" s="166">
        <v>4512</v>
      </c>
      <c r="S130" s="166">
        <v>1455</v>
      </c>
      <c r="T130" s="182">
        <f t="shared" si="5"/>
        <v>1219.2148196852534</v>
      </c>
    </row>
    <row r="131" spans="1:20" x14ac:dyDescent="0.2">
      <c r="A131" s="153">
        <v>2011</v>
      </c>
      <c r="B131" s="153">
        <v>10</v>
      </c>
      <c r="C131" s="250">
        <v>345989.92599999998</v>
      </c>
      <c r="D131" s="279">
        <f t="shared" si="4"/>
        <v>8.16</v>
      </c>
      <c r="E131" s="173">
        <v>8.16</v>
      </c>
      <c r="F131" s="173"/>
      <c r="G131" s="173">
        <v>29.62</v>
      </c>
      <c r="H131" s="154">
        <v>3654.4031388888893</v>
      </c>
      <c r="I131" s="190">
        <f>VLOOKUP($A131&amp;$B131,'KU Inputs'!$C$2:$I$505,MATCH('KU UtilityData'!I$1,'KU Inputs'!$C$1:$I$1,0),0)*1000</f>
        <v>4381482</v>
      </c>
      <c r="J131" s="190">
        <f>VLOOKUP($A131&amp;$B131,'KU Inputs'!$C$2:$I$505,MATCH('KU UtilityData'!J$1,'KU Inputs'!$C$1:$I$1,0),0)*1000</f>
        <v>1735612</v>
      </c>
      <c r="K131" s="265">
        <v>424178.56985750992</v>
      </c>
      <c r="L131" s="259">
        <v>419584</v>
      </c>
      <c r="M131" s="164">
        <v>78475.554289862193</v>
      </c>
      <c r="N131" s="190">
        <f>VLOOKUP($A131&amp;$B131,'KU Inputs'!$C$2:$I$505,MATCH('KU UtilityData'!N$1,'KU Inputs'!$C$1:$I$1,0),0)</f>
        <v>129177.128</v>
      </c>
      <c r="O131" s="190" t="e">
        <f>VLOOKUP($A131&amp;$B131,'KU Inputs'!$C$2:$I$505,MATCH('KU UtilityData'!O$1,'KU Inputs'!$C$1:$I$1,0),0)</f>
        <v>#N/A</v>
      </c>
      <c r="P131" s="263">
        <v>155.5</v>
      </c>
      <c r="Q131" s="263">
        <v>39.65</v>
      </c>
      <c r="R131" s="166">
        <v>4512</v>
      </c>
      <c r="S131" s="166">
        <v>1455</v>
      </c>
      <c r="T131" s="182">
        <f t="shared" si="5"/>
        <v>824.60228702715062</v>
      </c>
    </row>
    <row r="132" spans="1:20" x14ac:dyDescent="0.2">
      <c r="A132" s="153">
        <v>2011</v>
      </c>
      <c r="B132" s="153">
        <v>11</v>
      </c>
      <c r="C132" s="250">
        <v>367820.48100000003</v>
      </c>
      <c r="D132" s="279">
        <f t="shared" si="4"/>
        <v>8.16</v>
      </c>
      <c r="E132" s="173">
        <v>8.16</v>
      </c>
      <c r="F132" s="173"/>
      <c r="G132" s="173">
        <v>29.95</v>
      </c>
      <c r="H132" s="154">
        <v>3656.331899801588</v>
      </c>
      <c r="I132" s="190">
        <f>VLOOKUP($A132&amp;$B132,'KU Inputs'!$C$2:$I$505,MATCH('KU UtilityData'!I$1,'KU Inputs'!$C$1:$I$1,0),0)*1000</f>
        <v>4381482</v>
      </c>
      <c r="J132" s="190">
        <f>VLOOKUP($A132&amp;$B132,'KU Inputs'!$C$2:$I$505,MATCH('KU UtilityData'!J$1,'KU Inputs'!$C$1:$I$1,0),0)*1000</f>
        <v>1735612</v>
      </c>
      <c r="K132" s="265">
        <v>424586.98206362699</v>
      </c>
      <c r="L132" s="259">
        <v>418506</v>
      </c>
      <c r="M132" s="164">
        <v>78475.554289862193</v>
      </c>
      <c r="N132" s="190">
        <f>VLOOKUP($A132&amp;$B132,'KU Inputs'!$C$2:$I$505,MATCH('KU UtilityData'!N$1,'KU Inputs'!$C$1:$I$1,0),0)</f>
        <v>129177.128</v>
      </c>
      <c r="O132" s="190" t="e">
        <f>VLOOKUP($A132&amp;$B132,'KU Inputs'!$C$2:$I$505,MATCH('KU UtilityData'!O$1,'KU Inputs'!$C$1:$I$1,0),0)</f>
        <v>#N/A</v>
      </c>
      <c r="P132" s="263">
        <v>378.85</v>
      </c>
      <c r="Q132" s="263">
        <v>2.0500000000000003</v>
      </c>
      <c r="R132" s="166">
        <v>4512</v>
      </c>
      <c r="S132" s="166">
        <v>1455</v>
      </c>
      <c r="T132" s="182">
        <f t="shared" si="5"/>
        <v>878.8893850984216</v>
      </c>
    </row>
    <row r="133" spans="1:20" x14ac:dyDescent="0.2">
      <c r="A133" s="153">
        <v>2011</v>
      </c>
      <c r="B133" s="153">
        <v>12</v>
      </c>
      <c r="C133" s="250">
        <v>508652.88299999997</v>
      </c>
      <c r="D133" s="279">
        <f t="shared" si="4"/>
        <v>8.16</v>
      </c>
      <c r="E133" s="173">
        <v>8.16</v>
      </c>
      <c r="F133" s="173"/>
      <c r="G133" s="173">
        <v>31.24</v>
      </c>
      <c r="H133" s="154">
        <v>3658.260660714287</v>
      </c>
      <c r="I133" s="190">
        <f>VLOOKUP($A133&amp;$B133,'KU Inputs'!$C$2:$I$505,MATCH('KU UtilityData'!I$1,'KU Inputs'!$C$1:$I$1,0),0)*1000</f>
        <v>4381482</v>
      </c>
      <c r="J133" s="190">
        <f>VLOOKUP($A133&amp;$B133,'KU Inputs'!$C$2:$I$505,MATCH('KU UtilityData'!J$1,'KU Inputs'!$C$1:$I$1,0),0)*1000</f>
        <v>1735612</v>
      </c>
      <c r="K133" s="265">
        <v>424995.78750160901</v>
      </c>
      <c r="L133" s="259">
        <v>418702</v>
      </c>
      <c r="M133" s="164">
        <v>78475.554289862193</v>
      </c>
      <c r="N133" s="190">
        <f>VLOOKUP($A133&amp;$B133,'KU Inputs'!$C$2:$I$505,MATCH('KU UtilityData'!N$1,'KU Inputs'!$C$1:$I$1,0),0)</f>
        <v>129177.128</v>
      </c>
      <c r="O133" s="190" t="e">
        <f>VLOOKUP($A133&amp;$B133,'KU Inputs'!$C$2:$I$505,MATCH('KU UtilityData'!O$1,'KU Inputs'!$C$1:$I$1,0),0)</f>
        <v>#N/A</v>
      </c>
      <c r="P133" s="263">
        <v>592.15</v>
      </c>
      <c r="Q133" s="263">
        <v>0.55000000000000004</v>
      </c>
      <c r="R133" s="166">
        <v>4512</v>
      </c>
      <c r="S133" s="166">
        <v>1455</v>
      </c>
      <c r="T133" s="182">
        <f t="shared" si="5"/>
        <v>1214.8327044055197</v>
      </c>
    </row>
    <row r="134" spans="1:20" x14ac:dyDescent="0.2">
      <c r="A134" s="153">
        <v>2012</v>
      </c>
      <c r="B134" s="153">
        <v>1</v>
      </c>
      <c r="C134" s="250">
        <v>669724.67000000004</v>
      </c>
      <c r="D134" s="280">
        <f>HLOOKUP($A134,'KU rate projections'!$C$3:$L$28,26,0)*100</f>
        <v>8.2157180266636693</v>
      </c>
      <c r="E134" s="279">
        <f>D134*0.99</f>
        <v>8.1335608463970317</v>
      </c>
      <c r="F134" s="173"/>
      <c r="G134" s="173">
        <v>32.549999999999997</v>
      </c>
      <c r="H134" s="154">
        <v>3660.1894216269857</v>
      </c>
      <c r="I134" s="190">
        <f>VLOOKUP($A134&amp;$B134,'KU Inputs'!$C$2:$I$505,MATCH('KU UtilityData'!I$1,'KU Inputs'!$C$1:$I$1,0),0)*1000</f>
        <v>4387829</v>
      </c>
      <c r="J134" s="190">
        <f>VLOOKUP($A134&amp;$B134,'KU Inputs'!$C$2:$I$505,MATCH('KU UtilityData'!J$1,'KU Inputs'!$C$1:$I$1,0),0)*1000</f>
        <v>1738996</v>
      </c>
      <c r="K134" s="265">
        <v>425137.45276410953</v>
      </c>
      <c r="L134" s="259">
        <v>419951</v>
      </c>
      <c r="M134" s="164">
        <v>79178.062114171888</v>
      </c>
      <c r="N134" s="190">
        <f>VLOOKUP($A134&amp;$B134,'KU Inputs'!$C$2:$I$505,MATCH('KU UtilityData'!N$1,'KU Inputs'!$C$1:$I$1,0),0)</f>
        <v>129516.13400000001</v>
      </c>
      <c r="O134" s="190" t="e">
        <f>VLOOKUP($A134&amp;$B134,'KU Inputs'!$C$2:$I$505,MATCH('KU UtilityData'!O$1,'KU Inputs'!$C$1:$I$1,0),0)</f>
        <v>#N/A</v>
      </c>
      <c r="P134" s="263">
        <v>867.75</v>
      </c>
      <c r="Q134" s="263">
        <v>0</v>
      </c>
      <c r="R134" s="166">
        <v>4512</v>
      </c>
      <c r="S134" s="166">
        <v>1455</v>
      </c>
      <c r="T134" s="182">
        <f t="shared" si="5"/>
        <v>1594.7686039561759</v>
      </c>
    </row>
    <row r="135" spans="1:20" x14ac:dyDescent="0.2">
      <c r="A135" s="153">
        <v>2012</v>
      </c>
      <c r="B135" s="153">
        <v>2</v>
      </c>
      <c r="C135" s="250">
        <v>592839.22900000005</v>
      </c>
      <c r="D135" s="280">
        <f>HLOOKUP($A135,'KU rate projections'!$C$3:$L$28,26,0)*100</f>
        <v>8.2157180266636693</v>
      </c>
      <c r="E135" s="279">
        <f t="shared" ref="E135:E198" si="6">D135*0.99</f>
        <v>8.1335608463970317</v>
      </c>
      <c r="F135" s="173"/>
      <c r="G135" s="173">
        <v>29.75</v>
      </c>
      <c r="H135" s="154">
        <v>3662.1181825396843</v>
      </c>
      <c r="I135" s="190">
        <f>VLOOKUP($A135&amp;$B135,'KU Inputs'!$C$2:$I$505,MATCH('KU UtilityData'!I$1,'KU Inputs'!$C$1:$I$1,0),0)*1000</f>
        <v>4387829</v>
      </c>
      <c r="J135" s="190">
        <f>VLOOKUP($A135&amp;$B135,'KU Inputs'!$C$2:$I$505,MATCH('KU UtilityData'!J$1,'KU Inputs'!$C$1:$I$1,0),0)*1000</f>
        <v>1738996</v>
      </c>
      <c r="K135" s="265">
        <v>425279.16524836421</v>
      </c>
      <c r="L135" s="259">
        <v>419822</v>
      </c>
      <c r="M135" s="164">
        <v>79178.062114171888</v>
      </c>
      <c r="N135" s="190">
        <f>VLOOKUP($A135&amp;$B135,'KU Inputs'!$C$2:$I$505,MATCH('KU UtilityData'!N$1,'KU Inputs'!$C$1:$I$1,0),0)</f>
        <v>129516.13400000001</v>
      </c>
      <c r="O135" s="190" t="e">
        <f>VLOOKUP($A135&amp;$B135,'KU Inputs'!$C$2:$I$505,MATCH('KU UtilityData'!O$1,'KU Inputs'!$C$1:$I$1,0),0)</f>
        <v>#N/A</v>
      </c>
      <c r="P135" s="263">
        <v>777.09999999999991</v>
      </c>
      <c r="Q135" s="263">
        <v>0</v>
      </c>
      <c r="R135" s="166">
        <v>4512</v>
      </c>
      <c r="S135" s="166">
        <v>1455</v>
      </c>
      <c r="T135" s="182">
        <f t="shared" si="5"/>
        <v>1412.1204439024159</v>
      </c>
    </row>
    <row r="136" spans="1:20" x14ac:dyDescent="0.2">
      <c r="A136" s="153">
        <v>2012</v>
      </c>
      <c r="B136" s="153">
        <v>3</v>
      </c>
      <c r="C136" s="250">
        <v>491154.14399999997</v>
      </c>
      <c r="D136" s="280">
        <f>HLOOKUP($A136,'KU rate projections'!$C$3:$L$28,26,0)*100</f>
        <v>8.2157180266636693</v>
      </c>
      <c r="E136" s="279">
        <f t="shared" si="6"/>
        <v>8.1335608463970317</v>
      </c>
      <c r="F136" s="173"/>
      <c r="G136" s="173">
        <v>30.38</v>
      </c>
      <c r="H136" s="154">
        <v>3664.0469434523829</v>
      </c>
      <c r="I136" s="190">
        <f>VLOOKUP($A136&amp;$B136,'KU Inputs'!$C$2:$I$505,MATCH('KU UtilityData'!I$1,'KU Inputs'!$C$1:$I$1,0),0)*1000</f>
        <v>4387829</v>
      </c>
      <c r="J136" s="190">
        <f>VLOOKUP($A136&amp;$B136,'KU Inputs'!$C$2:$I$505,MATCH('KU UtilityData'!J$1,'KU Inputs'!$C$1:$I$1,0),0)*1000</f>
        <v>1738996</v>
      </c>
      <c r="K136" s="265">
        <v>425420.92497011367</v>
      </c>
      <c r="L136" s="259">
        <v>419549</v>
      </c>
      <c r="M136" s="164">
        <v>79178.062114171888</v>
      </c>
      <c r="N136" s="190">
        <f>VLOOKUP($A136&amp;$B136,'KU Inputs'!$C$2:$I$505,MATCH('KU UtilityData'!N$1,'KU Inputs'!$C$1:$I$1,0),0)</f>
        <v>129516.13400000001</v>
      </c>
      <c r="O136" s="190" t="e">
        <f>VLOOKUP($A136&amp;$B136,'KU Inputs'!$C$2:$I$505,MATCH('KU UtilityData'!O$1,'KU Inputs'!$C$1:$I$1,0),0)</f>
        <v>#N/A</v>
      </c>
      <c r="P136" s="263">
        <v>558.75</v>
      </c>
      <c r="Q136" s="263">
        <v>9.4499999999999993</v>
      </c>
      <c r="R136" s="166">
        <v>4512</v>
      </c>
      <c r="S136" s="166">
        <v>1455</v>
      </c>
      <c r="T136" s="182">
        <f t="shared" si="5"/>
        <v>1170.6717069996591</v>
      </c>
    </row>
    <row r="137" spans="1:20" x14ac:dyDescent="0.2">
      <c r="A137" s="153">
        <v>2012</v>
      </c>
      <c r="B137" s="153">
        <v>4</v>
      </c>
      <c r="C137" s="250">
        <v>350037.18900000001</v>
      </c>
      <c r="D137" s="280">
        <f>HLOOKUP($A137,'KU rate projections'!$C$3:$L$28,26,0)*100</f>
        <v>8.2157180266636693</v>
      </c>
      <c r="E137" s="279">
        <f t="shared" si="6"/>
        <v>8.1335608463970317</v>
      </c>
      <c r="F137" s="173"/>
      <c r="G137" s="173">
        <v>30.67</v>
      </c>
      <c r="H137" s="154">
        <v>3665.9757043650816</v>
      </c>
      <c r="I137" s="190">
        <f>VLOOKUP($A137&amp;$B137,'KU Inputs'!$C$2:$I$505,MATCH('KU UtilityData'!I$1,'KU Inputs'!$C$1:$I$1,0),0)*1000</f>
        <v>4394317</v>
      </c>
      <c r="J137" s="190">
        <f>VLOOKUP($A137&amp;$B137,'KU Inputs'!$C$2:$I$505,MATCH('KU UtilityData'!J$1,'KU Inputs'!$C$1:$I$1,0),0)*1000</f>
        <v>1742264</v>
      </c>
      <c r="K137" s="265">
        <v>425562.73194510367</v>
      </c>
      <c r="L137" s="259">
        <v>419378</v>
      </c>
      <c r="M137" s="164">
        <v>79928.915590414603</v>
      </c>
      <c r="N137" s="190">
        <f>VLOOKUP($A137&amp;$B137,'KU Inputs'!$C$2:$I$505,MATCH('KU UtilityData'!N$1,'KU Inputs'!$C$1:$I$1,0),0)</f>
        <v>130403.818</v>
      </c>
      <c r="O137" s="190" t="e">
        <f>VLOOKUP($A137&amp;$B137,'KU Inputs'!$C$2:$I$505,MATCH('KU UtilityData'!O$1,'KU Inputs'!$C$1:$I$1,0),0)</f>
        <v>#N/A</v>
      </c>
      <c r="P137" s="263">
        <v>250</v>
      </c>
      <c r="Q137" s="263">
        <v>31</v>
      </c>
      <c r="R137" s="166">
        <v>4512</v>
      </c>
      <c r="S137" s="166">
        <v>1455</v>
      </c>
      <c r="T137" s="182">
        <f>C137/L137*1000</f>
        <v>834.65796727534587</v>
      </c>
    </row>
    <row r="138" spans="1:20" x14ac:dyDescent="0.2">
      <c r="A138" s="153">
        <v>2012</v>
      </c>
      <c r="B138" s="153">
        <v>5</v>
      </c>
      <c r="C138" s="168"/>
      <c r="D138" s="280">
        <f>HLOOKUP($A138,'KU rate projections'!$C$3:$L$28,26,0)*100</f>
        <v>8.2157180266636693</v>
      </c>
      <c r="E138" s="279">
        <f t="shared" si="6"/>
        <v>8.1335608463970317</v>
      </c>
      <c r="F138" s="173"/>
      <c r="G138" s="173">
        <v>29.71</v>
      </c>
      <c r="H138" s="154">
        <v>3667.9044652777802</v>
      </c>
      <c r="I138" s="190">
        <f>VLOOKUP($A138&amp;$B138,'KU Inputs'!$C$2:$I$505,MATCH('KU UtilityData'!I$1,'KU Inputs'!$C$1:$I$1,0),0)*1000</f>
        <v>4394317</v>
      </c>
      <c r="J138" s="190">
        <f>VLOOKUP($A138&amp;$B138,'KU Inputs'!$C$2:$I$505,MATCH('KU UtilityData'!J$1,'KU Inputs'!$C$1:$I$1,0),0)*1000</f>
        <v>1742264</v>
      </c>
      <c r="K138" s="265">
        <v>425704.58618908538</v>
      </c>
      <c r="L138" s="248">
        <v>420960.84</v>
      </c>
      <c r="M138" s="164">
        <v>79928.915590414603</v>
      </c>
      <c r="N138" s="190">
        <f>VLOOKUP($A138&amp;$B138,'KU Inputs'!$C$2:$I$505,MATCH('KU UtilityData'!N$1,'KU Inputs'!$C$1:$I$1,0),0)</f>
        <v>130403.818</v>
      </c>
      <c r="O138" s="190" t="e">
        <f>VLOOKUP($A138&amp;$B138,'KU Inputs'!$C$2:$I$505,MATCH('KU UtilityData'!O$1,'KU Inputs'!$C$1:$I$1,0),0)</f>
        <v>#N/A</v>
      </c>
      <c r="P138" s="164">
        <v>187</v>
      </c>
      <c r="Q138" s="164">
        <v>47</v>
      </c>
      <c r="R138" s="166">
        <v>4512</v>
      </c>
      <c r="S138" s="166">
        <v>1455</v>
      </c>
      <c r="T138" s="182">
        <f t="shared" ref="T138:T201" si="7">C138/L138*1000</f>
        <v>0</v>
      </c>
    </row>
    <row r="139" spans="1:20" x14ac:dyDescent="0.2">
      <c r="A139" s="153">
        <v>2012</v>
      </c>
      <c r="B139" s="153">
        <v>6</v>
      </c>
      <c r="C139" s="168"/>
      <c r="D139" s="280">
        <f>HLOOKUP($A139,'KU rate projections'!$C$3:$L$28,26,0)*100</f>
        <v>8.2157180266636693</v>
      </c>
      <c r="E139" s="279">
        <f t="shared" si="6"/>
        <v>8.1335608463970317</v>
      </c>
      <c r="F139" s="173"/>
      <c r="G139" s="173">
        <v>30.62</v>
      </c>
      <c r="H139" s="154">
        <v>3669.8332261904766</v>
      </c>
      <c r="I139" s="190">
        <f>VLOOKUP($A139&amp;$B139,'KU Inputs'!$C$2:$I$505,MATCH('KU UtilityData'!I$1,'KU Inputs'!$C$1:$I$1,0),0)*1000</f>
        <v>4394317</v>
      </c>
      <c r="J139" s="190">
        <f>VLOOKUP($A139&amp;$B139,'KU Inputs'!$C$2:$I$505,MATCH('KU UtilityData'!J$1,'KU Inputs'!$C$1:$I$1,0),0)*1000</f>
        <v>1742264</v>
      </c>
      <c r="K139" s="265">
        <v>425846.48771781509</v>
      </c>
      <c r="L139" s="248">
        <v>421322.58</v>
      </c>
      <c r="M139" s="164">
        <v>79928.915590414603</v>
      </c>
      <c r="N139" s="190">
        <f>VLOOKUP($A139&amp;$B139,'KU Inputs'!$C$2:$I$505,MATCH('KU UtilityData'!N$1,'KU Inputs'!$C$1:$I$1,0),0)</f>
        <v>130403.818</v>
      </c>
      <c r="O139" s="190" t="e">
        <f>VLOOKUP($A139&amp;$B139,'KU Inputs'!$C$2:$I$505,MATCH('KU UtilityData'!O$1,'KU Inputs'!$C$1:$I$1,0),0)</f>
        <v>#N/A</v>
      </c>
      <c r="P139" s="164">
        <v>49</v>
      </c>
      <c r="Q139" s="164">
        <v>171</v>
      </c>
      <c r="R139" s="166">
        <v>4512</v>
      </c>
      <c r="S139" s="166">
        <v>1455</v>
      </c>
      <c r="T139" s="182">
        <f t="shared" si="7"/>
        <v>0</v>
      </c>
    </row>
    <row r="140" spans="1:20" x14ac:dyDescent="0.2">
      <c r="A140" s="153">
        <v>2012</v>
      </c>
      <c r="B140" s="153">
        <v>7</v>
      </c>
      <c r="C140" s="168"/>
      <c r="D140" s="280">
        <f>HLOOKUP($A140,'KU rate projections'!$C$3:$L$28,26,0)*100</f>
        <v>8.2157180266636693</v>
      </c>
      <c r="E140" s="279">
        <f t="shared" si="6"/>
        <v>8.1335608463970317</v>
      </c>
      <c r="F140" s="173"/>
      <c r="G140" s="173">
        <v>30.76</v>
      </c>
      <c r="H140" s="154">
        <v>3671.9181537698414</v>
      </c>
      <c r="I140" s="190">
        <f>VLOOKUP($A140&amp;$B140,'KU Inputs'!$C$2:$I$505,MATCH('KU UtilityData'!I$1,'KU Inputs'!$C$1:$I$1,0),0)*1000</f>
        <v>4400950</v>
      </c>
      <c r="J140" s="190">
        <f>VLOOKUP($A140&amp;$B140,'KU Inputs'!$C$2:$I$505,MATCH('KU UtilityData'!J$1,'KU Inputs'!$C$1:$I$1,0),0)*1000</f>
        <v>1745227</v>
      </c>
      <c r="K140" s="265">
        <v>425988.43654705433</v>
      </c>
      <c r="L140" s="248">
        <v>422284.21</v>
      </c>
      <c r="M140" s="164">
        <v>80421.217475986108</v>
      </c>
      <c r="N140" s="190">
        <f>VLOOKUP($A140&amp;$B140,'KU Inputs'!$C$2:$I$505,MATCH('KU UtilityData'!N$1,'KU Inputs'!$C$1:$I$1,0),0)</f>
        <v>131166.87299999999</v>
      </c>
      <c r="O140" s="190" t="e">
        <f>VLOOKUP($A140&amp;$B140,'KU Inputs'!$C$2:$I$505,MATCH('KU UtilityData'!O$1,'KU Inputs'!$C$1:$I$1,0),0)</f>
        <v>#N/A</v>
      </c>
      <c r="P140" s="164">
        <v>1</v>
      </c>
      <c r="Q140" s="164">
        <v>325</v>
      </c>
      <c r="R140" s="166">
        <v>4512</v>
      </c>
      <c r="S140" s="166">
        <v>1455</v>
      </c>
      <c r="T140" s="182">
        <f t="shared" si="7"/>
        <v>0</v>
      </c>
    </row>
    <row r="141" spans="1:20" x14ac:dyDescent="0.2">
      <c r="A141" s="153">
        <v>2012</v>
      </c>
      <c r="B141" s="153">
        <v>8</v>
      </c>
      <c r="C141" s="168"/>
      <c r="D141" s="280">
        <f>HLOOKUP($A141,'KU rate projections'!$C$3:$L$28,26,0)*100</f>
        <v>8.2157180266636693</v>
      </c>
      <c r="E141" s="279">
        <f t="shared" si="6"/>
        <v>8.1335608463970317</v>
      </c>
      <c r="F141" s="173"/>
      <c r="G141" s="173">
        <v>29.48</v>
      </c>
      <c r="H141" s="154">
        <v>3674.0030813492062</v>
      </c>
      <c r="I141" s="190">
        <f>VLOOKUP($A141&amp;$B141,'KU Inputs'!$C$2:$I$505,MATCH('KU UtilityData'!I$1,'KU Inputs'!$C$1:$I$1,0),0)*1000</f>
        <v>4400950</v>
      </c>
      <c r="J141" s="190">
        <f>VLOOKUP($A141&amp;$B141,'KU Inputs'!$C$2:$I$505,MATCH('KU UtilityData'!J$1,'KU Inputs'!$C$1:$I$1,0),0)*1000</f>
        <v>1745227</v>
      </c>
      <c r="K141" s="265">
        <v>426130.43269256997</v>
      </c>
      <c r="L141" s="248">
        <v>422556.22</v>
      </c>
      <c r="M141" s="164">
        <v>80421.217475986108</v>
      </c>
      <c r="N141" s="190">
        <f>VLOOKUP($A141&amp;$B141,'KU Inputs'!$C$2:$I$505,MATCH('KU UtilityData'!N$1,'KU Inputs'!$C$1:$I$1,0),0)</f>
        <v>131166.87299999999</v>
      </c>
      <c r="O141" s="190" t="e">
        <f>VLOOKUP($A141&amp;$B141,'KU Inputs'!$C$2:$I$505,MATCH('KU UtilityData'!O$1,'KU Inputs'!$C$1:$I$1,0),0)</f>
        <v>#N/A</v>
      </c>
      <c r="P141" s="164">
        <v>0</v>
      </c>
      <c r="Q141" s="164">
        <v>341</v>
      </c>
      <c r="R141" s="166">
        <v>4512</v>
      </c>
      <c r="S141" s="166">
        <v>1455</v>
      </c>
      <c r="T141" s="182">
        <f t="shared" si="7"/>
        <v>0</v>
      </c>
    </row>
    <row r="142" spans="1:20" x14ac:dyDescent="0.2">
      <c r="A142" s="153">
        <v>2012</v>
      </c>
      <c r="B142" s="153">
        <v>9</v>
      </c>
      <c r="C142" s="168"/>
      <c r="D142" s="280">
        <f>HLOOKUP($A142,'KU rate projections'!$C$3:$L$28,26,0)*100</f>
        <v>8.2157180266636693</v>
      </c>
      <c r="E142" s="279">
        <f t="shared" si="6"/>
        <v>8.1335608463970317</v>
      </c>
      <c r="F142" s="173"/>
      <c r="G142" s="173">
        <v>30.57</v>
      </c>
      <c r="H142" s="154">
        <v>3676.0880089285711</v>
      </c>
      <c r="I142" s="190">
        <f>VLOOKUP($A142&amp;$B142,'KU Inputs'!$C$2:$I$505,MATCH('KU UtilityData'!I$1,'KU Inputs'!$C$1:$I$1,0),0)*1000</f>
        <v>4400950</v>
      </c>
      <c r="J142" s="190">
        <f>VLOOKUP($A142&amp;$B142,'KU Inputs'!$C$2:$I$505,MATCH('KU UtilityData'!J$1,'KU Inputs'!$C$1:$I$1,0),0)*1000</f>
        <v>1745227</v>
      </c>
      <c r="K142" s="265">
        <v>426272.47617013415</v>
      </c>
      <c r="L142" s="248">
        <v>422792.1</v>
      </c>
      <c r="M142" s="164">
        <v>80421.217475986108</v>
      </c>
      <c r="N142" s="190">
        <f>VLOOKUP($A142&amp;$B142,'KU Inputs'!$C$2:$I$505,MATCH('KU UtilityData'!N$1,'KU Inputs'!$C$1:$I$1,0),0)</f>
        <v>131166.87299999999</v>
      </c>
      <c r="O142" s="190" t="e">
        <f>VLOOKUP($A142&amp;$B142,'KU Inputs'!$C$2:$I$505,MATCH('KU UtilityData'!O$1,'KU Inputs'!$C$1:$I$1,0),0)</f>
        <v>#N/A</v>
      </c>
      <c r="P142" s="164">
        <v>12</v>
      </c>
      <c r="Q142" s="164">
        <v>261</v>
      </c>
      <c r="R142" s="166">
        <v>4512</v>
      </c>
      <c r="S142" s="166">
        <v>1455</v>
      </c>
      <c r="T142" s="182">
        <f t="shared" si="7"/>
        <v>0</v>
      </c>
    </row>
    <row r="143" spans="1:20" x14ac:dyDescent="0.2">
      <c r="A143" s="153">
        <v>2012</v>
      </c>
      <c r="B143" s="153">
        <v>10</v>
      </c>
      <c r="C143" s="168"/>
      <c r="D143" s="280">
        <f>HLOOKUP($A143,'KU rate projections'!$C$3:$L$28,26,0)*100</f>
        <v>8.2157180266636693</v>
      </c>
      <c r="E143" s="279">
        <f t="shared" si="6"/>
        <v>8.1335608463970317</v>
      </c>
      <c r="F143" s="173"/>
      <c r="G143" s="173">
        <v>29.67</v>
      </c>
      <c r="H143" s="154">
        <v>3678.1729365079354</v>
      </c>
      <c r="I143" s="190">
        <f>VLOOKUP($A143&amp;$B143,'KU Inputs'!$C$2:$I$505,MATCH('KU UtilityData'!I$1,'KU Inputs'!$C$1:$I$1,0),0)*1000</f>
        <v>4407728</v>
      </c>
      <c r="J143" s="190">
        <f>VLOOKUP($A143&amp;$B143,'KU Inputs'!$C$2:$I$505,MATCH('KU UtilityData'!J$1,'KU Inputs'!$C$1:$I$1,0),0)*1000</f>
        <v>1748263</v>
      </c>
      <c r="K143" s="265">
        <v>426414.56699552416</v>
      </c>
      <c r="L143" s="248">
        <v>423660.55</v>
      </c>
      <c r="M143" s="164">
        <v>80908.519386720101</v>
      </c>
      <c r="N143" s="190">
        <f>VLOOKUP($A143&amp;$B143,'KU Inputs'!$C$2:$I$505,MATCH('KU UtilityData'!N$1,'KU Inputs'!$C$1:$I$1,0),0)</f>
        <v>132095.09099999999</v>
      </c>
      <c r="O143" s="190" t="e">
        <f>VLOOKUP($A143&amp;$B143,'KU Inputs'!$C$2:$I$505,MATCH('KU UtilityData'!O$1,'KU Inputs'!$C$1:$I$1,0),0)</f>
        <v>#N/A</v>
      </c>
      <c r="P143" s="164">
        <v>136</v>
      </c>
      <c r="Q143" s="164">
        <v>73</v>
      </c>
      <c r="R143" s="166">
        <v>4512</v>
      </c>
      <c r="S143" s="166">
        <v>1455</v>
      </c>
      <c r="T143" s="182">
        <f t="shared" si="7"/>
        <v>0</v>
      </c>
    </row>
    <row r="144" spans="1:20" x14ac:dyDescent="0.2">
      <c r="A144" s="153">
        <v>2012</v>
      </c>
      <c r="B144" s="153">
        <v>11</v>
      </c>
      <c r="C144" s="168"/>
      <c r="D144" s="280">
        <f>HLOOKUP($A144,'KU rate projections'!$C$3:$L$28,26,0)*100</f>
        <v>8.2157180266636693</v>
      </c>
      <c r="E144" s="279">
        <f t="shared" si="6"/>
        <v>8.1335608463970317</v>
      </c>
      <c r="F144" s="173"/>
      <c r="G144" s="173">
        <v>29.95</v>
      </c>
      <c r="H144" s="154">
        <v>3680.2578640873003</v>
      </c>
      <c r="I144" s="190">
        <f>VLOOKUP($A144&amp;$B144,'KU Inputs'!$C$2:$I$505,MATCH('KU UtilityData'!I$1,'KU Inputs'!$C$1:$I$1,0),0)*1000</f>
        <v>4407728</v>
      </c>
      <c r="J144" s="190">
        <f>VLOOKUP($A144&amp;$B144,'KU Inputs'!$C$2:$I$505,MATCH('KU UtilityData'!J$1,'KU Inputs'!$C$1:$I$1,0),0)*1000</f>
        <v>1748263</v>
      </c>
      <c r="K144" s="265">
        <v>426556.70518452267</v>
      </c>
      <c r="L144" s="248">
        <v>423837.92</v>
      </c>
      <c r="M144" s="164">
        <v>80908.519386720101</v>
      </c>
      <c r="N144" s="190">
        <f>VLOOKUP($A144&amp;$B144,'KU Inputs'!$C$2:$I$505,MATCH('KU UtilityData'!N$1,'KU Inputs'!$C$1:$I$1,0),0)</f>
        <v>132095.09099999999</v>
      </c>
      <c r="O144" s="190" t="e">
        <f>VLOOKUP($A144&amp;$B144,'KU Inputs'!$C$2:$I$505,MATCH('KU UtilityData'!O$1,'KU Inputs'!$C$1:$I$1,0),0)</f>
        <v>#N/A</v>
      </c>
      <c r="P144" s="164">
        <v>394</v>
      </c>
      <c r="Q144" s="164">
        <v>8.4499999999999993</v>
      </c>
      <c r="R144" s="166">
        <v>4512</v>
      </c>
      <c r="S144" s="166">
        <v>1455</v>
      </c>
      <c r="T144" s="182">
        <f t="shared" si="7"/>
        <v>0</v>
      </c>
    </row>
    <row r="145" spans="1:20" x14ac:dyDescent="0.2">
      <c r="A145" s="153">
        <v>2012</v>
      </c>
      <c r="B145" s="153">
        <v>12</v>
      </c>
      <c r="C145" s="168"/>
      <c r="D145" s="280">
        <f>HLOOKUP($A145,'KU rate projections'!$C$3:$L$28,26,0)*100</f>
        <v>8.2157180266636693</v>
      </c>
      <c r="E145" s="279">
        <f t="shared" si="6"/>
        <v>8.1335608463970317</v>
      </c>
      <c r="F145" s="173"/>
      <c r="G145" s="173">
        <v>31.1</v>
      </c>
      <c r="H145" s="154">
        <v>3682.3427916666651</v>
      </c>
      <c r="I145" s="190">
        <f>VLOOKUP($A145&amp;$B145,'KU Inputs'!$C$2:$I$505,MATCH('KU UtilityData'!I$1,'KU Inputs'!$C$1:$I$1,0),0)*1000</f>
        <v>4407728</v>
      </c>
      <c r="J145" s="190">
        <f>VLOOKUP($A145&amp;$B145,'KU Inputs'!$C$2:$I$505,MATCH('KU UtilityData'!J$1,'KU Inputs'!$C$1:$I$1,0),0)*1000</f>
        <v>1748263</v>
      </c>
      <c r="K145" s="265">
        <v>426698.8907529175</v>
      </c>
      <c r="L145" s="248">
        <v>423991.73</v>
      </c>
      <c r="M145" s="164">
        <v>80908.519386720101</v>
      </c>
      <c r="N145" s="190">
        <f>VLOOKUP($A145&amp;$B145,'KU Inputs'!$C$2:$I$505,MATCH('KU UtilityData'!N$1,'KU Inputs'!$C$1:$I$1,0),0)</f>
        <v>132095.09099999999</v>
      </c>
      <c r="O145" s="190" t="e">
        <f>VLOOKUP($A145&amp;$B145,'KU Inputs'!$C$2:$I$505,MATCH('KU UtilityData'!O$1,'KU Inputs'!$C$1:$I$1,0),0)</f>
        <v>#N/A</v>
      </c>
      <c r="P145" s="164">
        <v>706</v>
      </c>
      <c r="Q145" s="164">
        <v>0.2</v>
      </c>
      <c r="R145" s="166">
        <v>4512</v>
      </c>
      <c r="S145" s="166">
        <v>1455</v>
      </c>
      <c r="T145" s="182">
        <f t="shared" si="7"/>
        <v>0</v>
      </c>
    </row>
    <row r="146" spans="1:20" x14ac:dyDescent="0.2">
      <c r="A146" s="153">
        <v>2013</v>
      </c>
      <c r="B146" s="153">
        <v>1</v>
      </c>
      <c r="C146" s="168"/>
      <c r="D146" s="280">
        <f>HLOOKUP($A146,'KU rate projections'!$C$3:$L$28,26,0)*100</f>
        <v>8.91213305899789</v>
      </c>
      <c r="E146" s="279">
        <f t="shared" si="6"/>
        <v>8.823011728407911</v>
      </c>
      <c r="F146" s="173"/>
      <c r="G146" s="173">
        <v>32.71</v>
      </c>
      <c r="H146" s="154">
        <v>3684.4277192460299</v>
      </c>
      <c r="I146" s="190">
        <f>VLOOKUP($A146&amp;$B146,'KU Inputs'!$C$2:$I$505,MATCH('KU UtilityData'!I$1,'KU Inputs'!$C$1:$I$1,0),0)*1000</f>
        <v>4414694</v>
      </c>
      <c r="J146" s="190">
        <f>VLOOKUP($A146&amp;$B146,'KU Inputs'!$C$2:$I$505,MATCH('KU UtilityData'!J$1,'KU Inputs'!$C$1:$I$1,0),0)*1000</f>
        <v>1751194</v>
      </c>
      <c r="K146" s="265">
        <v>426894.46107784589</v>
      </c>
      <c r="L146" s="248">
        <v>424766.05</v>
      </c>
      <c r="M146" s="164">
        <v>81225.945243994705</v>
      </c>
      <c r="N146" s="190">
        <f>VLOOKUP($A146&amp;$B146,'KU Inputs'!$C$2:$I$505,MATCH('KU UtilityData'!N$1,'KU Inputs'!$C$1:$I$1,0),0)</f>
        <v>132729.997</v>
      </c>
      <c r="O146" s="190" t="e">
        <f>VLOOKUP($A146&amp;$B146,'KU Inputs'!$C$2:$I$505,MATCH('KU UtilityData'!O$1,'KU Inputs'!$C$1:$I$1,0),0)</f>
        <v>#N/A</v>
      </c>
      <c r="P146" s="164">
        <v>996</v>
      </c>
      <c r="Q146" s="164">
        <v>0</v>
      </c>
      <c r="R146" s="166">
        <v>4512</v>
      </c>
      <c r="S146" s="166">
        <v>1455</v>
      </c>
      <c r="T146" s="182">
        <f t="shared" si="7"/>
        <v>0</v>
      </c>
    </row>
    <row r="147" spans="1:20" x14ac:dyDescent="0.2">
      <c r="A147" s="153">
        <v>2013</v>
      </c>
      <c r="B147" s="153">
        <v>2</v>
      </c>
      <c r="C147" s="168"/>
      <c r="D147" s="280">
        <f>HLOOKUP($A147,'KU rate projections'!$C$3:$L$28,26,0)*100</f>
        <v>8.91213305899789</v>
      </c>
      <c r="E147" s="279">
        <f t="shared" si="6"/>
        <v>8.823011728407911</v>
      </c>
      <c r="F147" s="173"/>
      <c r="G147" s="173">
        <v>29.9</v>
      </c>
      <c r="H147" s="154">
        <v>3686.5126468253948</v>
      </c>
      <c r="I147" s="190">
        <f>VLOOKUP($A147&amp;$B147,'KU Inputs'!$C$2:$I$505,MATCH('KU UtilityData'!I$1,'KU Inputs'!$C$1:$I$1,0),0)*1000</f>
        <v>4414694</v>
      </c>
      <c r="J147" s="190">
        <f>VLOOKUP($A147&amp;$B147,'KU Inputs'!$C$2:$I$505,MATCH('KU UtilityData'!J$1,'KU Inputs'!$C$1:$I$1,0),0)*1000</f>
        <v>1751194</v>
      </c>
      <c r="K147" s="265">
        <v>427090.12103917322</v>
      </c>
      <c r="L147" s="248">
        <v>424881.72</v>
      </c>
      <c r="M147" s="164">
        <v>81225.945243994705</v>
      </c>
      <c r="N147" s="190">
        <f>VLOOKUP($A147&amp;$B147,'KU Inputs'!$C$2:$I$505,MATCH('KU UtilityData'!N$1,'KU Inputs'!$C$1:$I$1,0),0)</f>
        <v>132729.997</v>
      </c>
      <c r="O147" s="190" t="e">
        <f>VLOOKUP($A147&amp;$B147,'KU Inputs'!$C$2:$I$505,MATCH('KU UtilityData'!O$1,'KU Inputs'!$C$1:$I$1,0),0)</f>
        <v>#N/A</v>
      </c>
      <c r="P147" s="164">
        <v>889.8</v>
      </c>
      <c r="Q147" s="164">
        <v>0</v>
      </c>
      <c r="R147" s="166">
        <v>4512</v>
      </c>
      <c r="S147" s="166">
        <v>1455</v>
      </c>
      <c r="T147" s="182">
        <f t="shared" si="7"/>
        <v>0</v>
      </c>
    </row>
    <row r="148" spans="1:20" x14ac:dyDescent="0.2">
      <c r="A148" s="153">
        <v>2013</v>
      </c>
      <c r="B148" s="153">
        <v>3</v>
      </c>
      <c r="C148" s="168"/>
      <c r="D148" s="280">
        <f>HLOOKUP($A148,'KU rate projections'!$C$3:$L$28,26,0)*100</f>
        <v>8.91213305899789</v>
      </c>
      <c r="E148" s="279">
        <f t="shared" si="6"/>
        <v>8.823011728407911</v>
      </c>
      <c r="F148" s="173"/>
      <c r="G148" s="173">
        <v>30.52</v>
      </c>
      <c r="H148" s="154">
        <v>3688.5975744047591</v>
      </c>
      <c r="I148" s="190">
        <f>VLOOKUP($A148&amp;$B148,'KU Inputs'!$C$2:$I$505,MATCH('KU UtilityData'!I$1,'KU Inputs'!$C$1:$I$1,0),0)*1000</f>
        <v>4414694</v>
      </c>
      <c r="J148" s="190">
        <f>VLOOKUP($A148&amp;$B148,'KU Inputs'!$C$2:$I$505,MATCH('KU UtilityData'!J$1,'KU Inputs'!$C$1:$I$1,0),0)*1000</f>
        <v>1751194</v>
      </c>
      <c r="K148" s="265">
        <v>427285.87067798281</v>
      </c>
      <c r="L148" s="248">
        <v>424982.01</v>
      </c>
      <c r="M148" s="164">
        <v>81225.945243994705</v>
      </c>
      <c r="N148" s="190">
        <f>VLOOKUP($A148&amp;$B148,'KU Inputs'!$C$2:$I$505,MATCH('KU UtilityData'!N$1,'KU Inputs'!$C$1:$I$1,0),0)</f>
        <v>132729.997</v>
      </c>
      <c r="O148" s="190" t="e">
        <f>VLOOKUP($A148&amp;$B148,'KU Inputs'!$C$2:$I$505,MATCH('KU UtilityData'!O$1,'KU Inputs'!$C$1:$I$1,0),0)</f>
        <v>#N/A</v>
      </c>
      <c r="P148" s="164">
        <v>729</v>
      </c>
      <c r="Q148" s="164">
        <v>0.45</v>
      </c>
      <c r="R148" s="166">
        <v>4512</v>
      </c>
      <c r="S148" s="166">
        <v>1455</v>
      </c>
      <c r="T148" s="182">
        <f t="shared" si="7"/>
        <v>0</v>
      </c>
    </row>
    <row r="149" spans="1:20" x14ac:dyDescent="0.2">
      <c r="A149" s="153">
        <v>2013</v>
      </c>
      <c r="B149" s="153">
        <v>4</v>
      </c>
      <c r="C149" s="168"/>
      <c r="D149" s="280">
        <f>HLOOKUP($A149,'KU rate projections'!$C$3:$L$28,26,0)*100</f>
        <v>8.91213305899789</v>
      </c>
      <c r="E149" s="279">
        <f t="shared" si="6"/>
        <v>8.823011728407911</v>
      </c>
      <c r="F149" s="173"/>
      <c r="G149" s="173">
        <v>30.57</v>
      </c>
      <c r="H149" s="154">
        <v>3690.682501984124</v>
      </c>
      <c r="I149" s="190">
        <f>VLOOKUP($A149&amp;$B149,'KU Inputs'!$C$2:$I$505,MATCH('KU UtilityData'!I$1,'KU Inputs'!$C$1:$I$1,0),0)*1000</f>
        <v>4421845</v>
      </c>
      <c r="J149" s="190">
        <f>VLOOKUP($A149&amp;$B149,'KU Inputs'!$C$2:$I$505,MATCH('KU UtilityData'!J$1,'KU Inputs'!$C$1:$I$1,0),0)*1000</f>
        <v>1754297</v>
      </c>
      <c r="K149" s="265">
        <v>427481.71003537683</v>
      </c>
      <c r="L149" s="248">
        <v>425747.54</v>
      </c>
      <c r="M149" s="164">
        <v>81735.340108775912</v>
      </c>
      <c r="N149" s="190">
        <f>VLOOKUP($A149&amp;$B149,'KU Inputs'!$C$2:$I$505,MATCH('KU UtilityData'!N$1,'KU Inputs'!$C$1:$I$1,0),0)</f>
        <v>133712.25599999999</v>
      </c>
      <c r="O149" s="190" t="e">
        <f>VLOOKUP($A149&amp;$B149,'KU Inputs'!$C$2:$I$505,MATCH('KU UtilityData'!O$1,'KU Inputs'!$C$1:$I$1,0),0)</f>
        <v>#N/A</v>
      </c>
      <c r="P149" s="164">
        <v>440</v>
      </c>
      <c r="Q149" s="164">
        <v>11.85</v>
      </c>
      <c r="R149" s="166">
        <v>4512</v>
      </c>
      <c r="S149" s="166">
        <v>1455</v>
      </c>
      <c r="T149" s="182">
        <f t="shared" si="7"/>
        <v>0</v>
      </c>
    </row>
    <row r="150" spans="1:20" x14ac:dyDescent="0.2">
      <c r="A150" s="153">
        <v>2013</v>
      </c>
      <c r="B150" s="153">
        <v>5</v>
      </c>
      <c r="C150" s="168"/>
      <c r="D150" s="280">
        <f>HLOOKUP($A150,'KU rate projections'!$C$3:$L$28,26,0)*100</f>
        <v>8.91213305899789</v>
      </c>
      <c r="E150" s="279">
        <f t="shared" si="6"/>
        <v>8.823011728407911</v>
      </c>
      <c r="F150" s="173"/>
      <c r="G150" s="173">
        <v>29.57</v>
      </c>
      <c r="H150" s="154">
        <v>3692.7674295634888</v>
      </c>
      <c r="I150" s="190">
        <f>VLOOKUP($A150&amp;$B150,'KU Inputs'!$C$2:$I$505,MATCH('KU UtilityData'!I$1,'KU Inputs'!$C$1:$I$1,0),0)*1000</f>
        <v>4421845</v>
      </c>
      <c r="J150" s="190">
        <f>VLOOKUP($A150&amp;$B150,'KU Inputs'!$C$2:$I$505,MATCH('KU UtilityData'!J$1,'KU Inputs'!$C$1:$I$1,0),0)*1000</f>
        <v>1754297</v>
      </c>
      <c r="K150" s="265">
        <v>427677.63915247633</v>
      </c>
      <c r="L150" s="248">
        <v>425822.96</v>
      </c>
      <c r="M150" s="164">
        <v>81735.340108775912</v>
      </c>
      <c r="N150" s="190">
        <f>VLOOKUP($A150&amp;$B150,'KU Inputs'!$C$2:$I$505,MATCH('KU UtilityData'!N$1,'KU Inputs'!$C$1:$I$1,0),0)</f>
        <v>133712.25599999999</v>
      </c>
      <c r="O150" s="190" t="e">
        <f>VLOOKUP($A150&amp;$B150,'KU Inputs'!$C$2:$I$505,MATCH('KU UtilityData'!O$1,'KU Inputs'!$C$1:$I$1,0),0)</f>
        <v>#N/A</v>
      </c>
      <c r="P150" s="164">
        <v>187</v>
      </c>
      <c r="Q150" s="164">
        <v>47</v>
      </c>
      <c r="R150" s="166">
        <v>4512</v>
      </c>
      <c r="S150" s="166">
        <v>1455</v>
      </c>
      <c r="T150" s="182">
        <f t="shared" si="7"/>
        <v>0</v>
      </c>
    </row>
    <row r="151" spans="1:20" x14ac:dyDescent="0.2">
      <c r="A151" s="153">
        <v>2013</v>
      </c>
      <c r="B151" s="153">
        <v>6</v>
      </c>
      <c r="C151" s="168"/>
      <c r="D151" s="280">
        <f>HLOOKUP($A151,'KU rate projections'!$C$3:$L$28,26,0)*100</f>
        <v>8.91213305899789</v>
      </c>
      <c r="E151" s="279">
        <f t="shared" si="6"/>
        <v>8.823011728407911</v>
      </c>
      <c r="F151" s="173"/>
      <c r="G151" s="173">
        <v>30.67</v>
      </c>
      <c r="H151" s="154">
        <v>3694.852357142855</v>
      </c>
      <c r="I151" s="190">
        <f>VLOOKUP($A151&amp;$B151,'KU Inputs'!$C$2:$I$505,MATCH('KU UtilityData'!I$1,'KU Inputs'!$C$1:$I$1,0),0)*1000</f>
        <v>4421845</v>
      </c>
      <c r="J151" s="190">
        <f>VLOOKUP($A151&amp;$B151,'KU Inputs'!$C$2:$I$505,MATCH('KU UtilityData'!J$1,'KU Inputs'!$C$1:$I$1,0),0)*1000</f>
        <v>1754297</v>
      </c>
      <c r="K151" s="265">
        <v>427873.6580704212</v>
      </c>
      <c r="L151" s="248">
        <v>425888.36</v>
      </c>
      <c r="M151" s="164">
        <v>81735.340108775912</v>
      </c>
      <c r="N151" s="190">
        <f>VLOOKUP($A151&amp;$B151,'KU Inputs'!$C$2:$I$505,MATCH('KU UtilityData'!N$1,'KU Inputs'!$C$1:$I$1,0),0)</f>
        <v>133712.25599999999</v>
      </c>
      <c r="O151" s="190" t="e">
        <f>VLOOKUP($A151&amp;$B151,'KU Inputs'!$C$2:$I$505,MATCH('KU UtilityData'!O$1,'KU Inputs'!$C$1:$I$1,0),0)</f>
        <v>#N/A</v>
      </c>
      <c r="P151" s="164">
        <v>49</v>
      </c>
      <c r="Q151" s="164">
        <v>171</v>
      </c>
      <c r="R151" s="166">
        <v>4512</v>
      </c>
      <c r="S151" s="166">
        <v>1455</v>
      </c>
      <c r="T151" s="182">
        <f t="shared" si="7"/>
        <v>0</v>
      </c>
    </row>
    <row r="152" spans="1:20" x14ac:dyDescent="0.2">
      <c r="A152" s="153">
        <v>2013</v>
      </c>
      <c r="B152" s="153">
        <v>7</v>
      </c>
      <c r="C152" s="168"/>
      <c r="D152" s="280">
        <f>HLOOKUP($A152,'KU rate projections'!$C$3:$L$28,26,0)*100</f>
        <v>8.91213305899789</v>
      </c>
      <c r="E152" s="279">
        <f t="shared" si="6"/>
        <v>8.823011728407911</v>
      </c>
      <c r="F152" s="173"/>
      <c r="G152" s="173">
        <v>30.67</v>
      </c>
      <c r="H152" s="154">
        <v>3697.0577013888865</v>
      </c>
      <c r="I152" s="190">
        <f>VLOOKUP($A152&amp;$B152,'KU Inputs'!$C$2:$I$505,MATCH('KU UtilityData'!I$1,'KU Inputs'!$C$1:$I$1,0),0)*1000</f>
        <v>4429177</v>
      </c>
      <c r="J152" s="190">
        <f>VLOOKUP($A152&amp;$B152,'KU Inputs'!$C$2:$I$505,MATCH('KU UtilityData'!J$1,'KU Inputs'!$C$1:$I$1,0),0)*1000</f>
        <v>1757208</v>
      </c>
      <c r="K152" s="265">
        <v>428069.76683037012</v>
      </c>
      <c r="L152" s="248">
        <v>426581.64</v>
      </c>
      <c r="M152" s="164">
        <v>82270.710999989096</v>
      </c>
      <c r="N152" s="190">
        <f>VLOOKUP($A152&amp;$B152,'KU Inputs'!$C$2:$I$505,MATCH('KU UtilityData'!N$1,'KU Inputs'!$C$1:$I$1,0),0)</f>
        <v>134397.17499999999</v>
      </c>
      <c r="O152" s="190" t="e">
        <f>VLOOKUP($A152&amp;$B152,'KU Inputs'!$C$2:$I$505,MATCH('KU UtilityData'!O$1,'KU Inputs'!$C$1:$I$1,0),0)</f>
        <v>#N/A</v>
      </c>
      <c r="P152" s="164">
        <v>1</v>
      </c>
      <c r="Q152" s="164">
        <v>325</v>
      </c>
      <c r="R152" s="166">
        <v>4512</v>
      </c>
      <c r="S152" s="166">
        <v>1455</v>
      </c>
      <c r="T152" s="182">
        <f t="shared" si="7"/>
        <v>0</v>
      </c>
    </row>
    <row r="153" spans="1:20" x14ac:dyDescent="0.2">
      <c r="A153" s="153">
        <v>2013</v>
      </c>
      <c r="B153" s="153">
        <v>8</v>
      </c>
      <c r="C153" s="168"/>
      <c r="D153" s="280">
        <f>HLOOKUP($A153,'KU rate projections'!$C$3:$L$28,26,0)*100</f>
        <v>8.91213305899789</v>
      </c>
      <c r="E153" s="279">
        <f t="shared" si="6"/>
        <v>8.823011728407911</v>
      </c>
      <c r="F153" s="173"/>
      <c r="G153" s="173">
        <v>29.48</v>
      </c>
      <c r="H153" s="154">
        <v>3699.2630456349184</v>
      </c>
      <c r="I153" s="190">
        <f>VLOOKUP($A153&amp;$B153,'KU Inputs'!$C$2:$I$505,MATCH('KU UtilityData'!I$1,'KU Inputs'!$C$1:$I$1,0),0)*1000</f>
        <v>4429177</v>
      </c>
      <c r="J153" s="190">
        <f>VLOOKUP($A153&amp;$B153,'KU Inputs'!$C$2:$I$505,MATCH('KU UtilityData'!J$1,'KU Inputs'!$C$1:$I$1,0),0)*1000</f>
        <v>1757208</v>
      </c>
      <c r="K153" s="265">
        <v>428265.96547350066</v>
      </c>
      <c r="L153" s="248">
        <v>426630.82</v>
      </c>
      <c r="M153" s="164">
        <v>82270.710999989096</v>
      </c>
      <c r="N153" s="190">
        <f>VLOOKUP($A153&amp;$B153,'KU Inputs'!$C$2:$I$505,MATCH('KU UtilityData'!N$1,'KU Inputs'!$C$1:$I$1,0),0)</f>
        <v>134397.17499999999</v>
      </c>
      <c r="O153" s="190" t="e">
        <f>VLOOKUP($A153&amp;$B153,'KU Inputs'!$C$2:$I$505,MATCH('KU UtilityData'!O$1,'KU Inputs'!$C$1:$I$1,0),0)</f>
        <v>#N/A</v>
      </c>
      <c r="P153" s="164">
        <v>0</v>
      </c>
      <c r="Q153" s="164">
        <v>341</v>
      </c>
      <c r="R153" s="166">
        <v>4512</v>
      </c>
      <c r="S153" s="166">
        <v>1455</v>
      </c>
      <c r="T153" s="182">
        <f t="shared" si="7"/>
        <v>0</v>
      </c>
    </row>
    <row r="154" spans="1:20" x14ac:dyDescent="0.2">
      <c r="A154" s="153">
        <v>2013</v>
      </c>
      <c r="B154" s="153">
        <v>9</v>
      </c>
      <c r="C154" s="168"/>
      <c r="D154" s="280">
        <f>HLOOKUP($A154,'KU rate projections'!$C$3:$L$28,26,0)*100</f>
        <v>8.91213305899789</v>
      </c>
      <c r="E154" s="279">
        <f t="shared" si="6"/>
        <v>8.823011728407911</v>
      </c>
      <c r="F154" s="173"/>
      <c r="G154" s="173">
        <v>30.71</v>
      </c>
      <c r="H154" s="154">
        <v>3701.4683898809499</v>
      </c>
      <c r="I154" s="190">
        <f>VLOOKUP($A154&amp;$B154,'KU Inputs'!$C$2:$I$505,MATCH('KU UtilityData'!I$1,'KU Inputs'!$C$1:$I$1,0),0)*1000</f>
        <v>4429177</v>
      </c>
      <c r="J154" s="190">
        <f>VLOOKUP($A154&amp;$B154,'KU Inputs'!$C$2:$I$505,MATCH('KU UtilityData'!J$1,'KU Inputs'!$C$1:$I$1,0),0)*1000</f>
        <v>1757208</v>
      </c>
      <c r="K154" s="265">
        <v>428462.25404100929</v>
      </c>
      <c r="L154" s="248">
        <v>426673.47</v>
      </c>
      <c r="M154" s="164">
        <v>82270.710999989096</v>
      </c>
      <c r="N154" s="190">
        <f>VLOOKUP($A154&amp;$B154,'KU Inputs'!$C$2:$I$505,MATCH('KU UtilityData'!N$1,'KU Inputs'!$C$1:$I$1,0),0)</f>
        <v>134397.17499999999</v>
      </c>
      <c r="O154" s="190" t="e">
        <f>VLOOKUP($A154&amp;$B154,'KU Inputs'!$C$2:$I$505,MATCH('KU UtilityData'!O$1,'KU Inputs'!$C$1:$I$1,0),0)</f>
        <v>#N/A</v>
      </c>
      <c r="P154" s="164">
        <v>12</v>
      </c>
      <c r="Q154" s="164">
        <v>261</v>
      </c>
      <c r="R154" s="166">
        <v>4512</v>
      </c>
      <c r="S154" s="166">
        <v>1455</v>
      </c>
      <c r="T154" s="182">
        <f t="shared" si="7"/>
        <v>0</v>
      </c>
    </row>
    <row r="155" spans="1:20" x14ac:dyDescent="0.2">
      <c r="A155" s="153">
        <v>2013</v>
      </c>
      <c r="B155" s="153">
        <v>10</v>
      </c>
      <c r="C155" s="168"/>
      <c r="D155" s="280">
        <f>HLOOKUP($A155,'KU rate projections'!$C$3:$L$28,26,0)*100</f>
        <v>8.91213305899789</v>
      </c>
      <c r="E155" s="279">
        <f t="shared" si="6"/>
        <v>8.823011728407911</v>
      </c>
      <c r="F155" s="173"/>
      <c r="G155" s="173">
        <v>29.52</v>
      </c>
      <c r="H155" s="154">
        <v>3703.6737341269818</v>
      </c>
      <c r="I155" s="190">
        <f>VLOOKUP($A155&amp;$B155,'KU Inputs'!$C$2:$I$505,MATCH('KU UtilityData'!I$1,'KU Inputs'!$C$1:$I$1,0),0)*1000</f>
        <v>4436708</v>
      </c>
      <c r="J155" s="190">
        <f>VLOOKUP($A155&amp;$B155,'KU Inputs'!$C$2:$I$505,MATCH('KU UtilityData'!J$1,'KU Inputs'!$C$1:$I$1,0),0)*1000</f>
        <v>1760562</v>
      </c>
      <c r="K155" s="265">
        <v>428658.6325741114</v>
      </c>
      <c r="L155" s="248">
        <v>427443.89</v>
      </c>
      <c r="M155" s="164">
        <v>82786.674038888101</v>
      </c>
      <c r="N155" s="190">
        <f>VLOOKUP($A155&amp;$B155,'KU Inputs'!$C$2:$I$505,MATCH('KU UtilityData'!N$1,'KU Inputs'!$C$1:$I$1,0),0)</f>
        <v>135147.93599999999</v>
      </c>
      <c r="O155" s="190" t="e">
        <f>VLOOKUP($A155&amp;$B155,'KU Inputs'!$C$2:$I$505,MATCH('KU UtilityData'!O$1,'KU Inputs'!$C$1:$I$1,0),0)</f>
        <v>#N/A</v>
      </c>
      <c r="P155" s="164">
        <v>136</v>
      </c>
      <c r="Q155" s="164">
        <v>73</v>
      </c>
      <c r="R155" s="166">
        <v>4512</v>
      </c>
      <c r="S155" s="166">
        <v>1455</v>
      </c>
      <c r="T155" s="182">
        <f t="shared" si="7"/>
        <v>0</v>
      </c>
    </row>
    <row r="156" spans="1:20" x14ac:dyDescent="0.2">
      <c r="A156" s="153">
        <v>2013</v>
      </c>
      <c r="B156" s="153">
        <v>11</v>
      </c>
      <c r="C156" s="168"/>
      <c r="D156" s="280">
        <f>HLOOKUP($A156,'KU rate projections'!$C$3:$L$28,26,0)*100</f>
        <v>8.91213305899789</v>
      </c>
      <c r="E156" s="279">
        <f t="shared" si="6"/>
        <v>8.823011728407911</v>
      </c>
      <c r="F156" s="173"/>
      <c r="G156" s="173">
        <v>29.38</v>
      </c>
      <c r="H156" s="154">
        <v>3705.8790783730137</v>
      </c>
      <c r="I156" s="190">
        <f>VLOOKUP($A156&amp;$B156,'KU Inputs'!$C$2:$I$505,MATCH('KU UtilityData'!I$1,'KU Inputs'!$C$1:$I$1,0),0)*1000</f>
        <v>4436708</v>
      </c>
      <c r="J156" s="190">
        <f>VLOOKUP($A156&amp;$B156,'KU Inputs'!$C$2:$I$505,MATCH('KU UtilityData'!J$1,'KU Inputs'!$C$1:$I$1,0),0)*1000</f>
        <v>1760562</v>
      </c>
      <c r="K156" s="265">
        <v>428855.10111404117</v>
      </c>
      <c r="L156" s="248">
        <v>427475.96</v>
      </c>
      <c r="M156" s="164">
        <v>82786.674038888101</v>
      </c>
      <c r="N156" s="190">
        <f>VLOOKUP($A156&amp;$B156,'KU Inputs'!$C$2:$I$505,MATCH('KU UtilityData'!N$1,'KU Inputs'!$C$1:$I$1,0),0)</f>
        <v>135147.93599999999</v>
      </c>
      <c r="O156" s="190" t="e">
        <f>VLOOKUP($A156&amp;$B156,'KU Inputs'!$C$2:$I$505,MATCH('KU UtilityData'!O$1,'KU Inputs'!$C$1:$I$1,0),0)</f>
        <v>#N/A</v>
      </c>
      <c r="P156" s="164">
        <v>394</v>
      </c>
      <c r="Q156" s="164">
        <v>7</v>
      </c>
      <c r="R156" s="166">
        <v>4512</v>
      </c>
      <c r="S156" s="166">
        <v>1455</v>
      </c>
      <c r="T156" s="182">
        <f t="shared" si="7"/>
        <v>0</v>
      </c>
    </row>
    <row r="157" spans="1:20" x14ac:dyDescent="0.2">
      <c r="A157" s="153">
        <v>2013</v>
      </c>
      <c r="B157" s="153">
        <v>12</v>
      </c>
      <c r="C157" s="168"/>
      <c r="D157" s="280">
        <f>HLOOKUP($A157,'KU rate projections'!$C$3:$L$28,26,0)*100</f>
        <v>8.91213305899789</v>
      </c>
      <c r="E157" s="279">
        <f t="shared" si="6"/>
        <v>8.823011728407911</v>
      </c>
      <c r="F157" s="173"/>
      <c r="G157" s="173">
        <v>32.049999999999997</v>
      </c>
      <c r="H157" s="154">
        <v>3708.0844226190452</v>
      </c>
      <c r="I157" s="190">
        <f>VLOOKUP($A157&amp;$B157,'KU Inputs'!$C$2:$I$505,MATCH('KU UtilityData'!I$1,'KU Inputs'!$C$1:$I$1,0),0)*1000</f>
        <v>4436708</v>
      </c>
      <c r="J157" s="190">
        <f>VLOOKUP($A157&amp;$B157,'KU Inputs'!$C$2:$I$505,MATCH('KU UtilityData'!J$1,'KU Inputs'!$C$1:$I$1,0),0)*1000</f>
        <v>1760562</v>
      </c>
      <c r="K157" s="265">
        <v>429051.65970205172</v>
      </c>
      <c r="L157" s="248">
        <v>427503.77</v>
      </c>
      <c r="M157" s="164">
        <v>82786.674038888101</v>
      </c>
      <c r="N157" s="190">
        <f>VLOOKUP($A157&amp;$B157,'KU Inputs'!$C$2:$I$505,MATCH('KU UtilityData'!N$1,'KU Inputs'!$C$1:$I$1,0),0)</f>
        <v>135147.93599999999</v>
      </c>
      <c r="O157" s="190" t="e">
        <f>VLOOKUP($A157&amp;$B157,'KU Inputs'!$C$2:$I$505,MATCH('KU UtilityData'!O$1,'KU Inputs'!$C$1:$I$1,0),0)</f>
        <v>#N/A</v>
      </c>
      <c r="P157" s="164">
        <v>706</v>
      </c>
      <c r="Q157" s="164">
        <v>0.2</v>
      </c>
      <c r="R157" s="166">
        <v>4512</v>
      </c>
      <c r="S157" s="166">
        <v>1455</v>
      </c>
      <c r="T157" s="182">
        <f t="shared" si="7"/>
        <v>0</v>
      </c>
    </row>
    <row r="158" spans="1:20" x14ac:dyDescent="0.2">
      <c r="A158" s="153">
        <v>2014</v>
      </c>
      <c r="B158" s="153">
        <v>1</v>
      </c>
      <c r="C158" s="168"/>
      <c r="D158" s="280">
        <f>HLOOKUP($A158,'KU rate projections'!$C$3:$L$28,26,0)*100</f>
        <v>9.5096351679229407</v>
      </c>
      <c r="E158" s="279">
        <f t="shared" si="6"/>
        <v>9.4145388162437111</v>
      </c>
      <c r="F158" s="173"/>
      <c r="G158" s="173">
        <v>32.33</v>
      </c>
      <c r="H158" s="154">
        <v>3710.2897668650771</v>
      </c>
      <c r="I158" s="190">
        <f>VLOOKUP($A158&amp;$B158,'KU Inputs'!$C$2:$I$505,MATCH('KU UtilityData'!I$1,'KU Inputs'!$C$1:$I$1,0),0)*1000</f>
        <v>4444359</v>
      </c>
      <c r="J158" s="190">
        <f>VLOOKUP($A158&amp;$B158,'KU Inputs'!$C$2:$I$505,MATCH('KU UtilityData'!J$1,'KU Inputs'!$C$1:$I$1,0),0)*1000</f>
        <v>1763893</v>
      </c>
      <c r="K158" s="265">
        <v>429301.93983687792</v>
      </c>
      <c r="L158" s="248">
        <v>428256.29</v>
      </c>
      <c r="M158" s="164">
        <v>83987.567918000597</v>
      </c>
      <c r="N158" s="190">
        <f>VLOOKUP($A158&amp;$B158,'KU Inputs'!$C$2:$I$505,MATCH('KU UtilityData'!N$1,'KU Inputs'!$C$1:$I$1,0),0)</f>
        <v>136646.935</v>
      </c>
      <c r="O158" s="190" t="e">
        <f>VLOOKUP($A158&amp;$B158,'KU Inputs'!$C$2:$I$505,MATCH('KU UtilityData'!O$1,'KU Inputs'!$C$1:$I$1,0),0)</f>
        <v>#N/A</v>
      </c>
      <c r="P158" s="264">
        <f t="shared" ref="P158:Q177" si="8">P146</f>
        <v>996</v>
      </c>
      <c r="Q158" s="264">
        <f t="shared" si="8"/>
        <v>0</v>
      </c>
      <c r="R158" s="166">
        <v>4512</v>
      </c>
      <c r="S158" s="166">
        <v>1455</v>
      </c>
      <c r="T158" s="182">
        <f t="shared" si="7"/>
        <v>0</v>
      </c>
    </row>
    <row r="159" spans="1:20" x14ac:dyDescent="0.2">
      <c r="A159" s="153">
        <v>2014</v>
      </c>
      <c r="B159" s="153">
        <v>2</v>
      </c>
      <c r="C159" s="168"/>
      <c r="D159" s="280">
        <f>HLOOKUP($A159,'KU rate projections'!$C$3:$L$28,26,0)*100</f>
        <v>9.5096351679229407</v>
      </c>
      <c r="E159" s="279">
        <f t="shared" si="6"/>
        <v>9.4145388162437111</v>
      </c>
      <c r="F159" s="173"/>
      <c r="G159" s="173">
        <v>30.05</v>
      </c>
      <c r="H159" s="154">
        <v>3712.4951111111086</v>
      </c>
      <c r="I159" s="190">
        <f>VLOOKUP($A159&amp;$B159,'KU Inputs'!$C$2:$I$505,MATCH('KU UtilityData'!I$1,'KU Inputs'!$C$1:$I$1,0),0)*1000</f>
        <v>4444359</v>
      </c>
      <c r="J159" s="190">
        <f>VLOOKUP($A159&amp;$B159,'KU Inputs'!$C$2:$I$505,MATCH('KU UtilityData'!J$1,'KU Inputs'!$C$1:$I$1,0),0)*1000</f>
        <v>1763893</v>
      </c>
      <c r="K159" s="265">
        <v>429552.36596844945</v>
      </c>
      <c r="L159" s="248">
        <v>428277.2</v>
      </c>
      <c r="M159" s="164">
        <v>83987.567918000597</v>
      </c>
      <c r="N159" s="190">
        <f>VLOOKUP($A159&amp;$B159,'KU Inputs'!$C$2:$I$505,MATCH('KU UtilityData'!N$1,'KU Inputs'!$C$1:$I$1,0),0)</f>
        <v>136646.935</v>
      </c>
      <c r="O159" s="190" t="e">
        <f>VLOOKUP($A159&amp;$B159,'KU Inputs'!$C$2:$I$505,MATCH('KU UtilityData'!O$1,'KU Inputs'!$C$1:$I$1,0),0)</f>
        <v>#N/A</v>
      </c>
      <c r="P159" s="264">
        <f t="shared" si="8"/>
        <v>889.8</v>
      </c>
      <c r="Q159" s="264">
        <f t="shared" si="8"/>
        <v>0</v>
      </c>
      <c r="R159" s="166">
        <v>4512</v>
      </c>
      <c r="S159" s="166">
        <v>1455</v>
      </c>
      <c r="T159" s="182">
        <f t="shared" si="7"/>
        <v>0</v>
      </c>
    </row>
    <row r="160" spans="1:20" x14ac:dyDescent="0.2">
      <c r="A160" s="153">
        <v>2014</v>
      </c>
      <c r="B160" s="153">
        <v>3</v>
      </c>
      <c r="C160" s="168"/>
      <c r="D160" s="280">
        <f>HLOOKUP($A160,'KU rate projections'!$C$3:$L$28,26,0)*100</f>
        <v>9.5096351679229407</v>
      </c>
      <c r="E160" s="279">
        <f t="shared" si="6"/>
        <v>9.4145388162437111</v>
      </c>
      <c r="F160" s="173"/>
      <c r="G160" s="173">
        <v>30.19</v>
      </c>
      <c r="H160" s="154">
        <v>3714.7004553571405</v>
      </c>
      <c r="I160" s="190">
        <f>VLOOKUP($A160&amp;$B160,'KU Inputs'!$C$2:$I$505,MATCH('KU UtilityData'!I$1,'KU Inputs'!$C$1:$I$1,0),0)*1000</f>
        <v>4444359</v>
      </c>
      <c r="J160" s="190">
        <f>VLOOKUP($A160&amp;$B160,'KU Inputs'!$C$2:$I$505,MATCH('KU UtilityData'!J$1,'KU Inputs'!$C$1:$I$1,0),0)*1000</f>
        <v>1763893</v>
      </c>
      <c r="K160" s="265">
        <v>429802.93818193104</v>
      </c>
      <c r="L160" s="248">
        <v>428295.34</v>
      </c>
      <c r="M160" s="164">
        <v>83987.567918000597</v>
      </c>
      <c r="N160" s="190">
        <f>VLOOKUP($A160&amp;$B160,'KU Inputs'!$C$2:$I$505,MATCH('KU UtilityData'!N$1,'KU Inputs'!$C$1:$I$1,0),0)</f>
        <v>136646.935</v>
      </c>
      <c r="O160" s="190" t="e">
        <f>VLOOKUP($A160&amp;$B160,'KU Inputs'!$C$2:$I$505,MATCH('KU UtilityData'!O$1,'KU Inputs'!$C$1:$I$1,0),0)</f>
        <v>#N/A</v>
      </c>
      <c r="P160" s="264">
        <f t="shared" si="8"/>
        <v>729</v>
      </c>
      <c r="Q160" s="264">
        <f t="shared" si="8"/>
        <v>0.45</v>
      </c>
      <c r="R160" s="166">
        <v>4512</v>
      </c>
      <c r="S160" s="166">
        <v>1455</v>
      </c>
      <c r="T160" s="182">
        <f t="shared" si="7"/>
        <v>0</v>
      </c>
    </row>
    <row r="161" spans="1:20" x14ac:dyDescent="0.2">
      <c r="A161" s="153">
        <v>2014</v>
      </c>
      <c r="B161" s="153">
        <v>4</v>
      </c>
      <c r="C161" s="168"/>
      <c r="D161" s="280">
        <f>HLOOKUP($A161,'KU rate projections'!$C$3:$L$28,26,0)*100</f>
        <v>9.5096351679229407</v>
      </c>
      <c r="E161" s="279">
        <f t="shared" si="6"/>
        <v>9.4145388162437111</v>
      </c>
      <c r="F161" s="173"/>
      <c r="G161" s="173">
        <v>30</v>
      </c>
      <c r="H161" s="154">
        <v>3716.905799603172</v>
      </c>
      <c r="I161" s="190">
        <f>VLOOKUP($A161&amp;$B161,'KU Inputs'!$C$2:$I$505,MATCH('KU UtilityData'!I$1,'KU Inputs'!$C$1:$I$1,0),0)*1000</f>
        <v>4452112</v>
      </c>
      <c r="J161" s="190">
        <f>VLOOKUP($A161&amp;$B161,'KU Inputs'!$C$2:$I$505,MATCH('KU UtilityData'!J$1,'KU Inputs'!$C$1:$I$1,0),0)*1000</f>
        <v>1767176</v>
      </c>
      <c r="K161" s="265">
        <v>430053.65656253719</v>
      </c>
      <c r="L161" s="248">
        <v>429028.97</v>
      </c>
      <c r="M161" s="164">
        <v>84633.049162069598</v>
      </c>
      <c r="N161" s="190">
        <f>VLOOKUP($A161&amp;$B161,'KU Inputs'!$C$2:$I$505,MATCH('KU UtilityData'!N$1,'KU Inputs'!$C$1:$I$1,0),0)</f>
        <v>137566.70699999999</v>
      </c>
      <c r="O161" s="190" t="e">
        <f>VLOOKUP($A161&amp;$B161,'KU Inputs'!$C$2:$I$505,MATCH('KU UtilityData'!O$1,'KU Inputs'!$C$1:$I$1,0),0)</f>
        <v>#N/A</v>
      </c>
      <c r="P161" s="264">
        <f t="shared" si="8"/>
        <v>440</v>
      </c>
      <c r="Q161" s="264">
        <f t="shared" si="8"/>
        <v>11.85</v>
      </c>
      <c r="R161" s="166">
        <v>4512</v>
      </c>
      <c r="S161" s="166">
        <v>1455</v>
      </c>
      <c r="T161" s="182">
        <f t="shared" si="7"/>
        <v>0</v>
      </c>
    </row>
    <row r="162" spans="1:20" x14ac:dyDescent="0.2">
      <c r="A162" s="153">
        <v>2014</v>
      </c>
      <c r="B162" s="153">
        <v>5</v>
      </c>
      <c r="C162" s="168"/>
      <c r="D162" s="280">
        <f>HLOOKUP($A162,'KU rate projections'!$C$3:$L$28,26,0)*100</f>
        <v>9.5096351679229407</v>
      </c>
      <c r="E162" s="279">
        <f t="shared" si="6"/>
        <v>9.4145388162437111</v>
      </c>
      <c r="F162" s="173"/>
      <c r="G162" s="173">
        <v>30.48</v>
      </c>
      <c r="H162" s="154">
        <v>3719.1111438492039</v>
      </c>
      <c r="I162" s="190">
        <f>VLOOKUP($A162&amp;$B162,'KU Inputs'!$C$2:$I$505,MATCH('KU UtilityData'!I$1,'KU Inputs'!$C$1:$I$1,0),0)*1000</f>
        <v>4452112</v>
      </c>
      <c r="J162" s="190">
        <f>VLOOKUP($A162&amp;$B162,'KU Inputs'!$C$2:$I$505,MATCH('KU UtilityData'!J$1,'KU Inputs'!$C$1:$I$1,0),0)*1000</f>
        <v>1767176</v>
      </c>
      <c r="K162" s="265">
        <v>430304.521195532</v>
      </c>
      <c r="L162" s="248">
        <v>429042.61</v>
      </c>
      <c r="M162" s="164">
        <v>84633.049162069598</v>
      </c>
      <c r="N162" s="190">
        <f>VLOOKUP($A162&amp;$B162,'KU Inputs'!$C$2:$I$505,MATCH('KU UtilityData'!N$1,'KU Inputs'!$C$1:$I$1,0),0)</f>
        <v>137566.70699999999</v>
      </c>
      <c r="O162" s="190" t="e">
        <f>VLOOKUP($A162&amp;$B162,'KU Inputs'!$C$2:$I$505,MATCH('KU UtilityData'!O$1,'KU Inputs'!$C$1:$I$1,0),0)</f>
        <v>#N/A</v>
      </c>
      <c r="P162" s="264">
        <f t="shared" si="8"/>
        <v>187</v>
      </c>
      <c r="Q162" s="264">
        <f t="shared" si="8"/>
        <v>47</v>
      </c>
      <c r="R162" s="166">
        <v>4512</v>
      </c>
      <c r="S162" s="166">
        <v>1455</v>
      </c>
      <c r="T162" s="182">
        <f t="shared" si="7"/>
        <v>0</v>
      </c>
    </row>
    <row r="163" spans="1:20" x14ac:dyDescent="0.2">
      <c r="A163" s="153">
        <v>2014</v>
      </c>
      <c r="B163" s="153">
        <v>6</v>
      </c>
      <c r="C163" s="168"/>
      <c r="D163" s="280">
        <f>HLOOKUP($A163,'KU rate projections'!$C$3:$L$28,26,0)*100</f>
        <v>9.5096351679229407</v>
      </c>
      <c r="E163" s="279">
        <f t="shared" si="6"/>
        <v>9.4145388162437111</v>
      </c>
      <c r="F163" s="173"/>
      <c r="G163" s="173">
        <v>30.52</v>
      </c>
      <c r="H163" s="154">
        <v>3721.3164880952368</v>
      </c>
      <c r="I163" s="190">
        <f>VLOOKUP($A163&amp;$B163,'KU Inputs'!$C$2:$I$505,MATCH('KU UtilityData'!I$1,'KU Inputs'!$C$1:$I$1,0),0)*1000</f>
        <v>4452112</v>
      </c>
      <c r="J163" s="190">
        <f>VLOOKUP($A163&amp;$B163,'KU Inputs'!$C$2:$I$505,MATCH('KU UtilityData'!J$1,'KU Inputs'!$C$1:$I$1,0),0)*1000</f>
        <v>1767176</v>
      </c>
      <c r="K163" s="265">
        <v>430555.53216622939</v>
      </c>
      <c r="L163" s="248">
        <v>429054.43</v>
      </c>
      <c r="M163" s="164">
        <v>84633.049162069598</v>
      </c>
      <c r="N163" s="190">
        <f>VLOOKUP($A163&amp;$B163,'KU Inputs'!$C$2:$I$505,MATCH('KU UtilityData'!N$1,'KU Inputs'!$C$1:$I$1,0),0)</f>
        <v>137566.70699999999</v>
      </c>
      <c r="O163" s="190" t="e">
        <f>VLOOKUP($A163&amp;$B163,'KU Inputs'!$C$2:$I$505,MATCH('KU UtilityData'!O$1,'KU Inputs'!$C$1:$I$1,0),0)</f>
        <v>#N/A</v>
      </c>
      <c r="P163" s="264">
        <f t="shared" si="8"/>
        <v>49</v>
      </c>
      <c r="Q163" s="264">
        <f t="shared" si="8"/>
        <v>171</v>
      </c>
      <c r="R163" s="166">
        <v>4512</v>
      </c>
      <c r="S163" s="166">
        <v>1455</v>
      </c>
      <c r="T163" s="182">
        <f t="shared" si="7"/>
        <v>0</v>
      </c>
    </row>
    <row r="164" spans="1:20" x14ac:dyDescent="0.2">
      <c r="A164" s="153">
        <v>2014</v>
      </c>
      <c r="B164" s="153">
        <v>7</v>
      </c>
      <c r="C164" s="168"/>
      <c r="D164" s="280">
        <f>HLOOKUP($A164,'KU rate projections'!$C$3:$L$28,26,0)*100</f>
        <v>9.5096351679229407</v>
      </c>
      <c r="E164" s="279">
        <f t="shared" si="6"/>
        <v>9.4145388162437111</v>
      </c>
      <c r="F164" s="173"/>
      <c r="G164" s="173">
        <v>30.67</v>
      </c>
      <c r="H164" s="154">
        <v>3723.5414990079353</v>
      </c>
      <c r="I164" s="190">
        <f>VLOOKUP($A164&amp;$B164,'KU Inputs'!$C$2:$I$505,MATCH('KU UtilityData'!I$1,'KU Inputs'!$C$1:$I$1,0),0)*1000</f>
        <v>4459964</v>
      </c>
      <c r="J164" s="190">
        <f>VLOOKUP($A164&amp;$B164,'KU Inputs'!$C$2:$I$505,MATCH('KU UtilityData'!J$1,'KU Inputs'!$C$1:$I$1,0),0)*1000</f>
        <v>1770816</v>
      </c>
      <c r="K164" s="265">
        <v>430806.68955999304</v>
      </c>
      <c r="L164" s="248">
        <v>429860.67</v>
      </c>
      <c r="M164" s="164">
        <v>85339.87005543249</v>
      </c>
      <c r="N164" s="190">
        <f>VLOOKUP($A164&amp;$B164,'KU Inputs'!$C$2:$I$505,MATCH('KU UtilityData'!N$1,'KU Inputs'!$C$1:$I$1,0),0)</f>
        <v>138505.228</v>
      </c>
      <c r="O164" s="190" t="e">
        <f>VLOOKUP($A164&amp;$B164,'KU Inputs'!$C$2:$I$505,MATCH('KU UtilityData'!O$1,'KU Inputs'!$C$1:$I$1,0),0)</f>
        <v>#N/A</v>
      </c>
      <c r="P164" s="264">
        <f t="shared" si="8"/>
        <v>1</v>
      </c>
      <c r="Q164" s="264">
        <f t="shared" si="8"/>
        <v>325</v>
      </c>
      <c r="R164" s="166">
        <v>4512</v>
      </c>
      <c r="S164" s="166">
        <v>1455</v>
      </c>
      <c r="T164" s="182">
        <f t="shared" si="7"/>
        <v>0</v>
      </c>
    </row>
    <row r="165" spans="1:20" x14ac:dyDescent="0.2">
      <c r="A165" s="153">
        <v>2014</v>
      </c>
      <c r="B165" s="153">
        <v>8</v>
      </c>
      <c r="C165" s="168"/>
      <c r="D165" s="280">
        <f>HLOOKUP($A165,'KU rate projections'!$C$3:$L$28,26,0)*100</f>
        <v>9.5096351679229407</v>
      </c>
      <c r="E165" s="279">
        <f t="shared" si="6"/>
        <v>9.4145388162437111</v>
      </c>
      <c r="F165" s="173"/>
      <c r="G165" s="173">
        <v>29.48</v>
      </c>
      <c r="H165" s="154">
        <v>3725.7665099206333</v>
      </c>
      <c r="I165" s="190">
        <f>VLOOKUP($A165&amp;$B165,'KU Inputs'!$C$2:$I$505,MATCH('KU UtilityData'!I$1,'KU Inputs'!$C$1:$I$1,0),0)*1000</f>
        <v>4459964</v>
      </c>
      <c r="J165" s="190">
        <f>VLOOKUP($A165&amp;$B165,'KU Inputs'!$C$2:$I$505,MATCH('KU UtilityData'!J$1,'KU Inputs'!$C$1:$I$1,0),0)*1000</f>
        <v>1770816</v>
      </c>
      <c r="K165" s="265">
        <v>431057.99346223637</v>
      </c>
      <c r="L165" s="248">
        <v>429869.56</v>
      </c>
      <c r="M165" s="164">
        <v>85339.87005543249</v>
      </c>
      <c r="N165" s="190">
        <f>VLOOKUP($A165&amp;$B165,'KU Inputs'!$C$2:$I$505,MATCH('KU UtilityData'!N$1,'KU Inputs'!$C$1:$I$1,0),0)</f>
        <v>138505.228</v>
      </c>
      <c r="O165" s="190" t="e">
        <f>VLOOKUP($A165&amp;$B165,'KU Inputs'!$C$2:$I$505,MATCH('KU UtilityData'!O$1,'KU Inputs'!$C$1:$I$1,0),0)</f>
        <v>#N/A</v>
      </c>
      <c r="P165" s="264">
        <f t="shared" si="8"/>
        <v>0</v>
      </c>
      <c r="Q165" s="264">
        <f t="shared" si="8"/>
        <v>341</v>
      </c>
      <c r="R165" s="166">
        <v>4512</v>
      </c>
      <c r="S165" s="166">
        <v>1455</v>
      </c>
      <c r="T165" s="182">
        <f t="shared" si="7"/>
        <v>0</v>
      </c>
    </row>
    <row r="166" spans="1:20" x14ac:dyDescent="0.2">
      <c r="A166" s="153">
        <v>2014</v>
      </c>
      <c r="B166" s="153">
        <v>9</v>
      </c>
      <c r="C166" s="168"/>
      <c r="D166" s="280">
        <f>HLOOKUP($A166,'KU rate projections'!$C$3:$L$28,26,0)*100</f>
        <v>9.5096351679229407</v>
      </c>
      <c r="E166" s="279">
        <f t="shared" si="6"/>
        <v>9.4145388162437111</v>
      </c>
      <c r="F166" s="173"/>
      <c r="G166" s="173">
        <v>30.86</v>
      </c>
      <c r="H166" s="154">
        <v>3727.9915208333318</v>
      </c>
      <c r="I166" s="190">
        <f>VLOOKUP($A166&amp;$B166,'KU Inputs'!$C$2:$I$505,MATCH('KU UtilityData'!I$1,'KU Inputs'!$C$1:$I$1,0),0)*1000</f>
        <v>4459964</v>
      </c>
      <c r="J166" s="190">
        <f>VLOOKUP($A166&amp;$B166,'KU Inputs'!$C$2:$I$505,MATCH('KU UtilityData'!J$1,'KU Inputs'!$C$1:$I$1,0),0)*1000</f>
        <v>1770816</v>
      </c>
      <c r="K166" s="265">
        <v>431309.44395842269</v>
      </c>
      <c r="L166" s="248">
        <v>429877.27</v>
      </c>
      <c r="M166" s="164">
        <v>85339.87005543249</v>
      </c>
      <c r="N166" s="190">
        <f>VLOOKUP($A166&amp;$B166,'KU Inputs'!$C$2:$I$505,MATCH('KU UtilityData'!N$1,'KU Inputs'!$C$1:$I$1,0),0)</f>
        <v>138505.228</v>
      </c>
      <c r="O166" s="190" t="e">
        <f>VLOOKUP($A166&amp;$B166,'KU Inputs'!$C$2:$I$505,MATCH('KU UtilityData'!O$1,'KU Inputs'!$C$1:$I$1,0),0)</f>
        <v>#N/A</v>
      </c>
      <c r="P166" s="264">
        <f t="shared" si="8"/>
        <v>12</v>
      </c>
      <c r="Q166" s="264">
        <f t="shared" si="8"/>
        <v>261</v>
      </c>
      <c r="R166" s="166">
        <v>4512</v>
      </c>
      <c r="S166" s="166">
        <v>1455</v>
      </c>
      <c r="T166" s="182">
        <f t="shared" si="7"/>
        <v>0</v>
      </c>
    </row>
    <row r="167" spans="1:20" x14ac:dyDescent="0.2">
      <c r="A167" s="153">
        <v>2014</v>
      </c>
      <c r="B167" s="153">
        <v>10</v>
      </c>
      <c r="C167" s="168"/>
      <c r="D167" s="280">
        <f>HLOOKUP($A167,'KU rate projections'!$C$3:$L$28,26,0)*100</f>
        <v>9.5096351679229407</v>
      </c>
      <c r="E167" s="279">
        <f t="shared" si="6"/>
        <v>9.4145388162437111</v>
      </c>
      <c r="F167" s="173"/>
      <c r="G167" s="173">
        <v>29.38</v>
      </c>
      <c r="H167" s="154">
        <v>3730.2165317460299</v>
      </c>
      <c r="I167" s="190">
        <f>VLOOKUP($A167&amp;$B167,'KU Inputs'!$C$2:$I$505,MATCH('KU UtilityData'!I$1,'KU Inputs'!$C$1:$I$1,0),0)*1000</f>
        <v>4467912</v>
      </c>
      <c r="J167" s="190">
        <f>VLOOKUP($A167&amp;$B167,'KU Inputs'!$C$2:$I$505,MATCH('KU UtilityData'!J$1,'KU Inputs'!$C$1:$I$1,0),0)*1000</f>
        <v>1774326</v>
      </c>
      <c r="K167" s="265">
        <v>431561.04113406513</v>
      </c>
      <c r="L167" s="248">
        <v>430651.51</v>
      </c>
      <c r="M167" s="164">
        <v>85912.699050901283</v>
      </c>
      <c r="N167" s="190">
        <f>VLOOKUP($A167&amp;$B167,'KU Inputs'!$C$2:$I$505,MATCH('KU UtilityData'!N$1,'KU Inputs'!$C$1:$I$1,0),0)</f>
        <v>139445.223</v>
      </c>
      <c r="O167" s="190" t="e">
        <f>VLOOKUP($A167&amp;$B167,'KU Inputs'!$C$2:$I$505,MATCH('KU UtilityData'!O$1,'KU Inputs'!$C$1:$I$1,0),0)</f>
        <v>#N/A</v>
      </c>
      <c r="P167" s="264">
        <f t="shared" si="8"/>
        <v>136</v>
      </c>
      <c r="Q167" s="264">
        <f t="shared" si="8"/>
        <v>73</v>
      </c>
      <c r="R167" s="166">
        <v>4512</v>
      </c>
      <c r="S167" s="166">
        <v>1455</v>
      </c>
      <c r="T167" s="182">
        <f t="shared" si="7"/>
        <v>0</v>
      </c>
    </row>
    <row r="168" spans="1:20" x14ac:dyDescent="0.2">
      <c r="A168" s="153">
        <v>2014</v>
      </c>
      <c r="B168" s="153">
        <v>11</v>
      </c>
      <c r="C168" s="168"/>
      <c r="D168" s="280">
        <f>HLOOKUP($A168,'KU rate projections'!$C$3:$L$28,26,0)*100</f>
        <v>9.5096351679229407</v>
      </c>
      <c r="E168" s="279">
        <f t="shared" si="6"/>
        <v>9.4145388162437111</v>
      </c>
      <c r="F168" s="173"/>
      <c r="G168" s="173">
        <v>29.57</v>
      </c>
      <c r="H168" s="154">
        <v>3732.4415426587279</v>
      </c>
      <c r="I168" s="190">
        <f>VLOOKUP($A168&amp;$B168,'KU Inputs'!$C$2:$I$505,MATCH('KU UtilityData'!I$1,'KU Inputs'!$C$1:$I$1,0),0)*1000</f>
        <v>4467912</v>
      </c>
      <c r="J168" s="190">
        <f>VLOOKUP($A168&amp;$B168,'KU Inputs'!$C$2:$I$505,MATCH('KU UtilityData'!J$1,'KU Inputs'!$C$1:$I$1,0),0)*1000</f>
        <v>1774326</v>
      </c>
      <c r="K168" s="265">
        <v>431812.78507472668</v>
      </c>
      <c r="L168" s="248">
        <v>430657.31</v>
      </c>
      <c r="M168" s="164">
        <v>85912.699050901283</v>
      </c>
      <c r="N168" s="190">
        <f>VLOOKUP($A168&amp;$B168,'KU Inputs'!$C$2:$I$505,MATCH('KU UtilityData'!N$1,'KU Inputs'!$C$1:$I$1,0),0)</f>
        <v>139445.223</v>
      </c>
      <c r="O168" s="190" t="e">
        <f>VLOOKUP($A168&amp;$B168,'KU Inputs'!$C$2:$I$505,MATCH('KU UtilityData'!O$1,'KU Inputs'!$C$1:$I$1,0),0)</f>
        <v>#N/A</v>
      </c>
      <c r="P168" s="264">
        <f t="shared" si="8"/>
        <v>394</v>
      </c>
      <c r="Q168" s="264">
        <f t="shared" si="8"/>
        <v>7</v>
      </c>
      <c r="R168" s="166">
        <v>4512</v>
      </c>
      <c r="S168" s="166">
        <v>1455</v>
      </c>
      <c r="T168" s="182">
        <f t="shared" si="7"/>
        <v>0</v>
      </c>
    </row>
    <row r="169" spans="1:20" x14ac:dyDescent="0.2">
      <c r="A169" s="153">
        <v>2014</v>
      </c>
      <c r="B169" s="153">
        <v>12</v>
      </c>
      <c r="C169" s="168"/>
      <c r="D169" s="280">
        <f>HLOOKUP($A169,'KU rate projections'!$C$3:$L$28,26,0)*100</f>
        <v>9.5096351679229407</v>
      </c>
      <c r="E169" s="279">
        <f t="shared" si="6"/>
        <v>9.4145388162437111</v>
      </c>
      <c r="F169" s="173"/>
      <c r="G169" s="173">
        <v>31.81</v>
      </c>
      <c r="H169" s="154">
        <v>3734.6665535714264</v>
      </c>
      <c r="I169" s="190">
        <f>VLOOKUP($A169&amp;$B169,'KU Inputs'!$C$2:$I$505,MATCH('KU UtilityData'!I$1,'KU Inputs'!$C$1:$I$1,0),0)*1000</f>
        <v>4467912</v>
      </c>
      <c r="J169" s="190">
        <f>VLOOKUP($A169&amp;$B169,'KU Inputs'!$C$2:$I$505,MATCH('KU UtilityData'!J$1,'KU Inputs'!$C$1:$I$1,0),0)*1000</f>
        <v>1774326</v>
      </c>
      <c r="K169" s="265">
        <v>432064.67586602026</v>
      </c>
      <c r="L169" s="248">
        <v>430662.34</v>
      </c>
      <c r="M169" s="164">
        <v>85912.699050901283</v>
      </c>
      <c r="N169" s="190">
        <f>VLOOKUP($A169&amp;$B169,'KU Inputs'!$C$2:$I$505,MATCH('KU UtilityData'!N$1,'KU Inputs'!$C$1:$I$1,0),0)</f>
        <v>139445.223</v>
      </c>
      <c r="O169" s="190" t="e">
        <f>VLOOKUP($A169&amp;$B169,'KU Inputs'!$C$2:$I$505,MATCH('KU UtilityData'!O$1,'KU Inputs'!$C$1:$I$1,0),0)</f>
        <v>#N/A</v>
      </c>
      <c r="P169" s="264">
        <f t="shared" si="8"/>
        <v>706</v>
      </c>
      <c r="Q169" s="264">
        <f t="shared" si="8"/>
        <v>0.2</v>
      </c>
      <c r="R169" s="166">
        <v>4512</v>
      </c>
      <c r="S169" s="166">
        <v>1455</v>
      </c>
      <c r="T169" s="182">
        <f t="shared" si="7"/>
        <v>0</v>
      </c>
    </row>
    <row r="170" spans="1:20" x14ac:dyDescent="0.2">
      <c r="A170" s="153">
        <v>2015</v>
      </c>
      <c r="B170" s="153">
        <v>1</v>
      </c>
      <c r="C170" s="168"/>
      <c r="D170" s="280">
        <f>HLOOKUP($A170,'KU rate projections'!$C$3:$L$28,26,0)*100</f>
        <v>10.005974436365699</v>
      </c>
      <c r="E170" s="279">
        <f t="shared" si="6"/>
        <v>9.9059146920020424</v>
      </c>
      <c r="F170" s="173"/>
      <c r="G170" s="173">
        <v>32.380000000000003</v>
      </c>
      <c r="H170" s="154">
        <v>3736.8915644841245</v>
      </c>
      <c r="I170" s="190">
        <f>VLOOKUP($A170&amp;$B170,'KU Inputs'!$C$2:$I$505,MATCH('KU UtilityData'!I$1,'KU Inputs'!$C$1:$I$1,0),0)*1000</f>
        <v>4475968</v>
      </c>
      <c r="J170" s="190">
        <f>VLOOKUP($A170&amp;$B170,'KU Inputs'!$C$2:$I$505,MATCH('KU UtilityData'!J$1,'KU Inputs'!$C$1:$I$1,0),0)*1000</f>
        <v>1778097</v>
      </c>
      <c r="K170" s="265">
        <v>432388.72437291977</v>
      </c>
      <c r="L170" s="248">
        <v>431491.33</v>
      </c>
      <c r="M170" s="164">
        <v>86745.150267482793</v>
      </c>
      <c r="N170" s="190">
        <f>VLOOKUP($A170&amp;$B170,'KU Inputs'!$C$2:$I$505,MATCH('KU UtilityData'!N$1,'KU Inputs'!$C$1:$I$1,0),0)</f>
        <v>140510.76300000001</v>
      </c>
      <c r="O170" s="190" t="e">
        <f>VLOOKUP($A170&amp;$B170,'KU Inputs'!$C$2:$I$505,MATCH('KU UtilityData'!O$1,'KU Inputs'!$C$1:$I$1,0),0)</f>
        <v>#N/A</v>
      </c>
      <c r="P170" s="264">
        <f t="shared" si="8"/>
        <v>996</v>
      </c>
      <c r="Q170" s="264">
        <f t="shared" si="8"/>
        <v>0</v>
      </c>
      <c r="R170" s="166">
        <v>4512</v>
      </c>
      <c r="S170" s="166">
        <v>1455</v>
      </c>
      <c r="T170" s="182">
        <f t="shared" si="7"/>
        <v>0</v>
      </c>
    </row>
    <row r="171" spans="1:20" x14ac:dyDescent="0.2">
      <c r="A171" s="153">
        <v>2015</v>
      </c>
      <c r="B171" s="153">
        <v>2</v>
      </c>
      <c r="C171" s="168"/>
      <c r="D171" s="280">
        <f>HLOOKUP($A171,'KU rate projections'!$C$3:$L$28,26,0)*100</f>
        <v>10.005974436365699</v>
      </c>
      <c r="E171" s="279">
        <f t="shared" si="6"/>
        <v>9.9059146920020424</v>
      </c>
      <c r="F171" s="173"/>
      <c r="G171" s="173">
        <v>30.19</v>
      </c>
      <c r="H171" s="154">
        <v>3739.1165753968226</v>
      </c>
      <c r="I171" s="190">
        <f>VLOOKUP($A171&amp;$B171,'KU Inputs'!$C$2:$I$505,MATCH('KU UtilityData'!I$1,'KU Inputs'!$C$1:$I$1,0),0)*1000</f>
        <v>4475968</v>
      </c>
      <c r="J171" s="190">
        <f>VLOOKUP($A171&amp;$B171,'KU Inputs'!$C$2:$I$505,MATCH('KU UtilityData'!J$1,'KU Inputs'!$C$1:$I$1,0),0)*1000</f>
        <v>1778097</v>
      </c>
      <c r="K171" s="265">
        <v>432713.01591619948</v>
      </c>
      <c r="L171" s="248">
        <v>431495.11</v>
      </c>
      <c r="M171" s="164">
        <v>86745.150267482793</v>
      </c>
      <c r="N171" s="190">
        <f>VLOOKUP($A171&amp;$B171,'KU Inputs'!$C$2:$I$505,MATCH('KU UtilityData'!N$1,'KU Inputs'!$C$1:$I$1,0),0)</f>
        <v>140510.76300000001</v>
      </c>
      <c r="O171" s="190" t="e">
        <f>VLOOKUP($A171&amp;$B171,'KU Inputs'!$C$2:$I$505,MATCH('KU UtilityData'!O$1,'KU Inputs'!$C$1:$I$1,0),0)</f>
        <v>#N/A</v>
      </c>
      <c r="P171" s="264">
        <f t="shared" si="8"/>
        <v>889.8</v>
      </c>
      <c r="Q171" s="264">
        <f t="shared" si="8"/>
        <v>0</v>
      </c>
      <c r="R171" s="166">
        <v>4512</v>
      </c>
      <c r="S171" s="166">
        <v>1455</v>
      </c>
      <c r="T171" s="182">
        <f t="shared" si="7"/>
        <v>0</v>
      </c>
    </row>
    <row r="172" spans="1:20" x14ac:dyDescent="0.2">
      <c r="A172" s="153">
        <v>2015</v>
      </c>
      <c r="B172" s="153">
        <v>3</v>
      </c>
      <c r="C172" s="168"/>
      <c r="D172" s="280">
        <f>HLOOKUP($A172,'KU rate projections'!$C$3:$L$28,26,0)*100</f>
        <v>10.005974436365699</v>
      </c>
      <c r="E172" s="279">
        <f t="shared" si="6"/>
        <v>9.9059146920020424</v>
      </c>
      <c r="F172" s="173"/>
      <c r="G172" s="173">
        <v>30.05</v>
      </c>
      <c r="H172" s="154">
        <v>3741.3415863095211</v>
      </c>
      <c r="I172" s="190">
        <f>VLOOKUP($A172&amp;$B172,'KU Inputs'!$C$2:$I$505,MATCH('KU UtilityData'!I$1,'KU Inputs'!$C$1:$I$1,0),0)*1000</f>
        <v>4475968</v>
      </c>
      <c r="J172" s="190">
        <f>VLOOKUP($A172&amp;$B172,'KU Inputs'!$C$2:$I$505,MATCH('KU UtilityData'!J$1,'KU Inputs'!$C$1:$I$1,0),0)*1000</f>
        <v>1778097</v>
      </c>
      <c r="K172" s="265">
        <v>433037.55067813664</v>
      </c>
      <c r="L172" s="248">
        <v>431498.39</v>
      </c>
      <c r="M172" s="164">
        <v>86745.150267482793</v>
      </c>
      <c r="N172" s="190">
        <f>VLOOKUP($A172&amp;$B172,'KU Inputs'!$C$2:$I$505,MATCH('KU UtilityData'!N$1,'KU Inputs'!$C$1:$I$1,0),0)</f>
        <v>140510.76300000001</v>
      </c>
      <c r="O172" s="190" t="e">
        <f>VLOOKUP($A172&amp;$B172,'KU Inputs'!$C$2:$I$505,MATCH('KU UtilityData'!O$1,'KU Inputs'!$C$1:$I$1,0),0)</f>
        <v>#N/A</v>
      </c>
      <c r="P172" s="264">
        <f t="shared" si="8"/>
        <v>729</v>
      </c>
      <c r="Q172" s="264">
        <f t="shared" si="8"/>
        <v>0.45</v>
      </c>
      <c r="R172" s="166">
        <v>4512</v>
      </c>
      <c r="S172" s="166">
        <v>1455</v>
      </c>
      <c r="T172" s="182">
        <f t="shared" si="7"/>
        <v>0</v>
      </c>
    </row>
    <row r="173" spans="1:20" x14ac:dyDescent="0.2">
      <c r="A173" s="153">
        <v>2015</v>
      </c>
      <c r="B173" s="153">
        <v>4</v>
      </c>
      <c r="C173" s="168"/>
      <c r="D173" s="280">
        <f>HLOOKUP($A173,'KU rate projections'!$C$3:$L$28,26,0)*100</f>
        <v>10.005974436365699</v>
      </c>
      <c r="E173" s="279">
        <f t="shared" si="6"/>
        <v>9.9059146920020424</v>
      </c>
      <c r="F173" s="173"/>
      <c r="G173" s="173">
        <v>30.71</v>
      </c>
      <c r="H173" s="154">
        <v>3743.5665972222191</v>
      </c>
      <c r="I173" s="190">
        <f>VLOOKUP($A173&amp;$B173,'KU Inputs'!$C$2:$I$505,MATCH('KU UtilityData'!I$1,'KU Inputs'!$C$1:$I$1,0),0)*1000</f>
        <v>4484131</v>
      </c>
      <c r="J173" s="190">
        <f>VLOOKUP($A173&amp;$B173,'KU Inputs'!$C$2:$I$505,MATCH('KU UtilityData'!J$1,'KU Inputs'!$C$1:$I$1,0),0)*1000</f>
        <v>1782097</v>
      </c>
      <c r="K173" s="265">
        <v>433362.32884114527</v>
      </c>
      <c r="L173" s="248">
        <v>432375.93</v>
      </c>
      <c r="M173" s="164">
        <v>87341.752217873902</v>
      </c>
      <c r="N173" s="190">
        <f>VLOOKUP($A173&amp;$B173,'KU Inputs'!$C$2:$I$505,MATCH('KU UtilityData'!N$1,'KU Inputs'!$C$1:$I$1,0),0)</f>
        <v>141224.63399999999</v>
      </c>
      <c r="O173" s="190" t="e">
        <f>VLOOKUP($A173&amp;$B173,'KU Inputs'!$C$2:$I$505,MATCH('KU UtilityData'!O$1,'KU Inputs'!$C$1:$I$1,0),0)</f>
        <v>#N/A</v>
      </c>
      <c r="P173" s="264">
        <f t="shared" si="8"/>
        <v>440</v>
      </c>
      <c r="Q173" s="264">
        <f t="shared" si="8"/>
        <v>11.85</v>
      </c>
      <c r="R173" s="166">
        <v>4512</v>
      </c>
      <c r="S173" s="166">
        <v>1455</v>
      </c>
      <c r="T173" s="182">
        <f t="shared" si="7"/>
        <v>0</v>
      </c>
    </row>
    <row r="174" spans="1:20" x14ac:dyDescent="0.2">
      <c r="A174" s="153">
        <v>2015</v>
      </c>
      <c r="B174" s="153">
        <v>5</v>
      </c>
      <c r="C174" s="168"/>
      <c r="D174" s="280">
        <f>HLOOKUP($A174,'KU rate projections'!$C$3:$L$28,26,0)*100</f>
        <v>10.005974436365699</v>
      </c>
      <c r="E174" s="279">
        <f t="shared" si="6"/>
        <v>9.9059146920020424</v>
      </c>
      <c r="F174" s="173"/>
      <c r="G174" s="173">
        <v>29.9</v>
      </c>
      <c r="H174" s="154">
        <v>3745.7916081349176</v>
      </c>
      <c r="I174" s="190">
        <f>VLOOKUP($A174&amp;$B174,'KU Inputs'!$C$2:$I$505,MATCH('KU UtilityData'!I$1,'KU Inputs'!$C$1:$I$1,0),0)*1000</f>
        <v>4484131</v>
      </c>
      <c r="J174" s="190">
        <f>VLOOKUP($A174&amp;$B174,'KU Inputs'!$C$2:$I$505,MATCH('KU UtilityData'!J$1,'KU Inputs'!$C$1:$I$1,0),0)*1000</f>
        <v>1782097</v>
      </c>
      <c r="K174" s="265">
        <v>433687.35058777616</v>
      </c>
      <c r="L174" s="248">
        <v>432378.4</v>
      </c>
      <c r="M174" s="164">
        <v>87341.752217873902</v>
      </c>
      <c r="N174" s="190">
        <f>VLOOKUP($A174&amp;$B174,'KU Inputs'!$C$2:$I$505,MATCH('KU UtilityData'!N$1,'KU Inputs'!$C$1:$I$1,0),0)</f>
        <v>141224.63399999999</v>
      </c>
      <c r="O174" s="190" t="e">
        <f>VLOOKUP($A174&amp;$B174,'KU Inputs'!$C$2:$I$505,MATCH('KU UtilityData'!O$1,'KU Inputs'!$C$1:$I$1,0),0)</f>
        <v>#N/A</v>
      </c>
      <c r="P174" s="264">
        <f t="shared" si="8"/>
        <v>187</v>
      </c>
      <c r="Q174" s="264">
        <f t="shared" si="8"/>
        <v>47</v>
      </c>
      <c r="R174" s="166">
        <v>4512</v>
      </c>
      <c r="S174" s="166">
        <v>1455</v>
      </c>
      <c r="T174" s="182">
        <f t="shared" si="7"/>
        <v>0</v>
      </c>
    </row>
    <row r="175" spans="1:20" x14ac:dyDescent="0.2">
      <c r="A175" s="153">
        <v>2015</v>
      </c>
      <c r="B175" s="153">
        <v>6</v>
      </c>
      <c r="C175" s="168"/>
      <c r="D175" s="280">
        <f>HLOOKUP($A175,'KU rate projections'!$C$3:$L$28,26,0)*100</f>
        <v>10.005974436365699</v>
      </c>
      <c r="E175" s="279">
        <f t="shared" si="6"/>
        <v>9.9059146920020424</v>
      </c>
      <c r="F175" s="173"/>
      <c r="G175" s="173">
        <v>30.38</v>
      </c>
      <c r="H175" s="154">
        <v>3748.016619047617</v>
      </c>
      <c r="I175" s="190">
        <f>VLOOKUP($A175&amp;$B175,'KU Inputs'!$C$2:$I$505,MATCH('KU UtilityData'!I$1,'KU Inputs'!$C$1:$I$1,0),0)*1000</f>
        <v>4484131</v>
      </c>
      <c r="J175" s="190">
        <f>VLOOKUP($A175&amp;$B175,'KU Inputs'!$C$2:$I$505,MATCH('KU UtilityData'!J$1,'KU Inputs'!$C$1:$I$1,0),0)*1000</f>
        <v>1782097</v>
      </c>
      <c r="K175" s="265">
        <v>434012.61610071699</v>
      </c>
      <c r="L175" s="248">
        <v>432380.54</v>
      </c>
      <c r="M175" s="164">
        <v>87341.752217873902</v>
      </c>
      <c r="N175" s="190">
        <f>VLOOKUP($A175&amp;$B175,'KU Inputs'!$C$2:$I$505,MATCH('KU UtilityData'!N$1,'KU Inputs'!$C$1:$I$1,0),0)</f>
        <v>141224.63399999999</v>
      </c>
      <c r="O175" s="190" t="e">
        <f>VLOOKUP($A175&amp;$B175,'KU Inputs'!$C$2:$I$505,MATCH('KU UtilityData'!O$1,'KU Inputs'!$C$1:$I$1,0),0)</f>
        <v>#N/A</v>
      </c>
      <c r="P175" s="264">
        <f t="shared" si="8"/>
        <v>49</v>
      </c>
      <c r="Q175" s="264">
        <f t="shared" si="8"/>
        <v>171</v>
      </c>
      <c r="R175" s="166">
        <v>4512</v>
      </c>
      <c r="S175" s="166">
        <v>1455</v>
      </c>
      <c r="T175" s="182">
        <f t="shared" si="7"/>
        <v>0</v>
      </c>
    </row>
    <row r="176" spans="1:20" x14ac:dyDescent="0.2">
      <c r="A176" s="153">
        <v>2015</v>
      </c>
      <c r="B176" s="153">
        <v>7</v>
      </c>
      <c r="C176" s="168"/>
      <c r="D176" s="280">
        <f>HLOOKUP($A176,'KU rate projections'!$C$3:$L$28,26,0)*100</f>
        <v>10.005974436365699</v>
      </c>
      <c r="E176" s="279">
        <f t="shared" si="6"/>
        <v>9.9059146920020424</v>
      </c>
      <c r="F176" s="173"/>
      <c r="G176" s="173">
        <v>30.71</v>
      </c>
      <c r="H176" s="154">
        <v>3750.2684354753933</v>
      </c>
      <c r="I176" s="190">
        <f>VLOOKUP($A176&amp;$B176,'KU Inputs'!$C$2:$I$505,MATCH('KU UtilityData'!I$1,'KU Inputs'!$C$1:$I$1,0),0)*1000</f>
        <v>4492400</v>
      </c>
      <c r="J176" s="190">
        <f>VLOOKUP($A176&amp;$B176,'KU Inputs'!$C$2:$I$505,MATCH('KU UtilityData'!J$1,'KU Inputs'!$C$1:$I$1,0),0)*1000</f>
        <v>1785959</v>
      </c>
      <c r="K176" s="265">
        <v>434338.12556279253</v>
      </c>
      <c r="L176" s="248">
        <v>433226.92</v>
      </c>
      <c r="M176" s="164">
        <v>87935.173099399588</v>
      </c>
      <c r="N176" s="190">
        <f>VLOOKUP($A176&amp;$B176,'KU Inputs'!$C$2:$I$505,MATCH('KU UtilityData'!N$1,'KU Inputs'!$C$1:$I$1,0),0)</f>
        <v>141992.24600000001</v>
      </c>
      <c r="O176" s="190" t="e">
        <f>VLOOKUP($A176&amp;$B176,'KU Inputs'!$C$2:$I$505,MATCH('KU UtilityData'!O$1,'KU Inputs'!$C$1:$I$1,0),0)</f>
        <v>#N/A</v>
      </c>
      <c r="P176" s="264">
        <f t="shared" si="8"/>
        <v>1</v>
      </c>
      <c r="Q176" s="264">
        <f t="shared" si="8"/>
        <v>325</v>
      </c>
      <c r="R176" s="166">
        <v>4512</v>
      </c>
      <c r="S176" s="166">
        <v>1455</v>
      </c>
      <c r="T176" s="182">
        <f t="shared" si="7"/>
        <v>0</v>
      </c>
    </row>
    <row r="177" spans="1:20" x14ac:dyDescent="0.2">
      <c r="A177" s="153">
        <v>2015</v>
      </c>
      <c r="B177" s="153">
        <v>8</v>
      </c>
      <c r="C177" s="168"/>
      <c r="D177" s="280">
        <f>HLOOKUP($A177,'KU rate projections'!$C$3:$L$28,26,0)*100</f>
        <v>10.005974436365699</v>
      </c>
      <c r="E177" s="279">
        <f t="shared" si="6"/>
        <v>9.9059146920020424</v>
      </c>
      <c r="F177" s="173"/>
      <c r="G177" s="173">
        <v>29.52</v>
      </c>
      <c r="H177" s="154">
        <v>3752.5202519031695</v>
      </c>
      <c r="I177" s="190">
        <f>VLOOKUP($A177&amp;$B177,'KU Inputs'!$C$2:$I$505,MATCH('KU UtilityData'!I$1,'KU Inputs'!$C$1:$I$1,0),0)*1000</f>
        <v>4492400</v>
      </c>
      <c r="J177" s="190">
        <f>VLOOKUP($A177&amp;$B177,'KU Inputs'!$C$2:$I$505,MATCH('KU UtilityData'!J$1,'KU Inputs'!$C$1:$I$1,0),0)*1000</f>
        <v>1785959</v>
      </c>
      <c r="K177" s="265">
        <v>434663.87915696466</v>
      </c>
      <c r="L177" s="248">
        <v>433228.53</v>
      </c>
      <c r="M177" s="164">
        <v>87935.173099399588</v>
      </c>
      <c r="N177" s="190">
        <f>VLOOKUP($A177&amp;$B177,'KU Inputs'!$C$2:$I$505,MATCH('KU UtilityData'!N$1,'KU Inputs'!$C$1:$I$1,0),0)</f>
        <v>141992.24600000001</v>
      </c>
      <c r="O177" s="190" t="e">
        <f>VLOOKUP($A177&amp;$B177,'KU Inputs'!$C$2:$I$505,MATCH('KU UtilityData'!O$1,'KU Inputs'!$C$1:$I$1,0),0)</f>
        <v>#N/A</v>
      </c>
      <c r="P177" s="264">
        <f t="shared" si="8"/>
        <v>0</v>
      </c>
      <c r="Q177" s="264">
        <f t="shared" si="8"/>
        <v>341</v>
      </c>
      <c r="R177" s="166">
        <v>4512</v>
      </c>
      <c r="S177" s="166">
        <v>1455</v>
      </c>
      <c r="T177" s="182">
        <f t="shared" si="7"/>
        <v>0</v>
      </c>
    </row>
    <row r="178" spans="1:20" x14ac:dyDescent="0.2">
      <c r="A178" s="153">
        <v>2015</v>
      </c>
      <c r="B178" s="153">
        <v>9</v>
      </c>
      <c r="C178" s="168"/>
      <c r="D178" s="280">
        <f>HLOOKUP($A178,'KU rate projections'!$C$3:$L$28,26,0)*100</f>
        <v>10.005974436365699</v>
      </c>
      <c r="E178" s="279">
        <f t="shared" si="6"/>
        <v>9.9059146920020424</v>
      </c>
      <c r="F178" s="173"/>
      <c r="G178" s="173">
        <v>30.48</v>
      </c>
      <c r="H178" s="154">
        <v>3754.7720683309453</v>
      </c>
      <c r="I178" s="190">
        <f>VLOOKUP($A178&amp;$B178,'KU Inputs'!$C$2:$I$505,MATCH('KU UtilityData'!I$1,'KU Inputs'!$C$1:$I$1,0),0)*1000</f>
        <v>4492400</v>
      </c>
      <c r="J178" s="190">
        <f>VLOOKUP($A178&amp;$B178,'KU Inputs'!$C$2:$I$505,MATCH('KU UtilityData'!J$1,'KU Inputs'!$C$1:$I$1,0),0)*1000</f>
        <v>1785959</v>
      </c>
      <c r="K178" s="265">
        <v>434989.87706633238</v>
      </c>
      <c r="L178" s="248">
        <v>433229.92</v>
      </c>
      <c r="M178" s="164">
        <v>87935.173099399588</v>
      </c>
      <c r="N178" s="190">
        <f>VLOOKUP($A178&amp;$B178,'KU Inputs'!$C$2:$I$505,MATCH('KU UtilityData'!N$1,'KU Inputs'!$C$1:$I$1,0),0)</f>
        <v>141992.24600000001</v>
      </c>
      <c r="O178" s="190" t="e">
        <f>VLOOKUP($A178&amp;$B178,'KU Inputs'!$C$2:$I$505,MATCH('KU UtilityData'!O$1,'KU Inputs'!$C$1:$I$1,0),0)</f>
        <v>#N/A</v>
      </c>
      <c r="P178" s="264">
        <f t="shared" ref="P178:Q197" si="9">P166</f>
        <v>12</v>
      </c>
      <c r="Q178" s="264">
        <f t="shared" si="9"/>
        <v>261</v>
      </c>
      <c r="R178" s="166">
        <v>4512</v>
      </c>
      <c r="S178" s="166">
        <v>1455</v>
      </c>
      <c r="T178" s="182">
        <f t="shared" si="7"/>
        <v>0</v>
      </c>
    </row>
    <row r="179" spans="1:20" x14ac:dyDescent="0.2">
      <c r="A179" s="153">
        <v>2015</v>
      </c>
      <c r="B179" s="153">
        <v>10</v>
      </c>
      <c r="C179" s="168"/>
      <c r="D179" s="280">
        <f>HLOOKUP($A179,'KU rate projections'!$C$3:$L$28,26,0)*100</f>
        <v>10.005974436365699</v>
      </c>
      <c r="E179" s="279">
        <f t="shared" si="6"/>
        <v>9.9059146920020424</v>
      </c>
      <c r="F179" s="173"/>
      <c r="G179" s="173">
        <v>29.67</v>
      </c>
      <c r="H179" s="154">
        <v>3757.0238847587216</v>
      </c>
      <c r="I179" s="190">
        <f>VLOOKUP($A179&amp;$B179,'KU Inputs'!$C$2:$I$505,MATCH('KU UtilityData'!I$1,'KU Inputs'!$C$1:$I$1,0),0)*1000</f>
        <v>4500777</v>
      </c>
      <c r="J179" s="190">
        <f>VLOOKUP($A179&amp;$B179,'KU Inputs'!$C$2:$I$505,MATCH('KU UtilityData'!J$1,'KU Inputs'!$C$1:$I$1,0),0)*1000</f>
        <v>1789734</v>
      </c>
      <c r="K179" s="265">
        <v>435316.11947413214</v>
      </c>
      <c r="L179" s="248">
        <v>434056.63</v>
      </c>
      <c r="M179" s="164">
        <v>88461.157311868388</v>
      </c>
      <c r="N179" s="190">
        <f>VLOOKUP($A179&amp;$B179,'KU Inputs'!$C$2:$I$505,MATCH('KU UtilityData'!N$1,'KU Inputs'!$C$1:$I$1,0),0)</f>
        <v>142772.34400000001</v>
      </c>
      <c r="O179" s="190" t="e">
        <f>VLOOKUP($A179&amp;$B179,'KU Inputs'!$C$2:$I$505,MATCH('KU UtilityData'!O$1,'KU Inputs'!$C$1:$I$1,0),0)</f>
        <v>#N/A</v>
      </c>
      <c r="P179" s="264">
        <f t="shared" si="9"/>
        <v>136</v>
      </c>
      <c r="Q179" s="264">
        <f t="shared" si="9"/>
        <v>73</v>
      </c>
      <c r="R179" s="166">
        <v>4512</v>
      </c>
      <c r="S179" s="166">
        <v>1455</v>
      </c>
      <c r="T179" s="182">
        <f t="shared" si="7"/>
        <v>0</v>
      </c>
    </row>
    <row r="180" spans="1:20" x14ac:dyDescent="0.2">
      <c r="A180" s="153">
        <v>2015</v>
      </c>
      <c r="B180" s="153">
        <v>11</v>
      </c>
      <c r="C180" s="168"/>
      <c r="D180" s="280">
        <f>HLOOKUP($A180,'KU rate projections'!$C$3:$L$28,26,0)*100</f>
        <v>10.005974436365699</v>
      </c>
      <c r="E180" s="279">
        <f t="shared" si="6"/>
        <v>9.9059146920020424</v>
      </c>
      <c r="F180" s="173"/>
      <c r="G180" s="173">
        <v>29.76</v>
      </c>
      <c r="H180" s="154">
        <v>3759.2757011864978</v>
      </c>
      <c r="I180" s="190">
        <f>VLOOKUP($A180&amp;$B180,'KU Inputs'!$C$2:$I$505,MATCH('KU UtilityData'!I$1,'KU Inputs'!$C$1:$I$1,0),0)*1000</f>
        <v>4500777</v>
      </c>
      <c r="J180" s="190">
        <f>VLOOKUP($A180&amp;$B180,'KU Inputs'!$C$2:$I$505,MATCH('KU UtilityData'!J$1,'KU Inputs'!$C$1:$I$1,0),0)*1000</f>
        <v>1789734</v>
      </c>
      <c r="K180" s="265">
        <v>435642.60656373773</v>
      </c>
      <c r="L180" s="248">
        <v>434057.68</v>
      </c>
      <c r="M180" s="164">
        <v>88461.157311868388</v>
      </c>
      <c r="N180" s="190">
        <f>VLOOKUP($A180&amp;$B180,'KU Inputs'!$C$2:$I$505,MATCH('KU UtilityData'!N$1,'KU Inputs'!$C$1:$I$1,0),0)</f>
        <v>142772.34400000001</v>
      </c>
      <c r="O180" s="190" t="e">
        <f>VLOOKUP($A180&amp;$B180,'KU Inputs'!$C$2:$I$505,MATCH('KU UtilityData'!O$1,'KU Inputs'!$C$1:$I$1,0),0)</f>
        <v>#N/A</v>
      </c>
      <c r="P180" s="264">
        <f t="shared" si="9"/>
        <v>394</v>
      </c>
      <c r="Q180" s="264">
        <f t="shared" si="9"/>
        <v>7</v>
      </c>
      <c r="R180" s="166">
        <v>4512</v>
      </c>
      <c r="S180" s="166">
        <v>1455</v>
      </c>
      <c r="T180" s="182">
        <f t="shared" si="7"/>
        <v>0</v>
      </c>
    </row>
    <row r="181" spans="1:20" x14ac:dyDescent="0.2">
      <c r="A181" s="153">
        <v>2015</v>
      </c>
      <c r="B181" s="153">
        <v>12</v>
      </c>
      <c r="C181" s="168"/>
      <c r="D181" s="280">
        <f>HLOOKUP($A181,'KU rate projections'!$C$3:$L$28,26,0)*100</f>
        <v>10.005974436365699</v>
      </c>
      <c r="E181" s="279">
        <f t="shared" si="6"/>
        <v>9.9059146920020424</v>
      </c>
      <c r="F181" s="173"/>
      <c r="G181" s="173">
        <v>31.57</v>
      </c>
      <c r="H181" s="154">
        <v>3761.5275176142736</v>
      </c>
      <c r="I181" s="190">
        <f>VLOOKUP($A181&amp;$B181,'KU Inputs'!$C$2:$I$505,MATCH('KU UtilityData'!I$1,'KU Inputs'!$C$1:$I$1,0),0)*1000</f>
        <v>4500777</v>
      </c>
      <c r="J181" s="190">
        <f>VLOOKUP($A181&amp;$B181,'KU Inputs'!$C$2:$I$505,MATCH('KU UtilityData'!J$1,'KU Inputs'!$C$1:$I$1,0),0)*1000</f>
        <v>1789734</v>
      </c>
      <c r="K181" s="265">
        <v>435969.33851866057</v>
      </c>
      <c r="L181" s="248">
        <v>434058.59</v>
      </c>
      <c r="M181" s="164">
        <v>88461.157311868388</v>
      </c>
      <c r="N181" s="190">
        <f>VLOOKUP($A181&amp;$B181,'KU Inputs'!$C$2:$I$505,MATCH('KU UtilityData'!N$1,'KU Inputs'!$C$1:$I$1,0),0)</f>
        <v>142772.34400000001</v>
      </c>
      <c r="O181" s="190" t="e">
        <f>VLOOKUP($A181&amp;$B181,'KU Inputs'!$C$2:$I$505,MATCH('KU UtilityData'!O$1,'KU Inputs'!$C$1:$I$1,0),0)</f>
        <v>#N/A</v>
      </c>
      <c r="P181" s="264">
        <f t="shared" si="9"/>
        <v>706</v>
      </c>
      <c r="Q181" s="264">
        <f t="shared" si="9"/>
        <v>0.2</v>
      </c>
      <c r="R181" s="166">
        <v>4512</v>
      </c>
      <c r="S181" s="166">
        <v>1455</v>
      </c>
      <c r="T181" s="182">
        <f t="shared" si="7"/>
        <v>0</v>
      </c>
    </row>
    <row r="182" spans="1:20" x14ac:dyDescent="0.2">
      <c r="A182" s="153">
        <v>2016</v>
      </c>
      <c r="B182" s="153">
        <v>1</v>
      </c>
      <c r="C182" s="168"/>
      <c r="D182" s="280">
        <f>HLOOKUP($A182,'KU rate projections'!$C$3:$L$28,26,0)*100</f>
        <v>10.4589465273384</v>
      </c>
      <c r="E182" s="279">
        <f t="shared" si="6"/>
        <v>10.354357062065015</v>
      </c>
      <c r="F182" s="173"/>
      <c r="G182" s="173">
        <v>32.520000000000003</v>
      </c>
      <c r="H182" s="154">
        <v>3763.7793340420499</v>
      </c>
      <c r="I182" s="190">
        <f>VLOOKUP($A182&amp;$B182,'KU Inputs'!$C$2:$I$505,MATCH('KU UtilityData'!I$1,'KU Inputs'!$C$1:$I$1,0),0)*1000</f>
        <v>4509174</v>
      </c>
      <c r="J182" s="190">
        <f>VLOOKUP($A182&amp;$B182,'KU Inputs'!$C$2:$I$505,MATCH('KU UtilityData'!J$1,'KU Inputs'!$C$1:$I$1,0),0)*1000</f>
        <v>1793401</v>
      </c>
      <c r="K182" s="265">
        <v>436296.31552254956</v>
      </c>
      <c r="L182" s="248">
        <v>434861.27</v>
      </c>
      <c r="M182" s="164">
        <v>89637.835503653696</v>
      </c>
      <c r="N182" s="190">
        <f>VLOOKUP($A182&amp;$B182,'KU Inputs'!$C$2:$I$505,MATCH('KU UtilityData'!N$1,'KU Inputs'!$C$1:$I$1,0),0)</f>
        <v>144227.636</v>
      </c>
      <c r="O182" s="190" t="e">
        <f>VLOOKUP($A182&amp;$B182,'KU Inputs'!$C$2:$I$505,MATCH('KU UtilityData'!O$1,'KU Inputs'!$C$1:$I$1,0),0)</f>
        <v>#N/A</v>
      </c>
      <c r="P182" s="264">
        <f t="shared" si="9"/>
        <v>996</v>
      </c>
      <c r="Q182" s="264">
        <f t="shared" si="9"/>
        <v>0</v>
      </c>
      <c r="R182" s="166">
        <v>4512</v>
      </c>
      <c r="S182" s="166">
        <v>1455</v>
      </c>
      <c r="T182" s="182">
        <f t="shared" si="7"/>
        <v>0</v>
      </c>
    </row>
    <row r="183" spans="1:20" x14ac:dyDescent="0.2">
      <c r="A183" s="153">
        <v>2016</v>
      </c>
      <c r="B183" s="153">
        <v>2</v>
      </c>
      <c r="C183" s="168"/>
      <c r="D183" s="280">
        <f>HLOOKUP($A183,'KU rate projections'!$C$3:$L$28,26,0)*100</f>
        <v>10.4589465273384</v>
      </c>
      <c r="E183" s="279">
        <f t="shared" si="6"/>
        <v>10.354357062065015</v>
      </c>
      <c r="F183" s="173"/>
      <c r="G183" s="173">
        <v>30.14</v>
      </c>
      <c r="H183" s="154">
        <v>3766.0311504698261</v>
      </c>
      <c r="I183" s="190">
        <f>VLOOKUP($A183&amp;$B183,'KU Inputs'!$C$2:$I$505,MATCH('KU UtilityData'!I$1,'KU Inputs'!$C$1:$I$1,0),0)*1000</f>
        <v>4509174</v>
      </c>
      <c r="J183" s="190">
        <f>VLOOKUP($A183&amp;$B183,'KU Inputs'!$C$2:$I$505,MATCH('KU UtilityData'!J$1,'KU Inputs'!$C$1:$I$1,0),0)*1000</f>
        <v>1793401</v>
      </c>
      <c r="K183" s="265">
        <v>436623.53775919147</v>
      </c>
      <c r="L183" s="248">
        <v>434861.95</v>
      </c>
      <c r="M183" s="164">
        <v>89637.835503653696</v>
      </c>
      <c r="N183" s="190">
        <f>VLOOKUP($A183&amp;$B183,'KU Inputs'!$C$2:$I$505,MATCH('KU UtilityData'!N$1,'KU Inputs'!$C$1:$I$1,0),0)</f>
        <v>144227.636</v>
      </c>
      <c r="O183" s="190" t="e">
        <f>VLOOKUP($A183&amp;$B183,'KU Inputs'!$C$2:$I$505,MATCH('KU UtilityData'!O$1,'KU Inputs'!$C$1:$I$1,0),0)</f>
        <v>#N/A</v>
      </c>
      <c r="P183" s="264">
        <f t="shared" si="9"/>
        <v>889.8</v>
      </c>
      <c r="Q183" s="264">
        <f t="shared" si="9"/>
        <v>0</v>
      </c>
      <c r="R183" s="166">
        <v>4512</v>
      </c>
      <c r="S183" s="166">
        <v>1455</v>
      </c>
      <c r="T183" s="182">
        <f t="shared" si="7"/>
        <v>0</v>
      </c>
    </row>
    <row r="184" spans="1:20" x14ac:dyDescent="0.2">
      <c r="A184" s="153">
        <v>2016</v>
      </c>
      <c r="B184" s="153">
        <v>3</v>
      </c>
      <c r="C184" s="168"/>
      <c r="D184" s="280">
        <f>HLOOKUP($A184,'KU rate projections'!$C$3:$L$28,26,0)*100</f>
        <v>10.4589465273384</v>
      </c>
      <c r="E184" s="279">
        <f t="shared" si="6"/>
        <v>10.354357062065015</v>
      </c>
      <c r="F184" s="173"/>
      <c r="G184" s="173">
        <v>30.33</v>
      </c>
      <c r="H184" s="154">
        <v>3768.2829668976024</v>
      </c>
      <c r="I184" s="190">
        <f>VLOOKUP($A184&amp;$B184,'KU Inputs'!$C$2:$I$505,MATCH('KU UtilityData'!I$1,'KU Inputs'!$C$1:$I$1,0),0)*1000</f>
        <v>4509174</v>
      </c>
      <c r="J184" s="190">
        <f>VLOOKUP($A184&amp;$B184,'KU Inputs'!$C$2:$I$505,MATCH('KU UtilityData'!J$1,'KU Inputs'!$C$1:$I$1,0),0)*1000</f>
        <v>1793401</v>
      </c>
      <c r="K184" s="265">
        <v>436951.00541251089</v>
      </c>
      <c r="L184" s="248">
        <v>434862.54</v>
      </c>
      <c r="M184" s="164">
        <v>89637.835503653696</v>
      </c>
      <c r="N184" s="190">
        <f>VLOOKUP($A184&amp;$B184,'KU Inputs'!$C$2:$I$505,MATCH('KU UtilityData'!N$1,'KU Inputs'!$C$1:$I$1,0),0)</f>
        <v>144227.636</v>
      </c>
      <c r="O184" s="190" t="e">
        <f>VLOOKUP($A184&amp;$B184,'KU Inputs'!$C$2:$I$505,MATCH('KU UtilityData'!O$1,'KU Inputs'!$C$1:$I$1,0),0)</f>
        <v>#N/A</v>
      </c>
      <c r="P184" s="264">
        <f t="shared" si="9"/>
        <v>729</v>
      </c>
      <c r="Q184" s="264">
        <f t="shared" si="9"/>
        <v>0.45</v>
      </c>
      <c r="R184" s="166">
        <v>4512</v>
      </c>
      <c r="S184" s="166">
        <v>1455</v>
      </c>
      <c r="T184" s="182">
        <f t="shared" si="7"/>
        <v>0</v>
      </c>
    </row>
    <row r="185" spans="1:20" x14ac:dyDescent="0.2">
      <c r="A185" s="153">
        <v>2016</v>
      </c>
      <c r="B185" s="153">
        <v>4</v>
      </c>
      <c r="C185" s="168"/>
      <c r="D185" s="280">
        <f>HLOOKUP($A185,'KU rate projections'!$C$3:$L$28,26,0)*100</f>
        <v>10.4589465273384</v>
      </c>
      <c r="E185" s="279">
        <f t="shared" si="6"/>
        <v>10.354357062065015</v>
      </c>
      <c r="F185" s="173"/>
      <c r="G185" s="173">
        <v>30.52</v>
      </c>
      <c r="H185" s="154">
        <v>3770.5347833253782</v>
      </c>
      <c r="I185" s="190">
        <f>VLOOKUP($A185&amp;$B185,'KU Inputs'!$C$2:$I$505,MATCH('KU UtilityData'!I$1,'KU Inputs'!$C$1:$I$1,0),0)*1000</f>
        <v>4517592</v>
      </c>
      <c r="J185" s="190">
        <f>VLOOKUP($A185&amp;$B185,'KU Inputs'!$C$2:$I$505,MATCH('KU UtilityData'!J$1,'KU Inputs'!$C$1:$I$1,0),0)*1000</f>
        <v>1797034</v>
      </c>
      <c r="K185" s="265">
        <v>437278.71866657026</v>
      </c>
      <c r="L185" s="248">
        <v>435657.51</v>
      </c>
      <c r="M185" s="164">
        <v>90251.075234545511</v>
      </c>
      <c r="N185" s="190">
        <f>VLOOKUP($A185&amp;$B185,'KU Inputs'!$C$2:$I$505,MATCH('KU UtilityData'!N$1,'KU Inputs'!$C$1:$I$1,0),0)</f>
        <v>145000.861</v>
      </c>
      <c r="O185" s="190" t="e">
        <f>VLOOKUP($A185&amp;$B185,'KU Inputs'!$C$2:$I$505,MATCH('KU UtilityData'!O$1,'KU Inputs'!$C$1:$I$1,0),0)</f>
        <v>#N/A</v>
      </c>
      <c r="P185" s="264">
        <f t="shared" si="9"/>
        <v>440</v>
      </c>
      <c r="Q185" s="264">
        <f t="shared" si="9"/>
        <v>11.85</v>
      </c>
      <c r="R185" s="166">
        <v>4512</v>
      </c>
      <c r="S185" s="166">
        <v>1455</v>
      </c>
      <c r="T185" s="182">
        <f t="shared" si="7"/>
        <v>0</v>
      </c>
    </row>
    <row r="186" spans="1:20" x14ac:dyDescent="0.2">
      <c r="A186" s="153">
        <v>2016</v>
      </c>
      <c r="B186" s="153">
        <v>5</v>
      </c>
      <c r="C186" s="168"/>
      <c r="D186" s="280">
        <f>HLOOKUP($A186,'KU rate projections'!$C$3:$L$28,26,0)*100</f>
        <v>10.4589465273384</v>
      </c>
      <c r="E186" s="279">
        <f t="shared" si="6"/>
        <v>10.354357062065015</v>
      </c>
      <c r="F186" s="173"/>
      <c r="G186" s="173">
        <v>29.48</v>
      </c>
      <c r="H186" s="154">
        <v>3772.7865997531544</v>
      </c>
      <c r="I186" s="190">
        <f>VLOOKUP($A186&amp;$B186,'KU Inputs'!$C$2:$I$505,MATCH('KU UtilityData'!I$1,'KU Inputs'!$C$1:$I$1,0),0)*1000</f>
        <v>4517592</v>
      </c>
      <c r="J186" s="190">
        <f>VLOOKUP($A186&amp;$B186,'KU Inputs'!$C$2:$I$505,MATCH('KU UtilityData'!J$1,'KU Inputs'!$C$1:$I$1,0),0)*1000</f>
        <v>1797034</v>
      </c>
      <c r="K186" s="265">
        <v>437606.67770557018</v>
      </c>
      <c r="L186" s="248">
        <v>435657.95</v>
      </c>
      <c r="M186" s="164">
        <v>90251.075234545511</v>
      </c>
      <c r="N186" s="190">
        <f>VLOOKUP($A186&amp;$B186,'KU Inputs'!$C$2:$I$505,MATCH('KU UtilityData'!N$1,'KU Inputs'!$C$1:$I$1,0),0)</f>
        <v>145000.861</v>
      </c>
      <c r="O186" s="190" t="e">
        <f>VLOOKUP($A186&amp;$B186,'KU Inputs'!$C$2:$I$505,MATCH('KU UtilityData'!O$1,'KU Inputs'!$C$1:$I$1,0),0)</f>
        <v>#N/A</v>
      </c>
      <c r="P186" s="264">
        <f t="shared" si="9"/>
        <v>187</v>
      </c>
      <c r="Q186" s="264">
        <f t="shared" si="9"/>
        <v>47</v>
      </c>
      <c r="R186" s="166">
        <v>4512</v>
      </c>
      <c r="S186" s="166">
        <v>1455</v>
      </c>
      <c r="T186" s="182">
        <f t="shared" si="7"/>
        <v>0</v>
      </c>
    </row>
    <row r="187" spans="1:20" x14ac:dyDescent="0.2">
      <c r="A187" s="153">
        <v>2016</v>
      </c>
      <c r="B187" s="153">
        <v>6</v>
      </c>
      <c r="C187" s="168"/>
      <c r="D187" s="280">
        <f>HLOOKUP($A187,'KU rate projections'!$C$3:$L$28,26,0)*100</f>
        <v>10.4589465273384</v>
      </c>
      <c r="E187" s="279">
        <f t="shared" si="6"/>
        <v>10.354357062065015</v>
      </c>
      <c r="F187" s="173"/>
      <c r="G187" s="173">
        <v>30.67</v>
      </c>
      <c r="H187" s="154">
        <v>3775.0384161809293</v>
      </c>
      <c r="I187" s="190">
        <f>VLOOKUP($A187&amp;$B187,'KU Inputs'!$C$2:$I$505,MATCH('KU UtilityData'!I$1,'KU Inputs'!$C$1:$I$1,0),0)*1000</f>
        <v>4517592</v>
      </c>
      <c r="J187" s="190">
        <f>VLOOKUP($A187&amp;$B187,'KU Inputs'!$C$2:$I$505,MATCH('KU UtilityData'!J$1,'KU Inputs'!$C$1:$I$1,0),0)*1000</f>
        <v>1797034</v>
      </c>
      <c r="K187" s="265">
        <v>437934.88271384937</v>
      </c>
      <c r="L187" s="248">
        <v>435658.34</v>
      </c>
      <c r="M187" s="164">
        <v>90251.075234545511</v>
      </c>
      <c r="N187" s="190">
        <f>VLOOKUP($A187&amp;$B187,'KU Inputs'!$C$2:$I$505,MATCH('KU UtilityData'!N$1,'KU Inputs'!$C$1:$I$1,0),0)</f>
        <v>145000.861</v>
      </c>
      <c r="O187" s="190" t="e">
        <f>VLOOKUP($A187&amp;$B187,'KU Inputs'!$C$2:$I$505,MATCH('KU UtilityData'!O$1,'KU Inputs'!$C$1:$I$1,0),0)</f>
        <v>#N/A</v>
      </c>
      <c r="P187" s="264">
        <f t="shared" si="9"/>
        <v>49</v>
      </c>
      <c r="Q187" s="264">
        <f t="shared" si="9"/>
        <v>171</v>
      </c>
      <c r="R187" s="166">
        <v>4512</v>
      </c>
      <c r="S187" s="166">
        <v>1455</v>
      </c>
      <c r="T187" s="182">
        <f t="shared" si="7"/>
        <v>0</v>
      </c>
    </row>
    <row r="188" spans="1:20" x14ac:dyDescent="0.2">
      <c r="A188" s="153">
        <v>2016</v>
      </c>
      <c r="B188" s="153">
        <v>7</v>
      </c>
      <c r="C188" s="168"/>
      <c r="D188" s="280">
        <f>HLOOKUP($A188,'KU rate projections'!$C$3:$L$28,26,0)*100</f>
        <v>10.4589465273384</v>
      </c>
      <c r="E188" s="279">
        <f t="shared" si="6"/>
        <v>10.354357062065015</v>
      </c>
      <c r="F188" s="173"/>
      <c r="G188" s="173">
        <v>30.71</v>
      </c>
      <c r="H188" s="154">
        <v>3777.3023081798965</v>
      </c>
      <c r="I188" s="190">
        <f>VLOOKUP($A188&amp;$B188,'KU Inputs'!$C$2:$I$505,MATCH('KU UtilityData'!I$1,'KU Inputs'!$C$1:$I$1,0),0)*1000</f>
        <v>4526031</v>
      </c>
      <c r="J188" s="190">
        <f>VLOOKUP($A188&amp;$B188,'KU Inputs'!$C$2:$I$505,MATCH('KU UtilityData'!J$1,'KU Inputs'!$C$1:$I$1,0),0)*1000</f>
        <v>1800662</v>
      </c>
      <c r="K188" s="265">
        <v>438263.33387588477</v>
      </c>
      <c r="L188" s="248">
        <v>436452.03</v>
      </c>
      <c r="M188" s="164">
        <v>90905.547657609219</v>
      </c>
      <c r="N188" s="190">
        <f>VLOOKUP($A188&amp;$B188,'KU Inputs'!$C$2:$I$505,MATCH('KU UtilityData'!N$1,'KU Inputs'!$C$1:$I$1,0),0)</f>
        <v>145740.07199999999</v>
      </c>
      <c r="O188" s="190" t="e">
        <f>VLOOKUP($A188&amp;$B188,'KU Inputs'!$C$2:$I$505,MATCH('KU UtilityData'!O$1,'KU Inputs'!$C$1:$I$1,0),0)</f>
        <v>#N/A</v>
      </c>
      <c r="P188" s="264">
        <f t="shared" si="9"/>
        <v>1</v>
      </c>
      <c r="Q188" s="264">
        <f t="shared" si="9"/>
        <v>325</v>
      </c>
      <c r="R188" s="166">
        <v>4512</v>
      </c>
      <c r="S188" s="166">
        <v>1455</v>
      </c>
      <c r="T188" s="182">
        <f t="shared" si="7"/>
        <v>0</v>
      </c>
    </row>
    <row r="189" spans="1:20" x14ac:dyDescent="0.2">
      <c r="A189" s="153">
        <v>2016</v>
      </c>
      <c r="B189" s="153">
        <v>8</v>
      </c>
      <c r="C189" s="168"/>
      <c r="D189" s="280">
        <f>HLOOKUP($A189,'KU rate projections'!$C$3:$L$28,26,0)*100</f>
        <v>10.4589465273384</v>
      </c>
      <c r="E189" s="279">
        <f t="shared" si="6"/>
        <v>10.354357062065015</v>
      </c>
      <c r="F189" s="173"/>
      <c r="G189" s="173">
        <v>29.52</v>
      </c>
      <c r="H189" s="154">
        <v>3779.5662001788633</v>
      </c>
      <c r="I189" s="190">
        <f>VLOOKUP($A189&amp;$B189,'KU Inputs'!$C$2:$I$505,MATCH('KU UtilityData'!I$1,'KU Inputs'!$C$1:$I$1,0),0)*1000</f>
        <v>4526031</v>
      </c>
      <c r="J189" s="190">
        <f>VLOOKUP($A189&amp;$B189,'KU Inputs'!$C$2:$I$505,MATCH('KU UtilityData'!J$1,'KU Inputs'!$C$1:$I$1,0),0)*1000</f>
        <v>1800662</v>
      </c>
      <c r="K189" s="265">
        <v>438592.03137629171</v>
      </c>
      <c r="L189" s="248">
        <v>436452.32</v>
      </c>
      <c r="M189" s="164">
        <v>90905.547657609219</v>
      </c>
      <c r="N189" s="190">
        <f>VLOOKUP($A189&amp;$B189,'KU Inputs'!$C$2:$I$505,MATCH('KU UtilityData'!N$1,'KU Inputs'!$C$1:$I$1,0),0)</f>
        <v>145740.07199999999</v>
      </c>
      <c r="O189" s="190" t="e">
        <f>VLOOKUP($A189&amp;$B189,'KU Inputs'!$C$2:$I$505,MATCH('KU UtilityData'!O$1,'KU Inputs'!$C$1:$I$1,0),0)</f>
        <v>#N/A</v>
      </c>
      <c r="P189" s="264">
        <f t="shared" si="9"/>
        <v>0</v>
      </c>
      <c r="Q189" s="264">
        <f t="shared" si="9"/>
        <v>341</v>
      </c>
      <c r="R189" s="166">
        <v>4512</v>
      </c>
      <c r="S189" s="166">
        <v>1455</v>
      </c>
      <c r="T189" s="182">
        <f t="shared" si="7"/>
        <v>0</v>
      </c>
    </row>
    <row r="190" spans="1:20" x14ac:dyDescent="0.2">
      <c r="A190" s="153">
        <v>2016</v>
      </c>
      <c r="B190" s="153">
        <v>9</v>
      </c>
      <c r="C190" s="168"/>
      <c r="D190" s="280">
        <f>HLOOKUP($A190,'KU rate projections'!$C$3:$L$28,26,0)*100</f>
        <v>10.4589465273384</v>
      </c>
      <c r="E190" s="279">
        <f t="shared" si="6"/>
        <v>10.354357062065015</v>
      </c>
      <c r="F190" s="173"/>
      <c r="G190" s="173">
        <v>30.52</v>
      </c>
      <c r="H190" s="154">
        <v>3781.8300921778305</v>
      </c>
      <c r="I190" s="190">
        <f>VLOOKUP($A190&amp;$B190,'KU Inputs'!$C$2:$I$505,MATCH('KU UtilityData'!I$1,'KU Inputs'!$C$1:$I$1,0),0)*1000</f>
        <v>4526031</v>
      </c>
      <c r="J190" s="190">
        <f>VLOOKUP($A190&amp;$B190,'KU Inputs'!$C$2:$I$505,MATCH('KU UtilityData'!J$1,'KU Inputs'!$C$1:$I$1,0),0)*1000</f>
        <v>1800662</v>
      </c>
      <c r="K190" s="265">
        <v>438920.97539982392</v>
      </c>
      <c r="L190" s="248">
        <v>436452.58</v>
      </c>
      <c r="M190" s="164">
        <v>90905.547657609219</v>
      </c>
      <c r="N190" s="190">
        <f>VLOOKUP($A190&amp;$B190,'KU Inputs'!$C$2:$I$505,MATCH('KU UtilityData'!N$1,'KU Inputs'!$C$1:$I$1,0),0)</f>
        <v>145740.07199999999</v>
      </c>
      <c r="O190" s="190" t="e">
        <f>VLOOKUP($A190&amp;$B190,'KU Inputs'!$C$2:$I$505,MATCH('KU UtilityData'!O$1,'KU Inputs'!$C$1:$I$1,0),0)</f>
        <v>#N/A</v>
      </c>
      <c r="P190" s="264">
        <f t="shared" si="9"/>
        <v>12</v>
      </c>
      <c r="Q190" s="264">
        <f t="shared" si="9"/>
        <v>261</v>
      </c>
      <c r="R190" s="166">
        <v>4512</v>
      </c>
      <c r="S190" s="166">
        <v>1455</v>
      </c>
      <c r="T190" s="182">
        <f t="shared" si="7"/>
        <v>0</v>
      </c>
    </row>
    <row r="191" spans="1:20" x14ac:dyDescent="0.2">
      <c r="A191" s="153">
        <v>2016</v>
      </c>
      <c r="B191" s="153">
        <v>10</v>
      </c>
      <c r="C191" s="168"/>
      <c r="D191" s="280">
        <f>HLOOKUP($A191,'KU rate projections'!$C$3:$L$28,26,0)*100</f>
        <v>10.4589465273384</v>
      </c>
      <c r="E191" s="279">
        <f t="shared" si="6"/>
        <v>10.354357062065015</v>
      </c>
      <c r="F191" s="173"/>
      <c r="G191" s="173">
        <v>29.62</v>
      </c>
      <c r="H191" s="154">
        <v>3784.0939841767977</v>
      </c>
      <c r="I191" s="190">
        <f>VLOOKUP($A191&amp;$B191,'KU Inputs'!$C$2:$I$505,MATCH('KU UtilityData'!I$1,'KU Inputs'!$C$1:$I$1,0),0)*1000</f>
        <v>4534489</v>
      </c>
      <c r="J191" s="190">
        <f>VLOOKUP($A191&amp;$B191,'KU Inputs'!$C$2:$I$505,MATCH('KU UtilityData'!J$1,'KU Inputs'!$C$1:$I$1,0),0)*1000</f>
        <v>1804307</v>
      </c>
      <c r="K191" s="265">
        <v>439250.16613137379</v>
      </c>
      <c r="L191" s="248">
        <v>437249.87</v>
      </c>
      <c r="M191" s="164">
        <v>91493.182183445591</v>
      </c>
      <c r="N191" s="190">
        <f>VLOOKUP($A191&amp;$B191,'KU Inputs'!$C$2:$I$505,MATCH('KU UtilityData'!N$1,'KU Inputs'!$C$1:$I$1,0),0)</f>
        <v>146638.23699999999</v>
      </c>
      <c r="O191" s="190" t="e">
        <f>VLOOKUP($A191&amp;$B191,'KU Inputs'!$C$2:$I$505,MATCH('KU UtilityData'!O$1,'KU Inputs'!$C$1:$I$1,0),0)</f>
        <v>#N/A</v>
      </c>
      <c r="P191" s="264">
        <f t="shared" si="9"/>
        <v>136</v>
      </c>
      <c r="Q191" s="264">
        <f t="shared" si="9"/>
        <v>73</v>
      </c>
      <c r="R191" s="166">
        <v>4512</v>
      </c>
      <c r="S191" s="166">
        <v>1455</v>
      </c>
      <c r="T191" s="182">
        <f t="shared" si="7"/>
        <v>0</v>
      </c>
    </row>
    <row r="192" spans="1:20" x14ac:dyDescent="0.2">
      <c r="A192" s="153">
        <v>2016</v>
      </c>
      <c r="B192" s="153">
        <v>11</v>
      </c>
      <c r="C192" s="168"/>
      <c r="D192" s="280">
        <f>HLOOKUP($A192,'KU rate projections'!$C$3:$L$28,26,0)*100</f>
        <v>10.4589465273384</v>
      </c>
      <c r="E192" s="279">
        <f t="shared" si="6"/>
        <v>10.354357062065015</v>
      </c>
      <c r="F192" s="173"/>
      <c r="G192" s="173">
        <v>29.95</v>
      </c>
      <c r="H192" s="154">
        <v>3786.3578761757649</v>
      </c>
      <c r="I192" s="190">
        <f>VLOOKUP($A192&amp;$B192,'KU Inputs'!$C$2:$I$505,MATCH('KU UtilityData'!I$1,'KU Inputs'!$C$1:$I$1,0),0)*1000</f>
        <v>4534489</v>
      </c>
      <c r="J192" s="190">
        <f>VLOOKUP($A192&amp;$B192,'KU Inputs'!$C$2:$I$505,MATCH('KU UtilityData'!J$1,'KU Inputs'!$C$1:$I$1,0),0)*1000</f>
        <v>1804307</v>
      </c>
      <c r="K192" s="265">
        <v>439579.60375597235</v>
      </c>
      <c r="L192" s="248">
        <v>437250.06</v>
      </c>
      <c r="M192" s="164">
        <v>91493.182183445591</v>
      </c>
      <c r="N192" s="190">
        <f>VLOOKUP($A192&amp;$B192,'KU Inputs'!$C$2:$I$505,MATCH('KU UtilityData'!N$1,'KU Inputs'!$C$1:$I$1,0),0)</f>
        <v>146638.23699999999</v>
      </c>
      <c r="O192" s="190" t="e">
        <f>VLOOKUP($A192&amp;$B192,'KU Inputs'!$C$2:$I$505,MATCH('KU UtilityData'!O$1,'KU Inputs'!$C$1:$I$1,0),0)</f>
        <v>#N/A</v>
      </c>
      <c r="P192" s="264">
        <f t="shared" si="9"/>
        <v>394</v>
      </c>
      <c r="Q192" s="264">
        <f t="shared" si="9"/>
        <v>7</v>
      </c>
      <c r="R192" s="166">
        <v>4512</v>
      </c>
      <c r="S192" s="166">
        <v>1455</v>
      </c>
      <c r="T192" s="182">
        <f t="shared" si="7"/>
        <v>0</v>
      </c>
    </row>
    <row r="193" spans="1:20" x14ac:dyDescent="0.2">
      <c r="A193" s="153">
        <v>2016</v>
      </c>
      <c r="B193" s="153">
        <v>12</v>
      </c>
      <c r="C193" s="168"/>
      <c r="D193" s="280">
        <f>HLOOKUP($A193,'KU rate projections'!$C$3:$L$28,26,0)*100</f>
        <v>10.4589465273384</v>
      </c>
      <c r="E193" s="279">
        <f t="shared" si="6"/>
        <v>10.354357062065015</v>
      </c>
      <c r="F193" s="173"/>
      <c r="G193" s="173">
        <v>31.24</v>
      </c>
      <c r="H193" s="154">
        <v>3788.6217681747321</v>
      </c>
      <c r="I193" s="190">
        <f>VLOOKUP($A193&amp;$B193,'KU Inputs'!$C$2:$I$505,MATCH('KU UtilityData'!I$1,'KU Inputs'!$C$1:$I$1,0),0)*1000</f>
        <v>4534489</v>
      </c>
      <c r="J193" s="190">
        <f>VLOOKUP($A193&amp;$B193,'KU Inputs'!$C$2:$I$505,MATCH('KU UtilityData'!J$1,'KU Inputs'!$C$1:$I$1,0),0)*1000</f>
        <v>1804307</v>
      </c>
      <c r="K193" s="265">
        <v>439909.28845878935</v>
      </c>
      <c r="L193" s="248">
        <v>437250.22</v>
      </c>
      <c r="M193" s="164">
        <v>91493.182183445591</v>
      </c>
      <c r="N193" s="190">
        <f>VLOOKUP($A193&amp;$B193,'KU Inputs'!$C$2:$I$505,MATCH('KU UtilityData'!N$1,'KU Inputs'!$C$1:$I$1,0),0)</f>
        <v>146638.23699999999</v>
      </c>
      <c r="O193" s="190" t="e">
        <f>VLOOKUP($A193&amp;$B193,'KU Inputs'!$C$2:$I$505,MATCH('KU UtilityData'!O$1,'KU Inputs'!$C$1:$I$1,0),0)</f>
        <v>#N/A</v>
      </c>
      <c r="P193" s="264">
        <f t="shared" si="9"/>
        <v>706</v>
      </c>
      <c r="Q193" s="264">
        <f t="shared" si="9"/>
        <v>0.2</v>
      </c>
      <c r="R193" s="166">
        <v>4512</v>
      </c>
      <c r="S193" s="166">
        <v>1455</v>
      </c>
      <c r="T193" s="182">
        <f t="shared" si="7"/>
        <v>0</v>
      </c>
    </row>
    <row r="194" spans="1:20" x14ac:dyDescent="0.2">
      <c r="A194" s="153">
        <v>2017</v>
      </c>
      <c r="B194" s="153">
        <v>1</v>
      </c>
      <c r="C194" s="168"/>
      <c r="D194" s="281">
        <f>D182*(1+0.02)</f>
        <v>10.668125457885168</v>
      </c>
      <c r="E194" s="279">
        <f t="shared" si="6"/>
        <v>10.561444203306316</v>
      </c>
      <c r="F194" s="173"/>
      <c r="G194" s="173">
        <v>32.67</v>
      </c>
      <c r="H194" s="154">
        <v>3790.8856601736993</v>
      </c>
      <c r="I194" s="190">
        <f>VLOOKUP($A194&amp;$B194,'KU Inputs'!$C$2:$I$505,MATCH('KU UtilityData'!I$1,'KU Inputs'!$C$1:$I$1,0),0)*1000</f>
        <v>4542939</v>
      </c>
      <c r="J194" s="190">
        <f>VLOOKUP($A194&amp;$B194,'KU Inputs'!$C$2:$I$505,MATCH('KU UtilityData'!J$1,'KU Inputs'!$C$1:$I$1,0),0)*1000</f>
        <v>1806844</v>
      </c>
      <c r="K194" s="265">
        <v>440275.87953250494</v>
      </c>
      <c r="L194" s="248">
        <v>437805.15</v>
      </c>
      <c r="M194" s="164">
        <v>92284.153050970781</v>
      </c>
      <c r="N194" s="190">
        <f>VLOOKUP($A194&amp;$B194,'KU Inputs'!$C$2:$I$505,MATCH('KU UtilityData'!N$1,'KU Inputs'!$C$1:$I$1,0),0)</f>
        <v>147397.973</v>
      </c>
      <c r="O194" s="190" t="e">
        <f>VLOOKUP($A194&amp;$B194,'KU Inputs'!$C$2:$I$505,MATCH('KU UtilityData'!O$1,'KU Inputs'!$C$1:$I$1,0),0)</f>
        <v>#N/A</v>
      </c>
      <c r="P194" s="264">
        <f t="shared" si="9"/>
        <v>996</v>
      </c>
      <c r="Q194" s="264">
        <f t="shared" si="9"/>
        <v>0</v>
      </c>
      <c r="R194" s="166">
        <v>4512</v>
      </c>
      <c r="S194" s="166">
        <v>1455</v>
      </c>
      <c r="T194" s="182">
        <f t="shared" si="7"/>
        <v>0</v>
      </c>
    </row>
    <row r="195" spans="1:20" x14ac:dyDescent="0.2">
      <c r="A195" s="153">
        <v>2017</v>
      </c>
      <c r="B195" s="153">
        <v>2</v>
      </c>
      <c r="C195" s="168"/>
      <c r="D195" s="281">
        <f t="shared" ref="D195:D258" si="10">D183*(1+0.02)</f>
        <v>10.668125457885168</v>
      </c>
      <c r="E195" s="279">
        <f t="shared" si="6"/>
        <v>10.561444203306316</v>
      </c>
      <c r="F195" s="173"/>
      <c r="G195" s="173">
        <v>29.86</v>
      </c>
      <c r="H195" s="154">
        <v>3793.1495521726665</v>
      </c>
      <c r="I195" s="190">
        <f>VLOOKUP($A195&amp;$B195,'KU Inputs'!$C$2:$I$505,MATCH('KU UtilityData'!I$1,'KU Inputs'!$C$1:$I$1,0),0)*1000</f>
        <v>4542939</v>
      </c>
      <c r="J195" s="190">
        <f>VLOOKUP($A195&amp;$B195,'KU Inputs'!$C$2:$I$505,MATCH('KU UtilityData'!J$1,'KU Inputs'!$C$1:$I$1,0),0)*1000</f>
        <v>1806844</v>
      </c>
      <c r="K195" s="265">
        <v>440642.77609878196</v>
      </c>
      <c r="L195" s="248">
        <v>437805.27</v>
      </c>
      <c r="M195" s="164">
        <v>92284.153050970781</v>
      </c>
      <c r="N195" s="190">
        <f>VLOOKUP($A195&amp;$B195,'KU Inputs'!$C$2:$I$505,MATCH('KU UtilityData'!N$1,'KU Inputs'!$C$1:$I$1,0),0)</f>
        <v>147397.973</v>
      </c>
      <c r="O195" s="190" t="e">
        <f>VLOOKUP($A195&amp;$B195,'KU Inputs'!$C$2:$I$505,MATCH('KU UtilityData'!O$1,'KU Inputs'!$C$1:$I$1,0),0)</f>
        <v>#N/A</v>
      </c>
      <c r="P195" s="264">
        <f t="shared" si="9"/>
        <v>889.8</v>
      </c>
      <c r="Q195" s="264">
        <f t="shared" si="9"/>
        <v>0</v>
      </c>
      <c r="R195" s="166">
        <v>4512</v>
      </c>
      <c r="S195" s="166">
        <v>1455</v>
      </c>
      <c r="T195" s="182">
        <f t="shared" si="7"/>
        <v>0</v>
      </c>
    </row>
    <row r="196" spans="1:20" x14ac:dyDescent="0.2">
      <c r="A196" s="153">
        <v>2017</v>
      </c>
      <c r="B196" s="153">
        <v>3</v>
      </c>
      <c r="C196" s="168"/>
      <c r="D196" s="281">
        <f t="shared" si="10"/>
        <v>10.668125457885168</v>
      </c>
      <c r="E196" s="279">
        <f t="shared" si="6"/>
        <v>10.561444203306316</v>
      </c>
      <c r="F196" s="173"/>
      <c r="G196" s="173">
        <v>30.29</v>
      </c>
      <c r="H196" s="154">
        <v>3795.4134441716337</v>
      </c>
      <c r="I196" s="190">
        <f>VLOOKUP($A196&amp;$B196,'KU Inputs'!$C$2:$I$505,MATCH('KU UtilityData'!I$1,'KU Inputs'!$C$1:$I$1,0),0)*1000</f>
        <v>4542939</v>
      </c>
      <c r="J196" s="190">
        <f>VLOOKUP($A196&amp;$B196,'KU Inputs'!$C$2:$I$505,MATCH('KU UtilityData'!J$1,'KU Inputs'!$C$1:$I$1,0),0)*1000</f>
        <v>1806844</v>
      </c>
      <c r="K196" s="265">
        <v>441009.97841219755</v>
      </c>
      <c r="L196" s="248">
        <v>437805.38</v>
      </c>
      <c r="M196" s="164">
        <v>92284.153050970781</v>
      </c>
      <c r="N196" s="190">
        <f>VLOOKUP($A196&amp;$B196,'KU Inputs'!$C$2:$I$505,MATCH('KU UtilityData'!N$1,'KU Inputs'!$C$1:$I$1,0),0)</f>
        <v>147397.973</v>
      </c>
      <c r="O196" s="190" t="e">
        <f>VLOOKUP($A196&amp;$B196,'KU Inputs'!$C$2:$I$505,MATCH('KU UtilityData'!O$1,'KU Inputs'!$C$1:$I$1,0),0)</f>
        <v>#N/A</v>
      </c>
      <c r="P196" s="264">
        <f t="shared" si="9"/>
        <v>729</v>
      </c>
      <c r="Q196" s="264">
        <f t="shared" si="9"/>
        <v>0.45</v>
      </c>
      <c r="R196" s="166">
        <v>4512</v>
      </c>
      <c r="S196" s="166">
        <v>1455</v>
      </c>
      <c r="T196" s="182">
        <f t="shared" si="7"/>
        <v>0</v>
      </c>
    </row>
    <row r="197" spans="1:20" x14ac:dyDescent="0.2">
      <c r="A197" s="153">
        <v>2017</v>
      </c>
      <c r="B197" s="153">
        <v>4</v>
      </c>
      <c r="C197" s="168"/>
      <c r="D197" s="281">
        <f t="shared" si="10"/>
        <v>10.668125457885168</v>
      </c>
      <c r="E197" s="279">
        <f t="shared" si="6"/>
        <v>10.561444203306316</v>
      </c>
      <c r="F197" s="173"/>
      <c r="G197" s="173">
        <v>30.33</v>
      </c>
      <c r="H197" s="154">
        <v>3797.6773361706009</v>
      </c>
      <c r="I197" s="190">
        <f>VLOOKUP($A197&amp;$B197,'KU Inputs'!$C$2:$I$505,MATCH('KU UtilityData'!I$1,'KU Inputs'!$C$1:$I$1,0),0)*1000</f>
        <v>4551380</v>
      </c>
      <c r="J197" s="190">
        <f>VLOOKUP($A197&amp;$B197,'KU Inputs'!$C$2:$I$505,MATCH('KU UtilityData'!J$1,'KU Inputs'!$C$1:$I$1,0),0)*1000</f>
        <v>1809400</v>
      </c>
      <c r="K197" s="265">
        <v>441377.48672754102</v>
      </c>
      <c r="L197" s="248">
        <v>438364.41</v>
      </c>
      <c r="M197" s="164">
        <v>92838.708314839998</v>
      </c>
      <c r="N197" s="190">
        <f>VLOOKUP($A197&amp;$B197,'KU Inputs'!$C$2:$I$505,MATCH('KU UtilityData'!N$1,'KU Inputs'!$C$1:$I$1,0),0)</f>
        <v>148169.18</v>
      </c>
      <c r="O197" s="190" t="e">
        <f>VLOOKUP($A197&amp;$B197,'KU Inputs'!$C$2:$I$505,MATCH('KU UtilityData'!O$1,'KU Inputs'!$C$1:$I$1,0),0)</f>
        <v>#N/A</v>
      </c>
      <c r="P197" s="264">
        <f t="shared" si="9"/>
        <v>440</v>
      </c>
      <c r="Q197" s="264">
        <f t="shared" si="9"/>
        <v>11.85</v>
      </c>
      <c r="R197" s="166">
        <v>4512</v>
      </c>
      <c r="S197" s="166">
        <v>1455</v>
      </c>
      <c r="T197" s="182">
        <f t="shared" si="7"/>
        <v>0</v>
      </c>
    </row>
    <row r="198" spans="1:20" x14ac:dyDescent="0.2">
      <c r="A198" s="153">
        <v>2017</v>
      </c>
      <c r="B198" s="153">
        <v>5</v>
      </c>
      <c r="C198" s="168"/>
      <c r="D198" s="281">
        <f t="shared" si="10"/>
        <v>10.668125457885168</v>
      </c>
      <c r="E198" s="279">
        <f t="shared" si="6"/>
        <v>10.561444203306316</v>
      </c>
      <c r="F198" s="173"/>
      <c r="G198" s="173">
        <v>30.05</v>
      </c>
      <c r="H198" s="154">
        <v>3799.9412281695677</v>
      </c>
      <c r="I198" s="190">
        <f>VLOOKUP($A198&amp;$B198,'KU Inputs'!$C$2:$I$505,MATCH('KU UtilityData'!I$1,'KU Inputs'!$C$1:$I$1,0),0)*1000</f>
        <v>4551380</v>
      </c>
      <c r="J198" s="190">
        <f>VLOOKUP($A198&amp;$B198,'KU Inputs'!$C$2:$I$505,MATCH('KU UtilityData'!J$1,'KU Inputs'!$C$1:$I$1,0),0)*1000</f>
        <v>1809400</v>
      </c>
      <c r="K198" s="265">
        <v>441745.30129981396</v>
      </c>
      <c r="L198" s="248">
        <v>438364.49</v>
      </c>
      <c r="M198" s="164">
        <v>92838.708314839998</v>
      </c>
      <c r="N198" s="190">
        <f>VLOOKUP($A198&amp;$B198,'KU Inputs'!$C$2:$I$505,MATCH('KU UtilityData'!N$1,'KU Inputs'!$C$1:$I$1,0),0)</f>
        <v>148169.18</v>
      </c>
      <c r="O198" s="190" t="e">
        <f>VLOOKUP($A198&amp;$B198,'KU Inputs'!$C$2:$I$505,MATCH('KU UtilityData'!O$1,'KU Inputs'!$C$1:$I$1,0),0)</f>
        <v>#N/A</v>
      </c>
      <c r="P198" s="264">
        <f t="shared" ref="P198:Q217" si="11">P186</f>
        <v>187</v>
      </c>
      <c r="Q198" s="264">
        <f t="shared" si="11"/>
        <v>47</v>
      </c>
      <c r="R198" s="166">
        <v>4512</v>
      </c>
      <c r="S198" s="166">
        <v>1455</v>
      </c>
      <c r="T198" s="182">
        <f t="shared" si="7"/>
        <v>0</v>
      </c>
    </row>
    <row r="199" spans="1:20" x14ac:dyDescent="0.2">
      <c r="A199" s="153">
        <v>2017</v>
      </c>
      <c r="B199" s="153">
        <v>6</v>
      </c>
      <c r="C199" s="168"/>
      <c r="D199" s="281">
        <f t="shared" si="10"/>
        <v>10.668125457885168</v>
      </c>
      <c r="E199" s="279">
        <f t="shared" ref="E199:E262" si="12">D199*0.99</f>
        <v>10.561444203306316</v>
      </c>
      <c r="F199" s="173"/>
      <c r="G199" s="173">
        <v>30.62</v>
      </c>
      <c r="H199" s="154">
        <v>3802.2051201685322</v>
      </c>
      <c r="I199" s="190">
        <f>VLOOKUP($A199&amp;$B199,'KU Inputs'!$C$2:$I$505,MATCH('KU UtilityData'!I$1,'KU Inputs'!$C$1:$I$1,0),0)*1000</f>
        <v>4551380</v>
      </c>
      <c r="J199" s="190">
        <f>VLOOKUP($A199&amp;$B199,'KU Inputs'!$C$2:$I$505,MATCH('KU UtilityData'!J$1,'KU Inputs'!$C$1:$I$1,0),0)*1000</f>
        <v>1809400</v>
      </c>
      <c r="K199" s="265">
        <v>442113.42238423042</v>
      </c>
      <c r="L199" s="248">
        <v>438364.56</v>
      </c>
      <c r="M199" s="164">
        <v>92838.708314839998</v>
      </c>
      <c r="N199" s="190">
        <f>VLOOKUP($A199&amp;$B199,'KU Inputs'!$C$2:$I$505,MATCH('KU UtilityData'!N$1,'KU Inputs'!$C$1:$I$1,0),0)</f>
        <v>148169.18</v>
      </c>
      <c r="O199" s="190" t="e">
        <f>VLOOKUP($A199&amp;$B199,'KU Inputs'!$C$2:$I$505,MATCH('KU UtilityData'!O$1,'KU Inputs'!$C$1:$I$1,0),0)</f>
        <v>#N/A</v>
      </c>
      <c r="P199" s="264">
        <f t="shared" si="11"/>
        <v>49</v>
      </c>
      <c r="Q199" s="264">
        <f t="shared" si="11"/>
        <v>171</v>
      </c>
      <c r="R199" s="166">
        <v>4512</v>
      </c>
      <c r="S199" s="166">
        <v>1455</v>
      </c>
      <c r="T199" s="182">
        <f t="shared" si="7"/>
        <v>0</v>
      </c>
    </row>
    <row r="200" spans="1:20" x14ac:dyDescent="0.2">
      <c r="A200" s="153">
        <v>2017</v>
      </c>
      <c r="B200" s="153">
        <v>7</v>
      </c>
      <c r="C200" s="168"/>
      <c r="D200" s="281">
        <f t="shared" si="10"/>
        <v>10.668125457885168</v>
      </c>
      <c r="E200" s="279">
        <f t="shared" si="12"/>
        <v>10.561444203306316</v>
      </c>
      <c r="F200" s="173"/>
      <c r="G200" s="173">
        <v>30.81</v>
      </c>
      <c r="H200" s="154">
        <v>3804.4647787775989</v>
      </c>
      <c r="I200" s="190">
        <f>VLOOKUP($A200&amp;$B200,'KU Inputs'!$C$2:$I$505,MATCH('KU UtilityData'!I$1,'KU Inputs'!$C$1:$I$1,0),0)*1000</f>
        <v>4559813</v>
      </c>
      <c r="J200" s="190">
        <f>VLOOKUP($A200&amp;$B200,'KU Inputs'!$C$2:$I$505,MATCH('KU UtilityData'!J$1,'KU Inputs'!$C$1:$I$1,0),0)*1000</f>
        <v>1811938</v>
      </c>
      <c r="K200" s="265">
        <v>442481.85023621726</v>
      </c>
      <c r="L200" s="248">
        <v>438919.62</v>
      </c>
      <c r="M200" s="164">
        <v>93468.4357869573</v>
      </c>
      <c r="N200" s="190">
        <f>VLOOKUP($A200&amp;$B200,'KU Inputs'!$C$2:$I$505,MATCH('KU UtilityData'!N$1,'KU Inputs'!$C$1:$I$1,0),0)</f>
        <v>149003.10200000001</v>
      </c>
      <c r="O200" s="190" t="e">
        <f>VLOOKUP($A200&amp;$B200,'KU Inputs'!$C$2:$I$505,MATCH('KU UtilityData'!O$1,'KU Inputs'!$C$1:$I$1,0),0)</f>
        <v>#N/A</v>
      </c>
      <c r="P200" s="264">
        <f t="shared" si="11"/>
        <v>1</v>
      </c>
      <c r="Q200" s="264">
        <f t="shared" si="11"/>
        <v>325</v>
      </c>
      <c r="R200" s="166">
        <v>4512</v>
      </c>
      <c r="S200" s="166">
        <v>1455</v>
      </c>
      <c r="T200" s="182">
        <f t="shared" si="7"/>
        <v>0</v>
      </c>
    </row>
    <row r="201" spans="1:20" x14ac:dyDescent="0.2">
      <c r="A201" s="153">
        <v>2017</v>
      </c>
      <c r="B201" s="153">
        <v>8</v>
      </c>
      <c r="C201" s="168"/>
      <c r="D201" s="281">
        <f t="shared" si="10"/>
        <v>10.668125457885168</v>
      </c>
      <c r="E201" s="279">
        <f t="shared" si="12"/>
        <v>10.561444203306316</v>
      </c>
      <c r="F201" s="173"/>
      <c r="G201" s="173">
        <v>29.43</v>
      </c>
      <c r="H201" s="154">
        <v>3806.7244373866656</v>
      </c>
      <c r="I201" s="190">
        <f>VLOOKUP($A201&amp;$B201,'KU Inputs'!$C$2:$I$505,MATCH('KU UtilityData'!I$1,'KU Inputs'!$C$1:$I$1,0),0)*1000</f>
        <v>4559813</v>
      </c>
      <c r="J201" s="190">
        <f>VLOOKUP($A201&amp;$B201,'KU Inputs'!$C$2:$I$505,MATCH('KU UtilityData'!J$1,'KU Inputs'!$C$1:$I$1,0),0)*1000</f>
        <v>1811938</v>
      </c>
      <c r="K201" s="265">
        <v>442850.58511141408</v>
      </c>
      <c r="L201" s="248">
        <v>438919.67</v>
      </c>
      <c r="M201" s="164">
        <v>93468.4357869573</v>
      </c>
      <c r="N201" s="190">
        <f>VLOOKUP($A201&amp;$B201,'KU Inputs'!$C$2:$I$505,MATCH('KU UtilityData'!N$1,'KU Inputs'!$C$1:$I$1,0),0)</f>
        <v>149003.10200000001</v>
      </c>
      <c r="O201" s="190" t="e">
        <f>VLOOKUP($A201&amp;$B201,'KU Inputs'!$C$2:$I$505,MATCH('KU UtilityData'!O$1,'KU Inputs'!$C$1:$I$1,0),0)</f>
        <v>#N/A</v>
      </c>
      <c r="P201" s="264">
        <f t="shared" si="11"/>
        <v>0</v>
      </c>
      <c r="Q201" s="264">
        <f t="shared" si="11"/>
        <v>341</v>
      </c>
      <c r="R201" s="166">
        <v>4512</v>
      </c>
      <c r="S201" s="166">
        <v>1455</v>
      </c>
      <c r="T201" s="182">
        <f t="shared" si="7"/>
        <v>0</v>
      </c>
    </row>
    <row r="202" spans="1:20" x14ac:dyDescent="0.2">
      <c r="A202" s="153">
        <v>2017</v>
      </c>
      <c r="B202" s="153">
        <v>9</v>
      </c>
      <c r="C202" s="168"/>
      <c r="D202" s="281">
        <f t="shared" si="10"/>
        <v>10.668125457885168</v>
      </c>
      <c r="E202" s="279">
        <f t="shared" si="12"/>
        <v>10.561444203306316</v>
      </c>
      <c r="F202" s="173"/>
      <c r="G202" s="173">
        <v>30.57</v>
      </c>
      <c r="H202" s="154">
        <v>3808.9840959957323</v>
      </c>
      <c r="I202" s="190">
        <f>VLOOKUP($A202&amp;$B202,'KU Inputs'!$C$2:$I$505,MATCH('KU UtilityData'!I$1,'KU Inputs'!$C$1:$I$1,0),0)*1000</f>
        <v>4559813</v>
      </c>
      <c r="J202" s="190">
        <f>VLOOKUP($A202&amp;$B202,'KU Inputs'!$C$2:$I$505,MATCH('KU UtilityData'!J$1,'KU Inputs'!$C$1:$I$1,0),0)*1000</f>
        <v>1811938</v>
      </c>
      <c r="K202" s="265">
        <v>443219.62726567354</v>
      </c>
      <c r="L202" s="248">
        <v>438919.72</v>
      </c>
      <c r="M202" s="164">
        <v>93468.4357869573</v>
      </c>
      <c r="N202" s="190">
        <f>VLOOKUP($A202&amp;$B202,'KU Inputs'!$C$2:$I$505,MATCH('KU UtilityData'!N$1,'KU Inputs'!$C$1:$I$1,0),0)</f>
        <v>149003.10200000001</v>
      </c>
      <c r="O202" s="190" t="e">
        <f>VLOOKUP($A202&amp;$B202,'KU Inputs'!$C$2:$I$505,MATCH('KU UtilityData'!O$1,'KU Inputs'!$C$1:$I$1,0),0)</f>
        <v>#N/A</v>
      </c>
      <c r="P202" s="264">
        <f t="shared" si="11"/>
        <v>12</v>
      </c>
      <c r="Q202" s="264">
        <f t="shared" si="11"/>
        <v>261</v>
      </c>
      <c r="R202" s="166">
        <v>4512</v>
      </c>
      <c r="S202" s="166">
        <v>1455</v>
      </c>
      <c r="T202" s="182">
        <f t="shared" ref="T202:T265" si="13">C202/L202*1000</f>
        <v>0</v>
      </c>
    </row>
    <row r="203" spans="1:20" x14ac:dyDescent="0.2">
      <c r="A203" s="153">
        <v>2017</v>
      </c>
      <c r="B203" s="153">
        <v>10</v>
      </c>
      <c r="C203" s="168"/>
      <c r="D203" s="281">
        <f t="shared" si="10"/>
        <v>10.668125457885168</v>
      </c>
      <c r="E203" s="279">
        <f t="shared" si="12"/>
        <v>10.561444203306316</v>
      </c>
      <c r="F203" s="173"/>
      <c r="G203" s="173">
        <v>29.67</v>
      </c>
      <c r="H203" s="154">
        <v>3811.2437546047986</v>
      </c>
      <c r="I203" s="190">
        <f>VLOOKUP($A203&amp;$B203,'KU Inputs'!$C$2:$I$505,MATCH('KU UtilityData'!I$1,'KU Inputs'!$C$1:$I$1,0),0)*1000</f>
        <v>4568225</v>
      </c>
      <c r="J203" s="190">
        <f>VLOOKUP($A203&amp;$B203,'KU Inputs'!$C$2:$I$505,MATCH('KU UtilityData'!J$1,'KU Inputs'!$C$1:$I$1,0),0)*1000</f>
        <v>1814388</v>
      </c>
      <c r="K203" s="265">
        <v>443588.97695506155</v>
      </c>
      <c r="L203" s="248">
        <v>439455.52</v>
      </c>
      <c r="M203" s="164">
        <v>94149.4491141076</v>
      </c>
      <c r="N203" s="190">
        <f>VLOOKUP($A203&amp;$B203,'KU Inputs'!$C$2:$I$505,MATCH('KU UtilityData'!N$1,'KU Inputs'!$C$1:$I$1,0),0)</f>
        <v>149821.88399999999</v>
      </c>
      <c r="O203" s="190" t="e">
        <f>VLOOKUP($A203&amp;$B203,'KU Inputs'!$C$2:$I$505,MATCH('KU UtilityData'!O$1,'KU Inputs'!$C$1:$I$1,0),0)</f>
        <v>#N/A</v>
      </c>
      <c r="P203" s="264">
        <f t="shared" si="11"/>
        <v>136</v>
      </c>
      <c r="Q203" s="264">
        <f t="shared" si="11"/>
        <v>73</v>
      </c>
      <c r="R203" s="166">
        <v>4512</v>
      </c>
      <c r="S203" s="166">
        <v>1455</v>
      </c>
      <c r="T203" s="182">
        <f t="shared" si="13"/>
        <v>0</v>
      </c>
    </row>
    <row r="204" spans="1:20" x14ac:dyDescent="0.2">
      <c r="A204" s="153">
        <v>2017</v>
      </c>
      <c r="B204" s="153">
        <v>11</v>
      </c>
      <c r="C204" s="168"/>
      <c r="D204" s="281">
        <f t="shared" si="10"/>
        <v>10.668125457885168</v>
      </c>
      <c r="E204" s="279">
        <f t="shared" si="12"/>
        <v>10.561444203306316</v>
      </c>
      <c r="F204" s="173"/>
      <c r="G204" s="173">
        <v>30.05</v>
      </c>
      <c r="H204" s="154">
        <v>3813.5034132138653</v>
      </c>
      <c r="I204" s="190">
        <f>VLOOKUP($A204&amp;$B204,'KU Inputs'!$C$2:$I$505,MATCH('KU UtilityData'!I$1,'KU Inputs'!$C$1:$I$1,0),0)*1000</f>
        <v>4568225</v>
      </c>
      <c r="J204" s="190">
        <f>VLOOKUP($A204&amp;$B204,'KU Inputs'!$C$2:$I$505,MATCH('KU UtilityData'!J$1,'KU Inputs'!$C$1:$I$1,0),0)*1000</f>
        <v>1814388</v>
      </c>
      <c r="K204" s="265">
        <v>443958.63443585741</v>
      </c>
      <c r="L204" s="248">
        <v>439455.55</v>
      </c>
      <c r="M204" s="164">
        <v>94149.4491141076</v>
      </c>
      <c r="N204" s="190">
        <f>VLOOKUP($A204&amp;$B204,'KU Inputs'!$C$2:$I$505,MATCH('KU UtilityData'!N$1,'KU Inputs'!$C$1:$I$1,0),0)</f>
        <v>149821.88399999999</v>
      </c>
      <c r="O204" s="190" t="e">
        <f>VLOOKUP($A204&amp;$B204,'KU Inputs'!$C$2:$I$505,MATCH('KU UtilityData'!O$1,'KU Inputs'!$C$1:$I$1,0),0)</f>
        <v>#N/A</v>
      </c>
      <c r="P204" s="264">
        <f t="shared" si="11"/>
        <v>394</v>
      </c>
      <c r="Q204" s="264">
        <f t="shared" si="11"/>
        <v>7</v>
      </c>
      <c r="R204" s="166">
        <v>4512</v>
      </c>
      <c r="S204" s="166">
        <v>1455</v>
      </c>
      <c r="T204" s="182">
        <f t="shared" si="13"/>
        <v>0</v>
      </c>
    </row>
    <row r="205" spans="1:20" x14ac:dyDescent="0.2">
      <c r="A205" s="153">
        <v>2017</v>
      </c>
      <c r="B205" s="153">
        <v>12</v>
      </c>
      <c r="C205" s="168"/>
      <c r="D205" s="281">
        <f t="shared" si="10"/>
        <v>10.668125457885168</v>
      </c>
      <c r="E205" s="279">
        <f t="shared" si="12"/>
        <v>10.561444203306316</v>
      </c>
      <c r="F205" s="173"/>
      <c r="G205" s="173">
        <v>30.67</v>
      </c>
      <c r="H205" s="154">
        <v>3815.763071822932</v>
      </c>
      <c r="I205" s="190">
        <f>VLOOKUP($A205&amp;$B205,'KU Inputs'!$C$2:$I$505,MATCH('KU UtilityData'!I$1,'KU Inputs'!$C$1:$I$1,0),0)*1000</f>
        <v>4568225</v>
      </c>
      <c r="J205" s="190">
        <f>VLOOKUP($A205&amp;$B205,'KU Inputs'!$C$2:$I$505,MATCH('KU UtilityData'!J$1,'KU Inputs'!$C$1:$I$1,0),0)*1000</f>
        <v>1814388</v>
      </c>
      <c r="K205" s="265">
        <v>444328.5999645539</v>
      </c>
      <c r="L205" s="248">
        <v>439455.58</v>
      </c>
      <c r="M205" s="164">
        <v>94149.4491141076</v>
      </c>
      <c r="N205" s="190">
        <f>VLOOKUP($A205&amp;$B205,'KU Inputs'!$C$2:$I$505,MATCH('KU UtilityData'!N$1,'KU Inputs'!$C$1:$I$1,0),0)</f>
        <v>149821.88399999999</v>
      </c>
      <c r="O205" s="190" t="e">
        <f>VLOOKUP($A205&amp;$B205,'KU Inputs'!$C$2:$I$505,MATCH('KU UtilityData'!O$1,'KU Inputs'!$C$1:$I$1,0),0)</f>
        <v>#N/A</v>
      </c>
      <c r="P205" s="264">
        <f t="shared" si="11"/>
        <v>706</v>
      </c>
      <c r="Q205" s="264">
        <f t="shared" si="11"/>
        <v>0.2</v>
      </c>
      <c r="R205" s="166">
        <v>4512</v>
      </c>
      <c r="S205" s="166">
        <v>1455</v>
      </c>
      <c r="T205" s="182">
        <f t="shared" si="13"/>
        <v>0</v>
      </c>
    </row>
    <row r="206" spans="1:20" x14ac:dyDescent="0.2">
      <c r="A206" s="153">
        <v>2018</v>
      </c>
      <c r="B206" s="153">
        <v>1</v>
      </c>
      <c r="C206" s="168"/>
      <c r="D206" s="281">
        <f t="shared" si="10"/>
        <v>10.881487967042871</v>
      </c>
      <c r="E206" s="279">
        <f t="shared" si="12"/>
        <v>10.772673087372441</v>
      </c>
      <c r="F206" s="173"/>
      <c r="G206" s="173">
        <v>32.67</v>
      </c>
      <c r="H206" s="154">
        <v>3818.0227304319988</v>
      </c>
      <c r="I206" s="190">
        <f>VLOOKUP($A206&amp;$B206,'KU Inputs'!$C$2:$I$505,MATCH('KU UtilityData'!I$1,'KU Inputs'!$C$1:$I$1,0),0)*1000</f>
        <v>4576630</v>
      </c>
      <c r="J206" s="190">
        <f>VLOOKUP($A206&amp;$B206,'KU Inputs'!$C$2:$I$505,MATCH('KU UtilityData'!J$1,'KU Inputs'!$C$1:$I$1,0),0)*1000</f>
        <v>1817810</v>
      </c>
      <c r="K206" s="265">
        <v>444698.87379785767</v>
      </c>
      <c r="L206" s="248">
        <v>440203.92</v>
      </c>
      <c r="M206" s="164">
        <v>95233.498115994502</v>
      </c>
      <c r="N206" s="190">
        <f>VLOOKUP($A206&amp;$B206,'KU Inputs'!$C$2:$I$505,MATCH('KU UtilityData'!N$1,'KU Inputs'!$C$1:$I$1,0),0)</f>
        <v>151159.774</v>
      </c>
      <c r="O206" s="190" t="e">
        <f>VLOOKUP($A206&amp;$B206,'KU Inputs'!$C$2:$I$505,MATCH('KU UtilityData'!O$1,'KU Inputs'!$C$1:$I$1,0),0)</f>
        <v>#N/A</v>
      </c>
      <c r="P206" s="264">
        <f t="shared" si="11"/>
        <v>996</v>
      </c>
      <c r="Q206" s="264">
        <f t="shared" si="11"/>
        <v>0</v>
      </c>
      <c r="R206" s="166">
        <v>4512</v>
      </c>
      <c r="S206" s="166">
        <v>1455</v>
      </c>
      <c r="T206" s="182">
        <f t="shared" si="13"/>
        <v>0</v>
      </c>
    </row>
    <row r="207" spans="1:20" x14ac:dyDescent="0.2">
      <c r="A207" s="153">
        <v>2018</v>
      </c>
      <c r="B207" s="153">
        <v>2</v>
      </c>
      <c r="C207" s="168"/>
      <c r="D207" s="281">
        <f t="shared" si="10"/>
        <v>10.881487967042871</v>
      </c>
      <c r="E207" s="279">
        <f t="shared" si="12"/>
        <v>10.772673087372441</v>
      </c>
      <c r="F207" s="173"/>
      <c r="G207" s="173">
        <v>29.86</v>
      </c>
      <c r="H207" s="154">
        <v>3820.282389041065</v>
      </c>
      <c r="I207" s="190">
        <f>VLOOKUP($A207&amp;$B207,'KU Inputs'!$C$2:$I$505,MATCH('KU UtilityData'!I$1,'KU Inputs'!$C$1:$I$1,0),0)*1000</f>
        <v>4576630</v>
      </c>
      <c r="J207" s="190">
        <f>VLOOKUP($A207&amp;$B207,'KU Inputs'!$C$2:$I$505,MATCH('KU UtilityData'!J$1,'KU Inputs'!$C$1:$I$1,0),0)*1000</f>
        <v>1817810</v>
      </c>
      <c r="K207" s="265">
        <v>445069.45619268919</v>
      </c>
      <c r="L207" s="248">
        <v>440203.94</v>
      </c>
      <c r="M207" s="164">
        <v>95233.498115994502</v>
      </c>
      <c r="N207" s="190">
        <f>VLOOKUP($A207&amp;$B207,'KU Inputs'!$C$2:$I$505,MATCH('KU UtilityData'!N$1,'KU Inputs'!$C$1:$I$1,0),0)</f>
        <v>151159.774</v>
      </c>
      <c r="O207" s="190" t="e">
        <f>VLOOKUP($A207&amp;$B207,'KU Inputs'!$C$2:$I$505,MATCH('KU UtilityData'!O$1,'KU Inputs'!$C$1:$I$1,0),0)</f>
        <v>#N/A</v>
      </c>
      <c r="P207" s="264">
        <f t="shared" si="11"/>
        <v>889.8</v>
      </c>
      <c r="Q207" s="264">
        <f t="shared" si="11"/>
        <v>0</v>
      </c>
      <c r="R207" s="166">
        <v>4512</v>
      </c>
      <c r="S207" s="166">
        <v>1455</v>
      </c>
      <c r="T207" s="182">
        <f t="shared" si="13"/>
        <v>0</v>
      </c>
    </row>
    <row r="208" spans="1:20" x14ac:dyDescent="0.2">
      <c r="A208" s="153">
        <v>2018</v>
      </c>
      <c r="B208" s="153">
        <v>3</v>
      </c>
      <c r="C208" s="168"/>
      <c r="D208" s="281">
        <f t="shared" si="10"/>
        <v>10.881487967042871</v>
      </c>
      <c r="E208" s="279">
        <f t="shared" si="12"/>
        <v>10.772673087372441</v>
      </c>
      <c r="F208" s="173"/>
      <c r="G208" s="173">
        <v>30.43</v>
      </c>
      <c r="H208" s="154">
        <v>3822.5420476501317</v>
      </c>
      <c r="I208" s="190">
        <f>VLOOKUP($A208&amp;$B208,'KU Inputs'!$C$2:$I$505,MATCH('KU UtilityData'!I$1,'KU Inputs'!$C$1:$I$1,0),0)*1000</f>
        <v>4576630</v>
      </c>
      <c r="J208" s="190">
        <f>VLOOKUP($A208&amp;$B208,'KU Inputs'!$C$2:$I$505,MATCH('KU UtilityData'!J$1,'KU Inputs'!$C$1:$I$1,0),0)*1000</f>
        <v>1817810</v>
      </c>
      <c r="K208" s="265">
        <v>445440.34740618308</v>
      </c>
      <c r="L208" s="248">
        <v>440203.96</v>
      </c>
      <c r="M208" s="164">
        <v>95233.498115994502</v>
      </c>
      <c r="N208" s="190">
        <f>VLOOKUP($A208&amp;$B208,'KU Inputs'!$C$2:$I$505,MATCH('KU UtilityData'!N$1,'KU Inputs'!$C$1:$I$1,0),0)</f>
        <v>151159.774</v>
      </c>
      <c r="O208" s="190" t="e">
        <f>VLOOKUP($A208&amp;$B208,'KU Inputs'!$C$2:$I$505,MATCH('KU UtilityData'!O$1,'KU Inputs'!$C$1:$I$1,0),0)</f>
        <v>#N/A</v>
      </c>
      <c r="P208" s="264">
        <f t="shared" si="11"/>
        <v>729</v>
      </c>
      <c r="Q208" s="264">
        <f t="shared" si="11"/>
        <v>0.45</v>
      </c>
      <c r="R208" s="166">
        <v>4512</v>
      </c>
      <c r="S208" s="166">
        <v>1455</v>
      </c>
      <c r="T208" s="182">
        <f t="shared" si="13"/>
        <v>0</v>
      </c>
    </row>
    <row r="209" spans="1:20" x14ac:dyDescent="0.2">
      <c r="A209" s="153">
        <v>2018</v>
      </c>
      <c r="B209" s="153">
        <v>4</v>
      </c>
      <c r="C209" s="168"/>
      <c r="D209" s="281">
        <f t="shared" si="10"/>
        <v>10.881487967042871</v>
      </c>
      <c r="E209" s="279">
        <f t="shared" si="12"/>
        <v>10.772673087372441</v>
      </c>
      <c r="F209" s="173"/>
      <c r="G209" s="173">
        <v>30.71</v>
      </c>
      <c r="H209" s="154">
        <v>3824.8017062591985</v>
      </c>
      <c r="I209" s="190">
        <f>VLOOKUP($A209&amp;$B209,'KU Inputs'!$C$2:$I$505,MATCH('KU UtilityData'!I$1,'KU Inputs'!$C$1:$I$1,0),0)*1000</f>
        <v>4585030</v>
      </c>
      <c r="J209" s="190">
        <f>VLOOKUP($A209&amp;$B209,'KU Inputs'!$C$2:$I$505,MATCH('KU UtilityData'!J$1,'KU Inputs'!$C$1:$I$1,0),0)*1000</f>
        <v>1821188</v>
      </c>
      <c r="K209" s="265">
        <v>445811.5476956882</v>
      </c>
      <c r="L209" s="248">
        <v>440942.66</v>
      </c>
      <c r="M209" s="164">
        <v>95959.661458908813</v>
      </c>
      <c r="N209" s="190">
        <f>VLOOKUP($A209&amp;$B209,'KU Inputs'!$C$2:$I$505,MATCH('KU UtilityData'!N$1,'KU Inputs'!$C$1:$I$1,0),0)</f>
        <v>152014.81099999999</v>
      </c>
      <c r="O209" s="190" t="e">
        <f>VLOOKUP($A209&amp;$B209,'KU Inputs'!$C$2:$I$505,MATCH('KU UtilityData'!O$1,'KU Inputs'!$C$1:$I$1,0),0)</f>
        <v>#N/A</v>
      </c>
      <c r="P209" s="264">
        <f t="shared" si="11"/>
        <v>440</v>
      </c>
      <c r="Q209" s="264">
        <f t="shared" si="11"/>
        <v>11.85</v>
      </c>
      <c r="R209" s="166">
        <v>4512</v>
      </c>
      <c r="S209" s="166">
        <v>1455</v>
      </c>
      <c r="T209" s="182">
        <f t="shared" si="13"/>
        <v>0</v>
      </c>
    </row>
    <row r="210" spans="1:20" x14ac:dyDescent="0.2">
      <c r="A210" s="153">
        <v>2018</v>
      </c>
      <c r="B210" s="153">
        <v>5</v>
      </c>
      <c r="C210" s="168"/>
      <c r="D210" s="281">
        <f t="shared" si="10"/>
        <v>10.881487967042871</v>
      </c>
      <c r="E210" s="279">
        <f t="shared" si="12"/>
        <v>10.772673087372441</v>
      </c>
      <c r="F210" s="173"/>
      <c r="G210" s="173">
        <v>29.52</v>
      </c>
      <c r="H210" s="154">
        <v>3827.0613648682652</v>
      </c>
      <c r="I210" s="190">
        <f>VLOOKUP($A210&amp;$B210,'KU Inputs'!$C$2:$I$505,MATCH('KU UtilityData'!I$1,'KU Inputs'!$C$1:$I$1,0),0)*1000</f>
        <v>4585030</v>
      </c>
      <c r="J210" s="190">
        <f>VLOOKUP($A210&amp;$B210,'KU Inputs'!$C$2:$I$505,MATCH('KU UtilityData'!J$1,'KU Inputs'!$C$1:$I$1,0),0)*1000</f>
        <v>1821188</v>
      </c>
      <c r="K210" s="265">
        <v>446183.05731876788</v>
      </c>
      <c r="L210" s="248">
        <v>440942.68</v>
      </c>
      <c r="M210" s="164">
        <v>95959.661458908813</v>
      </c>
      <c r="N210" s="190">
        <f>VLOOKUP($A210&amp;$B210,'KU Inputs'!$C$2:$I$505,MATCH('KU UtilityData'!N$1,'KU Inputs'!$C$1:$I$1,0),0)</f>
        <v>152014.81099999999</v>
      </c>
      <c r="O210" s="190" t="e">
        <f>VLOOKUP($A210&amp;$B210,'KU Inputs'!$C$2:$I$505,MATCH('KU UtilityData'!O$1,'KU Inputs'!$C$1:$I$1,0),0)</f>
        <v>#N/A</v>
      </c>
      <c r="P210" s="264">
        <f t="shared" si="11"/>
        <v>187</v>
      </c>
      <c r="Q210" s="264">
        <f t="shared" si="11"/>
        <v>47</v>
      </c>
      <c r="R210" s="166">
        <v>4512</v>
      </c>
      <c r="S210" s="166">
        <v>1455</v>
      </c>
      <c r="T210" s="182">
        <f t="shared" si="13"/>
        <v>0</v>
      </c>
    </row>
    <row r="211" spans="1:20" x14ac:dyDescent="0.2">
      <c r="A211" s="153">
        <v>2018</v>
      </c>
      <c r="B211" s="153">
        <v>6</v>
      </c>
      <c r="C211" s="168"/>
      <c r="D211" s="281">
        <f t="shared" si="10"/>
        <v>10.881487967042871</v>
      </c>
      <c r="E211" s="279">
        <f t="shared" si="12"/>
        <v>10.772673087372441</v>
      </c>
      <c r="F211" s="173"/>
      <c r="G211" s="173">
        <v>30.62</v>
      </c>
      <c r="H211" s="154">
        <v>3829.3210234773323</v>
      </c>
      <c r="I211" s="190">
        <f>VLOOKUP($A211&amp;$B211,'KU Inputs'!$C$2:$I$505,MATCH('KU UtilityData'!I$1,'KU Inputs'!$C$1:$I$1,0),0)*1000</f>
        <v>4585030</v>
      </c>
      <c r="J211" s="190">
        <f>VLOOKUP($A211&amp;$B211,'KU Inputs'!$C$2:$I$505,MATCH('KU UtilityData'!J$1,'KU Inputs'!$C$1:$I$1,0),0)*1000</f>
        <v>1821188</v>
      </c>
      <c r="K211" s="265">
        <v>446554.87653320015</v>
      </c>
      <c r="L211" s="248">
        <v>440942.69</v>
      </c>
      <c r="M211" s="164">
        <v>95959.661458908813</v>
      </c>
      <c r="N211" s="190">
        <f>VLOOKUP($A211&amp;$B211,'KU Inputs'!$C$2:$I$505,MATCH('KU UtilityData'!N$1,'KU Inputs'!$C$1:$I$1,0),0)</f>
        <v>152014.81099999999</v>
      </c>
      <c r="O211" s="190" t="e">
        <f>VLOOKUP($A211&amp;$B211,'KU Inputs'!$C$2:$I$505,MATCH('KU UtilityData'!O$1,'KU Inputs'!$C$1:$I$1,0),0)</f>
        <v>#N/A</v>
      </c>
      <c r="P211" s="264">
        <f t="shared" si="11"/>
        <v>49</v>
      </c>
      <c r="Q211" s="264">
        <f t="shared" si="11"/>
        <v>171</v>
      </c>
      <c r="R211" s="166">
        <v>4512</v>
      </c>
      <c r="S211" s="166">
        <v>1455</v>
      </c>
      <c r="T211" s="182">
        <f t="shared" si="13"/>
        <v>0</v>
      </c>
    </row>
    <row r="212" spans="1:20" x14ac:dyDescent="0.2">
      <c r="A212" s="153">
        <v>2018</v>
      </c>
      <c r="B212" s="153">
        <v>7</v>
      </c>
      <c r="C212" s="168"/>
      <c r="D212" s="281">
        <f t="shared" si="10"/>
        <v>10.881487967042871</v>
      </c>
      <c r="E212" s="279">
        <f t="shared" si="12"/>
        <v>10.772673087372441</v>
      </c>
      <c r="F212" s="173"/>
      <c r="G212" s="173">
        <v>30.76</v>
      </c>
      <c r="H212" s="154">
        <v>3831.5749219001409</v>
      </c>
      <c r="I212" s="190">
        <f>VLOOKUP($A212&amp;$B212,'KU Inputs'!$C$2:$I$505,MATCH('KU UtilityData'!I$1,'KU Inputs'!$C$1:$I$1,0),0)*1000</f>
        <v>4593423</v>
      </c>
      <c r="J212" s="190">
        <f>VLOOKUP($A212&amp;$B212,'KU Inputs'!$C$2:$I$505,MATCH('KU UtilityData'!J$1,'KU Inputs'!$C$1:$I$1,0),0)*1000</f>
        <v>1824570</v>
      </c>
      <c r="K212" s="265">
        <v>446927.00559697777</v>
      </c>
      <c r="L212" s="248">
        <v>441682.27</v>
      </c>
      <c r="M212" s="164">
        <v>96557.217725900817</v>
      </c>
      <c r="N212" s="190">
        <f>VLOOKUP($A212&amp;$B212,'KU Inputs'!$C$2:$I$505,MATCH('KU UtilityData'!N$1,'KU Inputs'!$C$1:$I$1,0),0)</f>
        <v>152840.09</v>
      </c>
      <c r="O212" s="190" t="e">
        <f>VLOOKUP($A212&amp;$B212,'KU Inputs'!$C$2:$I$505,MATCH('KU UtilityData'!O$1,'KU Inputs'!$C$1:$I$1,0),0)</f>
        <v>#N/A</v>
      </c>
      <c r="P212" s="264">
        <f t="shared" si="11"/>
        <v>1</v>
      </c>
      <c r="Q212" s="264">
        <f t="shared" si="11"/>
        <v>325</v>
      </c>
      <c r="R212" s="166">
        <v>4512</v>
      </c>
      <c r="S212" s="166">
        <v>1455</v>
      </c>
      <c r="T212" s="182">
        <f t="shared" si="13"/>
        <v>0</v>
      </c>
    </row>
    <row r="213" spans="1:20" x14ac:dyDescent="0.2">
      <c r="A213" s="153">
        <v>2018</v>
      </c>
      <c r="B213" s="153">
        <v>8</v>
      </c>
      <c r="C213" s="168"/>
      <c r="D213" s="281">
        <f t="shared" si="10"/>
        <v>10.881487967042871</v>
      </c>
      <c r="E213" s="279">
        <f t="shared" si="12"/>
        <v>10.772673087372441</v>
      </c>
      <c r="F213" s="173"/>
      <c r="G213" s="173">
        <v>29.48</v>
      </c>
      <c r="H213" s="154">
        <v>3833.8288203229499</v>
      </c>
      <c r="I213" s="190">
        <f>VLOOKUP($A213&amp;$B213,'KU Inputs'!$C$2:$I$505,MATCH('KU UtilityData'!I$1,'KU Inputs'!$C$1:$I$1,0),0)*1000</f>
        <v>4593423</v>
      </c>
      <c r="J213" s="190">
        <f>VLOOKUP($A213&amp;$B213,'KU Inputs'!$C$2:$I$505,MATCH('KU UtilityData'!J$1,'KU Inputs'!$C$1:$I$1,0),0)*1000</f>
        <v>1824570</v>
      </c>
      <c r="K213" s="265">
        <v>447299.44476830855</v>
      </c>
      <c r="L213" s="248">
        <v>441682.27</v>
      </c>
      <c r="M213" s="164">
        <v>96557.217725900817</v>
      </c>
      <c r="N213" s="190">
        <f>VLOOKUP($A213&amp;$B213,'KU Inputs'!$C$2:$I$505,MATCH('KU UtilityData'!N$1,'KU Inputs'!$C$1:$I$1,0),0)</f>
        <v>152840.09</v>
      </c>
      <c r="O213" s="190" t="e">
        <f>VLOOKUP($A213&amp;$B213,'KU Inputs'!$C$2:$I$505,MATCH('KU UtilityData'!O$1,'KU Inputs'!$C$1:$I$1,0),0)</f>
        <v>#N/A</v>
      </c>
      <c r="P213" s="264">
        <f t="shared" si="11"/>
        <v>0</v>
      </c>
      <c r="Q213" s="264">
        <f t="shared" si="11"/>
        <v>341</v>
      </c>
      <c r="R213" s="166">
        <v>4512</v>
      </c>
      <c r="S213" s="166">
        <v>1455</v>
      </c>
      <c r="T213" s="182">
        <f t="shared" si="13"/>
        <v>0</v>
      </c>
    </row>
    <row r="214" spans="1:20" x14ac:dyDescent="0.2">
      <c r="A214" s="153">
        <v>2018</v>
      </c>
      <c r="B214" s="153">
        <v>9</v>
      </c>
      <c r="C214" s="168"/>
      <c r="D214" s="281">
        <f t="shared" si="10"/>
        <v>10.881487967042871</v>
      </c>
      <c r="E214" s="279">
        <f t="shared" si="12"/>
        <v>10.772673087372441</v>
      </c>
      <c r="F214" s="173"/>
      <c r="G214" s="173">
        <v>30.57</v>
      </c>
      <c r="H214" s="154">
        <v>3836.0827187457589</v>
      </c>
      <c r="I214" s="190">
        <f>VLOOKUP($A214&amp;$B214,'KU Inputs'!$C$2:$I$505,MATCH('KU UtilityData'!I$1,'KU Inputs'!$C$1:$I$1,0),0)*1000</f>
        <v>4593423</v>
      </c>
      <c r="J214" s="190">
        <f>VLOOKUP($A214&amp;$B214,'KU Inputs'!$C$2:$I$505,MATCH('KU UtilityData'!J$1,'KU Inputs'!$C$1:$I$1,0),0)*1000</f>
        <v>1824570</v>
      </c>
      <c r="K214" s="265">
        <v>447672.19430561544</v>
      </c>
      <c r="L214" s="248">
        <v>441682.28</v>
      </c>
      <c r="M214" s="164">
        <v>96557.217725900817</v>
      </c>
      <c r="N214" s="190">
        <f>VLOOKUP($A214&amp;$B214,'KU Inputs'!$C$2:$I$505,MATCH('KU UtilityData'!N$1,'KU Inputs'!$C$1:$I$1,0),0)</f>
        <v>152840.09</v>
      </c>
      <c r="O214" s="190" t="e">
        <f>VLOOKUP($A214&amp;$B214,'KU Inputs'!$C$2:$I$505,MATCH('KU UtilityData'!O$1,'KU Inputs'!$C$1:$I$1,0),0)</f>
        <v>#N/A</v>
      </c>
      <c r="P214" s="264">
        <f t="shared" si="11"/>
        <v>12</v>
      </c>
      <c r="Q214" s="264">
        <f t="shared" si="11"/>
        <v>261</v>
      </c>
      <c r="R214" s="166">
        <v>4512</v>
      </c>
      <c r="S214" s="166">
        <v>1455</v>
      </c>
      <c r="T214" s="182">
        <f t="shared" si="13"/>
        <v>0</v>
      </c>
    </row>
    <row r="215" spans="1:20" x14ac:dyDescent="0.2">
      <c r="A215" s="153">
        <v>2018</v>
      </c>
      <c r="B215" s="153">
        <v>10</v>
      </c>
      <c r="C215" s="168"/>
      <c r="D215" s="281">
        <f t="shared" si="10"/>
        <v>10.881487967042871</v>
      </c>
      <c r="E215" s="279">
        <f t="shared" si="12"/>
        <v>10.772673087372441</v>
      </c>
      <c r="F215" s="173"/>
      <c r="G215" s="173">
        <v>29.67</v>
      </c>
      <c r="H215" s="154">
        <v>3838.3366171685675</v>
      </c>
      <c r="I215" s="190">
        <f>VLOOKUP($A215&amp;$B215,'KU Inputs'!$C$2:$I$505,MATCH('KU UtilityData'!I$1,'KU Inputs'!$C$1:$I$1,0),0)*1000</f>
        <v>4601809</v>
      </c>
      <c r="J215" s="190">
        <f>VLOOKUP($A215&amp;$B215,'KU Inputs'!$C$2:$I$505,MATCH('KU UtilityData'!J$1,'KU Inputs'!$C$1:$I$1,0),0)*1000</f>
        <v>1827939</v>
      </c>
      <c r="K215" s="265">
        <v>448045.25446753675</v>
      </c>
      <c r="L215" s="248">
        <v>442419.01</v>
      </c>
      <c r="M215" s="164">
        <v>97296.406786188018</v>
      </c>
      <c r="N215" s="190">
        <f>VLOOKUP($A215&amp;$B215,'KU Inputs'!$C$2:$I$505,MATCH('KU UtilityData'!N$1,'KU Inputs'!$C$1:$I$1,0),0)</f>
        <v>153691.45300000001</v>
      </c>
      <c r="O215" s="190" t="e">
        <f>VLOOKUP($A215&amp;$B215,'KU Inputs'!$C$2:$I$505,MATCH('KU UtilityData'!O$1,'KU Inputs'!$C$1:$I$1,0),0)</f>
        <v>#N/A</v>
      </c>
      <c r="P215" s="264">
        <f t="shared" si="11"/>
        <v>136</v>
      </c>
      <c r="Q215" s="264">
        <f t="shared" si="11"/>
        <v>73</v>
      </c>
      <c r="R215" s="166">
        <v>4512</v>
      </c>
      <c r="S215" s="166">
        <v>1455</v>
      </c>
      <c r="T215" s="182">
        <f t="shared" si="13"/>
        <v>0</v>
      </c>
    </row>
    <row r="216" spans="1:20" x14ac:dyDescent="0.2">
      <c r="A216" s="153">
        <v>2018</v>
      </c>
      <c r="B216" s="153">
        <v>11</v>
      </c>
      <c r="C216" s="168"/>
      <c r="D216" s="281">
        <f t="shared" si="10"/>
        <v>10.881487967042871</v>
      </c>
      <c r="E216" s="279">
        <f t="shared" si="12"/>
        <v>10.772673087372441</v>
      </c>
      <c r="F216" s="173"/>
      <c r="G216" s="173">
        <v>29.95</v>
      </c>
      <c r="H216" s="154">
        <v>3840.5905155913765</v>
      </c>
      <c r="I216" s="190">
        <f>VLOOKUP($A216&amp;$B216,'KU Inputs'!$C$2:$I$505,MATCH('KU UtilityData'!I$1,'KU Inputs'!$C$1:$I$1,0),0)*1000</f>
        <v>4601809</v>
      </c>
      <c r="J216" s="190">
        <f>VLOOKUP($A216&amp;$B216,'KU Inputs'!$C$2:$I$505,MATCH('KU UtilityData'!J$1,'KU Inputs'!$C$1:$I$1,0),0)*1000</f>
        <v>1827939</v>
      </c>
      <c r="K216" s="265">
        <v>448418.62551292632</v>
      </c>
      <c r="L216" s="248">
        <v>442419.02</v>
      </c>
      <c r="M216" s="164">
        <v>97296.406786188018</v>
      </c>
      <c r="N216" s="190">
        <f>VLOOKUP($A216&amp;$B216,'KU Inputs'!$C$2:$I$505,MATCH('KU UtilityData'!N$1,'KU Inputs'!$C$1:$I$1,0),0)</f>
        <v>153691.45300000001</v>
      </c>
      <c r="O216" s="190" t="e">
        <f>VLOOKUP($A216&amp;$B216,'KU Inputs'!$C$2:$I$505,MATCH('KU UtilityData'!O$1,'KU Inputs'!$C$1:$I$1,0),0)</f>
        <v>#N/A</v>
      </c>
      <c r="P216" s="264">
        <f t="shared" si="11"/>
        <v>394</v>
      </c>
      <c r="Q216" s="264">
        <f t="shared" si="11"/>
        <v>7</v>
      </c>
      <c r="R216" s="166">
        <v>4512</v>
      </c>
      <c r="S216" s="166">
        <v>1455</v>
      </c>
      <c r="T216" s="182">
        <f t="shared" si="13"/>
        <v>0</v>
      </c>
    </row>
    <row r="217" spans="1:20" x14ac:dyDescent="0.2">
      <c r="A217" s="153">
        <v>2018</v>
      </c>
      <c r="B217" s="153">
        <v>12</v>
      </c>
      <c r="C217" s="168"/>
      <c r="D217" s="281">
        <f t="shared" si="10"/>
        <v>10.881487967042871</v>
      </c>
      <c r="E217" s="279">
        <f t="shared" si="12"/>
        <v>10.772673087372441</v>
      </c>
      <c r="F217" s="173"/>
      <c r="G217" s="173">
        <v>31.1</v>
      </c>
      <c r="H217" s="154">
        <v>3842.8444140141855</v>
      </c>
      <c r="I217" s="190">
        <f>VLOOKUP($A217&amp;$B217,'KU Inputs'!$C$2:$I$505,MATCH('KU UtilityData'!I$1,'KU Inputs'!$C$1:$I$1,0),0)*1000</f>
        <v>4601809</v>
      </c>
      <c r="J217" s="190">
        <f>VLOOKUP($A217&amp;$B217,'KU Inputs'!$C$2:$I$505,MATCH('KU UtilityData'!J$1,'KU Inputs'!$C$1:$I$1,0),0)*1000</f>
        <v>1827939</v>
      </c>
      <c r="K217" s="265">
        <v>448792.30770085374</v>
      </c>
      <c r="L217" s="248">
        <v>442419.02</v>
      </c>
      <c r="M217" s="164">
        <v>97296.406786188018</v>
      </c>
      <c r="N217" s="190">
        <f>VLOOKUP($A217&amp;$B217,'KU Inputs'!$C$2:$I$505,MATCH('KU UtilityData'!N$1,'KU Inputs'!$C$1:$I$1,0),0)</f>
        <v>153691.45300000001</v>
      </c>
      <c r="O217" s="190" t="e">
        <f>VLOOKUP($A217&amp;$B217,'KU Inputs'!$C$2:$I$505,MATCH('KU UtilityData'!O$1,'KU Inputs'!$C$1:$I$1,0),0)</f>
        <v>#N/A</v>
      </c>
      <c r="P217" s="264">
        <f t="shared" si="11"/>
        <v>706</v>
      </c>
      <c r="Q217" s="264">
        <f t="shared" si="11"/>
        <v>0.2</v>
      </c>
      <c r="R217" s="166">
        <v>4512</v>
      </c>
      <c r="S217" s="166">
        <v>1455</v>
      </c>
      <c r="T217" s="182">
        <f t="shared" si="13"/>
        <v>0</v>
      </c>
    </row>
    <row r="218" spans="1:20" x14ac:dyDescent="0.2">
      <c r="A218" s="153">
        <v>2019</v>
      </c>
      <c r="B218" s="153">
        <v>1</v>
      </c>
      <c r="C218" s="168"/>
      <c r="D218" s="281">
        <f t="shared" si="10"/>
        <v>11.099117726383728</v>
      </c>
      <c r="E218" s="279">
        <f t="shared" si="12"/>
        <v>10.98812654911989</v>
      </c>
      <c r="F218" s="173"/>
      <c r="G218" s="173">
        <v>32.71</v>
      </c>
      <c r="H218" s="154">
        <v>3845.0983124369941</v>
      </c>
      <c r="I218" s="190">
        <f>VLOOKUP($A218&amp;$B218,'KU Inputs'!$C$2:$I$505,MATCH('KU UtilityData'!I$1,'KU Inputs'!$C$1:$I$1,0),0)*1000</f>
        <v>4610188</v>
      </c>
      <c r="J218" s="190">
        <f>VLOOKUP($A218&amp;$B218,'KU Inputs'!$C$2:$I$505,MATCH('KU UtilityData'!J$1,'KU Inputs'!$C$1:$I$1,0),0)*1000</f>
        <v>1831317</v>
      </c>
      <c r="K218" s="265">
        <v>449091.50257265428</v>
      </c>
      <c r="L218" s="248">
        <v>443157.72</v>
      </c>
      <c r="M218" s="164">
        <v>98160.531579131901</v>
      </c>
      <c r="N218" s="190">
        <f>VLOOKUP($A218&amp;$B218,'KU Inputs'!$C$2:$I$505,MATCH('KU UtilityData'!N$1,'KU Inputs'!$C$1:$I$1,0),0)</f>
        <v>155062.20000000001</v>
      </c>
      <c r="O218" s="190" t="e">
        <f>VLOOKUP($A218&amp;$B218,'KU Inputs'!$C$2:$I$505,MATCH('KU UtilityData'!O$1,'KU Inputs'!$C$1:$I$1,0),0)</f>
        <v>#N/A</v>
      </c>
      <c r="P218" s="264">
        <f t="shared" ref="P218:Q237" si="14">P206</f>
        <v>996</v>
      </c>
      <c r="Q218" s="264">
        <f t="shared" si="14"/>
        <v>0</v>
      </c>
      <c r="R218" s="166">
        <v>4512</v>
      </c>
      <c r="S218" s="166">
        <v>1455</v>
      </c>
      <c r="T218" s="182">
        <f t="shared" si="13"/>
        <v>0</v>
      </c>
    </row>
    <row r="219" spans="1:20" x14ac:dyDescent="0.2">
      <c r="A219" s="153">
        <v>2019</v>
      </c>
      <c r="B219" s="153">
        <v>2</v>
      </c>
      <c r="C219" s="168"/>
      <c r="D219" s="281">
        <f t="shared" si="10"/>
        <v>11.099117726383728</v>
      </c>
      <c r="E219" s="279">
        <f t="shared" si="12"/>
        <v>10.98812654911989</v>
      </c>
      <c r="F219" s="173"/>
      <c r="G219" s="173">
        <v>29.9</v>
      </c>
      <c r="H219" s="154">
        <v>3847.3522108598031</v>
      </c>
      <c r="I219" s="190">
        <f>VLOOKUP($A219&amp;$B219,'KU Inputs'!$C$2:$I$505,MATCH('KU UtilityData'!I$1,'KU Inputs'!$C$1:$I$1,0),0)*1000</f>
        <v>4610188</v>
      </c>
      <c r="J219" s="190">
        <f>VLOOKUP($A219&amp;$B219,'KU Inputs'!$C$2:$I$505,MATCH('KU UtilityData'!J$1,'KU Inputs'!$C$1:$I$1,0),0)*1000</f>
        <v>1831317</v>
      </c>
      <c r="K219" s="265">
        <v>449390.89690770267</v>
      </c>
      <c r="L219" s="248">
        <v>443157.72</v>
      </c>
      <c r="M219" s="164">
        <v>98160.531579131901</v>
      </c>
      <c r="N219" s="190">
        <f>VLOOKUP($A219&amp;$B219,'KU Inputs'!$C$2:$I$505,MATCH('KU UtilityData'!N$1,'KU Inputs'!$C$1:$I$1,0),0)</f>
        <v>155062.20000000001</v>
      </c>
      <c r="O219" s="190" t="e">
        <f>VLOOKUP($A219&amp;$B219,'KU Inputs'!$C$2:$I$505,MATCH('KU UtilityData'!O$1,'KU Inputs'!$C$1:$I$1,0),0)</f>
        <v>#N/A</v>
      </c>
      <c r="P219" s="264">
        <f t="shared" si="14"/>
        <v>889.8</v>
      </c>
      <c r="Q219" s="264">
        <f t="shared" si="14"/>
        <v>0</v>
      </c>
      <c r="R219" s="166">
        <v>4512</v>
      </c>
      <c r="S219" s="166">
        <v>1455</v>
      </c>
      <c r="T219" s="182">
        <f t="shared" si="13"/>
        <v>0</v>
      </c>
    </row>
    <row r="220" spans="1:20" x14ac:dyDescent="0.2">
      <c r="A220" s="153">
        <v>2019</v>
      </c>
      <c r="B220" s="153">
        <v>3</v>
      </c>
      <c r="C220" s="168"/>
      <c r="D220" s="281">
        <f t="shared" si="10"/>
        <v>11.099117726383728</v>
      </c>
      <c r="E220" s="279">
        <f t="shared" si="12"/>
        <v>10.98812654911989</v>
      </c>
      <c r="F220" s="173"/>
      <c r="G220" s="173">
        <v>30.33</v>
      </c>
      <c r="H220" s="154">
        <v>3849.6061092826117</v>
      </c>
      <c r="I220" s="190">
        <f>VLOOKUP($A220&amp;$B220,'KU Inputs'!$C$2:$I$505,MATCH('KU UtilityData'!I$1,'KU Inputs'!$C$1:$I$1,0),0)*1000</f>
        <v>4610188</v>
      </c>
      <c r="J220" s="190">
        <f>VLOOKUP($A220&amp;$B220,'KU Inputs'!$C$2:$I$505,MATCH('KU UtilityData'!J$1,'KU Inputs'!$C$1:$I$1,0),0)*1000</f>
        <v>1831317</v>
      </c>
      <c r="K220" s="265">
        <v>449690.49083897442</v>
      </c>
      <c r="L220" s="248">
        <v>443157.72</v>
      </c>
      <c r="M220" s="164">
        <v>98160.531579131901</v>
      </c>
      <c r="N220" s="190">
        <f>VLOOKUP($A220&amp;$B220,'KU Inputs'!$C$2:$I$505,MATCH('KU UtilityData'!N$1,'KU Inputs'!$C$1:$I$1,0),0)</f>
        <v>155062.20000000001</v>
      </c>
      <c r="O220" s="190" t="e">
        <f>VLOOKUP($A220&amp;$B220,'KU Inputs'!$C$2:$I$505,MATCH('KU UtilityData'!O$1,'KU Inputs'!$C$1:$I$1,0),0)</f>
        <v>#N/A</v>
      </c>
      <c r="P220" s="264">
        <f t="shared" si="14"/>
        <v>729</v>
      </c>
      <c r="Q220" s="264">
        <f t="shared" si="14"/>
        <v>0.45</v>
      </c>
      <c r="R220" s="166">
        <v>4512</v>
      </c>
      <c r="S220" s="166">
        <v>1455</v>
      </c>
      <c r="T220" s="182">
        <f t="shared" si="13"/>
        <v>0</v>
      </c>
    </row>
    <row r="221" spans="1:20" x14ac:dyDescent="0.2">
      <c r="A221" s="153">
        <v>2019</v>
      </c>
      <c r="B221" s="153">
        <v>4</v>
      </c>
      <c r="C221" s="168"/>
      <c r="D221" s="281">
        <f t="shared" si="10"/>
        <v>11.099117726383728</v>
      </c>
      <c r="E221" s="279">
        <f t="shared" si="12"/>
        <v>10.98812654911989</v>
      </c>
      <c r="F221" s="173"/>
      <c r="G221" s="173">
        <v>29.95</v>
      </c>
      <c r="H221" s="154">
        <v>3851.8600077054207</v>
      </c>
      <c r="I221" s="190">
        <f>VLOOKUP($A221&amp;$B221,'KU Inputs'!$C$2:$I$505,MATCH('KU UtilityData'!I$1,'KU Inputs'!$C$1:$I$1,0),0)*1000</f>
        <v>4618558</v>
      </c>
      <c r="J221" s="190">
        <f>VLOOKUP($A221&amp;$B221,'KU Inputs'!$C$2:$I$505,MATCH('KU UtilityData'!J$1,'KU Inputs'!$C$1:$I$1,0),0)*1000</f>
        <v>1834680</v>
      </c>
      <c r="K221" s="265">
        <v>449990.28449953371</v>
      </c>
      <c r="L221" s="248">
        <v>443893.14</v>
      </c>
      <c r="M221" s="164">
        <v>98745.531141952</v>
      </c>
      <c r="N221" s="190">
        <f>VLOOKUP($A221&amp;$B221,'KU Inputs'!$C$2:$I$505,MATCH('KU UtilityData'!N$1,'KU Inputs'!$C$1:$I$1,0),0)</f>
        <v>155893.33300000001</v>
      </c>
      <c r="O221" s="190" t="e">
        <f>VLOOKUP($A221&amp;$B221,'KU Inputs'!$C$2:$I$505,MATCH('KU UtilityData'!O$1,'KU Inputs'!$C$1:$I$1,0),0)</f>
        <v>#N/A</v>
      </c>
      <c r="P221" s="264">
        <f t="shared" si="14"/>
        <v>440</v>
      </c>
      <c r="Q221" s="264">
        <f t="shared" si="14"/>
        <v>11.85</v>
      </c>
      <c r="R221" s="166">
        <v>4512</v>
      </c>
      <c r="S221" s="166">
        <v>1455</v>
      </c>
      <c r="T221" s="182">
        <f t="shared" si="13"/>
        <v>0</v>
      </c>
    </row>
    <row r="222" spans="1:20" x14ac:dyDescent="0.2">
      <c r="A222" s="153">
        <v>2019</v>
      </c>
      <c r="B222" s="153">
        <v>5</v>
      </c>
      <c r="C222" s="168"/>
      <c r="D222" s="281">
        <f t="shared" si="10"/>
        <v>11.099117726383728</v>
      </c>
      <c r="E222" s="279">
        <f t="shared" si="12"/>
        <v>10.98812654911989</v>
      </c>
      <c r="F222" s="173"/>
      <c r="G222" s="173">
        <v>30.38</v>
      </c>
      <c r="H222" s="154">
        <v>3854.1139061282297</v>
      </c>
      <c r="I222" s="190">
        <f>VLOOKUP($A222&amp;$B222,'KU Inputs'!$C$2:$I$505,MATCH('KU UtilityData'!I$1,'KU Inputs'!$C$1:$I$1,0),0)*1000</f>
        <v>4618558</v>
      </c>
      <c r="J222" s="190">
        <f>VLOOKUP($A222&amp;$B222,'KU Inputs'!$C$2:$I$505,MATCH('KU UtilityData'!J$1,'KU Inputs'!$C$1:$I$1,0),0)*1000</f>
        <v>1834680</v>
      </c>
      <c r="K222" s="265">
        <v>450290.27802253334</v>
      </c>
      <c r="L222" s="248">
        <v>443893.14</v>
      </c>
      <c r="M222" s="164">
        <v>98745.531141952</v>
      </c>
      <c r="N222" s="190">
        <f>VLOOKUP($A222&amp;$B222,'KU Inputs'!$C$2:$I$505,MATCH('KU UtilityData'!N$1,'KU Inputs'!$C$1:$I$1,0),0)</f>
        <v>155893.33300000001</v>
      </c>
      <c r="O222" s="190" t="e">
        <f>VLOOKUP($A222&amp;$B222,'KU Inputs'!$C$2:$I$505,MATCH('KU UtilityData'!O$1,'KU Inputs'!$C$1:$I$1,0),0)</f>
        <v>#N/A</v>
      </c>
      <c r="P222" s="264">
        <f t="shared" si="14"/>
        <v>187</v>
      </c>
      <c r="Q222" s="264">
        <f t="shared" si="14"/>
        <v>47</v>
      </c>
      <c r="R222" s="166">
        <v>4512</v>
      </c>
      <c r="S222" s="166">
        <v>1455</v>
      </c>
      <c r="T222" s="182">
        <f t="shared" si="13"/>
        <v>0</v>
      </c>
    </row>
    <row r="223" spans="1:20" x14ac:dyDescent="0.2">
      <c r="A223" s="153">
        <v>2019</v>
      </c>
      <c r="B223" s="153">
        <v>6</v>
      </c>
      <c r="C223" s="168"/>
      <c r="D223" s="281">
        <f t="shared" si="10"/>
        <v>11.099117726383728</v>
      </c>
      <c r="E223" s="279">
        <f t="shared" si="12"/>
        <v>10.98812654911989</v>
      </c>
      <c r="F223" s="173"/>
      <c r="G223" s="173">
        <v>30.67</v>
      </c>
      <c r="H223" s="154">
        <v>3856.3678045510387</v>
      </c>
      <c r="I223" s="190">
        <f>VLOOKUP($A223&amp;$B223,'KU Inputs'!$C$2:$I$505,MATCH('KU UtilityData'!I$1,'KU Inputs'!$C$1:$I$1,0),0)*1000</f>
        <v>4618558</v>
      </c>
      <c r="J223" s="190">
        <f>VLOOKUP($A223&amp;$B223,'KU Inputs'!$C$2:$I$505,MATCH('KU UtilityData'!J$1,'KU Inputs'!$C$1:$I$1,0),0)*1000</f>
        <v>1834680</v>
      </c>
      <c r="K223" s="265">
        <v>450590.47154121503</v>
      </c>
      <c r="L223" s="248">
        <v>443893.14</v>
      </c>
      <c r="M223" s="164">
        <v>98745.531141952</v>
      </c>
      <c r="N223" s="190">
        <f>VLOOKUP($A223&amp;$B223,'KU Inputs'!$C$2:$I$505,MATCH('KU UtilityData'!N$1,'KU Inputs'!$C$1:$I$1,0),0)</f>
        <v>155893.33300000001</v>
      </c>
      <c r="O223" s="190" t="e">
        <f>VLOOKUP($A223&amp;$B223,'KU Inputs'!$C$2:$I$505,MATCH('KU UtilityData'!O$1,'KU Inputs'!$C$1:$I$1,0),0)</f>
        <v>#N/A</v>
      </c>
      <c r="P223" s="264">
        <f t="shared" si="14"/>
        <v>49</v>
      </c>
      <c r="Q223" s="264">
        <f t="shared" si="14"/>
        <v>171</v>
      </c>
      <c r="R223" s="166">
        <v>4512</v>
      </c>
      <c r="S223" s="166">
        <v>1455</v>
      </c>
      <c r="T223" s="182">
        <f t="shared" si="13"/>
        <v>0</v>
      </c>
    </row>
    <row r="224" spans="1:20" x14ac:dyDescent="0.2">
      <c r="A224" s="153">
        <v>2019</v>
      </c>
      <c r="B224" s="153">
        <v>7</v>
      </c>
      <c r="C224" s="168"/>
      <c r="D224" s="281">
        <f t="shared" si="10"/>
        <v>11.099117726383728</v>
      </c>
      <c r="E224" s="279">
        <f t="shared" si="12"/>
        <v>10.98812654911989</v>
      </c>
      <c r="F224" s="173"/>
      <c r="G224" s="173">
        <v>30.67</v>
      </c>
      <c r="H224" s="154">
        <v>3858.6123339961996</v>
      </c>
      <c r="I224" s="190">
        <f>VLOOKUP($A224&amp;$B224,'KU Inputs'!$C$2:$I$505,MATCH('KU UtilityData'!I$1,'KU Inputs'!$C$1:$I$1,0),0)*1000</f>
        <v>4626907</v>
      </c>
      <c r="J224" s="190">
        <f>VLOOKUP($A224&amp;$B224,'KU Inputs'!$C$2:$I$505,MATCH('KU UtilityData'!J$1,'KU Inputs'!$C$1:$I$1,0),0)*1000</f>
        <v>1838034</v>
      </c>
      <c r="K224" s="265">
        <v>450890.86518890911</v>
      </c>
      <c r="L224" s="248">
        <v>444626.58</v>
      </c>
      <c r="M224" s="164">
        <v>99524.924480335991</v>
      </c>
      <c r="N224" s="190">
        <f>VLOOKUP($A224&amp;$B224,'KU Inputs'!$C$2:$I$505,MATCH('KU UtilityData'!N$1,'KU Inputs'!$C$1:$I$1,0),0)</f>
        <v>156697.22099999999</v>
      </c>
      <c r="O224" s="190" t="e">
        <f>VLOOKUP($A224&amp;$B224,'KU Inputs'!$C$2:$I$505,MATCH('KU UtilityData'!O$1,'KU Inputs'!$C$1:$I$1,0),0)</f>
        <v>#N/A</v>
      </c>
      <c r="P224" s="264">
        <f t="shared" si="14"/>
        <v>1</v>
      </c>
      <c r="Q224" s="264">
        <f t="shared" si="14"/>
        <v>325</v>
      </c>
      <c r="R224" s="166">
        <v>4512</v>
      </c>
      <c r="S224" s="166">
        <v>1455</v>
      </c>
      <c r="T224" s="182">
        <f t="shared" si="13"/>
        <v>0</v>
      </c>
    </row>
    <row r="225" spans="1:20" x14ac:dyDescent="0.2">
      <c r="A225" s="153">
        <v>2019</v>
      </c>
      <c r="B225" s="153">
        <v>8</v>
      </c>
      <c r="C225" s="168"/>
      <c r="D225" s="281">
        <f t="shared" si="10"/>
        <v>11.099117726383728</v>
      </c>
      <c r="E225" s="279">
        <f t="shared" si="12"/>
        <v>10.98812654911989</v>
      </c>
      <c r="F225" s="173"/>
      <c r="G225" s="173">
        <v>29.48</v>
      </c>
      <c r="H225" s="154">
        <v>3860.85686344136</v>
      </c>
      <c r="I225" s="190">
        <f>VLOOKUP($A225&amp;$B225,'KU Inputs'!$C$2:$I$505,MATCH('KU UtilityData'!I$1,'KU Inputs'!$C$1:$I$1,0),0)*1000</f>
        <v>4626907</v>
      </c>
      <c r="J225" s="190">
        <f>VLOOKUP($A225&amp;$B225,'KU Inputs'!$C$2:$I$505,MATCH('KU UtilityData'!J$1,'KU Inputs'!$C$1:$I$1,0),0)*1000</f>
        <v>1838034</v>
      </c>
      <c r="K225" s="265">
        <v>451191.45909903501</v>
      </c>
      <c r="L225" s="248">
        <v>444626.59</v>
      </c>
      <c r="M225" s="164">
        <v>99524.924480335991</v>
      </c>
      <c r="N225" s="190">
        <f>VLOOKUP($A225&amp;$B225,'KU Inputs'!$C$2:$I$505,MATCH('KU UtilityData'!N$1,'KU Inputs'!$C$1:$I$1,0),0)</f>
        <v>156697.22099999999</v>
      </c>
      <c r="O225" s="190" t="e">
        <f>VLOOKUP($A225&amp;$B225,'KU Inputs'!$C$2:$I$505,MATCH('KU UtilityData'!O$1,'KU Inputs'!$C$1:$I$1,0),0)</f>
        <v>#N/A</v>
      </c>
      <c r="P225" s="264">
        <f t="shared" si="14"/>
        <v>0</v>
      </c>
      <c r="Q225" s="264">
        <f t="shared" si="14"/>
        <v>341</v>
      </c>
      <c r="R225" s="166">
        <v>4512</v>
      </c>
      <c r="S225" s="166">
        <v>1455</v>
      </c>
      <c r="T225" s="182">
        <f t="shared" si="13"/>
        <v>0</v>
      </c>
    </row>
    <row r="226" spans="1:20" x14ac:dyDescent="0.2">
      <c r="A226" s="153">
        <v>2019</v>
      </c>
      <c r="B226" s="153">
        <v>9</v>
      </c>
      <c r="C226" s="168"/>
      <c r="D226" s="281">
        <f t="shared" si="10"/>
        <v>11.099117726383728</v>
      </c>
      <c r="E226" s="279">
        <f t="shared" si="12"/>
        <v>10.98812654911989</v>
      </c>
      <c r="F226" s="173"/>
      <c r="G226" s="173">
        <v>30.71</v>
      </c>
      <c r="H226" s="154">
        <v>3863.1013928865209</v>
      </c>
      <c r="I226" s="190">
        <f>VLOOKUP($A226&amp;$B226,'KU Inputs'!$C$2:$I$505,MATCH('KU UtilityData'!I$1,'KU Inputs'!$C$1:$I$1,0),0)*1000</f>
        <v>4626907</v>
      </c>
      <c r="J226" s="190">
        <f>VLOOKUP($A226&amp;$B226,'KU Inputs'!$C$2:$I$505,MATCH('KU UtilityData'!J$1,'KU Inputs'!$C$1:$I$1,0),0)*1000</f>
        <v>1838034</v>
      </c>
      <c r="K226" s="265">
        <v>451492.25340510102</v>
      </c>
      <c r="L226" s="248">
        <v>444626.59</v>
      </c>
      <c r="M226" s="164">
        <v>99524.924480335991</v>
      </c>
      <c r="N226" s="190">
        <f>VLOOKUP($A226&amp;$B226,'KU Inputs'!$C$2:$I$505,MATCH('KU UtilityData'!N$1,'KU Inputs'!$C$1:$I$1,0),0)</f>
        <v>156697.22099999999</v>
      </c>
      <c r="O226" s="190" t="e">
        <f>VLOOKUP($A226&amp;$B226,'KU Inputs'!$C$2:$I$505,MATCH('KU UtilityData'!O$1,'KU Inputs'!$C$1:$I$1,0),0)</f>
        <v>#N/A</v>
      </c>
      <c r="P226" s="264">
        <f t="shared" si="14"/>
        <v>12</v>
      </c>
      <c r="Q226" s="264">
        <f t="shared" si="14"/>
        <v>261</v>
      </c>
      <c r="R226" s="166">
        <v>4512</v>
      </c>
      <c r="S226" s="166">
        <v>1455</v>
      </c>
      <c r="T226" s="182">
        <f t="shared" si="13"/>
        <v>0</v>
      </c>
    </row>
    <row r="227" spans="1:20" x14ac:dyDescent="0.2">
      <c r="A227" s="153">
        <v>2019</v>
      </c>
      <c r="B227" s="153">
        <v>10</v>
      </c>
      <c r="C227" s="168"/>
      <c r="D227" s="281">
        <f t="shared" si="10"/>
        <v>11.099117726383728</v>
      </c>
      <c r="E227" s="279">
        <f t="shared" si="12"/>
        <v>10.98812654911989</v>
      </c>
      <c r="F227" s="173"/>
      <c r="G227" s="173">
        <v>29.52</v>
      </c>
      <c r="H227" s="154">
        <v>3865.3459223316813</v>
      </c>
      <c r="I227" s="190">
        <f>VLOOKUP($A227&amp;$B227,'KU Inputs'!$C$2:$I$505,MATCH('KU UtilityData'!I$1,'KU Inputs'!$C$1:$I$1,0),0)*1000</f>
        <v>4635247</v>
      </c>
      <c r="J227" s="190">
        <f>VLOOKUP($A227&amp;$B227,'KU Inputs'!$C$2:$I$505,MATCH('KU UtilityData'!J$1,'KU Inputs'!$C$1:$I$1,0),0)*1000</f>
        <v>1841366</v>
      </c>
      <c r="K227" s="265">
        <v>451793.24824070436</v>
      </c>
      <c r="L227" s="248">
        <v>445355.22</v>
      </c>
      <c r="M227" s="164">
        <v>100196.27471347759</v>
      </c>
      <c r="N227" s="190">
        <f>VLOOKUP($A227&amp;$B227,'KU Inputs'!$C$2:$I$505,MATCH('KU UtilityData'!N$1,'KU Inputs'!$C$1:$I$1,0),0)</f>
        <v>157503.777</v>
      </c>
      <c r="O227" s="190" t="e">
        <f>VLOOKUP($A227&amp;$B227,'KU Inputs'!$C$2:$I$505,MATCH('KU UtilityData'!O$1,'KU Inputs'!$C$1:$I$1,0),0)</f>
        <v>#N/A</v>
      </c>
      <c r="P227" s="264">
        <f t="shared" si="14"/>
        <v>136</v>
      </c>
      <c r="Q227" s="264">
        <f t="shared" si="14"/>
        <v>73</v>
      </c>
      <c r="R227" s="166">
        <v>4512</v>
      </c>
      <c r="S227" s="166">
        <v>1455</v>
      </c>
      <c r="T227" s="182">
        <f t="shared" si="13"/>
        <v>0</v>
      </c>
    </row>
    <row r="228" spans="1:20" x14ac:dyDescent="0.2">
      <c r="A228" s="153">
        <v>2019</v>
      </c>
      <c r="B228" s="153">
        <v>11</v>
      </c>
      <c r="C228" s="168"/>
      <c r="D228" s="281">
        <f t="shared" si="10"/>
        <v>11.099117726383728</v>
      </c>
      <c r="E228" s="279">
        <f t="shared" si="12"/>
        <v>10.98812654911989</v>
      </c>
      <c r="F228" s="173"/>
      <c r="G228" s="173">
        <v>29.38</v>
      </c>
      <c r="H228" s="154">
        <v>3867.5904517768422</v>
      </c>
      <c r="I228" s="190">
        <f>VLOOKUP($A228&amp;$B228,'KU Inputs'!$C$2:$I$505,MATCH('KU UtilityData'!I$1,'KU Inputs'!$C$1:$I$1,0),0)*1000</f>
        <v>4635247</v>
      </c>
      <c r="J228" s="190">
        <f>VLOOKUP($A228&amp;$B228,'KU Inputs'!$C$2:$I$505,MATCH('KU UtilityData'!J$1,'KU Inputs'!$C$1:$I$1,0),0)*1000</f>
        <v>1841366</v>
      </c>
      <c r="K228" s="265">
        <v>452094.44373953145</v>
      </c>
      <c r="L228" s="248">
        <v>445355.22</v>
      </c>
      <c r="M228" s="164">
        <v>100196.27471347759</v>
      </c>
      <c r="N228" s="190">
        <f>VLOOKUP($A228&amp;$B228,'KU Inputs'!$C$2:$I$505,MATCH('KU UtilityData'!N$1,'KU Inputs'!$C$1:$I$1,0),0)</f>
        <v>157503.777</v>
      </c>
      <c r="O228" s="190" t="e">
        <f>VLOOKUP($A228&amp;$B228,'KU Inputs'!$C$2:$I$505,MATCH('KU UtilityData'!O$1,'KU Inputs'!$C$1:$I$1,0),0)</f>
        <v>#N/A</v>
      </c>
      <c r="P228" s="264">
        <f t="shared" si="14"/>
        <v>394</v>
      </c>
      <c r="Q228" s="264">
        <f t="shared" si="14"/>
        <v>7</v>
      </c>
      <c r="R228" s="166">
        <v>4512</v>
      </c>
      <c r="S228" s="166">
        <v>1455</v>
      </c>
      <c r="T228" s="182">
        <f t="shared" si="13"/>
        <v>0</v>
      </c>
    </row>
    <row r="229" spans="1:20" x14ac:dyDescent="0.2">
      <c r="A229" s="153">
        <v>2019</v>
      </c>
      <c r="B229" s="153">
        <v>12</v>
      </c>
      <c r="C229" s="168"/>
      <c r="D229" s="281">
        <f t="shared" si="10"/>
        <v>11.099117726383728</v>
      </c>
      <c r="E229" s="279">
        <f t="shared" si="12"/>
        <v>10.98812654911989</v>
      </c>
      <c r="F229" s="173"/>
      <c r="G229" s="173">
        <v>32.049999999999997</v>
      </c>
      <c r="H229" s="154">
        <v>3869.8349812220026</v>
      </c>
      <c r="I229" s="190">
        <f>VLOOKUP($A229&amp;$B229,'KU Inputs'!$C$2:$I$505,MATCH('KU UtilityData'!I$1,'KU Inputs'!$C$1:$I$1,0),0)*1000</f>
        <v>4635247</v>
      </c>
      <c r="J229" s="190">
        <f>VLOOKUP($A229&amp;$B229,'KU Inputs'!$C$2:$I$505,MATCH('KU UtilityData'!J$1,'KU Inputs'!$C$1:$I$1,0),0)*1000</f>
        <v>1841366</v>
      </c>
      <c r="K229" s="265">
        <v>452395.84003535775</v>
      </c>
      <c r="L229" s="248">
        <v>445355.22</v>
      </c>
      <c r="M229" s="164">
        <v>100196.27471347759</v>
      </c>
      <c r="N229" s="190">
        <f>VLOOKUP($A229&amp;$B229,'KU Inputs'!$C$2:$I$505,MATCH('KU UtilityData'!N$1,'KU Inputs'!$C$1:$I$1,0),0)</f>
        <v>157503.777</v>
      </c>
      <c r="O229" s="190" t="e">
        <f>VLOOKUP($A229&amp;$B229,'KU Inputs'!$C$2:$I$505,MATCH('KU UtilityData'!O$1,'KU Inputs'!$C$1:$I$1,0),0)</f>
        <v>#N/A</v>
      </c>
      <c r="P229" s="264">
        <f t="shared" si="14"/>
        <v>706</v>
      </c>
      <c r="Q229" s="264">
        <f t="shared" si="14"/>
        <v>0.2</v>
      </c>
      <c r="R229" s="166">
        <v>4512</v>
      </c>
      <c r="S229" s="166">
        <v>1455</v>
      </c>
      <c r="T229" s="182">
        <f t="shared" si="13"/>
        <v>0</v>
      </c>
    </row>
    <row r="230" spans="1:20" x14ac:dyDescent="0.2">
      <c r="A230" s="153">
        <v>2020</v>
      </c>
      <c r="B230" s="153">
        <v>1</v>
      </c>
      <c r="C230" s="168"/>
      <c r="D230" s="281">
        <f t="shared" si="10"/>
        <v>11.321100080911403</v>
      </c>
      <c r="E230" s="279">
        <f t="shared" si="12"/>
        <v>11.207889080102289</v>
      </c>
      <c r="F230" s="173"/>
      <c r="G230" s="173">
        <v>32.33</v>
      </c>
      <c r="H230" s="154">
        <v>3872.0795106671635</v>
      </c>
      <c r="I230" s="190">
        <f>VLOOKUP($A230&amp;$B230,'KU Inputs'!$C$2:$I$505,MATCH('KU UtilityData'!I$1,'KU Inputs'!$C$1:$I$1,0),0)*1000</f>
        <v>4643577</v>
      </c>
      <c r="J230" s="190">
        <f>VLOOKUP($A230&amp;$B230,'KU Inputs'!$C$2:$I$505,MATCH('KU UtilityData'!J$1,'KU Inputs'!$C$1:$I$1,0),0)*1000</f>
        <v>1844713</v>
      </c>
      <c r="K230" s="265">
        <v>452697.43726204796</v>
      </c>
      <c r="L230" s="248">
        <v>446087.13</v>
      </c>
      <c r="M230" s="164">
        <v>101083.61621558879</v>
      </c>
      <c r="N230" s="190">
        <f>VLOOKUP($A230&amp;$B230,'KU Inputs'!$C$2:$I$505,MATCH('KU UtilityData'!N$1,'KU Inputs'!$C$1:$I$1,0),0)</f>
        <v>158898.726</v>
      </c>
      <c r="O230" s="190" t="e">
        <f>VLOOKUP($A230&amp;$B230,'KU Inputs'!$C$2:$I$505,MATCH('KU UtilityData'!O$1,'KU Inputs'!$C$1:$I$1,0),0)</f>
        <v>#N/A</v>
      </c>
      <c r="P230" s="264">
        <f t="shared" si="14"/>
        <v>996</v>
      </c>
      <c r="Q230" s="264">
        <f t="shared" si="14"/>
        <v>0</v>
      </c>
      <c r="R230" s="166">
        <v>4512</v>
      </c>
      <c r="S230" s="166">
        <v>1455</v>
      </c>
      <c r="T230" s="182">
        <f t="shared" si="13"/>
        <v>0</v>
      </c>
    </row>
    <row r="231" spans="1:20" x14ac:dyDescent="0.2">
      <c r="A231" s="153">
        <v>2020</v>
      </c>
      <c r="B231" s="153">
        <v>2</v>
      </c>
      <c r="C231" s="168"/>
      <c r="D231" s="281">
        <f t="shared" si="10"/>
        <v>11.321100080911403</v>
      </c>
      <c r="E231" s="279">
        <f t="shared" si="12"/>
        <v>11.207889080102289</v>
      </c>
      <c r="F231" s="173"/>
      <c r="G231" s="173">
        <v>30.05</v>
      </c>
      <c r="H231" s="154">
        <v>3874.3240401123239</v>
      </c>
      <c r="I231" s="190">
        <f>VLOOKUP($A231&amp;$B231,'KU Inputs'!$C$2:$I$505,MATCH('KU UtilityData'!I$1,'KU Inputs'!$C$1:$I$1,0),0)*1000</f>
        <v>4643577</v>
      </c>
      <c r="J231" s="190">
        <f>VLOOKUP($A231&amp;$B231,'KU Inputs'!$C$2:$I$505,MATCH('KU UtilityData'!J$1,'KU Inputs'!$C$1:$I$1,0),0)*1000</f>
        <v>1844713</v>
      </c>
      <c r="K231" s="265">
        <v>452999.23555355595</v>
      </c>
      <c r="L231" s="248">
        <v>446087.13</v>
      </c>
      <c r="M231" s="164">
        <v>101083.61621558879</v>
      </c>
      <c r="N231" s="190">
        <f>VLOOKUP($A231&amp;$B231,'KU Inputs'!$C$2:$I$505,MATCH('KU UtilityData'!N$1,'KU Inputs'!$C$1:$I$1,0),0)</f>
        <v>158898.726</v>
      </c>
      <c r="O231" s="190" t="e">
        <f>VLOOKUP($A231&amp;$B231,'KU Inputs'!$C$2:$I$505,MATCH('KU UtilityData'!O$1,'KU Inputs'!$C$1:$I$1,0),0)</f>
        <v>#N/A</v>
      </c>
      <c r="P231" s="264">
        <f t="shared" si="14"/>
        <v>889.8</v>
      </c>
      <c r="Q231" s="264">
        <f t="shared" si="14"/>
        <v>0</v>
      </c>
      <c r="R231" s="166">
        <v>4512</v>
      </c>
      <c r="S231" s="166">
        <v>1455</v>
      </c>
      <c r="T231" s="182">
        <f t="shared" si="13"/>
        <v>0</v>
      </c>
    </row>
    <row r="232" spans="1:20" x14ac:dyDescent="0.2">
      <c r="A232" s="153">
        <v>2020</v>
      </c>
      <c r="B232" s="153">
        <v>3</v>
      </c>
      <c r="C232" s="168"/>
      <c r="D232" s="281">
        <f t="shared" si="10"/>
        <v>11.321100080911403</v>
      </c>
      <c r="E232" s="279">
        <f t="shared" si="12"/>
        <v>11.207889080102289</v>
      </c>
      <c r="F232" s="173"/>
      <c r="G232" s="173">
        <v>30.19</v>
      </c>
      <c r="H232" s="154">
        <v>3876.5685695574848</v>
      </c>
      <c r="I232" s="190">
        <f>VLOOKUP($A232&amp;$B232,'KU Inputs'!$C$2:$I$505,MATCH('KU UtilityData'!I$1,'KU Inputs'!$C$1:$I$1,0),0)*1000</f>
        <v>4643577</v>
      </c>
      <c r="J232" s="190">
        <f>VLOOKUP($A232&amp;$B232,'KU Inputs'!$C$2:$I$505,MATCH('KU UtilityData'!J$1,'KU Inputs'!$C$1:$I$1,0),0)*1000</f>
        <v>1844713</v>
      </c>
      <c r="K232" s="265">
        <v>453301.23504392494</v>
      </c>
      <c r="L232" s="248">
        <v>446087.13</v>
      </c>
      <c r="M232" s="164">
        <v>101083.61621558879</v>
      </c>
      <c r="N232" s="190">
        <f>VLOOKUP($A232&amp;$B232,'KU Inputs'!$C$2:$I$505,MATCH('KU UtilityData'!N$1,'KU Inputs'!$C$1:$I$1,0),0)</f>
        <v>158898.726</v>
      </c>
      <c r="O232" s="190" t="e">
        <f>VLOOKUP($A232&amp;$B232,'KU Inputs'!$C$2:$I$505,MATCH('KU UtilityData'!O$1,'KU Inputs'!$C$1:$I$1,0),0)</f>
        <v>#N/A</v>
      </c>
      <c r="P232" s="264">
        <f t="shared" si="14"/>
        <v>729</v>
      </c>
      <c r="Q232" s="264">
        <f t="shared" si="14"/>
        <v>0.45</v>
      </c>
      <c r="R232" s="166">
        <v>4512</v>
      </c>
      <c r="S232" s="166">
        <v>1455</v>
      </c>
      <c r="T232" s="182">
        <f t="shared" si="13"/>
        <v>0</v>
      </c>
    </row>
    <row r="233" spans="1:20" x14ac:dyDescent="0.2">
      <c r="A233" s="153">
        <v>2020</v>
      </c>
      <c r="B233" s="153">
        <v>4</v>
      </c>
      <c r="C233" s="168"/>
      <c r="D233" s="281">
        <f t="shared" si="10"/>
        <v>11.321100080911403</v>
      </c>
      <c r="E233" s="279">
        <f t="shared" si="12"/>
        <v>11.207889080102289</v>
      </c>
      <c r="F233" s="173"/>
      <c r="G233" s="173">
        <v>30.33</v>
      </c>
      <c r="H233" s="154">
        <v>3878.8130990026452</v>
      </c>
      <c r="I233" s="190">
        <f>VLOOKUP($A233&amp;$B233,'KU Inputs'!$C$2:$I$505,MATCH('KU UtilityData'!I$1,'KU Inputs'!$C$1:$I$1,0),0)*1000</f>
        <v>4651897</v>
      </c>
      <c r="J233" s="190">
        <f>VLOOKUP($A233&amp;$B233,'KU Inputs'!$C$2:$I$505,MATCH('KU UtilityData'!J$1,'KU Inputs'!$C$1:$I$1,0),0)*1000</f>
        <v>1847818</v>
      </c>
      <c r="K233" s="265">
        <v>453603.43586728751</v>
      </c>
      <c r="L233" s="248">
        <v>446766.12</v>
      </c>
      <c r="M233" s="164">
        <v>101976.35534197011</v>
      </c>
      <c r="N233" s="190">
        <f>VLOOKUP($A233&amp;$B233,'KU Inputs'!$C$2:$I$505,MATCH('KU UtilityData'!N$1,'KU Inputs'!$C$1:$I$1,0),0)</f>
        <v>159849.41</v>
      </c>
      <c r="O233" s="190" t="e">
        <f>VLOOKUP($A233&amp;$B233,'KU Inputs'!$C$2:$I$505,MATCH('KU UtilityData'!O$1,'KU Inputs'!$C$1:$I$1,0),0)</f>
        <v>#N/A</v>
      </c>
      <c r="P233" s="264">
        <f t="shared" si="14"/>
        <v>440</v>
      </c>
      <c r="Q233" s="264">
        <f t="shared" si="14"/>
        <v>11.85</v>
      </c>
      <c r="R233" s="166">
        <v>4512</v>
      </c>
      <c r="S233" s="166">
        <v>1455</v>
      </c>
      <c r="T233" s="182">
        <f t="shared" si="13"/>
        <v>0</v>
      </c>
    </row>
    <row r="234" spans="1:20" x14ac:dyDescent="0.2">
      <c r="A234" s="153">
        <v>2020</v>
      </c>
      <c r="B234" s="153">
        <v>5</v>
      </c>
      <c r="C234" s="168"/>
      <c r="D234" s="281">
        <f t="shared" si="10"/>
        <v>11.321100080911403</v>
      </c>
      <c r="E234" s="279">
        <f t="shared" si="12"/>
        <v>11.207889080102289</v>
      </c>
      <c r="F234" s="173"/>
      <c r="G234" s="173">
        <v>30.14</v>
      </c>
      <c r="H234" s="154">
        <v>3881.0576284478061</v>
      </c>
      <c r="I234" s="190">
        <f>VLOOKUP($A234&amp;$B234,'KU Inputs'!$C$2:$I$505,MATCH('KU UtilityData'!I$1,'KU Inputs'!$C$1:$I$1,0),0)*1000</f>
        <v>4651897</v>
      </c>
      <c r="J234" s="190">
        <f>VLOOKUP($A234&amp;$B234,'KU Inputs'!$C$2:$I$505,MATCH('KU UtilityData'!J$1,'KU Inputs'!$C$1:$I$1,0),0)*1000</f>
        <v>1847818</v>
      </c>
      <c r="K234" s="265">
        <v>453905.83815786568</v>
      </c>
      <c r="L234" s="248">
        <v>446766.12</v>
      </c>
      <c r="M234" s="164">
        <v>101976.35534197011</v>
      </c>
      <c r="N234" s="190">
        <f>VLOOKUP($A234&amp;$B234,'KU Inputs'!$C$2:$I$505,MATCH('KU UtilityData'!N$1,'KU Inputs'!$C$1:$I$1,0),0)</f>
        <v>159849.41</v>
      </c>
      <c r="O234" s="190" t="e">
        <f>VLOOKUP($A234&amp;$B234,'KU Inputs'!$C$2:$I$505,MATCH('KU UtilityData'!O$1,'KU Inputs'!$C$1:$I$1,0),0)</f>
        <v>#N/A</v>
      </c>
      <c r="P234" s="264">
        <f t="shared" si="14"/>
        <v>187</v>
      </c>
      <c r="Q234" s="264">
        <f t="shared" si="14"/>
        <v>47</v>
      </c>
      <c r="R234" s="166">
        <v>4512</v>
      </c>
      <c r="S234" s="166">
        <v>1455</v>
      </c>
      <c r="T234" s="182">
        <f t="shared" si="13"/>
        <v>0</v>
      </c>
    </row>
    <row r="235" spans="1:20" x14ac:dyDescent="0.2">
      <c r="A235" s="153">
        <v>2020</v>
      </c>
      <c r="B235" s="153">
        <v>6</v>
      </c>
      <c r="C235" s="168"/>
      <c r="D235" s="281">
        <f t="shared" si="10"/>
        <v>11.321100080911403</v>
      </c>
      <c r="E235" s="279">
        <f t="shared" si="12"/>
        <v>11.207889080102289</v>
      </c>
      <c r="F235" s="173"/>
      <c r="G235" s="173">
        <v>30.52</v>
      </c>
      <c r="H235" s="154">
        <v>3883.3021578929679</v>
      </c>
      <c r="I235" s="190">
        <f>VLOOKUP($A235&amp;$B235,'KU Inputs'!$C$2:$I$505,MATCH('KU UtilityData'!I$1,'KU Inputs'!$C$1:$I$1,0),0)*1000</f>
        <v>4651897</v>
      </c>
      <c r="J235" s="190">
        <f>VLOOKUP($A235&amp;$B235,'KU Inputs'!$C$2:$I$505,MATCH('KU UtilityData'!J$1,'KU Inputs'!$C$1:$I$1,0),0)*1000</f>
        <v>1847818</v>
      </c>
      <c r="K235" s="265">
        <v>454208.44204997091</v>
      </c>
      <c r="L235" s="248">
        <v>446766.12</v>
      </c>
      <c r="M235" s="164">
        <v>101976.35534197011</v>
      </c>
      <c r="N235" s="190">
        <f>VLOOKUP($A235&amp;$B235,'KU Inputs'!$C$2:$I$505,MATCH('KU UtilityData'!N$1,'KU Inputs'!$C$1:$I$1,0),0)</f>
        <v>159849.41</v>
      </c>
      <c r="O235" s="190" t="e">
        <f>VLOOKUP($A235&amp;$B235,'KU Inputs'!$C$2:$I$505,MATCH('KU UtilityData'!O$1,'KU Inputs'!$C$1:$I$1,0),0)</f>
        <v>#N/A</v>
      </c>
      <c r="P235" s="264">
        <f t="shared" si="14"/>
        <v>49</v>
      </c>
      <c r="Q235" s="264">
        <f t="shared" si="14"/>
        <v>171</v>
      </c>
      <c r="R235" s="166">
        <v>4512</v>
      </c>
      <c r="S235" s="166">
        <v>1455</v>
      </c>
      <c r="T235" s="182">
        <f t="shared" si="13"/>
        <v>0</v>
      </c>
    </row>
    <row r="236" spans="1:20" x14ac:dyDescent="0.2">
      <c r="A236" s="153">
        <v>2020</v>
      </c>
      <c r="B236" s="153">
        <v>7</v>
      </c>
      <c r="C236" s="168"/>
      <c r="D236" s="281">
        <f t="shared" si="10"/>
        <v>11.321100080911403</v>
      </c>
      <c r="E236" s="279">
        <f t="shared" si="12"/>
        <v>11.207889080102289</v>
      </c>
      <c r="F236" s="173"/>
      <c r="G236" s="173">
        <v>30.67</v>
      </c>
      <c r="H236" s="154">
        <v>3885.535930363792</v>
      </c>
      <c r="I236" s="190">
        <f>VLOOKUP($A236&amp;$B236,'KU Inputs'!$C$2:$I$505,MATCH('KU UtilityData'!I$1,'KU Inputs'!$C$1:$I$1,0),0)*1000</f>
        <v>4660206</v>
      </c>
      <c r="J236" s="190">
        <f>VLOOKUP($A236&amp;$B236,'KU Inputs'!$C$2:$I$505,MATCH('KU UtilityData'!J$1,'KU Inputs'!$C$1:$I$1,0),0)*1000</f>
        <v>1850903</v>
      </c>
      <c r="K236" s="265">
        <v>454511.24767800421</v>
      </c>
      <c r="L236" s="248">
        <v>447440.74</v>
      </c>
      <c r="M236" s="164">
        <v>102746.87215396801</v>
      </c>
      <c r="N236" s="190">
        <f>VLOOKUP($A236&amp;$B236,'KU Inputs'!$C$2:$I$505,MATCH('KU UtilityData'!N$1,'KU Inputs'!$C$1:$I$1,0),0)</f>
        <v>160644.163</v>
      </c>
      <c r="O236" s="190" t="e">
        <f>VLOOKUP($A236&amp;$B236,'KU Inputs'!$C$2:$I$505,MATCH('KU UtilityData'!O$1,'KU Inputs'!$C$1:$I$1,0),0)</f>
        <v>#N/A</v>
      </c>
      <c r="P236" s="264">
        <f t="shared" si="14"/>
        <v>1</v>
      </c>
      <c r="Q236" s="264">
        <f t="shared" si="14"/>
        <v>325</v>
      </c>
      <c r="R236" s="166">
        <v>4512</v>
      </c>
      <c r="S236" s="166">
        <v>1455</v>
      </c>
      <c r="T236" s="182">
        <f t="shared" si="13"/>
        <v>0</v>
      </c>
    </row>
    <row r="237" spans="1:20" x14ac:dyDescent="0.2">
      <c r="A237" s="153">
        <v>2020</v>
      </c>
      <c r="B237" s="153">
        <v>8</v>
      </c>
      <c r="C237" s="168"/>
      <c r="D237" s="281">
        <f t="shared" si="10"/>
        <v>11.321100080911403</v>
      </c>
      <c r="E237" s="279">
        <f t="shared" si="12"/>
        <v>11.207889080102289</v>
      </c>
      <c r="F237" s="173"/>
      <c r="G237" s="173">
        <v>29.48</v>
      </c>
      <c r="H237" s="154">
        <v>3887.7697028346161</v>
      </c>
      <c r="I237" s="190">
        <f>VLOOKUP($A237&amp;$B237,'KU Inputs'!$C$2:$I$505,MATCH('KU UtilityData'!I$1,'KU Inputs'!$C$1:$I$1,0),0)*1000</f>
        <v>4660206</v>
      </c>
      <c r="J237" s="190">
        <f>VLOOKUP($A237&amp;$B237,'KU Inputs'!$C$2:$I$505,MATCH('KU UtilityData'!J$1,'KU Inputs'!$C$1:$I$1,0),0)*1000</f>
        <v>1850903</v>
      </c>
      <c r="K237" s="265">
        <v>454814.25517645618</v>
      </c>
      <c r="L237" s="248">
        <v>447440.74</v>
      </c>
      <c r="M237" s="164">
        <v>102746.87215396801</v>
      </c>
      <c r="N237" s="190">
        <f>VLOOKUP($A237&amp;$B237,'KU Inputs'!$C$2:$I$505,MATCH('KU UtilityData'!N$1,'KU Inputs'!$C$1:$I$1,0),0)</f>
        <v>160644.163</v>
      </c>
      <c r="O237" s="190" t="e">
        <f>VLOOKUP($A237&amp;$B237,'KU Inputs'!$C$2:$I$505,MATCH('KU UtilityData'!O$1,'KU Inputs'!$C$1:$I$1,0),0)</f>
        <v>#N/A</v>
      </c>
      <c r="P237" s="264">
        <f t="shared" si="14"/>
        <v>0</v>
      </c>
      <c r="Q237" s="264">
        <f t="shared" si="14"/>
        <v>341</v>
      </c>
      <c r="R237" s="166">
        <v>4512</v>
      </c>
      <c r="S237" s="166">
        <v>1455</v>
      </c>
      <c r="T237" s="182">
        <f t="shared" si="13"/>
        <v>0</v>
      </c>
    </row>
    <row r="238" spans="1:20" x14ac:dyDescent="0.2">
      <c r="A238" s="153">
        <v>2020</v>
      </c>
      <c r="B238" s="153">
        <v>9</v>
      </c>
      <c r="C238" s="168"/>
      <c r="D238" s="281">
        <f t="shared" si="10"/>
        <v>11.321100080911403</v>
      </c>
      <c r="E238" s="279">
        <f t="shared" si="12"/>
        <v>11.207889080102289</v>
      </c>
      <c r="F238" s="173"/>
      <c r="G238" s="173">
        <v>30.52</v>
      </c>
      <c r="H238" s="154">
        <v>3890.0034753054397</v>
      </c>
      <c r="I238" s="190">
        <f>VLOOKUP($A238&amp;$B238,'KU Inputs'!$C$2:$I$505,MATCH('KU UtilityData'!I$1,'KU Inputs'!$C$1:$I$1,0),0)*1000</f>
        <v>4660206</v>
      </c>
      <c r="J238" s="190">
        <f>VLOOKUP($A238&amp;$B238,'KU Inputs'!$C$2:$I$505,MATCH('KU UtilityData'!J$1,'KU Inputs'!$C$1:$I$1,0),0)*1000</f>
        <v>1850903</v>
      </c>
      <c r="K238" s="265">
        <v>455117.46467990713</v>
      </c>
      <c r="L238" s="248">
        <v>447440.74</v>
      </c>
      <c r="M238" s="164">
        <v>102746.87215396801</v>
      </c>
      <c r="N238" s="190">
        <f>VLOOKUP($A238&amp;$B238,'KU Inputs'!$C$2:$I$505,MATCH('KU UtilityData'!N$1,'KU Inputs'!$C$1:$I$1,0),0)</f>
        <v>160644.163</v>
      </c>
      <c r="O238" s="190" t="e">
        <f>VLOOKUP($A238&amp;$B238,'KU Inputs'!$C$2:$I$505,MATCH('KU UtilityData'!O$1,'KU Inputs'!$C$1:$I$1,0),0)</f>
        <v>#N/A</v>
      </c>
      <c r="P238" s="264">
        <f t="shared" ref="P238:Q257" si="15">P226</f>
        <v>12</v>
      </c>
      <c r="Q238" s="264">
        <f t="shared" si="15"/>
        <v>261</v>
      </c>
      <c r="R238" s="166">
        <v>4512</v>
      </c>
      <c r="S238" s="166">
        <v>1455</v>
      </c>
      <c r="T238" s="182">
        <f t="shared" si="13"/>
        <v>0</v>
      </c>
    </row>
    <row r="239" spans="1:20" x14ac:dyDescent="0.2">
      <c r="A239" s="153">
        <v>2020</v>
      </c>
      <c r="B239" s="153">
        <v>10</v>
      </c>
      <c r="C239" s="168"/>
      <c r="D239" s="281">
        <f t="shared" si="10"/>
        <v>11.321100080911403</v>
      </c>
      <c r="E239" s="279">
        <f t="shared" si="12"/>
        <v>11.207889080102289</v>
      </c>
      <c r="F239" s="173"/>
      <c r="G239" s="173">
        <v>29.71</v>
      </c>
      <c r="H239" s="154">
        <v>3892.2372477762638</v>
      </c>
      <c r="I239" s="190">
        <f>VLOOKUP($A239&amp;$B239,'KU Inputs'!$C$2:$I$505,MATCH('KU UtilityData'!I$1,'KU Inputs'!$C$1:$I$1,0),0)*1000</f>
        <v>4668504</v>
      </c>
      <c r="J239" s="190">
        <f>VLOOKUP($A239&amp;$B239,'KU Inputs'!$C$2:$I$505,MATCH('KU UtilityData'!J$1,'KU Inputs'!$C$1:$I$1,0),0)*1000</f>
        <v>1853976</v>
      </c>
      <c r="K239" s="265">
        <v>455420.87632302701</v>
      </c>
      <c r="L239" s="248">
        <v>448112.73</v>
      </c>
      <c r="M239" s="164">
        <v>103748.68517405671</v>
      </c>
      <c r="N239" s="190">
        <f>VLOOKUP($A239&amp;$B239,'KU Inputs'!$C$2:$I$505,MATCH('KU UtilityData'!N$1,'KU Inputs'!$C$1:$I$1,0),0)</f>
        <v>161348.13399999999</v>
      </c>
      <c r="O239" s="190" t="e">
        <f>VLOOKUP($A239&amp;$B239,'KU Inputs'!$C$2:$I$505,MATCH('KU UtilityData'!O$1,'KU Inputs'!$C$1:$I$1,0),0)</f>
        <v>#N/A</v>
      </c>
      <c r="P239" s="264">
        <f t="shared" si="15"/>
        <v>136</v>
      </c>
      <c r="Q239" s="264">
        <f t="shared" si="15"/>
        <v>73</v>
      </c>
      <c r="R239" s="166">
        <v>4512</v>
      </c>
      <c r="S239" s="166">
        <v>1455</v>
      </c>
      <c r="T239" s="182">
        <f t="shared" si="13"/>
        <v>0</v>
      </c>
    </row>
    <row r="240" spans="1:20" x14ac:dyDescent="0.2">
      <c r="A240" s="153">
        <v>2020</v>
      </c>
      <c r="B240" s="153">
        <v>11</v>
      </c>
      <c r="C240" s="168"/>
      <c r="D240" s="281">
        <f t="shared" si="10"/>
        <v>11.321100080911403</v>
      </c>
      <c r="E240" s="279">
        <f t="shared" si="12"/>
        <v>11.207889080102289</v>
      </c>
      <c r="F240" s="173"/>
      <c r="G240" s="173">
        <v>29.57</v>
      </c>
      <c r="H240" s="154">
        <v>3894.4710202470878</v>
      </c>
      <c r="I240" s="190">
        <f>VLOOKUP($A240&amp;$B240,'KU Inputs'!$C$2:$I$505,MATCH('KU UtilityData'!I$1,'KU Inputs'!$C$1:$I$1,0),0)*1000</f>
        <v>4668504</v>
      </c>
      <c r="J240" s="190">
        <f>VLOOKUP($A240&amp;$B240,'KU Inputs'!$C$2:$I$505,MATCH('KU UtilityData'!J$1,'KU Inputs'!$C$1:$I$1,0),0)*1000</f>
        <v>1853976</v>
      </c>
      <c r="K240" s="265">
        <v>455724.49024057569</v>
      </c>
      <c r="L240" s="248">
        <v>448112.73</v>
      </c>
      <c r="M240" s="164">
        <v>103748.68517405671</v>
      </c>
      <c r="N240" s="190">
        <f>VLOOKUP($A240&amp;$B240,'KU Inputs'!$C$2:$I$505,MATCH('KU UtilityData'!N$1,'KU Inputs'!$C$1:$I$1,0),0)</f>
        <v>161348.13399999999</v>
      </c>
      <c r="O240" s="190" t="e">
        <f>VLOOKUP($A240&amp;$B240,'KU Inputs'!$C$2:$I$505,MATCH('KU UtilityData'!O$1,'KU Inputs'!$C$1:$I$1,0),0)</f>
        <v>#N/A</v>
      </c>
      <c r="P240" s="264">
        <f t="shared" si="15"/>
        <v>394</v>
      </c>
      <c r="Q240" s="264">
        <f t="shared" si="15"/>
        <v>7</v>
      </c>
      <c r="R240" s="166">
        <v>4512</v>
      </c>
      <c r="S240" s="166">
        <v>1455</v>
      </c>
      <c r="T240" s="182">
        <f t="shared" si="13"/>
        <v>0</v>
      </c>
    </row>
    <row r="241" spans="1:20" x14ac:dyDescent="0.2">
      <c r="A241" s="153">
        <v>2020</v>
      </c>
      <c r="B241" s="153">
        <v>12</v>
      </c>
      <c r="C241" s="176"/>
      <c r="D241" s="281">
        <f t="shared" si="10"/>
        <v>11.321100080911403</v>
      </c>
      <c r="E241" s="279">
        <f t="shared" si="12"/>
        <v>11.207889080102289</v>
      </c>
      <c r="F241" s="173"/>
      <c r="G241" s="173">
        <v>32.619999999999997</v>
      </c>
      <c r="H241" s="154">
        <v>3896.7047927179119</v>
      </c>
      <c r="I241" s="190">
        <f>VLOOKUP($A241&amp;$B241,'KU Inputs'!$C$2:$I$505,MATCH('KU UtilityData'!I$1,'KU Inputs'!$C$1:$I$1,0),0)*1000</f>
        <v>4668504</v>
      </c>
      <c r="J241" s="190">
        <f>VLOOKUP($A241&amp;$B241,'KU Inputs'!$C$2:$I$505,MATCH('KU UtilityData'!J$1,'KU Inputs'!$C$1:$I$1,0),0)*1000</f>
        <v>1853976</v>
      </c>
      <c r="K241" s="265">
        <v>456028.30656740273</v>
      </c>
      <c r="L241" s="248">
        <v>448112.73</v>
      </c>
      <c r="M241" s="249">
        <v>103748.68517405671</v>
      </c>
      <c r="N241" s="190">
        <f>VLOOKUP($A241&amp;$B241,'KU Inputs'!$C$2:$I$505,MATCH('KU UtilityData'!N$1,'KU Inputs'!$C$1:$I$1,0),0)</f>
        <v>161348.13399999999</v>
      </c>
      <c r="O241" s="190" t="e">
        <f>VLOOKUP($A241&amp;$B241,'KU Inputs'!$C$2:$I$505,MATCH('KU UtilityData'!O$1,'KU Inputs'!$C$1:$I$1,0),0)</f>
        <v>#N/A</v>
      </c>
      <c r="P241" s="264">
        <f t="shared" si="15"/>
        <v>706</v>
      </c>
      <c r="Q241" s="264">
        <f t="shared" si="15"/>
        <v>0.2</v>
      </c>
      <c r="R241" s="166">
        <v>4512</v>
      </c>
      <c r="S241" s="166">
        <v>1455</v>
      </c>
      <c r="T241" s="182">
        <f t="shared" si="13"/>
        <v>0</v>
      </c>
    </row>
    <row r="242" spans="1:20" x14ac:dyDescent="0.2">
      <c r="A242" s="153">
        <v>2021</v>
      </c>
      <c r="B242" s="153">
        <v>1</v>
      </c>
      <c r="C242" s="176"/>
      <c r="D242" s="281">
        <f t="shared" si="10"/>
        <v>11.547522082529632</v>
      </c>
      <c r="E242" s="279">
        <f t="shared" si="12"/>
        <v>11.432046861704336</v>
      </c>
      <c r="F242" s="173"/>
      <c r="G242" s="173">
        <v>33.049999999999997</v>
      </c>
      <c r="H242" s="154">
        <v>3898.9385651887355</v>
      </c>
      <c r="I242" s="190">
        <f>VLOOKUP($A242&amp;$B242,'KU Inputs'!$C$2:$I$505,MATCH('KU UtilityData'!I$1,'KU Inputs'!$C$1:$I$1,0),0)*1000</f>
        <v>4676790</v>
      </c>
      <c r="J242" s="190">
        <f>VLOOKUP($A242&amp;$B242,'KU Inputs'!$C$2:$I$505,MATCH('KU UtilityData'!J$1,'KU Inputs'!$C$1:$I$1,0),0)*1000</f>
        <v>1856841</v>
      </c>
      <c r="K242" s="265">
        <v>456332.32543844765</v>
      </c>
      <c r="L242" s="248">
        <v>448739.24</v>
      </c>
      <c r="M242" s="164">
        <v>104503.41130211821</v>
      </c>
      <c r="N242" s="190">
        <f>VLOOKUP($A242&amp;$B242,'KU Inputs'!$C$2:$I$505,MATCH('KU UtilityData'!N$1,'KU Inputs'!$C$1:$I$1,0),0)</f>
        <v>162475.66899999999</v>
      </c>
      <c r="O242" s="190" t="e">
        <f>VLOOKUP($A242&amp;$B242,'KU Inputs'!$C$2:$I$505,MATCH('KU UtilityData'!O$1,'KU Inputs'!$C$1:$I$1,0),0)</f>
        <v>#N/A</v>
      </c>
      <c r="P242" s="264">
        <f t="shared" si="15"/>
        <v>996</v>
      </c>
      <c r="Q242" s="264">
        <f t="shared" si="15"/>
        <v>0</v>
      </c>
      <c r="R242" s="166">
        <v>4512</v>
      </c>
      <c r="S242" s="166">
        <v>1455</v>
      </c>
      <c r="T242" s="182">
        <f t="shared" si="13"/>
        <v>0</v>
      </c>
    </row>
    <row r="243" spans="1:20" x14ac:dyDescent="0.2">
      <c r="A243" s="153">
        <v>2021</v>
      </c>
      <c r="B243" s="153">
        <v>2</v>
      </c>
      <c r="C243" s="176"/>
      <c r="D243" s="281">
        <f t="shared" si="10"/>
        <v>11.547522082529632</v>
      </c>
      <c r="E243" s="279">
        <f t="shared" si="12"/>
        <v>11.432046861704336</v>
      </c>
      <c r="F243" s="173"/>
      <c r="G243" s="173">
        <v>30.14</v>
      </c>
      <c r="H243" s="154">
        <v>3901.1723376595596</v>
      </c>
      <c r="I243" s="190">
        <f>VLOOKUP($A243&amp;$B243,'KU Inputs'!$C$2:$I$505,MATCH('KU UtilityData'!I$1,'KU Inputs'!$C$1:$I$1,0),0)*1000</f>
        <v>4676790</v>
      </c>
      <c r="J243" s="190">
        <f>VLOOKUP($A243&amp;$B243,'KU Inputs'!$C$2:$I$505,MATCH('KU UtilityData'!J$1,'KU Inputs'!$C$1:$I$1,0),0)*1000</f>
        <v>1856841</v>
      </c>
      <c r="K243" s="265">
        <v>456636.54698873992</v>
      </c>
      <c r="L243" s="248">
        <v>448739.24</v>
      </c>
      <c r="M243" s="164">
        <v>104503.41130211821</v>
      </c>
      <c r="N243" s="190">
        <f>VLOOKUP($A243&amp;$B243,'KU Inputs'!$C$2:$I$505,MATCH('KU UtilityData'!N$1,'KU Inputs'!$C$1:$I$1,0),0)</f>
        <v>162475.66899999999</v>
      </c>
      <c r="O243" s="190" t="e">
        <f>VLOOKUP($A243&amp;$B243,'KU Inputs'!$C$2:$I$505,MATCH('KU UtilityData'!O$1,'KU Inputs'!$C$1:$I$1,0),0)</f>
        <v>#N/A</v>
      </c>
      <c r="P243" s="264">
        <f t="shared" si="15"/>
        <v>889.8</v>
      </c>
      <c r="Q243" s="264">
        <f t="shared" si="15"/>
        <v>0</v>
      </c>
      <c r="R243" s="166">
        <v>4512</v>
      </c>
      <c r="S243" s="166">
        <v>1455</v>
      </c>
      <c r="T243" s="182">
        <f t="shared" si="13"/>
        <v>0</v>
      </c>
    </row>
    <row r="244" spans="1:20" x14ac:dyDescent="0.2">
      <c r="A244" s="153">
        <v>2021</v>
      </c>
      <c r="B244" s="153">
        <v>3</v>
      </c>
      <c r="C244" s="176"/>
      <c r="D244" s="281">
        <f t="shared" si="10"/>
        <v>11.547522082529632</v>
      </c>
      <c r="E244" s="279">
        <f t="shared" si="12"/>
        <v>11.432046861704336</v>
      </c>
      <c r="F244" s="173"/>
      <c r="G244" s="173">
        <v>30</v>
      </c>
      <c r="H244" s="154">
        <v>3903.4061101303837</v>
      </c>
      <c r="I244" s="190">
        <f>VLOOKUP($A244&amp;$B244,'KU Inputs'!$C$2:$I$505,MATCH('KU UtilityData'!I$1,'KU Inputs'!$C$1:$I$1,0),0)*1000</f>
        <v>4676790</v>
      </c>
      <c r="J244" s="190">
        <f>VLOOKUP($A244&amp;$B244,'KU Inputs'!$C$2:$I$505,MATCH('KU UtilityData'!J$1,'KU Inputs'!$C$1:$I$1,0),0)*1000</f>
        <v>1856841</v>
      </c>
      <c r="K244" s="265">
        <v>456940.97135339904</v>
      </c>
      <c r="L244" s="248">
        <v>448739.24</v>
      </c>
      <c r="M244" s="164">
        <v>104503.41130211821</v>
      </c>
      <c r="N244" s="190">
        <f>VLOOKUP($A244&amp;$B244,'KU Inputs'!$C$2:$I$505,MATCH('KU UtilityData'!N$1,'KU Inputs'!$C$1:$I$1,0),0)</f>
        <v>162475.66899999999</v>
      </c>
      <c r="O244" s="190" t="e">
        <f>VLOOKUP($A244&amp;$B244,'KU Inputs'!$C$2:$I$505,MATCH('KU UtilityData'!O$1,'KU Inputs'!$C$1:$I$1,0),0)</f>
        <v>#N/A</v>
      </c>
      <c r="P244" s="264">
        <f t="shared" si="15"/>
        <v>729</v>
      </c>
      <c r="Q244" s="264">
        <f t="shared" si="15"/>
        <v>0.45</v>
      </c>
      <c r="R244" s="166">
        <v>4512</v>
      </c>
      <c r="S244" s="166">
        <v>1455</v>
      </c>
      <c r="T244" s="182">
        <f t="shared" si="13"/>
        <v>0</v>
      </c>
    </row>
    <row r="245" spans="1:20" x14ac:dyDescent="0.2">
      <c r="A245" s="153">
        <v>2021</v>
      </c>
      <c r="B245" s="153">
        <v>4</v>
      </c>
      <c r="C245" s="176"/>
      <c r="D245" s="281">
        <f t="shared" si="10"/>
        <v>11.547522082529632</v>
      </c>
      <c r="E245" s="279">
        <f t="shared" si="12"/>
        <v>11.432046861704336</v>
      </c>
      <c r="F245" s="173"/>
      <c r="G245" s="173">
        <v>30.86</v>
      </c>
      <c r="H245" s="154">
        <v>3905.6398826012078</v>
      </c>
      <c r="I245" s="190">
        <f>VLOOKUP($A245&amp;$B245,'KU Inputs'!$C$2:$I$505,MATCH('KU UtilityData'!I$1,'KU Inputs'!$C$1:$I$1,0),0)*1000</f>
        <v>4685051</v>
      </c>
      <c r="J245" s="190">
        <f>VLOOKUP($A245&amp;$B245,'KU Inputs'!$C$2:$I$505,MATCH('KU UtilityData'!J$1,'KU Inputs'!$C$1:$I$1,0),0)*1000</f>
        <v>1859791</v>
      </c>
      <c r="K245" s="265">
        <v>457245.59866763459</v>
      </c>
      <c r="L245" s="248">
        <v>449384.34</v>
      </c>
      <c r="M245" s="164">
        <v>105160.64085444859</v>
      </c>
      <c r="N245" s="190">
        <f>VLOOKUP($A245&amp;$B245,'KU Inputs'!$C$2:$I$505,MATCH('KU UtilityData'!N$1,'KU Inputs'!$C$1:$I$1,0),0)</f>
        <v>163161.704</v>
      </c>
      <c r="O245" s="190" t="e">
        <f>VLOOKUP($A245&amp;$B245,'KU Inputs'!$C$2:$I$505,MATCH('KU UtilityData'!O$1,'KU Inputs'!$C$1:$I$1,0),0)</f>
        <v>#N/A</v>
      </c>
      <c r="P245" s="264">
        <f t="shared" si="15"/>
        <v>440</v>
      </c>
      <c r="Q245" s="264">
        <f t="shared" si="15"/>
        <v>11.85</v>
      </c>
      <c r="R245" s="166">
        <v>4512</v>
      </c>
      <c r="S245" s="166">
        <v>1455</v>
      </c>
      <c r="T245" s="182">
        <f t="shared" si="13"/>
        <v>0</v>
      </c>
    </row>
    <row r="246" spans="1:20" x14ac:dyDescent="0.2">
      <c r="A246" s="153">
        <v>2021</v>
      </c>
      <c r="B246" s="153">
        <v>5</v>
      </c>
      <c r="C246" s="176"/>
      <c r="D246" s="281">
        <f t="shared" si="10"/>
        <v>11.547522082529632</v>
      </c>
      <c r="E246" s="279">
        <f t="shared" si="12"/>
        <v>11.432046861704336</v>
      </c>
      <c r="F246" s="173"/>
      <c r="G246" s="173">
        <v>29.48</v>
      </c>
      <c r="H246" s="154">
        <v>3907.8736550720314</v>
      </c>
      <c r="I246" s="190">
        <f>VLOOKUP($A246&amp;$B246,'KU Inputs'!$C$2:$I$505,MATCH('KU UtilityData'!I$1,'KU Inputs'!$C$1:$I$1,0),0)*1000</f>
        <v>4685051</v>
      </c>
      <c r="J246" s="190">
        <f>VLOOKUP($A246&amp;$B246,'KU Inputs'!$C$2:$I$505,MATCH('KU UtilityData'!J$1,'KU Inputs'!$C$1:$I$1,0),0)*1000</f>
        <v>1859791</v>
      </c>
      <c r="K246" s="265">
        <v>457550.42906674632</v>
      </c>
      <c r="L246" s="248">
        <v>449384.34</v>
      </c>
      <c r="M246" s="164">
        <v>105160.64085444859</v>
      </c>
      <c r="N246" s="190">
        <f>VLOOKUP($A246&amp;$B246,'KU Inputs'!$C$2:$I$505,MATCH('KU UtilityData'!N$1,'KU Inputs'!$C$1:$I$1,0),0)</f>
        <v>163161.704</v>
      </c>
      <c r="O246" s="190" t="e">
        <f>VLOOKUP($A246&amp;$B246,'KU Inputs'!$C$2:$I$505,MATCH('KU UtilityData'!O$1,'KU Inputs'!$C$1:$I$1,0),0)</f>
        <v>#N/A</v>
      </c>
      <c r="P246" s="264">
        <f t="shared" si="15"/>
        <v>187</v>
      </c>
      <c r="Q246" s="264">
        <f t="shared" si="15"/>
        <v>47</v>
      </c>
      <c r="R246" s="166">
        <v>4512</v>
      </c>
      <c r="S246" s="166">
        <v>1455</v>
      </c>
      <c r="T246" s="182">
        <f t="shared" si="13"/>
        <v>0</v>
      </c>
    </row>
    <row r="247" spans="1:20" x14ac:dyDescent="0.2">
      <c r="A247" s="153">
        <v>2021</v>
      </c>
      <c r="B247" s="153">
        <v>6</v>
      </c>
      <c r="C247" s="176"/>
      <c r="D247" s="281">
        <f t="shared" si="10"/>
        <v>11.547522082529632</v>
      </c>
      <c r="E247" s="279">
        <f t="shared" si="12"/>
        <v>11.432046861704336</v>
      </c>
      <c r="F247" s="173"/>
      <c r="G247" s="173">
        <v>30.67</v>
      </c>
      <c r="H247" s="154">
        <v>3910.1074275428555</v>
      </c>
      <c r="I247" s="190">
        <f>VLOOKUP($A247&amp;$B247,'KU Inputs'!$C$2:$I$505,MATCH('KU UtilityData'!I$1,'KU Inputs'!$C$1:$I$1,0),0)*1000</f>
        <v>4685051</v>
      </c>
      <c r="J247" s="190">
        <f>VLOOKUP($A247&amp;$B247,'KU Inputs'!$C$2:$I$505,MATCH('KU UtilityData'!J$1,'KU Inputs'!$C$1:$I$1,0),0)*1000</f>
        <v>1859791</v>
      </c>
      <c r="K247" s="265">
        <v>457855.46268612414</v>
      </c>
      <c r="L247" s="248">
        <v>449384.34</v>
      </c>
      <c r="M247" s="164">
        <v>105160.64085444859</v>
      </c>
      <c r="N247" s="190">
        <f>VLOOKUP($A247&amp;$B247,'KU Inputs'!$C$2:$I$505,MATCH('KU UtilityData'!N$1,'KU Inputs'!$C$1:$I$1,0),0)</f>
        <v>163161.704</v>
      </c>
      <c r="O247" s="190" t="e">
        <f>VLOOKUP($A247&amp;$B247,'KU Inputs'!$C$2:$I$505,MATCH('KU UtilityData'!O$1,'KU Inputs'!$C$1:$I$1,0),0)</f>
        <v>#N/A</v>
      </c>
      <c r="P247" s="264">
        <f t="shared" si="15"/>
        <v>49</v>
      </c>
      <c r="Q247" s="264">
        <f t="shared" si="15"/>
        <v>171</v>
      </c>
      <c r="R247" s="166">
        <v>4512</v>
      </c>
      <c r="S247" s="166">
        <v>1455</v>
      </c>
      <c r="T247" s="182">
        <f t="shared" si="13"/>
        <v>0</v>
      </c>
    </row>
    <row r="248" spans="1:20" x14ac:dyDescent="0.2">
      <c r="A248" s="153">
        <v>2021</v>
      </c>
      <c r="B248" s="153">
        <v>7</v>
      </c>
      <c r="C248" s="176"/>
      <c r="D248" s="281">
        <f t="shared" si="10"/>
        <v>11.547522082529632</v>
      </c>
      <c r="E248" s="279">
        <f t="shared" si="12"/>
        <v>11.432046861704336</v>
      </c>
      <c r="F248" s="173"/>
      <c r="G248" s="173">
        <v>30.71</v>
      </c>
      <c r="H248" s="154">
        <v>3912.3264178489458</v>
      </c>
      <c r="I248" s="190">
        <f>VLOOKUP($A248&amp;$B248,'KU Inputs'!$C$2:$I$505,MATCH('KU UtilityData'!I$1,'KU Inputs'!$C$1:$I$1,0),0)*1000</f>
        <v>4693299</v>
      </c>
      <c r="J248" s="190">
        <f>VLOOKUP($A248&amp;$B248,'KU Inputs'!$C$2:$I$505,MATCH('KU UtilityData'!J$1,'KU Inputs'!$C$1:$I$1,0),0)*1000</f>
        <v>1862693</v>
      </c>
      <c r="K248" s="265">
        <v>458160.69966124819</v>
      </c>
      <c r="L248" s="248">
        <v>450018.94</v>
      </c>
      <c r="M248" s="164">
        <v>105907.399921517</v>
      </c>
      <c r="N248" s="190">
        <f>VLOOKUP($A248&amp;$B248,'KU Inputs'!$C$2:$I$505,MATCH('KU UtilityData'!N$1,'KU Inputs'!$C$1:$I$1,0),0)</f>
        <v>163854.01199999999</v>
      </c>
      <c r="O248" s="190" t="e">
        <f>VLOOKUP($A248&amp;$B248,'KU Inputs'!$C$2:$I$505,MATCH('KU UtilityData'!O$1,'KU Inputs'!$C$1:$I$1,0),0)</f>
        <v>#N/A</v>
      </c>
      <c r="P248" s="264">
        <f t="shared" si="15"/>
        <v>1</v>
      </c>
      <c r="Q248" s="264">
        <f t="shared" si="15"/>
        <v>325</v>
      </c>
      <c r="R248" s="166">
        <v>4512</v>
      </c>
      <c r="S248" s="166">
        <v>1455</v>
      </c>
      <c r="T248" s="182">
        <f t="shared" si="13"/>
        <v>0</v>
      </c>
    </row>
    <row r="249" spans="1:20" x14ac:dyDescent="0.2">
      <c r="A249" s="153">
        <v>2021</v>
      </c>
      <c r="B249" s="153">
        <v>8</v>
      </c>
      <c r="C249" s="176"/>
      <c r="D249" s="281">
        <f t="shared" si="10"/>
        <v>11.547522082529632</v>
      </c>
      <c r="E249" s="279">
        <f t="shared" si="12"/>
        <v>11.432046861704336</v>
      </c>
      <c r="F249" s="173"/>
      <c r="G249" s="173">
        <v>29.52</v>
      </c>
      <c r="H249" s="154">
        <v>3914.5454081550356</v>
      </c>
      <c r="I249" s="190">
        <f>VLOOKUP($A249&amp;$B249,'KU Inputs'!$C$2:$I$505,MATCH('KU UtilityData'!I$1,'KU Inputs'!$C$1:$I$1,0),0)*1000</f>
        <v>4693299</v>
      </c>
      <c r="J249" s="190">
        <f>VLOOKUP($A249&amp;$B249,'KU Inputs'!$C$2:$I$505,MATCH('KU UtilityData'!J$1,'KU Inputs'!$C$1:$I$1,0),0)*1000</f>
        <v>1862693</v>
      </c>
      <c r="K249" s="265">
        <v>458466.140127689</v>
      </c>
      <c r="L249" s="248">
        <v>450018.94</v>
      </c>
      <c r="M249" s="164">
        <v>105907.399921517</v>
      </c>
      <c r="N249" s="190">
        <f>VLOOKUP($A249&amp;$B249,'KU Inputs'!$C$2:$I$505,MATCH('KU UtilityData'!N$1,'KU Inputs'!$C$1:$I$1,0),0)</f>
        <v>163854.01199999999</v>
      </c>
      <c r="O249" s="190" t="e">
        <f>VLOOKUP($A249&amp;$B249,'KU Inputs'!$C$2:$I$505,MATCH('KU UtilityData'!O$1,'KU Inputs'!$C$1:$I$1,0),0)</f>
        <v>#N/A</v>
      </c>
      <c r="P249" s="264">
        <f t="shared" si="15"/>
        <v>0</v>
      </c>
      <c r="Q249" s="264">
        <f t="shared" si="15"/>
        <v>341</v>
      </c>
      <c r="R249" s="166">
        <v>4512</v>
      </c>
      <c r="S249" s="166">
        <v>1455</v>
      </c>
      <c r="T249" s="182">
        <f t="shared" si="13"/>
        <v>0</v>
      </c>
    </row>
    <row r="250" spans="1:20" x14ac:dyDescent="0.2">
      <c r="A250" s="153">
        <v>2021</v>
      </c>
      <c r="B250" s="153">
        <v>9</v>
      </c>
      <c r="C250" s="176"/>
      <c r="D250" s="281">
        <f t="shared" si="10"/>
        <v>11.547522082529632</v>
      </c>
      <c r="E250" s="279">
        <f t="shared" si="12"/>
        <v>11.432046861704336</v>
      </c>
      <c r="F250" s="173"/>
      <c r="G250" s="173">
        <v>30.52</v>
      </c>
      <c r="H250" s="154">
        <v>3916.7643984611259</v>
      </c>
      <c r="I250" s="190">
        <f>VLOOKUP($A250&amp;$B250,'KU Inputs'!$C$2:$I$505,MATCH('KU UtilityData'!I$1,'KU Inputs'!$C$1:$I$1,0),0)*1000</f>
        <v>4693299</v>
      </c>
      <c r="J250" s="190">
        <f>VLOOKUP($A250&amp;$B250,'KU Inputs'!$C$2:$I$505,MATCH('KU UtilityData'!J$1,'KU Inputs'!$C$1:$I$1,0),0)*1000</f>
        <v>1862693</v>
      </c>
      <c r="K250" s="265">
        <v>458771.78422110743</v>
      </c>
      <c r="L250" s="248">
        <v>450018.94</v>
      </c>
      <c r="M250" s="164">
        <v>105907.399921517</v>
      </c>
      <c r="N250" s="190">
        <f>VLOOKUP($A250&amp;$B250,'KU Inputs'!$C$2:$I$505,MATCH('KU UtilityData'!N$1,'KU Inputs'!$C$1:$I$1,0),0)</f>
        <v>163854.01199999999</v>
      </c>
      <c r="O250" s="190" t="e">
        <f>VLOOKUP($A250&amp;$B250,'KU Inputs'!$C$2:$I$505,MATCH('KU UtilityData'!O$1,'KU Inputs'!$C$1:$I$1,0),0)</f>
        <v>#N/A</v>
      </c>
      <c r="P250" s="264">
        <f t="shared" si="15"/>
        <v>12</v>
      </c>
      <c r="Q250" s="264">
        <f t="shared" si="15"/>
        <v>261</v>
      </c>
      <c r="R250" s="166">
        <v>4512</v>
      </c>
      <c r="S250" s="166">
        <v>1455</v>
      </c>
      <c r="T250" s="182">
        <f t="shared" si="13"/>
        <v>0</v>
      </c>
    </row>
    <row r="251" spans="1:20" x14ac:dyDescent="0.2">
      <c r="A251" s="153">
        <v>2021</v>
      </c>
      <c r="B251" s="153">
        <v>10</v>
      </c>
      <c r="C251" s="176"/>
      <c r="D251" s="281">
        <f t="shared" si="10"/>
        <v>11.547522082529632</v>
      </c>
      <c r="E251" s="279">
        <f t="shared" si="12"/>
        <v>11.432046861704336</v>
      </c>
      <c r="F251" s="173"/>
      <c r="G251" s="173">
        <v>29.62</v>
      </c>
      <c r="H251" s="154">
        <v>3918.9833887672157</v>
      </c>
      <c r="I251" s="190">
        <f>VLOOKUP($A251&amp;$B251,'KU Inputs'!$C$2:$I$505,MATCH('KU UtilityData'!I$1,'KU Inputs'!$C$1:$I$1,0),0)*1000</f>
        <v>4701533</v>
      </c>
      <c r="J251" s="190">
        <f>VLOOKUP($A251&amp;$B251,'KU Inputs'!$C$2:$I$505,MATCH('KU UtilityData'!J$1,'KU Inputs'!$C$1:$I$1,0),0)*1000</f>
        <v>1866915</v>
      </c>
      <c r="K251" s="265">
        <v>459077.63207725482</v>
      </c>
      <c r="L251" s="248">
        <v>450942.19</v>
      </c>
      <c r="M251" s="164">
        <v>106453.54469763039</v>
      </c>
      <c r="N251" s="190">
        <f>VLOOKUP($A251&amp;$B251,'KU Inputs'!$C$2:$I$505,MATCH('KU UtilityData'!N$1,'KU Inputs'!$C$1:$I$1,0),0)</f>
        <v>164597.87899999999</v>
      </c>
      <c r="O251" s="190" t="e">
        <f>VLOOKUP($A251&amp;$B251,'KU Inputs'!$C$2:$I$505,MATCH('KU UtilityData'!O$1,'KU Inputs'!$C$1:$I$1,0),0)</f>
        <v>#N/A</v>
      </c>
      <c r="P251" s="264">
        <f t="shared" si="15"/>
        <v>136</v>
      </c>
      <c r="Q251" s="264">
        <f t="shared" si="15"/>
        <v>73</v>
      </c>
      <c r="R251" s="166">
        <v>4512</v>
      </c>
      <c r="S251" s="166">
        <v>1455</v>
      </c>
      <c r="T251" s="182">
        <f t="shared" si="13"/>
        <v>0</v>
      </c>
    </row>
    <row r="252" spans="1:20" x14ac:dyDescent="0.2">
      <c r="A252" s="153">
        <v>2021</v>
      </c>
      <c r="B252" s="153">
        <v>11</v>
      </c>
      <c r="C252" s="176"/>
      <c r="D252" s="281">
        <f t="shared" si="10"/>
        <v>11.547522082529632</v>
      </c>
      <c r="E252" s="279">
        <f t="shared" si="12"/>
        <v>11.432046861704336</v>
      </c>
      <c r="F252" s="173"/>
      <c r="G252" s="173">
        <v>29.1</v>
      </c>
      <c r="H252" s="154">
        <v>3921.202379073306</v>
      </c>
      <c r="I252" s="190">
        <f>VLOOKUP($A252&amp;$B252,'KU Inputs'!$C$2:$I$505,MATCH('KU UtilityData'!I$1,'KU Inputs'!$C$1:$I$1,0),0)*1000</f>
        <v>4701533</v>
      </c>
      <c r="J252" s="190">
        <f>VLOOKUP($A252&amp;$B252,'KU Inputs'!$C$2:$I$505,MATCH('KU UtilityData'!J$1,'KU Inputs'!$C$1:$I$1,0),0)*1000</f>
        <v>1866915</v>
      </c>
      <c r="K252" s="265">
        <v>459383.68383197294</v>
      </c>
      <c r="L252" s="248">
        <v>450942.19</v>
      </c>
      <c r="M252" s="164">
        <v>106453.54469763039</v>
      </c>
      <c r="N252" s="190">
        <f>VLOOKUP($A252&amp;$B252,'KU Inputs'!$C$2:$I$505,MATCH('KU UtilityData'!N$1,'KU Inputs'!$C$1:$I$1,0),0)</f>
        <v>164597.87899999999</v>
      </c>
      <c r="O252" s="190" t="e">
        <f>VLOOKUP($A252&amp;$B252,'KU Inputs'!$C$2:$I$505,MATCH('KU UtilityData'!O$1,'KU Inputs'!$C$1:$I$1,0),0)</f>
        <v>#N/A</v>
      </c>
      <c r="P252" s="264">
        <f t="shared" si="15"/>
        <v>394</v>
      </c>
      <c r="Q252" s="264">
        <f t="shared" si="15"/>
        <v>7</v>
      </c>
      <c r="R252" s="166">
        <v>4512</v>
      </c>
      <c r="S252" s="166">
        <v>1455</v>
      </c>
      <c r="T252" s="182">
        <f t="shared" si="13"/>
        <v>0</v>
      </c>
    </row>
    <row r="253" spans="1:20" x14ac:dyDescent="0.2">
      <c r="A253" s="153">
        <v>2021</v>
      </c>
      <c r="B253" s="153">
        <v>12</v>
      </c>
      <c r="C253" s="176"/>
      <c r="D253" s="281">
        <f t="shared" si="10"/>
        <v>11.547522082529632</v>
      </c>
      <c r="E253" s="279">
        <f t="shared" si="12"/>
        <v>11.432046861704336</v>
      </c>
      <c r="F253" s="173"/>
      <c r="G253" s="173">
        <v>31.67</v>
      </c>
      <c r="H253" s="154">
        <v>3923.4213693793963</v>
      </c>
      <c r="I253" s="190">
        <f>VLOOKUP($A253&amp;$B253,'KU Inputs'!$C$2:$I$505,MATCH('KU UtilityData'!I$1,'KU Inputs'!$C$1:$I$1,0),0)*1000</f>
        <v>4701533</v>
      </c>
      <c r="J253" s="190">
        <f>VLOOKUP($A253&amp;$B253,'KU Inputs'!$C$2:$I$505,MATCH('KU UtilityData'!J$1,'KU Inputs'!$C$1:$I$1,0),0)*1000</f>
        <v>1866915</v>
      </c>
      <c r="K253" s="265">
        <v>459689.93962119421</v>
      </c>
      <c r="L253" s="248">
        <v>450942.19</v>
      </c>
      <c r="M253" s="164">
        <v>106453.54469763039</v>
      </c>
      <c r="N253" s="190">
        <f>VLOOKUP($A253&amp;$B253,'KU Inputs'!$C$2:$I$505,MATCH('KU UtilityData'!N$1,'KU Inputs'!$C$1:$I$1,0),0)</f>
        <v>164597.87899999999</v>
      </c>
      <c r="O253" s="190" t="e">
        <f>VLOOKUP($A253&amp;$B253,'KU Inputs'!$C$2:$I$505,MATCH('KU UtilityData'!O$1,'KU Inputs'!$C$1:$I$1,0),0)</f>
        <v>#N/A</v>
      </c>
      <c r="P253" s="264">
        <f t="shared" si="15"/>
        <v>706</v>
      </c>
      <c r="Q253" s="264">
        <f t="shared" si="15"/>
        <v>0.2</v>
      </c>
      <c r="R253" s="166">
        <v>4512</v>
      </c>
      <c r="S253" s="166">
        <v>1455</v>
      </c>
      <c r="T253" s="182">
        <f t="shared" si="13"/>
        <v>0</v>
      </c>
    </row>
    <row r="254" spans="1:20" x14ac:dyDescent="0.2">
      <c r="A254" s="153">
        <v>2022</v>
      </c>
      <c r="B254" s="153">
        <v>1</v>
      </c>
      <c r="C254" s="176"/>
      <c r="D254" s="281">
        <f t="shared" si="10"/>
        <v>11.778472524180225</v>
      </c>
      <c r="E254" s="279">
        <f t="shared" si="12"/>
        <v>11.660687798938422</v>
      </c>
      <c r="F254" s="173"/>
      <c r="G254" s="173">
        <v>32.71</v>
      </c>
      <c r="H254" s="154">
        <v>3925.6403596854861</v>
      </c>
      <c r="I254" s="190">
        <f>VLOOKUP($A254&amp;$B254,'KU Inputs'!$C$2:$I$505,MATCH('KU UtilityData'!I$1,'KU Inputs'!$C$1:$I$1,0),0)*1000</f>
        <v>4709753</v>
      </c>
      <c r="J254" s="190">
        <f>VLOOKUP($A254&amp;$B254,'KU Inputs'!$C$2:$I$505,MATCH('KU UtilityData'!J$1,'KU Inputs'!$C$1:$I$1,0),0)*1000</f>
        <v>1869009</v>
      </c>
      <c r="K254" s="265">
        <v>459996.39958094165</v>
      </c>
      <c r="L254" s="248">
        <v>451400.1</v>
      </c>
      <c r="M254" s="164">
        <v>107369.0410138056</v>
      </c>
      <c r="N254" s="190">
        <f>VLOOKUP($A254&amp;$B254,'KU Inputs'!$C$2:$I$505,MATCH('KU UtilityData'!N$1,'KU Inputs'!$C$1:$I$1,0),0)</f>
        <v>165857.508</v>
      </c>
      <c r="O254" s="190" t="e">
        <f>VLOOKUP($A254&amp;$B254,'KU Inputs'!$C$2:$I$505,MATCH('KU UtilityData'!O$1,'KU Inputs'!$C$1:$I$1,0),0)</f>
        <v>#N/A</v>
      </c>
      <c r="P254" s="264">
        <f t="shared" si="15"/>
        <v>996</v>
      </c>
      <c r="Q254" s="264">
        <f t="shared" si="15"/>
        <v>0</v>
      </c>
      <c r="R254" s="166">
        <v>4512</v>
      </c>
      <c r="S254" s="166">
        <v>1455</v>
      </c>
      <c r="T254" s="182">
        <f t="shared" si="13"/>
        <v>0</v>
      </c>
    </row>
    <row r="255" spans="1:20" x14ac:dyDescent="0.2">
      <c r="A255" s="153">
        <v>2022</v>
      </c>
      <c r="B255" s="153">
        <v>2</v>
      </c>
      <c r="C255" s="176"/>
      <c r="D255" s="281">
        <f t="shared" si="10"/>
        <v>11.778472524180225</v>
      </c>
      <c r="E255" s="279">
        <f t="shared" si="12"/>
        <v>11.660687798938422</v>
      </c>
      <c r="F255" s="173"/>
      <c r="G255" s="173">
        <v>29.81</v>
      </c>
      <c r="H255" s="154">
        <v>3927.8593499915764</v>
      </c>
      <c r="I255" s="190">
        <f>VLOOKUP($A255&amp;$B255,'KU Inputs'!$C$2:$I$505,MATCH('KU UtilityData'!I$1,'KU Inputs'!$C$1:$I$1,0),0)*1000</f>
        <v>4709753</v>
      </c>
      <c r="J255" s="190">
        <f>VLOOKUP($A255&amp;$B255,'KU Inputs'!$C$2:$I$505,MATCH('KU UtilityData'!J$1,'KU Inputs'!$C$1:$I$1,0),0)*1000</f>
        <v>1869009</v>
      </c>
      <c r="K255" s="265">
        <v>460303.06384732889</v>
      </c>
      <c r="L255" s="248">
        <v>451400.1</v>
      </c>
      <c r="M255" s="164">
        <v>107369.0410138056</v>
      </c>
      <c r="N255" s="190">
        <f>VLOOKUP($A255&amp;$B255,'KU Inputs'!$C$2:$I$505,MATCH('KU UtilityData'!N$1,'KU Inputs'!$C$1:$I$1,0),0)</f>
        <v>165857.508</v>
      </c>
      <c r="O255" s="190" t="e">
        <f>VLOOKUP($A255&amp;$B255,'KU Inputs'!$C$2:$I$505,MATCH('KU UtilityData'!O$1,'KU Inputs'!$C$1:$I$1,0),0)</f>
        <v>#N/A</v>
      </c>
      <c r="P255" s="264">
        <f t="shared" si="15"/>
        <v>889.8</v>
      </c>
      <c r="Q255" s="264">
        <f t="shared" si="15"/>
        <v>0</v>
      </c>
      <c r="R255" s="166">
        <v>4512</v>
      </c>
      <c r="S255" s="166">
        <v>1455</v>
      </c>
      <c r="T255" s="182">
        <f t="shared" si="13"/>
        <v>0</v>
      </c>
    </row>
    <row r="256" spans="1:20" x14ac:dyDescent="0.2">
      <c r="A256" s="153">
        <v>2022</v>
      </c>
      <c r="B256" s="153">
        <v>3</v>
      </c>
      <c r="C256" s="176"/>
      <c r="D256" s="281">
        <f t="shared" si="10"/>
        <v>11.778472524180225</v>
      </c>
      <c r="E256" s="279">
        <f t="shared" si="12"/>
        <v>11.660687798938422</v>
      </c>
      <c r="F256" s="173"/>
      <c r="G256" s="173">
        <v>30.33</v>
      </c>
      <c r="H256" s="154">
        <v>3930.0783402976663</v>
      </c>
      <c r="I256" s="190">
        <f>VLOOKUP($A256&amp;$B256,'KU Inputs'!$C$2:$I$505,MATCH('KU UtilityData'!I$1,'KU Inputs'!$C$1:$I$1,0),0)*1000</f>
        <v>4709753</v>
      </c>
      <c r="J256" s="190">
        <f>VLOOKUP($A256&amp;$B256,'KU Inputs'!$C$2:$I$505,MATCH('KU UtilityData'!J$1,'KU Inputs'!$C$1:$I$1,0),0)*1000</f>
        <v>1869009</v>
      </c>
      <c r="K256" s="265">
        <v>460609.93255656038</v>
      </c>
      <c r="L256" s="248">
        <v>451400.1</v>
      </c>
      <c r="M256" s="164">
        <v>107369.0410138056</v>
      </c>
      <c r="N256" s="190">
        <f>VLOOKUP($A256&amp;$B256,'KU Inputs'!$C$2:$I$505,MATCH('KU UtilityData'!N$1,'KU Inputs'!$C$1:$I$1,0),0)</f>
        <v>165857.508</v>
      </c>
      <c r="O256" s="190" t="e">
        <f>VLOOKUP($A256&amp;$B256,'KU Inputs'!$C$2:$I$505,MATCH('KU UtilityData'!O$1,'KU Inputs'!$C$1:$I$1,0),0)</f>
        <v>#N/A</v>
      </c>
      <c r="P256" s="264">
        <f t="shared" si="15"/>
        <v>729</v>
      </c>
      <c r="Q256" s="264">
        <f t="shared" si="15"/>
        <v>0.45</v>
      </c>
      <c r="R256" s="166">
        <v>4512</v>
      </c>
      <c r="S256" s="166">
        <v>1455</v>
      </c>
      <c r="T256" s="182">
        <f t="shared" si="13"/>
        <v>0</v>
      </c>
    </row>
    <row r="257" spans="1:20" x14ac:dyDescent="0.2">
      <c r="A257" s="153">
        <v>2022</v>
      </c>
      <c r="B257" s="153">
        <v>4</v>
      </c>
      <c r="C257" s="176"/>
      <c r="D257" s="281">
        <f t="shared" si="10"/>
        <v>11.778472524180225</v>
      </c>
      <c r="E257" s="279">
        <f t="shared" si="12"/>
        <v>11.660687798938422</v>
      </c>
      <c r="F257" s="173"/>
      <c r="G257" s="173">
        <v>30.19</v>
      </c>
      <c r="H257" s="154">
        <v>3932.2973306037566</v>
      </c>
      <c r="I257" s="190">
        <f>VLOOKUP($A257&amp;$B257,'KU Inputs'!$C$2:$I$505,MATCH('KU UtilityData'!I$1,'KU Inputs'!$C$1:$I$1,0),0)*1000</f>
        <v>4717958</v>
      </c>
      <c r="J257" s="190">
        <f>VLOOKUP($A257&amp;$B257,'KU Inputs'!$C$2:$I$505,MATCH('KU UtilityData'!J$1,'KU Inputs'!$C$1:$I$1,0),0)*1000</f>
        <v>1872117</v>
      </c>
      <c r="K257" s="265">
        <v>460917.00584493141</v>
      </c>
      <c r="L257" s="248">
        <v>452079.74</v>
      </c>
      <c r="M257" s="164">
        <v>108063.41978298381</v>
      </c>
      <c r="N257" s="190">
        <f>VLOOKUP($A257&amp;$B257,'KU Inputs'!$C$2:$I$505,MATCH('KU UtilityData'!N$1,'KU Inputs'!$C$1:$I$1,0),0)</f>
        <v>166796.47399999999</v>
      </c>
      <c r="O257" s="190" t="e">
        <f>VLOOKUP($A257&amp;$B257,'KU Inputs'!$C$2:$I$505,MATCH('KU UtilityData'!O$1,'KU Inputs'!$C$1:$I$1,0),0)</f>
        <v>#N/A</v>
      </c>
      <c r="P257" s="264">
        <f t="shared" si="15"/>
        <v>440</v>
      </c>
      <c r="Q257" s="264">
        <f t="shared" si="15"/>
        <v>11.85</v>
      </c>
      <c r="R257" s="166">
        <v>4512</v>
      </c>
      <c r="S257" s="166">
        <v>1455</v>
      </c>
      <c r="T257" s="182">
        <f t="shared" si="13"/>
        <v>0</v>
      </c>
    </row>
    <row r="258" spans="1:20" x14ac:dyDescent="0.2">
      <c r="A258" s="153">
        <v>2022</v>
      </c>
      <c r="B258" s="153">
        <v>5</v>
      </c>
      <c r="C258" s="176"/>
      <c r="D258" s="281">
        <f t="shared" si="10"/>
        <v>11.778472524180225</v>
      </c>
      <c r="E258" s="279">
        <f t="shared" si="12"/>
        <v>11.660687798938422</v>
      </c>
      <c r="F258" s="173"/>
      <c r="G258" s="173">
        <v>30.14</v>
      </c>
      <c r="H258" s="154">
        <v>3934.5163209098464</v>
      </c>
      <c r="I258" s="190">
        <f>VLOOKUP($A258&amp;$B258,'KU Inputs'!$C$2:$I$505,MATCH('KU UtilityData'!I$1,'KU Inputs'!$C$1:$I$1,0),0)*1000</f>
        <v>4717958</v>
      </c>
      <c r="J258" s="190">
        <f>VLOOKUP($A258&amp;$B258,'KU Inputs'!$C$2:$I$505,MATCH('KU UtilityData'!J$1,'KU Inputs'!$C$1:$I$1,0),0)*1000</f>
        <v>1872117</v>
      </c>
      <c r="K258" s="265">
        <v>461224.283848828</v>
      </c>
      <c r="L258" s="248">
        <v>452079.74</v>
      </c>
      <c r="M258" s="164">
        <v>108063.41978298381</v>
      </c>
      <c r="N258" s="190">
        <f>VLOOKUP($A258&amp;$B258,'KU Inputs'!$C$2:$I$505,MATCH('KU UtilityData'!N$1,'KU Inputs'!$C$1:$I$1,0),0)</f>
        <v>166796.47399999999</v>
      </c>
      <c r="O258" s="190" t="e">
        <f>VLOOKUP($A258&amp;$B258,'KU Inputs'!$C$2:$I$505,MATCH('KU UtilityData'!O$1,'KU Inputs'!$C$1:$I$1,0),0)</f>
        <v>#N/A</v>
      </c>
      <c r="P258" s="264">
        <f t="shared" ref="P258:Q277" si="16">P246</f>
        <v>187</v>
      </c>
      <c r="Q258" s="264">
        <f t="shared" si="16"/>
        <v>47</v>
      </c>
      <c r="R258" s="166">
        <v>4512</v>
      </c>
      <c r="S258" s="166">
        <v>1455</v>
      </c>
      <c r="T258" s="182">
        <f t="shared" si="13"/>
        <v>0</v>
      </c>
    </row>
    <row r="259" spans="1:20" x14ac:dyDescent="0.2">
      <c r="A259" s="153">
        <v>2022</v>
      </c>
      <c r="B259" s="153">
        <v>6</v>
      </c>
      <c r="C259" s="176"/>
      <c r="D259" s="281">
        <f t="shared" ref="D259:D322" si="17">D247*(1+0.02)</f>
        <v>11.778472524180225</v>
      </c>
      <c r="E259" s="279">
        <f t="shared" si="12"/>
        <v>11.660687798938422</v>
      </c>
      <c r="F259" s="173"/>
      <c r="G259" s="173">
        <v>30.67</v>
      </c>
      <c r="H259" s="154">
        <v>3936.7353112159381</v>
      </c>
      <c r="I259" s="190">
        <f>VLOOKUP($A259&amp;$B259,'KU Inputs'!$C$2:$I$505,MATCH('KU UtilityData'!I$1,'KU Inputs'!$C$1:$I$1,0),0)*1000</f>
        <v>4717958</v>
      </c>
      <c r="J259" s="190">
        <f>VLOOKUP($A259&amp;$B259,'KU Inputs'!$C$2:$I$505,MATCH('KU UtilityData'!J$1,'KU Inputs'!$C$1:$I$1,0),0)*1000</f>
        <v>1872117</v>
      </c>
      <c r="K259" s="265">
        <v>461531.7667047272</v>
      </c>
      <c r="L259" s="248">
        <v>452079.75</v>
      </c>
      <c r="M259" s="164">
        <v>108063.41978298381</v>
      </c>
      <c r="N259" s="190">
        <f>VLOOKUP($A259&amp;$B259,'KU Inputs'!$C$2:$I$505,MATCH('KU UtilityData'!N$1,'KU Inputs'!$C$1:$I$1,0),0)</f>
        <v>166796.47399999999</v>
      </c>
      <c r="O259" s="190" t="e">
        <f>VLOOKUP($A259&amp;$B259,'KU Inputs'!$C$2:$I$505,MATCH('KU UtilityData'!O$1,'KU Inputs'!$C$1:$I$1,0),0)</f>
        <v>#N/A</v>
      </c>
      <c r="P259" s="264">
        <f t="shared" si="16"/>
        <v>49</v>
      </c>
      <c r="Q259" s="264">
        <f t="shared" si="16"/>
        <v>171</v>
      </c>
      <c r="R259" s="166">
        <v>4512</v>
      </c>
      <c r="S259" s="166">
        <v>1455</v>
      </c>
      <c r="T259" s="182">
        <f t="shared" si="13"/>
        <v>0</v>
      </c>
    </row>
    <row r="260" spans="1:20" x14ac:dyDescent="0.2">
      <c r="A260" s="153">
        <v>2022</v>
      </c>
      <c r="B260" s="153">
        <v>7</v>
      </c>
      <c r="C260" s="176"/>
      <c r="D260" s="281">
        <f t="shared" si="17"/>
        <v>11.778472524180225</v>
      </c>
      <c r="E260" s="279">
        <f t="shared" si="12"/>
        <v>11.660687798938422</v>
      </c>
      <c r="F260" s="173"/>
      <c r="G260" s="173">
        <v>30.71</v>
      </c>
      <c r="H260" s="154">
        <v>3938.9357023664011</v>
      </c>
      <c r="I260" s="190">
        <f>VLOOKUP($A260&amp;$B260,'KU Inputs'!$C$2:$I$505,MATCH('KU UtilityData'!I$1,'KU Inputs'!$C$1:$I$1,0),0)*1000</f>
        <v>4726133</v>
      </c>
      <c r="J260" s="190">
        <f>VLOOKUP($A260&amp;$B260,'KU Inputs'!$C$2:$I$505,MATCH('KU UtilityData'!J$1,'KU Inputs'!$C$1:$I$1,0),0)*1000</f>
        <v>1875196</v>
      </c>
      <c r="K260" s="265">
        <v>461839.45454919699</v>
      </c>
      <c r="L260" s="248">
        <v>452753.05</v>
      </c>
      <c r="M260" s="164">
        <v>108602.2295135826</v>
      </c>
      <c r="N260" s="190">
        <f>VLOOKUP($A260&amp;$B260,'KU Inputs'!$C$2:$I$505,MATCH('KU UtilityData'!N$1,'KU Inputs'!$C$1:$I$1,0),0)</f>
        <v>167787.24299999999</v>
      </c>
      <c r="O260" s="190" t="e">
        <f>VLOOKUP($A260&amp;$B260,'KU Inputs'!$C$2:$I$505,MATCH('KU UtilityData'!O$1,'KU Inputs'!$C$1:$I$1,0),0)</f>
        <v>#N/A</v>
      </c>
      <c r="P260" s="264">
        <f t="shared" si="16"/>
        <v>1</v>
      </c>
      <c r="Q260" s="264">
        <f t="shared" si="16"/>
        <v>325</v>
      </c>
      <c r="R260" s="166">
        <v>4512</v>
      </c>
      <c r="S260" s="166">
        <v>1455</v>
      </c>
      <c r="T260" s="182">
        <f t="shared" si="13"/>
        <v>0</v>
      </c>
    </row>
    <row r="261" spans="1:20" x14ac:dyDescent="0.2">
      <c r="A261" s="153">
        <v>2022</v>
      </c>
      <c r="B261" s="153">
        <v>8</v>
      </c>
      <c r="C261" s="176"/>
      <c r="D261" s="281">
        <f t="shared" si="17"/>
        <v>11.778472524180225</v>
      </c>
      <c r="E261" s="279">
        <f t="shared" si="12"/>
        <v>11.660687798938422</v>
      </c>
      <c r="F261" s="173"/>
      <c r="G261" s="173">
        <v>29.52</v>
      </c>
      <c r="H261" s="154">
        <v>3941.1360935168641</v>
      </c>
      <c r="I261" s="190">
        <f>VLOOKUP($A261&amp;$B261,'KU Inputs'!$C$2:$I$505,MATCH('KU UtilityData'!I$1,'KU Inputs'!$C$1:$I$1,0),0)*1000</f>
        <v>4726133</v>
      </c>
      <c r="J261" s="190">
        <f>VLOOKUP($A261&amp;$B261,'KU Inputs'!$C$2:$I$505,MATCH('KU UtilityData'!J$1,'KU Inputs'!$C$1:$I$1,0),0)*1000</f>
        <v>1875196</v>
      </c>
      <c r="K261" s="265">
        <v>462147.34751889639</v>
      </c>
      <c r="L261" s="248">
        <v>452753.05</v>
      </c>
      <c r="M261" s="164">
        <v>108602.2295135826</v>
      </c>
      <c r="N261" s="190">
        <f>VLOOKUP($A261&amp;$B261,'KU Inputs'!$C$2:$I$505,MATCH('KU UtilityData'!N$1,'KU Inputs'!$C$1:$I$1,0),0)</f>
        <v>167787.24299999999</v>
      </c>
      <c r="O261" s="190" t="e">
        <f>VLOOKUP($A261&amp;$B261,'KU Inputs'!$C$2:$I$505,MATCH('KU UtilityData'!O$1,'KU Inputs'!$C$1:$I$1,0),0)</f>
        <v>#N/A</v>
      </c>
      <c r="P261" s="264">
        <f t="shared" si="16"/>
        <v>0</v>
      </c>
      <c r="Q261" s="264">
        <f t="shared" si="16"/>
        <v>341</v>
      </c>
      <c r="R261" s="166">
        <v>4512</v>
      </c>
      <c r="S261" s="166">
        <v>1455</v>
      </c>
      <c r="T261" s="182">
        <f t="shared" si="13"/>
        <v>0</v>
      </c>
    </row>
    <row r="262" spans="1:20" x14ac:dyDescent="0.2">
      <c r="A262" s="153">
        <v>2022</v>
      </c>
      <c r="B262" s="153">
        <v>9</v>
      </c>
      <c r="C262" s="176"/>
      <c r="D262" s="281">
        <f t="shared" si="17"/>
        <v>11.778472524180225</v>
      </c>
      <c r="E262" s="279">
        <f t="shared" si="12"/>
        <v>11.660687798938422</v>
      </c>
      <c r="F262" s="173"/>
      <c r="G262" s="173">
        <v>30.52</v>
      </c>
      <c r="H262" s="154">
        <v>3943.3364846673267</v>
      </c>
      <c r="I262" s="190">
        <f>VLOOKUP($A262&amp;$B262,'KU Inputs'!$C$2:$I$505,MATCH('KU UtilityData'!I$1,'KU Inputs'!$C$1:$I$1,0),0)*1000</f>
        <v>4726133</v>
      </c>
      <c r="J262" s="190">
        <f>VLOOKUP($A262&amp;$B262,'KU Inputs'!$C$2:$I$505,MATCH('KU UtilityData'!J$1,'KU Inputs'!$C$1:$I$1,0),0)*1000</f>
        <v>1875196</v>
      </c>
      <c r="K262" s="265">
        <v>462455.44575057563</v>
      </c>
      <c r="L262" s="248">
        <v>452753.05</v>
      </c>
      <c r="M262" s="164">
        <v>108602.2295135826</v>
      </c>
      <c r="N262" s="190">
        <f>VLOOKUP($A262&amp;$B262,'KU Inputs'!$C$2:$I$505,MATCH('KU UtilityData'!N$1,'KU Inputs'!$C$1:$I$1,0),0)</f>
        <v>167787.24299999999</v>
      </c>
      <c r="O262" s="190" t="e">
        <f>VLOOKUP($A262&amp;$B262,'KU Inputs'!$C$2:$I$505,MATCH('KU UtilityData'!O$1,'KU Inputs'!$C$1:$I$1,0),0)</f>
        <v>#N/A</v>
      </c>
      <c r="P262" s="264">
        <f t="shared" si="16"/>
        <v>12</v>
      </c>
      <c r="Q262" s="264">
        <f t="shared" si="16"/>
        <v>261</v>
      </c>
      <c r="R262" s="166">
        <v>4512</v>
      </c>
      <c r="S262" s="166">
        <v>1455</v>
      </c>
      <c r="T262" s="182">
        <f t="shared" si="13"/>
        <v>0</v>
      </c>
    </row>
    <row r="263" spans="1:20" x14ac:dyDescent="0.2">
      <c r="A263" s="153">
        <v>2022</v>
      </c>
      <c r="B263" s="153">
        <v>10</v>
      </c>
      <c r="C263" s="176"/>
      <c r="D263" s="281">
        <f t="shared" si="17"/>
        <v>11.778472524180225</v>
      </c>
      <c r="E263" s="279">
        <f t="shared" ref="E263:E326" si="18">D263*0.99</f>
        <v>11.660687798938422</v>
      </c>
      <c r="F263" s="173"/>
      <c r="G263" s="173">
        <v>29.62</v>
      </c>
      <c r="H263" s="154">
        <v>3945.5368758177897</v>
      </c>
      <c r="I263" s="190">
        <f>VLOOKUP($A263&amp;$B263,'KU Inputs'!$C$2:$I$505,MATCH('KU UtilityData'!I$1,'KU Inputs'!$C$1:$I$1,0),0)*1000</f>
        <v>4734292</v>
      </c>
      <c r="J263" s="190">
        <f>VLOOKUP($A263&amp;$B263,'KU Inputs'!$C$2:$I$505,MATCH('KU UtilityData'!J$1,'KU Inputs'!$C$1:$I$1,0),0)*1000</f>
        <v>1878357</v>
      </c>
      <c r="K263" s="265">
        <v>462763.74938107596</v>
      </c>
      <c r="L263" s="248">
        <v>453444.29</v>
      </c>
      <c r="M263" s="164">
        <v>109325.16476491949</v>
      </c>
      <c r="N263" s="190">
        <f>VLOOKUP($A263&amp;$B263,'KU Inputs'!$C$2:$I$505,MATCH('KU UtilityData'!N$1,'KU Inputs'!$C$1:$I$1,0),0)</f>
        <v>168781.15</v>
      </c>
      <c r="O263" s="190" t="e">
        <f>VLOOKUP($A263&amp;$B263,'KU Inputs'!$C$2:$I$505,MATCH('KU UtilityData'!O$1,'KU Inputs'!$C$1:$I$1,0),0)</f>
        <v>#N/A</v>
      </c>
      <c r="P263" s="264">
        <f t="shared" si="16"/>
        <v>136</v>
      </c>
      <c r="Q263" s="264">
        <f t="shared" si="16"/>
        <v>73</v>
      </c>
      <c r="R263" s="166">
        <v>4512</v>
      </c>
      <c r="S263" s="166">
        <v>1455</v>
      </c>
      <c r="T263" s="182">
        <f t="shared" si="13"/>
        <v>0</v>
      </c>
    </row>
    <row r="264" spans="1:20" x14ac:dyDescent="0.2">
      <c r="A264" s="153">
        <v>2022</v>
      </c>
      <c r="B264" s="153">
        <v>11</v>
      </c>
      <c r="C264" s="176"/>
      <c r="D264" s="281">
        <f t="shared" si="17"/>
        <v>11.778472524180225</v>
      </c>
      <c r="E264" s="279">
        <f t="shared" si="18"/>
        <v>11.660687798938422</v>
      </c>
      <c r="F264" s="173"/>
      <c r="G264" s="173">
        <v>29.95</v>
      </c>
      <c r="H264" s="154">
        <v>3947.7372669682527</v>
      </c>
      <c r="I264" s="190">
        <f>VLOOKUP($A264&amp;$B264,'KU Inputs'!$C$2:$I$505,MATCH('KU UtilityData'!I$1,'KU Inputs'!$C$1:$I$1,0),0)*1000</f>
        <v>4734292</v>
      </c>
      <c r="J264" s="190">
        <f>VLOOKUP($A264&amp;$B264,'KU Inputs'!$C$2:$I$505,MATCH('KU UtilityData'!J$1,'KU Inputs'!$C$1:$I$1,0),0)*1000</f>
        <v>1878357</v>
      </c>
      <c r="K264" s="265">
        <v>463072.25854732998</v>
      </c>
      <c r="L264" s="248">
        <v>453444.29</v>
      </c>
      <c r="M264" s="164">
        <v>109325.16476491949</v>
      </c>
      <c r="N264" s="190">
        <f>VLOOKUP($A264&amp;$B264,'KU Inputs'!$C$2:$I$505,MATCH('KU UtilityData'!N$1,'KU Inputs'!$C$1:$I$1,0),0)</f>
        <v>168781.15</v>
      </c>
      <c r="O264" s="190" t="e">
        <f>VLOOKUP($A264&amp;$B264,'KU Inputs'!$C$2:$I$505,MATCH('KU UtilityData'!O$1,'KU Inputs'!$C$1:$I$1,0),0)</f>
        <v>#N/A</v>
      </c>
      <c r="P264" s="264">
        <f t="shared" si="16"/>
        <v>394</v>
      </c>
      <c r="Q264" s="264">
        <f t="shared" si="16"/>
        <v>7</v>
      </c>
      <c r="R264" s="166">
        <v>4512</v>
      </c>
      <c r="S264" s="166">
        <v>1455</v>
      </c>
      <c r="T264" s="182">
        <f t="shared" si="13"/>
        <v>0</v>
      </c>
    </row>
    <row r="265" spans="1:20" x14ac:dyDescent="0.2">
      <c r="A265" s="153">
        <v>2022</v>
      </c>
      <c r="B265" s="153">
        <v>12</v>
      </c>
      <c r="C265" s="176"/>
      <c r="D265" s="281">
        <f t="shared" si="17"/>
        <v>11.778472524180225</v>
      </c>
      <c r="E265" s="279">
        <f t="shared" si="18"/>
        <v>11.660687798938422</v>
      </c>
      <c r="F265" s="173"/>
      <c r="G265" s="173">
        <v>31.24</v>
      </c>
      <c r="H265" s="154">
        <v>3949.9376581187157</v>
      </c>
      <c r="I265" s="190">
        <f>VLOOKUP($A265&amp;$B265,'KU Inputs'!$C$2:$I$505,MATCH('KU UtilityData'!I$1,'KU Inputs'!$C$1:$I$1,0),0)*1000</f>
        <v>4734292</v>
      </c>
      <c r="J265" s="190">
        <f>VLOOKUP($A265&amp;$B265,'KU Inputs'!$C$2:$I$505,MATCH('KU UtilityData'!J$1,'KU Inputs'!$C$1:$I$1,0),0)*1000</f>
        <v>1878357</v>
      </c>
      <c r="K265" s="265">
        <v>463380.9733863615</v>
      </c>
      <c r="L265" s="248">
        <v>453444.29</v>
      </c>
      <c r="M265" s="164">
        <v>109325.16476491949</v>
      </c>
      <c r="N265" s="190">
        <f>VLOOKUP($A265&amp;$B265,'KU Inputs'!$C$2:$I$505,MATCH('KU UtilityData'!N$1,'KU Inputs'!$C$1:$I$1,0),0)</f>
        <v>168781.15</v>
      </c>
      <c r="O265" s="190" t="e">
        <f>VLOOKUP($A265&amp;$B265,'KU Inputs'!$C$2:$I$505,MATCH('KU UtilityData'!O$1,'KU Inputs'!$C$1:$I$1,0),0)</f>
        <v>#N/A</v>
      </c>
      <c r="P265" s="264">
        <f t="shared" si="16"/>
        <v>706</v>
      </c>
      <c r="Q265" s="264">
        <f t="shared" si="16"/>
        <v>0.2</v>
      </c>
      <c r="R265" s="166">
        <v>4512</v>
      </c>
      <c r="S265" s="166">
        <v>1455</v>
      </c>
      <c r="T265" s="182">
        <f t="shared" si="13"/>
        <v>0</v>
      </c>
    </row>
    <row r="266" spans="1:20" x14ac:dyDescent="0.2">
      <c r="A266" s="153">
        <v>2023</v>
      </c>
      <c r="B266" s="153">
        <v>1</v>
      </c>
      <c r="C266" s="176"/>
      <c r="D266" s="281">
        <f t="shared" si="17"/>
        <v>12.014041974663829</v>
      </c>
      <c r="E266" s="279">
        <f t="shared" si="18"/>
        <v>11.893901554917191</v>
      </c>
      <c r="F266" s="173"/>
      <c r="G266" s="173">
        <v>32.67</v>
      </c>
      <c r="H266" s="154">
        <v>3952.1380492691783</v>
      </c>
      <c r="I266" s="190">
        <f>VLOOKUP($A266&amp;$B266,'KU Inputs'!$C$2:$I$505,MATCH('KU UtilityData'!I$1,'KU Inputs'!$C$1:$I$1,0),0)*1000</f>
        <v>4742434</v>
      </c>
      <c r="J266" s="190">
        <f>VLOOKUP($A266&amp;$B266,'KU Inputs'!$C$2:$I$505,MATCH('KU UtilityData'!J$1,'KU Inputs'!$C$1:$I$1,0),0)*1000</f>
        <v>1881624</v>
      </c>
      <c r="K266" s="265">
        <v>463689.89403528569</v>
      </c>
      <c r="L266" s="248">
        <v>454158.7</v>
      </c>
      <c r="M266" s="164">
        <v>110158.29895100251</v>
      </c>
      <c r="N266" s="190">
        <f>VLOOKUP($A266&amp;$B266,'KU Inputs'!$C$2:$I$505,MATCH('KU UtilityData'!N$1,'KU Inputs'!$C$1:$I$1,0),0)</f>
        <v>170138.21400000001</v>
      </c>
      <c r="O266" s="190" t="e">
        <f>VLOOKUP($A266&amp;$B266,'KU Inputs'!$C$2:$I$505,MATCH('KU UtilityData'!O$1,'KU Inputs'!$C$1:$I$1,0),0)</f>
        <v>#N/A</v>
      </c>
      <c r="P266" s="264">
        <f t="shared" si="16"/>
        <v>996</v>
      </c>
      <c r="Q266" s="264">
        <f t="shared" si="16"/>
        <v>0</v>
      </c>
      <c r="R266" s="166">
        <v>4512</v>
      </c>
      <c r="S266" s="166">
        <v>1455</v>
      </c>
      <c r="T266" s="182">
        <f t="shared" ref="T266:T329" si="19">C266/L266*1000</f>
        <v>0</v>
      </c>
    </row>
    <row r="267" spans="1:20" x14ac:dyDescent="0.2">
      <c r="A267" s="153">
        <v>2023</v>
      </c>
      <c r="B267" s="153">
        <v>2</v>
      </c>
      <c r="C267" s="176"/>
      <c r="D267" s="281">
        <f t="shared" si="17"/>
        <v>12.014041974663829</v>
      </c>
      <c r="E267" s="279">
        <f t="shared" si="18"/>
        <v>11.893901554917191</v>
      </c>
      <c r="F267" s="173"/>
      <c r="G267" s="173">
        <v>29.86</v>
      </c>
      <c r="H267" s="154">
        <v>3954.3384404196413</v>
      </c>
      <c r="I267" s="190">
        <f>VLOOKUP($A267&amp;$B267,'KU Inputs'!$C$2:$I$505,MATCH('KU UtilityData'!I$1,'KU Inputs'!$C$1:$I$1,0),0)*1000</f>
        <v>4742434</v>
      </c>
      <c r="J267" s="190">
        <f>VLOOKUP($A267&amp;$B267,'KU Inputs'!$C$2:$I$505,MATCH('KU UtilityData'!J$1,'KU Inputs'!$C$1:$I$1,0),0)*1000</f>
        <v>1881624</v>
      </c>
      <c r="K267" s="265">
        <v>463999.02063130919</v>
      </c>
      <c r="L267" s="248">
        <v>454158.7</v>
      </c>
      <c r="M267" s="164">
        <v>110158.29895100251</v>
      </c>
      <c r="N267" s="190">
        <f>VLOOKUP($A267&amp;$B267,'KU Inputs'!$C$2:$I$505,MATCH('KU UtilityData'!N$1,'KU Inputs'!$C$1:$I$1,0),0)</f>
        <v>170138.21400000001</v>
      </c>
      <c r="O267" s="190" t="e">
        <f>VLOOKUP($A267&amp;$B267,'KU Inputs'!$C$2:$I$505,MATCH('KU UtilityData'!O$1,'KU Inputs'!$C$1:$I$1,0),0)</f>
        <v>#N/A</v>
      </c>
      <c r="P267" s="264">
        <f t="shared" si="16"/>
        <v>889.8</v>
      </c>
      <c r="Q267" s="264">
        <f t="shared" si="16"/>
        <v>0</v>
      </c>
      <c r="R267" s="166">
        <v>4512</v>
      </c>
      <c r="S267" s="166">
        <v>1455</v>
      </c>
      <c r="T267" s="182">
        <f t="shared" si="19"/>
        <v>0</v>
      </c>
    </row>
    <row r="268" spans="1:20" x14ac:dyDescent="0.2">
      <c r="A268" s="153">
        <v>2023</v>
      </c>
      <c r="B268" s="153">
        <v>3</v>
      </c>
      <c r="C268" s="176"/>
      <c r="D268" s="281">
        <f t="shared" si="17"/>
        <v>12.014041974663829</v>
      </c>
      <c r="E268" s="279">
        <f t="shared" si="18"/>
        <v>11.893901554917191</v>
      </c>
      <c r="F268" s="173"/>
      <c r="G268" s="173">
        <v>30.29</v>
      </c>
      <c r="H268" s="154">
        <v>3956.5388315701043</v>
      </c>
      <c r="I268" s="190">
        <f>VLOOKUP($A268&amp;$B268,'KU Inputs'!$C$2:$I$505,MATCH('KU UtilityData'!I$1,'KU Inputs'!$C$1:$I$1,0),0)*1000</f>
        <v>4742434</v>
      </c>
      <c r="J268" s="190">
        <f>VLOOKUP($A268&amp;$B268,'KU Inputs'!$C$2:$I$505,MATCH('KU UtilityData'!J$1,'KU Inputs'!$C$1:$I$1,0),0)*1000</f>
        <v>1881624</v>
      </c>
      <c r="K268" s="265">
        <v>464308.35331173002</v>
      </c>
      <c r="L268" s="248">
        <v>454158.7</v>
      </c>
      <c r="M268" s="164">
        <v>110158.29895100251</v>
      </c>
      <c r="N268" s="190">
        <f>VLOOKUP($A268&amp;$B268,'KU Inputs'!$C$2:$I$505,MATCH('KU UtilityData'!N$1,'KU Inputs'!$C$1:$I$1,0),0)</f>
        <v>170138.21400000001</v>
      </c>
      <c r="O268" s="190" t="e">
        <f>VLOOKUP($A268&amp;$B268,'KU Inputs'!$C$2:$I$505,MATCH('KU UtilityData'!O$1,'KU Inputs'!$C$1:$I$1,0),0)</f>
        <v>#N/A</v>
      </c>
      <c r="P268" s="264">
        <f t="shared" si="16"/>
        <v>729</v>
      </c>
      <c r="Q268" s="264">
        <f t="shared" si="16"/>
        <v>0.45</v>
      </c>
      <c r="R268" s="166">
        <v>4512</v>
      </c>
      <c r="S268" s="166">
        <v>1455</v>
      </c>
      <c r="T268" s="182">
        <f t="shared" si="19"/>
        <v>0</v>
      </c>
    </row>
    <row r="269" spans="1:20" x14ac:dyDescent="0.2">
      <c r="A269" s="153">
        <v>2023</v>
      </c>
      <c r="B269" s="153">
        <v>4</v>
      </c>
      <c r="C269" s="176"/>
      <c r="D269" s="281">
        <f t="shared" si="17"/>
        <v>12.014041974663829</v>
      </c>
      <c r="E269" s="279">
        <f t="shared" si="18"/>
        <v>11.893901554917191</v>
      </c>
      <c r="F269" s="173"/>
      <c r="G269" s="173">
        <v>30.67</v>
      </c>
      <c r="H269" s="154">
        <v>3958.7392227205673</v>
      </c>
      <c r="I269" s="190">
        <f>VLOOKUP($A269&amp;$B269,'KU Inputs'!$C$2:$I$505,MATCH('KU UtilityData'!I$1,'KU Inputs'!$C$1:$I$1,0),0)*1000</f>
        <v>4750558</v>
      </c>
      <c r="J269" s="190">
        <f>VLOOKUP($A269&amp;$B269,'KU Inputs'!$C$2:$I$505,MATCH('KU UtilityData'!J$1,'KU Inputs'!$C$1:$I$1,0),0)*1000</f>
        <v>1884967</v>
      </c>
      <c r="K269" s="265">
        <v>464617.89221393783</v>
      </c>
      <c r="L269" s="248">
        <v>454889.74</v>
      </c>
      <c r="M269" s="164">
        <v>110729.72698325189</v>
      </c>
      <c r="N269" s="190">
        <f>VLOOKUP($A269&amp;$B269,'KU Inputs'!$C$2:$I$505,MATCH('KU UtilityData'!N$1,'KU Inputs'!$C$1:$I$1,0),0)</f>
        <v>171101.02100000001</v>
      </c>
      <c r="O269" s="190" t="e">
        <f>VLOOKUP($A269&amp;$B269,'KU Inputs'!$C$2:$I$505,MATCH('KU UtilityData'!O$1,'KU Inputs'!$C$1:$I$1,0),0)</f>
        <v>#N/A</v>
      </c>
      <c r="P269" s="264">
        <f t="shared" si="16"/>
        <v>440</v>
      </c>
      <c r="Q269" s="264">
        <f t="shared" si="16"/>
        <v>11.85</v>
      </c>
      <c r="R269" s="166">
        <v>4512</v>
      </c>
      <c r="S269" s="166">
        <v>1455</v>
      </c>
      <c r="T269" s="182">
        <f t="shared" si="19"/>
        <v>0</v>
      </c>
    </row>
    <row r="270" spans="1:20" x14ac:dyDescent="0.2">
      <c r="A270" s="153">
        <v>2023</v>
      </c>
      <c r="B270" s="153">
        <v>5</v>
      </c>
      <c r="C270" s="176"/>
      <c r="D270" s="281">
        <f t="shared" si="17"/>
        <v>12.014041974663829</v>
      </c>
      <c r="E270" s="279">
        <f t="shared" si="18"/>
        <v>11.893901554917191</v>
      </c>
      <c r="F270" s="173"/>
      <c r="G270" s="173">
        <v>29.71</v>
      </c>
      <c r="H270" s="154">
        <v>3960.9396138710299</v>
      </c>
      <c r="I270" s="190">
        <f>VLOOKUP($A270&amp;$B270,'KU Inputs'!$C$2:$I$505,MATCH('KU UtilityData'!I$1,'KU Inputs'!$C$1:$I$1,0),0)*1000</f>
        <v>4750558</v>
      </c>
      <c r="J270" s="190">
        <f>VLOOKUP($A270&amp;$B270,'KU Inputs'!$C$2:$I$505,MATCH('KU UtilityData'!J$1,'KU Inputs'!$C$1:$I$1,0),0)*1000</f>
        <v>1884967</v>
      </c>
      <c r="K270" s="265">
        <v>464927.63747541374</v>
      </c>
      <c r="L270" s="248">
        <v>454889.74</v>
      </c>
      <c r="M270" s="164">
        <v>110729.72698325189</v>
      </c>
      <c r="N270" s="190">
        <f>VLOOKUP($A270&amp;$B270,'KU Inputs'!$C$2:$I$505,MATCH('KU UtilityData'!N$1,'KU Inputs'!$C$1:$I$1,0),0)</f>
        <v>171101.02100000001</v>
      </c>
      <c r="O270" s="190" t="e">
        <f>VLOOKUP($A270&amp;$B270,'KU Inputs'!$C$2:$I$505,MATCH('KU UtilityData'!O$1,'KU Inputs'!$C$1:$I$1,0),0)</f>
        <v>#N/A</v>
      </c>
      <c r="P270" s="264">
        <f t="shared" si="16"/>
        <v>187</v>
      </c>
      <c r="Q270" s="264">
        <f t="shared" si="16"/>
        <v>47</v>
      </c>
      <c r="R270" s="166">
        <v>4512</v>
      </c>
      <c r="S270" s="166">
        <v>1455</v>
      </c>
      <c r="T270" s="182">
        <f t="shared" si="19"/>
        <v>0</v>
      </c>
    </row>
    <row r="271" spans="1:20" x14ac:dyDescent="0.2">
      <c r="A271" s="153">
        <v>2023</v>
      </c>
      <c r="B271" s="153">
        <v>6</v>
      </c>
      <c r="C271" s="176"/>
      <c r="D271" s="281">
        <f t="shared" si="17"/>
        <v>12.014041974663829</v>
      </c>
      <c r="E271" s="279">
        <f t="shared" si="18"/>
        <v>11.893901554917191</v>
      </c>
      <c r="F271" s="173"/>
      <c r="G271" s="173">
        <v>30.62</v>
      </c>
      <c r="H271" s="154">
        <v>3963.1400050214911</v>
      </c>
      <c r="I271" s="190">
        <f>VLOOKUP($A271&amp;$B271,'KU Inputs'!$C$2:$I$505,MATCH('KU UtilityData'!I$1,'KU Inputs'!$C$1:$I$1,0),0)*1000</f>
        <v>4750558</v>
      </c>
      <c r="J271" s="190">
        <f>VLOOKUP($A271&amp;$B271,'KU Inputs'!$C$2:$I$505,MATCH('KU UtilityData'!J$1,'KU Inputs'!$C$1:$I$1,0),0)*1000</f>
        <v>1884967</v>
      </c>
      <c r="K271" s="265">
        <v>465237.58923373063</v>
      </c>
      <c r="L271" s="248">
        <v>454889.74</v>
      </c>
      <c r="M271" s="164">
        <v>110729.72698325189</v>
      </c>
      <c r="N271" s="190">
        <f>VLOOKUP($A271&amp;$B271,'KU Inputs'!$C$2:$I$505,MATCH('KU UtilityData'!N$1,'KU Inputs'!$C$1:$I$1,0),0)</f>
        <v>171101.02100000001</v>
      </c>
      <c r="O271" s="190" t="e">
        <f>VLOOKUP($A271&amp;$B271,'KU Inputs'!$C$2:$I$505,MATCH('KU UtilityData'!O$1,'KU Inputs'!$C$1:$I$1,0),0)</f>
        <v>#N/A</v>
      </c>
      <c r="P271" s="264">
        <f t="shared" si="16"/>
        <v>49</v>
      </c>
      <c r="Q271" s="264">
        <f t="shared" si="16"/>
        <v>171</v>
      </c>
      <c r="R271" s="166">
        <v>4512</v>
      </c>
      <c r="S271" s="166">
        <v>1455</v>
      </c>
      <c r="T271" s="182">
        <f t="shared" si="19"/>
        <v>0</v>
      </c>
    </row>
    <row r="272" spans="1:20" x14ac:dyDescent="0.2">
      <c r="A272" s="153">
        <v>2023</v>
      </c>
      <c r="B272" s="153">
        <v>7</v>
      </c>
      <c r="C272" s="176"/>
      <c r="D272" s="281">
        <f t="shared" si="17"/>
        <v>12.014041974663829</v>
      </c>
      <c r="E272" s="279">
        <f t="shared" si="18"/>
        <v>11.893901554917191</v>
      </c>
      <c r="F272" s="173"/>
      <c r="G272" s="173">
        <v>30.81</v>
      </c>
      <c r="H272" s="154">
        <v>3965.3174248267569</v>
      </c>
      <c r="I272" s="190">
        <f>VLOOKUP($A272&amp;$B272,'KU Inputs'!$C$2:$I$505,MATCH('KU UtilityData'!I$1,'KU Inputs'!$C$1:$I$1,0),0)*1000</f>
        <v>4758649</v>
      </c>
      <c r="J272" s="190">
        <f>VLOOKUP($A272&amp;$B272,'KU Inputs'!$C$2:$I$505,MATCH('KU UtilityData'!J$1,'KU Inputs'!$C$1:$I$1,0),0)*1000</f>
        <v>1888265</v>
      </c>
      <c r="K272" s="265">
        <v>465547.74762655306</v>
      </c>
      <c r="L272" s="248">
        <v>455610.93</v>
      </c>
      <c r="M272" s="164">
        <v>111294.14432933039</v>
      </c>
      <c r="N272" s="190">
        <f>VLOOKUP($A272&amp;$B272,'KU Inputs'!$C$2:$I$505,MATCH('KU UtilityData'!N$1,'KU Inputs'!$C$1:$I$1,0),0)</f>
        <v>172007.791</v>
      </c>
      <c r="O272" s="190" t="e">
        <f>VLOOKUP($A272&amp;$B272,'KU Inputs'!$C$2:$I$505,MATCH('KU UtilityData'!O$1,'KU Inputs'!$C$1:$I$1,0),0)</f>
        <v>#N/A</v>
      </c>
      <c r="P272" s="264">
        <f t="shared" si="16"/>
        <v>1</v>
      </c>
      <c r="Q272" s="264">
        <f t="shared" si="16"/>
        <v>325</v>
      </c>
      <c r="R272" s="166">
        <v>4512</v>
      </c>
      <c r="S272" s="166">
        <v>1455</v>
      </c>
      <c r="T272" s="182">
        <f t="shared" si="19"/>
        <v>0</v>
      </c>
    </row>
    <row r="273" spans="1:20" x14ac:dyDescent="0.2">
      <c r="A273" s="153">
        <v>2023</v>
      </c>
      <c r="B273" s="153">
        <v>8</v>
      </c>
      <c r="C273" s="176"/>
      <c r="D273" s="281">
        <f t="shared" si="17"/>
        <v>12.014041974663829</v>
      </c>
      <c r="E273" s="279">
        <f t="shared" si="18"/>
        <v>11.893901554917191</v>
      </c>
      <c r="F273" s="173"/>
      <c r="G273" s="173">
        <v>29.43</v>
      </c>
      <c r="H273" s="154">
        <v>3967.4948446320232</v>
      </c>
      <c r="I273" s="190">
        <f>VLOOKUP($A273&amp;$B273,'KU Inputs'!$C$2:$I$505,MATCH('KU UtilityData'!I$1,'KU Inputs'!$C$1:$I$1,0),0)*1000</f>
        <v>4758649</v>
      </c>
      <c r="J273" s="190">
        <f>VLOOKUP($A273&amp;$B273,'KU Inputs'!$C$2:$I$505,MATCH('KU UtilityData'!J$1,'KU Inputs'!$C$1:$I$1,0),0)*1000</f>
        <v>1888265</v>
      </c>
      <c r="K273" s="265">
        <v>465858.11279163737</v>
      </c>
      <c r="L273" s="248">
        <v>455610.93</v>
      </c>
      <c r="M273" s="164">
        <v>111294.14432933039</v>
      </c>
      <c r="N273" s="190">
        <f>VLOOKUP($A273&amp;$B273,'KU Inputs'!$C$2:$I$505,MATCH('KU UtilityData'!N$1,'KU Inputs'!$C$1:$I$1,0),0)</f>
        <v>172007.791</v>
      </c>
      <c r="O273" s="190" t="e">
        <f>VLOOKUP($A273&amp;$B273,'KU Inputs'!$C$2:$I$505,MATCH('KU UtilityData'!O$1,'KU Inputs'!$C$1:$I$1,0),0)</f>
        <v>#N/A</v>
      </c>
      <c r="P273" s="264">
        <f t="shared" si="16"/>
        <v>0</v>
      </c>
      <c r="Q273" s="264">
        <f t="shared" si="16"/>
        <v>341</v>
      </c>
      <c r="R273" s="166">
        <v>4512</v>
      </c>
      <c r="S273" s="166">
        <v>1455</v>
      </c>
      <c r="T273" s="182">
        <f t="shared" si="19"/>
        <v>0</v>
      </c>
    </row>
    <row r="274" spans="1:20" x14ac:dyDescent="0.2">
      <c r="A274" s="153">
        <v>2023</v>
      </c>
      <c r="B274" s="153">
        <v>9</v>
      </c>
      <c r="C274" s="176"/>
      <c r="D274" s="281">
        <f t="shared" si="17"/>
        <v>12.014041974663829</v>
      </c>
      <c r="E274" s="279">
        <f t="shared" si="18"/>
        <v>11.893901554917191</v>
      </c>
      <c r="F274" s="173"/>
      <c r="G274" s="173">
        <v>30.57</v>
      </c>
      <c r="H274" s="154">
        <v>3969.672264437289</v>
      </c>
      <c r="I274" s="190">
        <f>VLOOKUP($A274&amp;$B274,'KU Inputs'!$C$2:$I$505,MATCH('KU UtilityData'!I$1,'KU Inputs'!$C$1:$I$1,0),0)*1000</f>
        <v>4758649</v>
      </c>
      <c r="J274" s="190">
        <f>VLOOKUP($A274&amp;$B274,'KU Inputs'!$C$2:$I$505,MATCH('KU UtilityData'!J$1,'KU Inputs'!$C$1:$I$1,0),0)*1000</f>
        <v>1888265</v>
      </c>
      <c r="K274" s="265">
        <v>466168.68486683175</v>
      </c>
      <c r="L274" s="248">
        <v>455610.93</v>
      </c>
      <c r="M274" s="164">
        <v>111294.14432933039</v>
      </c>
      <c r="N274" s="190">
        <f>VLOOKUP($A274&amp;$B274,'KU Inputs'!$C$2:$I$505,MATCH('KU UtilityData'!N$1,'KU Inputs'!$C$1:$I$1,0),0)</f>
        <v>172007.791</v>
      </c>
      <c r="O274" s="190" t="e">
        <f>VLOOKUP($A274&amp;$B274,'KU Inputs'!$C$2:$I$505,MATCH('KU UtilityData'!O$1,'KU Inputs'!$C$1:$I$1,0),0)</f>
        <v>#N/A</v>
      </c>
      <c r="P274" s="264">
        <f t="shared" si="16"/>
        <v>12</v>
      </c>
      <c r="Q274" s="264">
        <f t="shared" si="16"/>
        <v>261</v>
      </c>
      <c r="R274" s="166">
        <v>4512</v>
      </c>
      <c r="S274" s="166">
        <v>1455</v>
      </c>
      <c r="T274" s="182">
        <f t="shared" si="19"/>
        <v>0</v>
      </c>
    </row>
    <row r="275" spans="1:20" x14ac:dyDescent="0.2">
      <c r="A275" s="153">
        <v>2023</v>
      </c>
      <c r="B275" s="153">
        <v>10</v>
      </c>
      <c r="C275" s="176"/>
      <c r="D275" s="281">
        <f t="shared" si="17"/>
        <v>12.014041974663829</v>
      </c>
      <c r="E275" s="279">
        <f t="shared" si="18"/>
        <v>11.893901554917191</v>
      </c>
      <c r="F275" s="173"/>
      <c r="G275" s="173">
        <v>29.67</v>
      </c>
      <c r="H275" s="154">
        <v>3971.8496842425548</v>
      </c>
      <c r="I275" s="190">
        <f>VLOOKUP($A275&amp;$B275,'KU Inputs'!$C$2:$I$505,MATCH('KU UtilityData'!I$1,'KU Inputs'!$C$1:$I$1,0),0)*1000</f>
        <v>4766709</v>
      </c>
      <c r="J275" s="190">
        <f>VLOOKUP($A275&amp;$B275,'KU Inputs'!$C$2:$I$505,MATCH('KU UtilityData'!J$1,'KU Inputs'!$C$1:$I$1,0),0)*1000</f>
        <v>1893372</v>
      </c>
      <c r="K275" s="265">
        <v>466479.46399007627</v>
      </c>
      <c r="L275" s="248">
        <v>456727.71</v>
      </c>
      <c r="M275" s="164">
        <v>111909.6728962233</v>
      </c>
      <c r="N275" s="190">
        <f>VLOOKUP($A275&amp;$B275,'KU Inputs'!$C$2:$I$505,MATCH('KU UtilityData'!N$1,'KU Inputs'!$C$1:$I$1,0),0)</f>
        <v>172918.79399999999</v>
      </c>
      <c r="O275" s="190" t="e">
        <f>VLOOKUP($A275&amp;$B275,'KU Inputs'!$C$2:$I$505,MATCH('KU UtilityData'!O$1,'KU Inputs'!$C$1:$I$1,0),0)</f>
        <v>#N/A</v>
      </c>
      <c r="P275" s="264">
        <f t="shared" si="16"/>
        <v>136</v>
      </c>
      <c r="Q275" s="264">
        <f t="shared" si="16"/>
        <v>73</v>
      </c>
      <c r="R275" s="166">
        <v>4512</v>
      </c>
      <c r="S275" s="166">
        <v>1455</v>
      </c>
      <c r="T275" s="182">
        <f t="shared" si="19"/>
        <v>0</v>
      </c>
    </row>
    <row r="276" spans="1:20" x14ac:dyDescent="0.2">
      <c r="A276" s="153">
        <v>2023</v>
      </c>
      <c r="B276" s="153">
        <v>11</v>
      </c>
      <c r="C276" s="176"/>
      <c r="D276" s="281">
        <f t="shared" si="17"/>
        <v>12.014041974663829</v>
      </c>
      <c r="E276" s="279">
        <f t="shared" si="18"/>
        <v>11.893901554917191</v>
      </c>
      <c r="F276" s="173"/>
      <c r="G276" s="173">
        <v>30.05</v>
      </c>
      <c r="H276" s="154">
        <v>3974.027104047821</v>
      </c>
      <c r="I276" s="190">
        <f>VLOOKUP($A276&amp;$B276,'KU Inputs'!$C$2:$I$505,MATCH('KU UtilityData'!I$1,'KU Inputs'!$C$1:$I$1,0),0)*1000</f>
        <v>4766709</v>
      </c>
      <c r="J276" s="190">
        <f>VLOOKUP($A276&amp;$B276,'KU Inputs'!$C$2:$I$505,MATCH('KU UtilityData'!J$1,'KU Inputs'!$C$1:$I$1,0),0)*1000</f>
        <v>1893372</v>
      </c>
      <c r="K276" s="265">
        <v>466790.45029940293</v>
      </c>
      <c r="L276" s="248">
        <v>456727.71</v>
      </c>
      <c r="M276" s="164">
        <v>111909.6728962233</v>
      </c>
      <c r="N276" s="190">
        <f>VLOOKUP($A276&amp;$B276,'KU Inputs'!$C$2:$I$505,MATCH('KU UtilityData'!N$1,'KU Inputs'!$C$1:$I$1,0),0)</f>
        <v>172918.79399999999</v>
      </c>
      <c r="O276" s="190" t="e">
        <f>VLOOKUP($A276&amp;$B276,'KU Inputs'!$C$2:$I$505,MATCH('KU UtilityData'!O$1,'KU Inputs'!$C$1:$I$1,0),0)</f>
        <v>#N/A</v>
      </c>
      <c r="P276" s="264">
        <f t="shared" si="16"/>
        <v>394</v>
      </c>
      <c r="Q276" s="264">
        <f t="shared" si="16"/>
        <v>7</v>
      </c>
      <c r="R276" s="166">
        <v>4512</v>
      </c>
      <c r="S276" s="166">
        <v>1455</v>
      </c>
      <c r="T276" s="182">
        <f t="shared" si="19"/>
        <v>0</v>
      </c>
    </row>
    <row r="277" spans="1:20" x14ac:dyDescent="0.2">
      <c r="A277" s="153">
        <v>2023</v>
      </c>
      <c r="B277" s="153">
        <v>12</v>
      </c>
      <c r="C277" s="176"/>
      <c r="D277" s="281">
        <f t="shared" si="17"/>
        <v>12.014041974663829</v>
      </c>
      <c r="E277" s="279">
        <f t="shared" si="18"/>
        <v>11.893901554917191</v>
      </c>
      <c r="F277" s="173"/>
      <c r="G277" s="173">
        <v>30.67</v>
      </c>
      <c r="H277" s="154">
        <v>3976.2045238530868</v>
      </c>
      <c r="I277" s="190">
        <f>VLOOKUP($A277&amp;$B277,'KU Inputs'!$C$2:$I$505,MATCH('KU UtilityData'!I$1,'KU Inputs'!$C$1:$I$1,0),0)*1000</f>
        <v>4766709</v>
      </c>
      <c r="J277" s="190">
        <f>VLOOKUP($A277&amp;$B277,'KU Inputs'!$C$2:$I$505,MATCH('KU UtilityData'!J$1,'KU Inputs'!$C$1:$I$1,0),0)*1000</f>
        <v>1893372</v>
      </c>
      <c r="K277" s="265">
        <v>467101.64393293584</v>
      </c>
      <c r="L277" s="248">
        <v>456727.71</v>
      </c>
      <c r="M277" s="164">
        <v>111909.6728962233</v>
      </c>
      <c r="N277" s="190">
        <f>VLOOKUP($A277&amp;$B277,'KU Inputs'!$C$2:$I$505,MATCH('KU UtilityData'!N$1,'KU Inputs'!$C$1:$I$1,0),0)</f>
        <v>172918.79399999999</v>
      </c>
      <c r="O277" s="190" t="e">
        <f>VLOOKUP($A277&amp;$B277,'KU Inputs'!$C$2:$I$505,MATCH('KU UtilityData'!O$1,'KU Inputs'!$C$1:$I$1,0),0)</f>
        <v>#N/A</v>
      </c>
      <c r="P277" s="264">
        <f t="shared" si="16"/>
        <v>706</v>
      </c>
      <c r="Q277" s="264">
        <f t="shared" si="16"/>
        <v>0.2</v>
      </c>
      <c r="R277" s="166">
        <v>4512</v>
      </c>
      <c r="S277" s="166">
        <v>1455</v>
      </c>
      <c r="T277" s="182">
        <f t="shared" si="19"/>
        <v>0</v>
      </c>
    </row>
    <row r="278" spans="1:20" x14ac:dyDescent="0.2">
      <c r="A278" s="153">
        <v>2024</v>
      </c>
      <c r="B278" s="153">
        <v>1</v>
      </c>
      <c r="C278" s="176"/>
      <c r="D278" s="281">
        <f t="shared" si="17"/>
        <v>12.254322814157106</v>
      </c>
      <c r="E278" s="279">
        <f t="shared" si="18"/>
        <v>12.131779586015535</v>
      </c>
      <c r="F278" s="173"/>
      <c r="G278" s="173">
        <v>32.67</v>
      </c>
      <c r="H278" s="154">
        <v>3978.3819436583526</v>
      </c>
      <c r="I278" s="190">
        <f>VLOOKUP($A278&amp;$B278,'KU Inputs'!$C$2:$I$505,MATCH('KU UtilityData'!I$1,'KU Inputs'!$C$1:$I$1,0),0)*1000</f>
        <v>4774749</v>
      </c>
      <c r="J278" s="190">
        <f>VLOOKUP($A278&amp;$B278,'KU Inputs'!$C$2:$I$505,MATCH('KU UtilityData'!J$1,'KU Inputs'!$C$1:$I$1,0),0)*1000</f>
        <v>1895836</v>
      </c>
      <c r="K278" s="265">
        <v>467413.04502889112</v>
      </c>
      <c r="L278" s="248">
        <v>457266.53</v>
      </c>
      <c r="M278" s="164">
        <v>112701.5437371911</v>
      </c>
      <c r="N278" s="190">
        <f>VLOOKUP($A278&amp;$B278,'KU Inputs'!$C$2:$I$505,MATCH('KU UtilityData'!N$1,'KU Inputs'!$C$1:$I$1,0),0)</f>
        <v>174458.15100000001</v>
      </c>
      <c r="O278" s="190" t="e">
        <f>VLOOKUP($A278&amp;$B278,'KU Inputs'!$C$2:$I$505,MATCH('KU UtilityData'!O$1,'KU Inputs'!$C$1:$I$1,0),0)</f>
        <v>#N/A</v>
      </c>
      <c r="P278" s="264">
        <f t="shared" ref="P278:Q297" si="20">P266</f>
        <v>996</v>
      </c>
      <c r="Q278" s="264">
        <f t="shared" si="20"/>
        <v>0</v>
      </c>
      <c r="R278" s="166">
        <v>4512</v>
      </c>
      <c r="S278" s="166">
        <v>1455</v>
      </c>
      <c r="T278" s="182">
        <f t="shared" si="19"/>
        <v>0</v>
      </c>
    </row>
    <row r="279" spans="1:20" x14ac:dyDescent="0.2">
      <c r="A279" s="153">
        <v>2024</v>
      </c>
      <c r="B279" s="153">
        <v>2</v>
      </c>
      <c r="C279" s="176"/>
      <c r="D279" s="281">
        <f t="shared" si="17"/>
        <v>12.254322814157106</v>
      </c>
      <c r="E279" s="279">
        <f t="shared" si="18"/>
        <v>12.131779586015535</v>
      </c>
      <c r="F279" s="173"/>
      <c r="G279" s="173">
        <v>29.86</v>
      </c>
      <c r="H279" s="154">
        <v>3980.5593634636189</v>
      </c>
      <c r="I279" s="190">
        <f>VLOOKUP($A279&amp;$B279,'KU Inputs'!$C$2:$I$505,MATCH('KU UtilityData'!I$1,'KU Inputs'!$C$1:$I$1,0),0)*1000</f>
        <v>4774749</v>
      </c>
      <c r="J279" s="190">
        <f>VLOOKUP($A279&amp;$B279,'KU Inputs'!$C$2:$I$505,MATCH('KU UtilityData'!J$1,'KU Inputs'!$C$1:$I$1,0),0)*1000</f>
        <v>1895836</v>
      </c>
      <c r="K279" s="265">
        <v>467724.65372557699</v>
      </c>
      <c r="L279" s="248">
        <v>457266.53</v>
      </c>
      <c r="M279" s="164">
        <v>112701.5437371911</v>
      </c>
      <c r="N279" s="190">
        <f>VLOOKUP($A279&amp;$B279,'KU Inputs'!$C$2:$I$505,MATCH('KU UtilityData'!N$1,'KU Inputs'!$C$1:$I$1,0),0)</f>
        <v>174458.15100000001</v>
      </c>
      <c r="O279" s="190" t="e">
        <f>VLOOKUP($A279&amp;$B279,'KU Inputs'!$C$2:$I$505,MATCH('KU UtilityData'!O$1,'KU Inputs'!$C$1:$I$1,0),0)</f>
        <v>#N/A</v>
      </c>
      <c r="P279" s="264">
        <f t="shared" si="20"/>
        <v>889.8</v>
      </c>
      <c r="Q279" s="264">
        <f t="shared" si="20"/>
        <v>0</v>
      </c>
      <c r="R279" s="166">
        <v>4512</v>
      </c>
      <c r="S279" s="166">
        <v>1455</v>
      </c>
      <c r="T279" s="182">
        <f t="shared" si="19"/>
        <v>0</v>
      </c>
    </row>
    <row r="280" spans="1:20" x14ac:dyDescent="0.2">
      <c r="A280" s="153">
        <v>2024</v>
      </c>
      <c r="B280" s="153">
        <v>3</v>
      </c>
      <c r="C280" s="176"/>
      <c r="D280" s="281">
        <f t="shared" si="17"/>
        <v>12.254322814157106</v>
      </c>
      <c r="E280" s="279">
        <f t="shared" si="18"/>
        <v>12.131779586015535</v>
      </c>
      <c r="F280" s="173"/>
      <c r="G280" s="173">
        <v>30.43</v>
      </c>
      <c r="H280" s="154">
        <v>3982.7367832688847</v>
      </c>
      <c r="I280" s="190">
        <f>VLOOKUP($A280&amp;$B280,'KU Inputs'!$C$2:$I$505,MATCH('KU UtilityData'!I$1,'KU Inputs'!$C$1:$I$1,0),0)*1000</f>
        <v>4774749</v>
      </c>
      <c r="J280" s="190">
        <f>VLOOKUP($A280&amp;$B280,'KU Inputs'!$C$2:$I$505,MATCH('KU UtilityData'!J$1,'KU Inputs'!$C$1:$I$1,0),0)*1000</f>
        <v>1895836</v>
      </c>
      <c r="K280" s="265">
        <v>468036.47016139398</v>
      </c>
      <c r="L280" s="248">
        <v>457266.53</v>
      </c>
      <c r="M280" s="164">
        <v>112701.5437371911</v>
      </c>
      <c r="N280" s="190">
        <f>VLOOKUP($A280&amp;$B280,'KU Inputs'!$C$2:$I$505,MATCH('KU UtilityData'!N$1,'KU Inputs'!$C$1:$I$1,0),0)</f>
        <v>174458.15100000001</v>
      </c>
      <c r="O280" s="190" t="e">
        <f>VLOOKUP($A280&amp;$B280,'KU Inputs'!$C$2:$I$505,MATCH('KU UtilityData'!O$1,'KU Inputs'!$C$1:$I$1,0),0)</f>
        <v>#N/A</v>
      </c>
      <c r="P280" s="264">
        <f t="shared" si="20"/>
        <v>729</v>
      </c>
      <c r="Q280" s="264">
        <f t="shared" si="20"/>
        <v>0.45</v>
      </c>
      <c r="R280" s="166">
        <v>4512</v>
      </c>
      <c r="S280" s="166">
        <v>1455</v>
      </c>
      <c r="T280" s="182">
        <f t="shared" si="19"/>
        <v>0</v>
      </c>
    </row>
    <row r="281" spans="1:20" x14ac:dyDescent="0.2">
      <c r="A281" s="153">
        <v>2024</v>
      </c>
      <c r="B281" s="153">
        <v>4</v>
      </c>
      <c r="C281" s="176"/>
      <c r="D281" s="281">
        <f t="shared" si="17"/>
        <v>12.254322814157106</v>
      </c>
      <c r="E281" s="279">
        <f t="shared" si="18"/>
        <v>12.131779586015535</v>
      </c>
      <c r="F281" s="173"/>
      <c r="G281" s="173">
        <v>30.71</v>
      </c>
      <c r="H281" s="154">
        <v>3984.9142030741509</v>
      </c>
      <c r="I281" s="190">
        <f>VLOOKUP($A281&amp;$B281,'KU Inputs'!$C$2:$I$505,MATCH('KU UtilityData'!I$1,'KU Inputs'!$C$1:$I$1,0),0)*1000</f>
        <v>4782770</v>
      </c>
      <c r="J281" s="190">
        <f>VLOOKUP($A281&amp;$B281,'KU Inputs'!$C$2:$I$505,MATCH('KU UtilityData'!J$1,'KU Inputs'!$C$1:$I$1,0),0)*1000</f>
        <v>1898466</v>
      </c>
      <c r="K281" s="265">
        <v>468348.49447483488</v>
      </c>
      <c r="L281" s="248">
        <v>457841.65</v>
      </c>
      <c r="M281" s="164">
        <v>113437.84408515642</v>
      </c>
      <c r="N281" s="190">
        <f>VLOOKUP($A281&amp;$B281,'KU Inputs'!$C$2:$I$505,MATCH('KU UtilityData'!N$1,'KU Inputs'!$C$1:$I$1,0),0)</f>
        <v>175426.49799999999</v>
      </c>
      <c r="O281" s="190" t="e">
        <f>VLOOKUP($A281&amp;$B281,'KU Inputs'!$C$2:$I$505,MATCH('KU UtilityData'!O$1,'KU Inputs'!$C$1:$I$1,0),0)</f>
        <v>#N/A</v>
      </c>
      <c r="P281" s="264">
        <f t="shared" si="20"/>
        <v>440</v>
      </c>
      <c r="Q281" s="264">
        <f t="shared" si="20"/>
        <v>11.85</v>
      </c>
      <c r="R281" s="166">
        <v>4512</v>
      </c>
      <c r="S281" s="166">
        <v>1455</v>
      </c>
      <c r="T281" s="182">
        <f t="shared" si="19"/>
        <v>0</v>
      </c>
    </row>
    <row r="282" spans="1:20" x14ac:dyDescent="0.2">
      <c r="A282" s="153">
        <v>2024</v>
      </c>
      <c r="B282" s="153">
        <v>5</v>
      </c>
      <c r="C282" s="176"/>
      <c r="D282" s="281">
        <f t="shared" si="17"/>
        <v>12.254322814157106</v>
      </c>
      <c r="E282" s="279">
        <f t="shared" si="18"/>
        <v>12.131779586015535</v>
      </c>
      <c r="F282" s="173"/>
      <c r="G282" s="173">
        <v>29.52</v>
      </c>
      <c r="H282" s="154">
        <v>3987.0916228794167</v>
      </c>
      <c r="I282" s="190">
        <f>VLOOKUP($A282&amp;$B282,'KU Inputs'!$C$2:$I$505,MATCH('KU UtilityData'!I$1,'KU Inputs'!$C$1:$I$1,0),0)*1000</f>
        <v>4782770</v>
      </c>
      <c r="J282" s="190">
        <f>VLOOKUP($A282&amp;$B282,'KU Inputs'!$C$2:$I$505,MATCH('KU UtilityData'!J$1,'KU Inputs'!$C$1:$I$1,0),0)*1000</f>
        <v>1898466</v>
      </c>
      <c r="K282" s="265">
        <v>468660.72680448473</v>
      </c>
      <c r="L282" s="248">
        <v>457841.65</v>
      </c>
      <c r="M282" s="164">
        <v>113437.84408515642</v>
      </c>
      <c r="N282" s="190">
        <f>VLOOKUP($A282&amp;$B282,'KU Inputs'!$C$2:$I$505,MATCH('KU UtilityData'!N$1,'KU Inputs'!$C$1:$I$1,0),0)</f>
        <v>175426.49799999999</v>
      </c>
      <c r="O282" s="190" t="e">
        <f>VLOOKUP($A282&amp;$B282,'KU Inputs'!$C$2:$I$505,MATCH('KU UtilityData'!O$1,'KU Inputs'!$C$1:$I$1,0),0)</f>
        <v>#N/A</v>
      </c>
      <c r="P282" s="264">
        <f t="shared" si="20"/>
        <v>187</v>
      </c>
      <c r="Q282" s="264">
        <f t="shared" si="20"/>
        <v>47</v>
      </c>
      <c r="R282" s="166">
        <v>4512</v>
      </c>
      <c r="S282" s="166">
        <v>1455</v>
      </c>
      <c r="T282" s="182">
        <f t="shared" si="19"/>
        <v>0</v>
      </c>
    </row>
    <row r="283" spans="1:20" x14ac:dyDescent="0.2">
      <c r="A283" s="153">
        <v>2024</v>
      </c>
      <c r="B283" s="153">
        <v>6</v>
      </c>
      <c r="C283" s="176"/>
      <c r="D283" s="281">
        <f t="shared" si="17"/>
        <v>12.254322814157106</v>
      </c>
      <c r="E283" s="279">
        <f t="shared" si="18"/>
        <v>12.131779586015535</v>
      </c>
      <c r="F283" s="173"/>
      <c r="G283" s="173">
        <v>30.62</v>
      </c>
      <c r="H283" s="154">
        <v>3989.2690426846852</v>
      </c>
      <c r="I283" s="190">
        <f>VLOOKUP($A283&amp;$B283,'KU Inputs'!$C$2:$I$505,MATCH('KU UtilityData'!I$1,'KU Inputs'!$C$1:$I$1,0),0)*1000</f>
        <v>4782770</v>
      </c>
      <c r="J283" s="190">
        <f>VLOOKUP($A283&amp;$B283,'KU Inputs'!$C$2:$I$505,MATCH('KU UtilityData'!J$1,'KU Inputs'!$C$1:$I$1,0),0)*1000</f>
        <v>1898466</v>
      </c>
      <c r="K283" s="265">
        <v>468973.16728902102</v>
      </c>
      <c r="L283" s="248">
        <v>457841.65</v>
      </c>
      <c r="M283" s="164">
        <v>113437.84408515642</v>
      </c>
      <c r="N283" s="190">
        <f>VLOOKUP($A283&amp;$B283,'KU Inputs'!$C$2:$I$505,MATCH('KU UtilityData'!N$1,'KU Inputs'!$C$1:$I$1,0),0)</f>
        <v>175426.49799999999</v>
      </c>
      <c r="O283" s="190" t="e">
        <f>VLOOKUP($A283&amp;$B283,'KU Inputs'!$C$2:$I$505,MATCH('KU UtilityData'!O$1,'KU Inputs'!$C$1:$I$1,0),0)</f>
        <v>#N/A</v>
      </c>
      <c r="P283" s="264">
        <f t="shared" si="20"/>
        <v>49</v>
      </c>
      <c r="Q283" s="264">
        <f t="shared" si="20"/>
        <v>171</v>
      </c>
      <c r="R283" s="166">
        <v>4512</v>
      </c>
      <c r="S283" s="166">
        <v>1455</v>
      </c>
      <c r="T283" s="182">
        <f t="shared" si="19"/>
        <v>0</v>
      </c>
    </row>
    <row r="284" spans="1:20" x14ac:dyDescent="0.2">
      <c r="A284" s="153">
        <v>2024</v>
      </c>
      <c r="B284" s="153">
        <v>7</v>
      </c>
      <c r="C284" s="176"/>
      <c r="D284" s="281">
        <f t="shared" si="17"/>
        <v>12.254322814157106</v>
      </c>
      <c r="E284" s="279">
        <f t="shared" si="18"/>
        <v>12.131779586015535</v>
      </c>
      <c r="F284" s="173"/>
      <c r="G284" s="173">
        <v>30.71</v>
      </c>
      <c r="H284" s="154">
        <v>3991.4243239427683</v>
      </c>
      <c r="I284" s="190">
        <f>VLOOKUP($A284&amp;$B284,'KU Inputs'!$C$2:$I$505,MATCH('KU UtilityData'!I$1,'KU Inputs'!$C$1:$I$1,0),0)*1000</f>
        <v>4790758</v>
      </c>
      <c r="J284" s="190">
        <f>VLOOKUP($A284&amp;$B284,'KU Inputs'!$C$2:$I$505,MATCH('KU UtilityData'!J$1,'KU Inputs'!$C$1:$I$1,0),0)*1000</f>
        <v>1901025</v>
      </c>
      <c r="K284" s="265">
        <v>469285.81606721366</v>
      </c>
      <c r="L284" s="248">
        <v>458401.24</v>
      </c>
      <c r="M284" s="164">
        <v>114041.479984821</v>
      </c>
      <c r="N284" s="190">
        <f>VLOOKUP($A284&amp;$B284,'KU Inputs'!$C$2:$I$505,MATCH('KU UtilityData'!N$1,'KU Inputs'!$C$1:$I$1,0),0)</f>
        <v>176369.43100000001</v>
      </c>
      <c r="O284" s="190" t="e">
        <f>VLOOKUP($A284&amp;$B284,'KU Inputs'!$C$2:$I$505,MATCH('KU UtilityData'!O$1,'KU Inputs'!$C$1:$I$1,0),0)</f>
        <v>#N/A</v>
      </c>
      <c r="P284" s="264">
        <f t="shared" si="20"/>
        <v>1</v>
      </c>
      <c r="Q284" s="264">
        <f t="shared" si="20"/>
        <v>325</v>
      </c>
      <c r="R284" s="166">
        <v>4512</v>
      </c>
      <c r="S284" s="166">
        <v>1455</v>
      </c>
      <c r="T284" s="182">
        <f t="shared" si="19"/>
        <v>0</v>
      </c>
    </row>
    <row r="285" spans="1:20" x14ac:dyDescent="0.2">
      <c r="A285" s="153">
        <v>2024</v>
      </c>
      <c r="B285" s="153">
        <v>8</v>
      </c>
      <c r="C285" s="176"/>
      <c r="D285" s="281">
        <f t="shared" si="17"/>
        <v>12.254322814157106</v>
      </c>
      <c r="E285" s="279">
        <f t="shared" si="18"/>
        <v>12.131779586015535</v>
      </c>
      <c r="F285" s="173"/>
      <c r="G285" s="173">
        <v>29.52</v>
      </c>
      <c r="H285" s="154">
        <v>3993.5796052008513</v>
      </c>
      <c r="I285" s="190">
        <f>VLOOKUP($A285&amp;$B285,'KU Inputs'!$C$2:$I$505,MATCH('KU UtilityData'!I$1,'KU Inputs'!$C$1:$I$1,0),0)*1000</f>
        <v>4790758</v>
      </c>
      <c r="J285" s="190">
        <f>VLOOKUP($A285&amp;$B285,'KU Inputs'!$C$2:$I$505,MATCH('KU UtilityData'!J$1,'KU Inputs'!$C$1:$I$1,0),0)*1000</f>
        <v>1901025</v>
      </c>
      <c r="K285" s="265">
        <v>469598.67327792512</v>
      </c>
      <c r="L285" s="248">
        <v>458401.24</v>
      </c>
      <c r="M285" s="164">
        <v>114041.479984821</v>
      </c>
      <c r="N285" s="190">
        <f>VLOOKUP($A285&amp;$B285,'KU Inputs'!$C$2:$I$505,MATCH('KU UtilityData'!N$1,'KU Inputs'!$C$1:$I$1,0),0)</f>
        <v>176369.43100000001</v>
      </c>
      <c r="O285" s="190" t="e">
        <f>VLOOKUP($A285&amp;$B285,'KU Inputs'!$C$2:$I$505,MATCH('KU UtilityData'!O$1,'KU Inputs'!$C$1:$I$1,0),0)</f>
        <v>#N/A</v>
      </c>
      <c r="P285" s="264">
        <f t="shared" si="20"/>
        <v>0</v>
      </c>
      <c r="Q285" s="264">
        <f t="shared" si="20"/>
        <v>341</v>
      </c>
      <c r="R285" s="166">
        <v>4512</v>
      </c>
      <c r="S285" s="166">
        <v>1455</v>
      </c>
      <c r="T285" s="182">
        <f t="shared" si="19"/>
        <v>0</v>
      </c>
    </row>
    <row r="286" spans="1:20" x14ac:dyDescent="0.2">
      <c r="A286" s="153">
        <v>2024</v>
      </c>
      <c r="B286" s="153">
        <v>9</v>
      </c>
      <c r="C286" s="176"/>
      <c r="D286" s="281">
        <f t="shared" si="17"/>
        <v>12.254322814157106</v>
      </c>
      <c r="E286" s="279">
        <f t="shared" si="18"/>
        <v>12.131779586015535</v>
      </c>
      <c r="F286" s="173"/>
      <c r="G286" s="173">
        <v>30.57</v>
      </c>
      <c r="H286" s="154">
        <v>3995.7348864589344</v>
      </c>
      <c r="I286" s="190">
        <f>VLOOKUP($A286&amp;$B286,'KU Inputs'!$C$2:$I$505,MATCH('KU UtilityData'!I$1,'KU Inputs'!$C$1:$I$1,0),0)*1000</f>
        <v>4790758</v>
      </c>
      <c r="J286" s="190">
        <f>VLOOKUP($A286&amp;$B286,'KU Inputs'!$C$2:$I$505,MATCH('KU UtilityData'!J$1,'KU Inputs'!$C$1:$I$1,0),0)*1000</f>
        <v>1901025</v>
      </c>
      <c r="K286" s="265">
        <v>469911.73906011035</v>
      </c>
      <c r="L286" s="248">
        <v>458401.24</v>
      </c>
      <c r="M286" s="164">
        <v>114041.479984821</v>
      </c>
      <c r="N286" s="190">
        <f>VLOOKUP($A286&amp;$B286,'KU Inputs'!$C$2:$I$505,MATCH('KU UtilityData'!N$1,'KU Inputs'!$C$1:$I$1,0),0)</f>
        <v>176369.43100000001</v>
      </c>
      <c r="O286" s="190" t="e">
        <f>VLOOKUP($A286&amp;$B286,'KU Inputs'!$C$2:$I$505,MATCH('KU UtilityData'!O$1,'KU Inputs'!$C$1:$I$1,0),0)</f>
        <v>#N/A</v>
      </c>
      <c r="P286" s="264">
        <f t="shared" si="20"/>
        <v>12</v>
      </c>
      <c r="Q286" s="264">
        <f t="shared" si="20"/>
        <v>261</v>
      </c>
      <c r="R286" s="166">
        <v>4512</v>
      </c>
      <c r="S286" s="166">
        <v>1455</v>
      </c>
      <c r="T286" s="182">
        <f t="shared" si="19"/>
        <v>0</v>
      </c>
    </row>
    <row r="287" spans="1:20" x14ac:dyDescent="0.2">
      <c r="A287" s="153">
        <v>2024</v>
      </c>
      <c r="B287" s="153">
        <v>10</v>
      </c>
      <c r="C287" s="176"/>
      <c r="D287" s="281">
        <f t="shared" si="17"/>
        <v>12.254322814157106</v>
      </c>
      <c r="E287" s="279">
        <f t="shared" si="18"/>
        <v>12.131779586015535</v>
      </c>
      <c r="F287" s="173"/>
      <c r="G287" s="173">
        <v>29.67</v>
      </c>
      <c r="H287" s="154">
        <v>3997.8901677170174</v>
      </c>
      <c r="I287" s="190">
        <f>VLOOKUP($A287&amp;$B287,'KU Inputs'!$C$2:$I$505,MATCH('KU UtilityData'!I$1,'KU Inputs'!$C$1:$I$1,0),0)*1000</f>
        <v>4798725</v>
      </c>
      <c r="J287" s="190">
        <f>VLOOKUP($A287&amp;$B287,'KU Inputs'!$C$2:$I$505,MATCH('KU UtilityData'!J$1,'KU Inputs'!$C$1:$I$1,0),0)*1000</f>
        <v>1903561</v>
      </c>
      <c r="K287" s="265">
        <v>470225.01355281705</v>
      </c>
      <c r="L287" s="248">
        <v>458955.81</v>
      </c>
      <c r="M287" s="164">
        <v>114618.53399541099</v>
      </c>
      <c r="N287" s="190">
        <f>VLOOKUP($A287&amp;$B287,'KU Inputs'!$C$2:$I$505,MATCH('KU UtilityData'!N$1,'KU Inputs'!$C$1:$I$1,0),0)</f>
        <v>177331.9</v>
      </c>
      <c r="O287" s="190" t="e">
        <f>VLOOKUP($A287&amp;$B287,'KU Inputs'!$C$2:$I$505,MATCH('KU UtilityData'!O$1,'KU Inputs'!$C$1:$I$1,0),0)</f>
        <v>#N/A</v>
      </c>
      <c r="P287" s="264">
        <f t="shared" si="20"/>
        <v>136</v>
      </c>
      <c r="Q287" s="264">
        <f t="shared" si="20"/>
        <v>73</v>
      </c>
      <c r="R287" s="166">
        <v>4512</v>
      </c>
      <c r="S287" s="166">
        <v>1455</v>
      </c>
      <c r="T287" s="182">
        <f t="shared" si="19"/>
        <v>0</v>
      </c>
    </row>
    <row r="288" spans="1:20" x14ac:dyDescent="0.2">
      <c r="A288" s="153">
        <v>2024</v>
      </c>
      <c r="B288" s="153">
        <v>11</v>
      </c>
      <c r="C288" s="176"/>
      <c r="D288" s="281">
        <f t="shared" si="17"/>
        <v>12.254322814157106</v>
      </c>
      <c r="E288" s="279">
        <f t="shared" si="18"/>
        <v>12.131779586015535</v>
      </c>
      <c r="F288" s="173"/>
      <c r="G288" s="173">
        <v>29.38</v>
      </c>
      <c r="H288" s="154">
        <v>4000.0454489751</v>
      </c>
      <c r="I288" s="190">
        <f>VLOOKUP($A288&amp;$B288,'KU Inputs'!$C$2:$I$505,MATCH('KU UtilityData'!I$1,'KU Inputs'!$C$1:$I$1,0),0)*1000</f>
        <v>4798725</v>
      </c>
      <c r="J288" s="190">
        <f>VLOOKUP($A288&amp;$B288,'KU Inputs'!$C$2:$I$505,MATCH('KU UtilityData'!J$1,'KU Inputs'!$C$1:$I$1,0),0)*1000</f>
        <v>1903561</v>
      </c>
      <c r="K288" s="265">
        <v>470538.49689518556</v>
      </c>
      <c r="L288" s="248">
        <v>458955.81</v>
      </c>
      <c r="M288" s="164">
        <v>114618.53399541099</v>
      </c>
      <c r="N288" s="190">
        <f>VLOOKUP($A288&amp;$B288,'KU Inputs'!$C$2:$I$505,MATCH('KU UtilityData'!N$1,'KU Inputs'!$C$1:$I$1,0),0)</f>
        <v>177331.9</v>
      </c>
      <c r="O288" s="190" t="e">
        <f>VLOOKUP($A288&amp;$B288,'KU Inputs'!$C$2:$I$505,MATCH('KU UtilityData'!O$1,'KU Inputs'!$C$1:$I$1,0),0)</f>
        <v>#N/A</v>
      </c>
      <c r="P288" s="264">
        <f t="shared" si="20"/>
        <v>394</v>
      </c>
      <c r="Q288" s="264">
        <f t="shared" si="20"/>
        <v>7</v>
      </c>
      <c r="R288" s="166">
        <v>4512</v>
      </c>
      <c r="S288" s="166">
        <v>1455</v>
      </c>
      <c r="T288" s="182">
        <f t="shared" si="19"/>
        <v>0</v>
      </c>
    </row>
    <row r="289" spans="1:20" x14ac:dyDescent="0.2">
      <c r="A289" s="153">
        <v>2024</v>
      </c>
      <c r="B289" s="153">
        <v>12</v>
      </c>
      <c r="C289" s="176"/>
      <c r="D289" s="281">
        <f t="shared" si="17"/>
        <v>12.254322814157106</v>
      </c>
      <c r="E289" s="279">
        <f t="shared" si="18"/>
        <v>12.131779586015535</v>
      </c>
      <c r="F289" s="173"/>
      <c r="G289" s="173">
        <v>32.43</v>
      </c>
      <c r="H289" s="154">
        <v>4002.2007302331831</v>
      </c>
      <c r="I289" s="190">
        <f>VLOOKUP($A289&amp;$B289,'KU Inputs'!$C$2:$I$505,MATCH('KU UtilityData'!I$1,'KU Inputs'!$C$1:$I$1,0),0)*1000</f>
        <v>4798725</v>
      </c>
      <c r="J289" s="190">
        <f>VLOOKUP($A289&amp;$B289,'KU Inputs'!$C$2:$I$505,MATCH('KU UtilityData'!J$1,'KU Inputs'!$C$1:$I$1,0),0)*1000</f>
        <v>1903561</v>
      </c>
      <c r="K289" s="265">
        <v>470852.189226449</v>
      </c>
      <c r="L289" s="248">
        <v>458955.81</v>
      </c>
      <c r="M289" s="164">
        <v>114618.53399541099</v>
      </c>
      <c r="N289" s="190">
        <f>VLOOKUP($A289&amp;$B289,'KU Inputs'!$C$2:$I$505,MATCH('KU UtilityData'!N$1,'KU Inputs'!$C$1:$I$1,0),0)</f>
        <v>177331.9</v>
      </c>
      <c r="O289" s="190" t="e">
        <f>VLOOKUP($A289&amp;$B289,'KU Inputs'!$C$2:$I$505,MATCH('KU UtilityData'!O$1,'KU Inputs'!$C$1:$I$1,0),0)</f>
        <v>#N/A</v>
      </c>
      <c r="P289" s="264">
        <f t="shared" si="20"/>
        <v>706</v>
      </c>
      <c r="Q289" s="264">
        <f t="shared" si="20"/>
        <v>0.2</v>
      </c>
      <c r="R289" s="166">
        <v>4512</v>
      </c>
      <c r="S289" s="166">
        <v>1455</v>
      </c>
      <c r="T289" s="182">
        <f t="shared" si="19"/>
        <v>0</v>
      </c>
    </row>
    <row r="290" spans="1:20" x14ac:dyDescent="0.2">
      <c r="A290" s="153">
        <v>2025</v>
      </c>
      <c r="B290" s="153">
        <v>1</v>
      </c>
      <c r="C290" s="176"/>
      <c r="D290" s="281">
        <f t="shared" si="17"/>
        <v>12.499409270440248</v>
      </c>
      <c r="E290" s="279">
        <f t="shared" si="18"/>
        <v>12.374415177735845</v>
      </c>
      <c r="F290" s="173"/>
      <c r="G290" s="173">
        <v>32.33</v>
      </c>
      <c r="H290" s="154">
        <v>4004.3560114912661</v>
      </c>
      <c r="I290" s="190">
        <f>VLOOKUP($A290&amp;$B290,'KU Inputs'!$C$2:$I$505,MATCH('KU UtilityData'!I$1,'KU Inputs'!$C$1:$I$1,0),0)*1000</f>
        <v>4806673</v>
      </c>
      <c r="J290" s="190">
        <f>VLOOKUP($A290&amp;$B290,'KU Inputs'!$C$2:$I$505,MATCH('KU UtilityData'!J$1,'KU Inputs'!$C$1:$I$1,0),0)*1000</f>
        <v>1907331</v>
      </c>
      <c r="K290" s="265">
        <v>471166.09068593325</v>
      </c>
      <c r="L290" s="248">
        <v>459780.22</v>
      </c>
      <c r="M290" s="164">
        <v>115610.11669303462</v>
      </c>
      <c r="N290" s="190">
        <f>VLOOKUP($A290&amp;$B290,'KU Inputs'!$C$2:$I$505,MATCH('KU UtilityData'!N$1,'KU Inputs'!$C$1:$I$1,0),0)</f>
        <v>178892.09099999999</v>
      </c>
      <c r="O290" s="190" t="e">
        <f>VLOOKUP($A290&amp;$B290,'KU Inputs'!$C$2:$I$505,MATCH('KU UtilityData'!O$1,'KU Inputs'!$C$1:$I$1,0),0)</f>
        <v>#N/A</v>
      </c>
      <c r="P290" s="264">
        <f t="shared" si="20"/>
        <v>996</v>
      </c>
      <c r="Q290" s="264">
        <f t="shared" si="20"/>
        <v>0</v>
      </c>
      <c r="R290" s="166">
        <v>4512</v>
      </c>
      <c r="S290" s="166">
        <v>1455</v>
      </c>
      <c r="T290" s="182">
        <f t="shared" si="19"/>
        <v>0</v>
      </c>
    </row>
    <row r="291" spans="1:20" x14ac:dyDescent="0.2">
      <c r="A291" s="153">
        <v>2025</v>
      </c>
      <c r="B291" s="153">
        <v>2</v>
      </c>
      <c r="C291" s="176"/>
      <c r="D291" s="281">
        <f t="shared" si="17"/>
        <v>12.499409270440248</v>
      </c>
      <c r="E291" s="279">
        <f t="shared" si="18"/>
        <v>12.374415177735845</v>
      </c>
      <c r="F291" s="173"/>
      <c r="G291" s="173">
        <v>30.05</v>
      </c>
      <c r="H291" s="154">
        <v>4006.5112927493492</v>
      </c>
      <c r="I291" s="190">
        <f>VLOOKUP($A291&amp;$B291,'KU Inputs'!$C$2:$I$505,MATCH('KU UtilityData'!I$1,'KU Inputs'!$C$1:$I$1,0),0)*1000</f>
        <v>4806673</v>
      </c>
      <c r="J291" s="190">
        <f>VLOOKUP($A291&amp;$B291,'KU Inputs'!$C$2:$I$505,MATCH('KU UtilityData'!J$1,'KU Inputs'!$C$1:$I$1,0),0)*1000</f>
        <v>1907331</v>
      </c>
      <c r="K291" s="265">
        <v>471480.20141305716</v>
      </c>
      <c r="L291" s="248">
        <v>459780.22</v>
      </c>
      <c r="M291" s="164">
        <v>115610.11669303462</v>
      </c>
      <c r="N291" s="190">
        <f>VLOOKUP($A291&amp;$B291,'KU Inputs'!$C$2:$I$505,MATCH('KU UtilityData'!N$1,'KU Inputs'!$C$1:$I$1,0),0)</f>
        <v>178892.09099999999</v>
      </c>
      <c r="O291" s="190" t="e">
        <f>VLOOKUP($A291&amp;$B291,'KU Inputs'!$C$2:$I$505,MATCH('KU UtilityData'!O$1,'KU Inputs'!$C$1:$I$1,0),0)</f>
        <v>#N/A</v>
      </c>
      <c r="P291" s="264">
        <f t="shared" si="20"/>
        <v>889.8</v>
      </c>
      <c r="Q291" s="264">
        <f t="shared" si="20"/>
        <v>0</v>
      </c>
      <c r="R291" s="166">
        <v>4512</v>
      </c>
      <c r="S291" s="166">
        <v>1455</v>
      </c>
      <c r="T291" s="182">
        <f t="shared" si="19"/>
        <v>0</v>
      </c>
    </row>
    <row r="292" spans="1:20" x14ac:dyDescent="0.2">
      <c r="A292" s="153">
        <v>2025</v>
      </c>
      <c r="B292" s="153">
        <v>3</v>
      </c>
      <c r="C292" s="176"/>
      <c r="D292" s="281">
        <f t="shared" si="17"/>
        <v>12.499409270440248</v>
      </c>
      <c r="E292" s="279">
        <f t="shared" si="18"/>
        <v>12.374415177735845</v>
      </c>
      <c r="F292" s="173"/>
      <c r="G292" s="173">
        <v>30.19</v>
      </c>
      <c r="H292" s="154">
        <v>4008.6665740074318</v>
      </c>
      <c r="I292" s="190">
        <f>VLOOKUP($A292&amp;$B292,'KU Inputs'!$C$2:$I$505,MATCH('KU UtilityData'!I$1,'KU Inputs'!$C$1:$I$1,0),0)*1000</f>
        <v>4806673</v>
      </c>
      <c r="J292" s="190">
        <f>VLOOKUP($A292&amp;$B292,'KU Inputs'!$C$2:$I$505,MATCH('KU UtilityData'!J$1,'KU Inputs'!$C$1:$I$1,0),0)*1000</f>
        <v>1907331</v>
      </c>
      <c r="K292" s="265">
        <v>471794.52154733252</v>
      </c>
      <c r="L292" s="248">
        <v>459780.22</v>
      </c>
      <c r="M292" s="164">
        <v>115610.11669303462</v>
      </c>
      <c r="N292" s="190">
        <f>VLOOKUP($A292&amp;$B292,'KU Inputs'!$C$2:$I$505,MATCH('KU UtilityData'!N$1,'KU Inputs'!$C$1:$I$1,0),0)</f>
        <v>178892.09099999999</v>
      </c>
      <c r="O292" s="190" t="e">
        <f>VLOOKUP($A292&amp;$B292,'KU Inputs'!$C$2:$I$505,MATCH('KU UtilityData'!O$1,'KU Inputs'!$C$1:$I$1,0),0)</f>
        <v>#N/A</v>
      </c>
      <c r="P292" s="264">
        <f t="shared" si="20"/>
        <v>729</v>
      </c>
      <c r="Q292" s="264">
        <f t="shared" si="20"/>
        <v>0.45</v>
      </c>
      <c r="R292" s="166">
        <v>4512</v>
      </c>
      <c r="S292" s="166">
        <v>1455</v>
      </c>
      <c r="T292" s="182">
        <f t="shared" si="19"/>
        <v>0</v>
      </c>
    </row>
    <row r="293" spans="1:20" x14ac:dyDescent="0.2">
      <c r="A293" s="153">
        <v>2025</v>
      </c>
      <c r="B293" s="153">
        <v>4</v>
      </c>
      <c r="C293" s="176"/>
      <c r="D293" s="281">
        <f t="shared" si="17"/>
        <v>12.499409270440248</v>
      </c>
      <c r="E293" s="279">
        <f t="shared" si="18"/>
        <v>12.374415177735845</v>
      </c>
      <c r="F293" s="173"/>
      <c r="G293" s="173">
        <v>30</v>
      </c>
      <c r="H293" s="154">
        <v>4010.8218552655148</v>
      </c>
      <c r="I293" s="190">
        <f>VLOOKUP($A293&amp;$B293,'KU Inputs'!$C$2:$I$505,MATCH('KU UtilityData'!I$1,'KU Inputs'!$C$1:$I$1,0),0)*1000</f>
        <v>4814601</v>
      </c>
      <c r="J293" s="190">
        <f>VLOOKUP($A293&amp;$B293,'KU Inputs'!$C$2:$I$505,MATCH('KU UtilityData'!J$1,'KU Inputs'!$C$1:$I$1,0),0)*1000</f>
        <v>1911173</v>
      </c>
      <c r="K293" s="265">
        <v>472109.05122836406</v>
      </c>
      <c r="L293" s="248">
        <v>460620.37</v>
      </c>
      <c r="M293" s="164">
        <v>116249.98129426842</v>
      </c>
      <c r="N293" s="190">
        <f>VLOOKUP($A293&amp;$B293,'KU Inputs'!$C$2:$I$505,MATCH('KU UtilityData'!N$1,'KU Inputs'!$C$1:$I$1,0),0)</f>
        <v>179884.057</v>
      </c>
      <c r="O293" s="190" t="e">
        <f>VLOOKUP($A293&amp;$B293,'KU Inputs'!$C$2:$I$505,MATCH('KU UtilityData'!O$1,'KU Inputs'!$C$1:$I$1,0),0)</f>
        <v>#N/A</v>
      </c>
      <c r="P293" s="264">
        <f t="shared" si="20"/>
        <v>440</v>
      </c>
      <c r="Q293" s="264">
        <f t="shared" si="20"/>
        <v>11.85</v>
      </c>
      <c r="R293" s="166">
        <v>4512</v>
      </c>
      <c r="S293" s="166">
        <v>1455</v>
      </c>
      <c r="T293" s="182">
        <f t="shared" si="19"/>
        <v>0</v>
      </c>
    </row>
    <row r="294" spans="1:20" x14ac:dyDescent="0.2">
      <c r="A294" s="153">
        <v>2025</v>
      </c>
      <c r="B294" s="153">
        <v>5</v>
      </c>
      <c r="C294" s="176"/>
      <c r="D294" s="281">
        <f t="shared" si="17"/>
        <v>12.499409270440248</v>
      </c>
      <c r="E294" s="279">
        <f t="shared" si="18"/>
        <v>12.374415177735845</v>
      </c>
      <c r="F294" s="173"/>
      <c r="G294" s="173">
        <v>30.48</v>
      </c>
      <c r="H294" s="154">
        <v>4012.9771365235979</v>
      </c>
      <c r="I294" s="190">
        <f>VLOOKUP($A294&amp;$B294,'KU Inputs'!$C$2:$I$505,MATCH('KU UtilityData'!I$1,'KU Inputs'!$C$1:$I$1,0),0)*1000</f>
        <v>4814601</v>
      </c>
      <c r="J294" s="190">
        <f>VLOOKUP($A294&amp;$B294,'KU Inputs'!$C$2:$I$505,MATCH('KU UtilityData'!J$1,'KU Inputs'!$C$1:$I$1,0),0)*1000</f>
        <v>1911173</v>
      </c>
      <c r="K294" s="265">
        <v>472423.79059584963</v>
      </c>
      <c r="L294" s="248">
        <v>460620.37</v>
      </c>
      <c r="M294" s="164">
        <v>116249.98129426842</v>
      </c>
      <c r="N294" s="190">
        <f>VLOOKUP($A294&amp;$B294,'KU Inputs'!$C$2:$I$505,MATCH('KU UtilityData'!N$1,'KU Inputs'!$C$1:$I$1,0),0)</f>
        <v>179884.057</v>
      </c>
      <c r="O294" s="190" t="e">
        <f>VLOOKUP($A294&amp;$B294,'KU Inputs'!$C$2:$I$505,MATCH('KU UtilityData'!O$1,'KU Inputs'!$C$1:$I$1,0),0)</f>
        <v>#N/A</v>
      </c>
      <c r="P294" s="264">
        <f t="shared" si="20"/>
        <v>187</v>
      </c>
      <c r="Q294" s="264">
        <f t="shared" si="20"/>
        <v>47</v>
      </c>
      <c r="R294" s="166">
        <v>4512</v>
      </c>
      <c r="S294" s="166">
        <v>1455</v>
      </c>
      <c r="T294" s="182">
        <f t="shared" si="19"/>
        <v>0</v>
      </c>
    </row>
    <row r="295" spans="1:20" x14ac:dyDescent="0.2">
      <c r="A295" s="153">
        <v>2025</v>
      </c>
      <c r="B295" s="153">
        <v>6</v>
      </c>
      <c r="C295" s="176"/>
      <c r="D295" s="281">
        <f t="shared" si="17"/>
        <v>12.499409270440248</v>
      </c>
      <c r="E295" s="279">
        <f t="shared" si="18"/>
        <v>12.374415177735845</v>
      </c>
      <c r="F295" s="173"/>
      <c r="G295" s="173">
        <v>30.52</v>
      </c>
      <c r="H295" s="154">
        <v>4015.1324177816782</v>
      </c>
      <c r="I295" s="190">
        <f>VLOOKUP($A295&amp;$B295,'KU Inputs'!$C$2:$I$505,MATCH('KU UtilityData'!I$1,'KU Inputs'!$C$1:$I$1,0),0)*1000</f>
        <v>4814601</v>
      </c>
      <c r="J295" s="190">
        <f>VLOOKUP($A295&amp;$B295,'KU Inputs'!$C$2:$I$505,MATCH('KU UtilityData'!J$1,'KU Inputs'!$C$1:$I$1,0),0)*1000</f>
        <v>1911173</v>
      </c>
      <c r="K295" s="265">
        <v>472738.73978958017</v>
      </c>
      <c r="L295" s="248">
        <v>460620.37</v>
      </c>
      <c r="M295" s="164">
        <v>116249.98129426842</v>
      </c>
      <c r="N295" s="190">
        <f>VLOOKUP($A295&amp;$B295,'KU Inputs'!$C$2:$I$505,MATCH('KU UtilityData'!N$1,'KU Inputs'!$C$1:$I$1,0),0)</f>
        <v>179884.057</v>
      </c>
      <c r="O295" s="190" t="e">
        <f>VLOOKUP($A295&amp;$B295,'KU Inputs'!$C$2:$I$505,MATCH('KU UtilityData'!O$1,'KU Inputs'!$C$1:$I$1,0),0)</f>
        <v>#N/A</v>
      </c>
      <c r="P295" s="264">
        <f t="shared" si="20"/>
        <v>49</v>
      </c>
      <c r="Q295" s="264">
        <f t="shared" si="20"/>
        <v>171</v>
      </c>
      <c r="R295" s="166">
        <v>4512</v>
      </c>
      <c r="S295" s="166">
        <v>1455</v>
      </c>
      <c r="T295" s="182">
        <f t="shared" si="19"/>
        <v>0</v>
      </c>
    </row>
    <row r="296" spans="1:20" x14ac:dyDescent="0.2">
      <c r="A296" s="153">
        <v>2025</v>
      </c>
      <c r="B296" s="153">
        <v>7</v>
      </c>
      <c r="C296" s="176"/>
      <c r="D296" s="281">
        <f t="shared" si="17"/>
        <v>12.499409270440248</v>
      </c>
      <c r="E296" s="279">
        <f t="shared" si="18"/>
        <v>12.374415177735845</v>
      </c>
      <c r="F296" s="173"/>
      <c r="G296" s="173">
        <v>30.67</v>
      </c>
      <c r="H296" s="154">
        <v>4017.2615353021802</v>
      </c>
      <c r="I296" s="190">
        <f>VLOOKUP($A296&amp;$B296,'KU Inputs'!$C$2:$I$505,MATCH('KU UtilityData'!I$1,'KU Inputs'!$C$1:$I$1,0),0)*1000</f>
        <v>4822495</v>
      </c>
      <c r="J296" s="190">
        <f>VLOOKUP($A296&amp;$B296,'KU Inputs'!$C$2:$I$505,MATCH('KU UtilityData'!J$1,'KU Inputs'!$C$1:$I$1,0),0)*1000</f>
        <v>1914946</v>
      </c>
      <c r="K296" s="265">
        <v>473053.89894943987</v>
      </c>
      <c r="L296" s="248">
        <v>461445.44</v>
      </c>
      <c r="M296" s="164">
        <v>116853.80571412871</v>
      </c>
      <c r="N296" s="190">
        <f>VLOOKUP($A296&amp;$B296,'KU Inputs'!$C$2:$I$505,MATCH('KU UtilityData'!N$1,'KU Inputs'!$C$1:$I$1,0),0)</f>
        <v>180786.26300000001</v>
      </c>
      <c r="O296" s="190" t="e">
        <f>VLOOKUP($A296&amp;$B296,'KU Inputs'!$C$2:$I$505,MATCH('KU UtilityData'!O$1,'KU Inputs'!$C$1:$I$1,0),0)</f>
        <v>#N/A</v>
      </c>
      <c r="P296" s="264">
        <f t="shared" si="20"/>
        <v>1</v>
      </c>
      <c r="Q296" s="264">
        <f t="shared" si="20"/>
        <v>325</v>
      </c>
      <c r="R296" s="166">
        <v>4512</v>
      </c>
      <c r="S296" s="166">
        <v>1455</v>
      </c>
      <c r="T296" s="182">
        <f t="shared" si="19"/>
        <v>0</v>
      </c>
    </row>
    <row r="297" spans="1:20" x14ac:dyDescent="0.2">
      <c r="A297" s="153">
        <v>2025</v>
      </c>
      <c r="B297" s="153">
        <v>8</v>
      </c>
      <c r="C297" s="176"/>
      <c r="D297" s="281">
        <f t="shared" si="17"/>
        <v>12.499409270440248</v>
      </c>
      <c r="E297" s="279">
        <f t="shared" si="18"/>
        <v>12.374415177735845</v>
      </c>
      <c r="F297" s="173"/>
      <c r="G297" s="173">
        <v>29.48</v>
      </c>
      <c r="H297" s="154">
        <v>4019.3906528226826</v>
      </c>
      <c r="I297" s="190">
        <f>VLOOKUP($A297&amp;$B297,'KU Inputs'!$C$2:$I$505,MATCH('KU UtilityData'!I$1,'KU Inputs'!$C$1:$I$1,0),0)*1000</f>
        <v>4822495</v>
      </c>
      <c r="J297" s="190">
        <f>VLOOKUP($A297&amp;$B297,'KU Inputs'!$C$2:$I$505,MATCH('KU UtilityData'!J$1,'KU Inputs'!$C$1:$I$1,0),0)*1000</f>
        <v>1914946</v>
      </c>
      <c r="K297" s="265">
        <v>473369.2682154061</v>
      </c>
      <c r="L297" s="248">
        <v>461445.44</v>
      </c>
      <c r="M297" s="164">
        <v>116853.80571412871</v>
      </c>
      <c r="N297" s="190">
        <f>VLOOKUP($A297&amp;$B297,'KU Inputs'!$C$2:$I$505,MATCH('KU UtilityData'!N$1,'KU Inputs'!$C$1:$I$1,0),0)</f>
        <v>180786.26300000001</v>
      </c>
      <c r="O297" s="190" t="e">
        <f>VLOOKUP($A297&amp;$B297,'KU Inputs'!$C$2:$I$505,MATCH('KU UtilityData'!O$1,'KU Inputs'!$C$1:$I$1,0),0)</f>
        <v>#N/A</v>
      </c>
      <c r="P297" s="264">
        <f t="shared" si="20"/>
        <v>0</v>
      </c>
      <c r="Q297" s="264">
        <f t="shared" si="20"/>
        <v>341</v>
      </c>
      <c r="R297" s="166">
        <v>4512</v>
      </c>
      <c r="S297" s="166">
        <v>1455</v>
      </c>
      <c r="T297" s="182">
        <f t="shared" si="19"/>
        <v>0</v>
      </c>
    </row>
    <row r="298" spans="1:20" x14ac:dyDescent="0.2">
      <c r="A298" s="153">
        <v>2025</v>
      </c>
      <c r="B298" s="153">
        <v>9</v>
      </c>
      <c r="C298" s="176"/>
      <c r="D298" s="281">
        <f t="shared" si="17"/>
        <v>12.499409270440248</v>
      </c>
      <c r="E298" s="279">
        <f t="shared" si="18"/>
        <v>12.374415177735845</v>
      </c>
      <c r="F298" s="173"/>
      <c r="G298" s="173">
        <v>30.86</v>
      </c>
      <c r="H298" s="154">
        <v>4021.519770343185</v>
      </c>
      <c r="I298" s="190">
        <f>VLOOKUP($A298&amp;$B298,'KU Inputs'!$C$2:$I$505,MATCH('KU UtilityData'!I$1,'KU Inputs'!$C$1:$I$1,0),0)*1000</f>
        <v>4822495</v>
      </c>
      <c r="J298" s="190">
        <f>VLOOKUP($A298&amp;$B298,'KU Inputs'!$C$2:$I$505,MATCH('KU UtilityData'!J$1,'KU Inputs'!$C$1:$I$1,0),0)*1000</f>
        <v>1914946</v>
      </c>
      <c r="K298" s="265">
        <v>473684.84772754967</v>
      </c>
      <c r="L298" s="248">
        <v>461445.44</v>
      </c>
      <c r="M298" s="164">
        <v>116853.80571412871</v>
      </c>
      <c r="N298" s="190">
        <f>VLOOKUP($A298&amp;$B298,'KU Inputs'!$C$2:$I$505,MATCH('KU UtilityData'!N$1,'KU Inputs'!$C$1:$I$1,0),0)</f>
        <v>180786.26300000001</v>
      </c>
      <c r="O298" s="190" t="e">
        <f>VLOOKUP($A298&amp;$B298,'KU Inputs'!$C$2:$I$505,MATCH('KU UtilityData'!O$1,'KU Inputs'!$C$1:$I$1,0),0)</f>
        <v>#N/A</v>
      </c>
      <c r="P298" s="264">
        <f t="shared" ref="P298:Q317" si="21">P286</f>
        <v>12</v>
      </c>
      <c r="Q298" s="264">
        <f t="shared" si="21"/>
        <v>261</v>
      </c>
      <c r="R298" s="166">
        <v>4512</v>
      </c>
      <c r="S298" s="166">
        <v>1455</v>
      </c>
      <c r="T298" s="182">
        <f t="shared" si="19"/>
        <v>0</v>
      </c>
    </row>
    <row r="299" spans="1:20" x14ac:dyDescent="0.2">
      <c r="A299" s="153">
        <v>2025</v>
      </c>
      <c r="B299" s="153">
        <v>10</v>
      </c>
      <c r="C299" s="176"/>
      <c r="D299" s="281">
        <f t="shared" si="17"/>
        <v>12.499409270440248</v>
      </c>
      <c r="E299" s="279">
        <f t="shared" si="18"/>
        <v>12.374415177735845</v>
      </c>
      <c r="F299" s="173"/>
      <c r="G299" s="173">
        <v>29.38</v>
      </c>
      <c r="H299" s="154">
        <v>4023.6488878636874</v>
      </c>
      <c r="I299" s="190">
        <f>VLOOKUP($A299&amp;$B299,'KU Inputs'!$C$2:$I$505,MATCH('KU UtilityData'!I$1,'KU Inputs'!$C$1:$I$1,0),0)*1000</f>
        <v>4830368</v>
      </c>
      <c r="J299" s="190">
        <f>VLOOKUP($A299&amp;$B299,'KU Inputs'!$C$2:$I$505,MATCH('KU UtilityData'!J$1,'KU Inputs'!$C$1:$I$1,0),0)*1000</f>
        <v>1918750</v>
      </c>
      <c r="K299" s="265">
        <v>474000.63762603467</v>
      </c>
      <c r="L299" s="248">
        <v>462277.28</v>
      </c>
      <c r="M299" s="164">
        <v>117480.92394207799</v>
      </c>
      <c r="N299" s="190">
        <f>VLOOKUP($A299&amp;$B299,'KU Inputs'!$C$2:$I$505,MATCH('KU UtilityData'!N$1,'KU Inputs'!$C$1:$I$1,0),0)</f>
        <v>181695.31</v>
      </c>
      <c r="O299" s="190" t="e">
        <f>VLOOKUP($A299&amp;$B299,'KU Inputs'!$C$2:$I$505,MATCH('KU UtilityData'!O$1,'KU Inputs'!$C$1:$I$1,0),0)</f>
        <v>#N/A</v>
      </c>
      <c r="P299" s="264">
        <f t="shared" si="21"/>
        <v>136</v>
      </c>
      <c r="Q299" s="264">
        <f t="shared" si="21"/>
        <v>73</v>
      </c>
      <c r="R299" s="166">
        <v>4512</v>
      </c>
      <c r="S299" s="166">
        <v>1455</v>
      </c>
      <c r="T299" s="182">
        <f t="shared" si="19"/>
        <v>0</v>
      </c>
    </row>
    <row r="300" spans="1:20" x14ac:dyDescent="0.2">
      <c r="A300" s="153">
        <v>2025</v>
      </c>
      <c r="B300" s="153">
        <v>11</v>
      </c>
      <c r="C300" s="176"/>
      <c r="D300" s="281">
        <f t="shared" si="17"/>
        <v>12.499409270440248</v>
      </c>
      <c r="E300" s="279">
        <f t="shared" si="18"/>
        <v>12.374415177735845</v>
      </c>
      <c r="F300" s="173"/>
      <c r="G300" s="173">
        <v>29.57</v>
      </c>
      <c r="H300" s="154">
        <v>4025.7780053841893</v>
      </c>
      <c r="I300" s="190">
        <f>VLOOKUP($A300&amp;$B300,'KU Inputs'!$C$2:$I$505,MATCH('KU UtilityData'!I$1,'KU Inputs'!$C$1:$I$1,0),0)*1000</f>
        <v>4830368</v>
      </c>
      <c r="J300" s="190">
        <f>VLOOKUP($A300&amp;$B300,'KU Inputs'!$C$2:$I$505,MATCH('KU UtilityData'!J$1,'KU Inputs'!$C$1:$I$1,0),0)*1000</f>
        <v>1918750</v>
      </c>
      <c r="K300" s="265">
        <v>474316.63805111864</v>
      </c>
      <c r="L300" s="248">
        <v>462277.28</v>
      </c>
      <c r="M300" s="164">
        <v>117480.92394207799</v>
      </c>
      <c r="N300" s="190">
        <f>VLOOKUP($A300&amp;$B300,'KU Inputs'!$C$2:$I$505,MATCH('KU UtilityData'!N$1,'KU Inputs'!$C$1:$I$1,0),0)</f>
        <v>181695.31</v>
      </c>
      <c r="O300" s="190" t="e">
        <f>VLOOKUP($A300&amp;$B300,'KU Inputs'!$C$2:$I$505,MATCH('KU UtilityData'!O$1,'KU Inputs'!$C$1:$I$1,0),0)</f>
        <v>#N/A</v>
      </c>
      <c r="P300" s="264">
        <f t="shared" si="21"/>
        <v>394</v>
      </c>
      <c r="Q300" s="264">
        <f t="shared" si="21"/>
        <v>7</v>
      </c>
      <c r="R300" s="166">
        <v>4512</v>
      </c>
      <c r="S300" s="166">
        <v>1455</v>
      </c>
      <c r="T300" s="182">
        <f t="shared" si="19"/>
        <v>0</v>
      </c>
    </row>
    <row r="301" spans="1:20" x14ac:dyDescent="0.2">
      <c r="A301" s="153">
        <v>2025</v>
      </c>
      <c r="B301" s="153">
        <v>12</v>
      </c>
      <c r="C301" s="176"/>
      <c r="D301" s="281">
        <f t="shared" si="17"/>
        <v>12.499409270440248</v>
      </c>
      <c r="E301" s="279">
        <f t="shared" si="18"/>
        <v>12.374415177735845</v>
      </c>
      <c r="F301" s="173"/>
      <c r="G301" s="173">
        <v>31.81</v>
      </c>
      <c r="H301" s="154">
        <v>4027.9071229046917</v>
      </c>
      <c r="I301" s="190">
        <f>VLOOKUP($A301&amp;$B301,'KU Inputs'!$C$2:$I$505,MATCH('KU UtilityData'!I$1,'KU Inputs'!$C$1:$I$1,0),0)*1000</f>
        <v>4830368</v>
      </c>
      <c r="J301" s="190">
        <f>VLOOKUP($A301&amp;$B301,'KU Inputs'!$C$2:$I$505,MATCH('KU UtilityData'!J$1,'KU Inputs'!$C$1:$I$1,0),0)*1000</f>
        <v>1918750</v>
      </c>
      <c r="K301" s="265">
        <v>474632.84914315271</v>
      </c>
      <c r="L301" s="248">
        <v>462277.28</v>
      </c>
      <c r="M301" s="164">
        <v>117480.92394207799</v>
      </c>
      <c r="N301" s="190">
        <f>VLOOKUP($A301&amp;$B301,'KU Inputs'!$C$2:$I$505,MATCH('KU UtilityData'!N$1,'KU Inputs'!$C$1:$I$1,0),0)</f>
        <v>181695.31</v>
      </c>
      <c r="O301" s="190" t="e">
        <f>VLOOKUP($A301&amp;$B301,'KU Inputs'!$C$2:$I$505,MATCH('KU UtilityData'!O$1,'KU Inputs'!$C$1:$I$1,0),0)</f>
        <v>#N/A</v>
      </c>
      <c r="P301" s="264">
        <f t="shared" si="21"/>
        <v>706</v>
      </c>
      <c r="Q301" s="264">
        <f t="shared" si="21"/>
        <v>0.2</v>
      </c>
      <c r="R301" s="166">
        <v>4512</v>
      </c>
      <c r="S301" s="166">
        <v>1455</v>
      </c>
      <c r="T301" s="182">
        <f t="shared" si="19"/>
        <v>0</v>
      </c>
    </row>
    <row r="302" spans="1:20" x14ac:dyDescent="0.2">
      <c r="A302" s="153">
        <v>2026</v>
      </c>
      <c r="B302" s="153">
        <v>1</v>
      </c>
      <c r="D302" s="281">
        <f t="shared" si="17"/>
        <v>12.749397455849053</v>
      </c>
      <c r="E302" s="279">
        <f t="shared" si="18"/>
        <v>12.621903481290563</v>
      </c>
      <c r="F302" s="173"/>
      <c r="G302" s="173">
        <v>32.380000000000003</v>
      </c>
      <c r="H302" s="154">
        <v>4030.0362404251941</v>
      </c>
      <c r="I302" s="190">
        <f>VLOOKUP($A302&amp;$B302,'KU Inputs'!$C$2:$I$505,MATCH('KU UtilityData'!I$1,'KU Inputs'!$C$1:$I$1,0),0)*1000</f>
        <v>4838222</v>
      </c>
      <c r="J302" s="190">
        <f>VLOOKUP($A302&amp;$B302,'KU Inputs'!$C$2:$I$505,MATCH('KU UtilityData'!J$1,'KU Inputs'!$C$1:$I$1,0),0)*1000</f>
        <v>1922499</v>
      </c>
      <c r="K302" s="265">
        <v>474949.27104258141</v>
      </c>
      <c r="L302" s="248">
        <v>463097.1</v>
      </c>
      <c r="M302" s="164">
        <v>118308.237473602</v>
      </c>
      <c r="N302" s="190">
        <f>VLOOKUP($A302&amp;$B302,'KU Inputs'!$C$2:$I$505,MATCH('KU UtilityData'!N$1,'KU Inputs'!$C$1:$I$1,0),0)</f>
        <v>183193.88699999999</v>
      </c>
      <c r="O302" s="190" t="e">
        <f>VLOOKUP($A302&amp;$B302,'KU Inputs'!$C$2:$I$505,MATCH('KU UtilityData'!O$1,'KU Inputs'!$C$1:$I$1,0),0)</f>
        <v>#N/A</v>
      </c>
      <c r="P302" s="264">
        <f t="shared" si="21"/>
        <v>996</v>
      </c>
      <c r="Q302" s="264">
        <f t="shared" si="21"/>
        <v>0</v>
      </c>
      <c r="R302" s="166">
        <v>4512</v>
      </c>
      <c r="S302" s="166">
        <v>1455</v>
      </c>
      <c r="T302" s="182">
        <f t="shared" si="19"/>
        <v>0</v>
      </c>
    </row>
    <row r="303" spans="1:20" x14ac:dyDescent="0.2">
      <c r="A303" s="153">
        <v>2026</v>
      </c>
      <c r="B303" s="153">
        <v>2</v>
      </c>
      <c r="D303" s="281">
        <f t="shared" si="17"/>
        <v>12.749397455849053</v>
      </c>
      <c r="E303" s="279">
        <f t="shared" si="18"/>
        <v>12.621903481290563</v>
      </c>
      <c r="F303" s="173"/>
      <c r="G303" s="173">
        <v>30.19</v>
      </c>
      <c r="H303" s="154">
        <v>4032.1653579456965</v>
      </c>
      <c r="I303" s="190">
        <f>VLOOKUP($A303&amp;$B303,'KU Inputs'!$C$2:$I$505,MATCH('KU UtilityData'!I$1,'KU Inputs'!$C$1:$I$1,0),0)*1000</f>
        <v>4838222</v>
      </c>
      <c r="J303" s="190">
        <f>VLOOKUP($A303&amp;$B303,'KU Inputs'!$C$2:$I$505,MATCH('KU UtilityData'!J$1,'KU Inputs'!$C$1:$I$1,0),0)*1000</f>
        <v>1922499</v>
      </c>
      <c r="K303" s="265">
        <v>475265.90388994309</v>
      </c>
      <c r="L303" s="248">
        <v>463097.1</v>
      </c>
      <c r="M303" s="164">
        <v>118308.237473602</v>
      </c>
      <c r="N303" s="190">
        <f>VLOOKUP($A303&amp;$B303,'KU Inputs'!$C$2:$I$505,MATCH('KU UtilityData'!N$1,'KU Inputs'!$C$1:$I$1,0),0)</f>
        <v>183193.88699999999</v>
      </c>
      <c r="O303" s="190" t="e">
        <f>VLOOKUP($A303&amp;$B303,'KU Inputs'!$C$2:$I$505,MATCH('KU UtilityData'!O$1,'KU Inputs'!$C$1:$I$1,0),0)</f>
        <v>#N/A</v>
      </c>
      <c r="P303" s="264">
        <f t="shared" si="21"/>
        <v>889.8</v>
      </c>
      <c r="Q303" s="264">
        <f t="shared" si="21"/>
        <v>0</v>
      </c>
      <c r="R303" s="166">
        <v>4512</v>
      </c>
      <c r="S303" s="166">
        <v>1455</v>
      </c>
      <c r="T303" s="182">
        <f t="shared" si="19"/>
        <v>0</v>
      </c>
    </row>
    <row r="304" spans="1:20" x14ac:dyDescent="0.2">
      <c r="A304" s="153">
        <v>2026</v>
      </c>
      <c r="B304" s="153">
        <v>3</v>
      </c>
      <c r="D304" s="281">
        <f t="shared" si="17"/>
        <v>12.749397455849053</v>
      </c>
      <c r="E304" s="279">
        <f t="shared" si="18"/>
        <v>12.621903481290563</v>
      </c>
      <c r="F304" s="173"/>
      <c r="G304" s="173">
        <v>30.05</v>
      </c>
      <c r="H304" s="154">
        <v>4034.2944754661989</v>
      </c>
      <c r="I304" s="190">
        <f>VLOOKUP($A304&amp;$B304,'KU Inputs'!$C$2:$I$505,MATCH('KU UtilityData'!I$1,'KU Inputs'!$C$1:$I$1,0),0)*1000</f>
        <v>4838222</v>
      </c>
      <c r="J304" s="190">
        <f>VLOOKUP($A304&amp;$B304,'KU Inputs'!$C$2:$I$505,MATCH('KU UtilityData'!J$1,'KU Inputs'!$C$1:$I$1,0),0)*1000</f>
        <v>1922499</v>
      </c>
      <c r="K304" s="265">
        <v>475582.74782586971</v>
      </c>
      <c r="L304" s="248">
        <v>463097.1</v>
      </c>
      <c r="M304" s="164">
        <v>118308.237473602</v>
      </c>
      <c r="N304" s="190">
        <f>VLOOKUP($A304&amp;$B304,'KU Inputs'!$C$2:$I$505,MATCH('KU UtilityData'!N$1,'KU Inputs'!$C$1:$I$1,0),0)</f>
        <v>183193.88699999999</v>
      </c>
      <c r="O304" s="190" t="e">
        <f>VLOOKUP($A304&amp;$B304,'KU Inputs'!$C$2:$I$505,MATCH('KU UtilityData'!O$1,'KU Inputs'!$C$1:$I$1,0),0)</f>
        <v>#N/A</v>
      </c>
      <c r="P304" s="264">
        <f t="shared" si="21"/>
        <v>729</v>
      </c>
      <c r="Q304" s="264">
        <f t="shared" si="21"/>
        <v>0.45</v>
      </c>
      <c r="R304" s="166">
        <v>4512</v>
      </c>
      <c r="S304" s="166">
        <v>1455</v>
      </c>
      <c r="T304" s="182">
        <f t="shared" si="19"/>
        <v>0</v>
      </c>
    </row>
    <row r="305" spans="1:20" x14ac:dyDescent="0.2">
      <c r="A305" s="153">
        <v>2026</v>
      </c>
      <c r="B305" s="153">
        <v>4</v>
      </c>
      <c r="D305" s="281">
        <f t="shared" si="17"/>
        <v>12.749397455849053</v>
      </c>
      <c r="E305" s="279">
        <f t="shared" si="18"/>
        <v>12.621903481290563</v>
      </c>
      <c r="F305" s="173"/>
      <c r="G305" s="173">
        <v>30.71</v>
      </c>
      <c r="H305" s="154">
        <v>4036.4235929867009</v>
      </c>
      <c r="I305" s="190">
        <f>VLOOKUP($A305&amp;$B305,'KU Inputs'!$C$2:$I$505,MATCH('KU UtilityData'!I$1,'KU Inputs'!$C$1:$I$1,0),0)*1000</f>
        <v>4846054</v>
      </c>
      <c r="J305" s="190">
        <f>VLOOKUP($A305&amp;$B305,'KU Inputs'!$C$2:$I$505,MATCH('KU UtilityData'!J$1,'KU Inputs'!$C$1:$I$1,0),0)*1000</f>
        <v>1926310</v>
      </c>
      <c r="K305" s="265">
        <v>475899.80299108691</v>
      </c>
      <c r="L305" s="248">
        <v>463930.48</v>
      </c>
      <c r="M305" s="164">
        <v>119067.29715223348</v>
      </c>
      <c r="N305" s="190">
        <f>VLOOKUP($A305&amp;$B305,'KU Inputs'!$C$2:$I$505,MATCH('KU UtilityData'!N$1,'KU Inputs'!$C$1:$I$1,0),0)</f>
        <v>184162.48300000001</v>
      </c>
      <c r="O305" s="190" t="e">
        <f>VLOOKUP($A305&amp;$B305,'KU Inputs'!$C$2:$I$505,MATCH('KU UtilityData'!O$1,'KU Inputs'!$C$1:$I$1,0),0)</f>
        <v>#N/A</v>
      </c>
      <c r="P305" s="264">
        <f t="shared" si="21"/>
        <v>440</v>
      </c>
      <c r="Q305" s="264">
        <f t="shared" si="21"/>
        <v>11.85</v>
      </c>
      <c r="R305" s="166">
        <v>4512</v>
      </c>
      <c r="S305" s="166">
        <v>1455</v>
      </c>
      <c r="T305" s="182">
        <f t="shared" si="19"/>
        <v>0</v>
      </c>
    </row>
    <row r="306" spans="1:20" x14ac:dyDescent="0.2">
      <c r="A306" s="153">
        <v>2026</v>
      </c>
      <c r="B306" s="153">
        <v>5</v>
      </c>
      <c r="D306" s="281">
        <f t="shared" si="17"/>
        <v>12.749397455849053</v>
      </c>
      <c r="E306" s="279">
        <f t="shared" si="18"/>
        <v>12.621903481290563</v>
      </c>
      <c r="F306" s="173"/>
      <c r="G306" s="173">
        <v>29.9</v>
      </c>
      <c r="H306" s="154">
        <v>4038.5527105072033</v>
      </c>
      <c r="I306" s="190">
        <f>VLOOKUP($A306&amp;$B306,'KU Inputs'!$C$2:$I$505,MATCH('KU UtilityData'!I$1,'KU Inputs'!$C$1:$I$1,0),0)*1000</f>
        <v>4846054</v>
      </c>
      <c r="J306" s="190">
        <f>VLOOKUP($A306&amp;$B306,'KU Inputs'!$C$2:$I$505,MATCH('KU UtilityData'!J$1,'KU Inputs'!$C$1:$I$1,0),0)*1000</f>
        <v>1926310</v>
      </c>
      <c r="K306" s="265">
        <v>476217.06952641427</v>
      </c>
      <c r="L306" s="248">
        <v>463930.48</v>
      </c>
      <c r="M306" s="164">
        <v>119067.29715223348</v>
      </c>
      <c r="N306" s="190">
        <f>VLOOKUP($A306&amp;$B306,'KU Inputs'!$C$2:$I$505,MATCH('KU UtilityData'!N$1,'KU Inputs'!$C$1:$I$1,0),0)</f>
        <v>184162.48300000001</v>
      </c>
      <c r="O306" s="190" t="e">
        <f>VLOOKUP($A306&amp;$B306,'KU Inputs'!$C$2:$I$505,MATCH('KU UtilityData'!O$1,'KU Inputs'!$C$1:$I$1,0),0)</f>
        <v>#N/A</v>
      </c>
      <c r="P306" s="264">
        <f t="shared" si="21"/>
        <v>187</v>
      </c>
      <c r="Q306" s="264">
        <f t="shared" si="21"/>
        <v>47</v>
      </c>
      <c r="R306" s="166">
        <v>4512</v>
      </c>
      <c r="S306" s="166">
        <v>1455</v>
      </c>
      <c r="T306" s="182">
        <f t="shared" si="19"/>
        <v>0</v>
      </c>
    </row>
    <row r="307" spans="1:20" x14ac:dyDescent="0.2">
      <c r="A307" s="153">
        <v>2026</v>
      </c>
      <c r="B307" s="153">
        <v>6</v>
      </c>
      <c r="D307" s="281">
        <f t="shared" si="17"/>
        <v>12.749397455849053</v>
      </c>
      <c r="E307" s="279">
        <f t="shared" si="18"/>
        <v>12.621903481290563</v>
      </c>
      <c r="F307" s="173"/>
      <c r="G307" s="173">
        <v>30.38</v>
      </c>
      <c r="H307" s="154">
        <v>4040.6818280277062</v>
      </c>
      <c r="I307" s="190">
        <f>VLOOKUP($A307&amp;$B307,'KU Inputs'!$C$2:$I$505,MATCH('KU UtilityData'!I$1,'KU Inputs'!$C$1:$I$1,0),0)*1000</f>
        <v>4846054</v>
      </c>
      <c r="J307" s="190">
        <f>VLOOKUP($A307&amp;$B307,'KU Inputs'!$C$2:$I$505,MATCH('KU UtilityData'!J$1,'KU Inputs'!$C$1:$I$1,0),0)*1000</f>
        <v>1926310</v>
      </c>
      <c r="K307" s="265">
        <v>476534.54757276515</v>
      </c>
      <c r="L307" s="248">
        <v>463930.48</v>
      </c>
      <c r="M307" s="164">
        <v>119067.29715223348</v>
      </c>
      <c r="N307" s="190">
        <f>VLOOKUP($A307&amp;$B307,'KU Inputs'!$C$2:$I$505,MATCH('KU UtilityData'!N$1,'KU Inputs'!$C$1:$I$1,0),0)</f>
        <v>184162.48300000001</v>
      </c>
      <c r="O307" s="190" t="e">
        <f>VLOOKUP($A307&amp;$B307,'KU Inputs'!$C$2:$I$505,MATCH('KU UtilityData'!O$1,'KU Inputs'!$C$1:$I$1,0),0)</f>
        <v>#N/A</v>
      </c>
      <c r="P307" s="264">
        <f t="shared" si="21"/>
        <v>49</v>
      </c>
      <c r="Q307" s="264">
        <f t="shared" si="21"/>
        <v>171</v>
      </c>
      <c r="R307" s="166">
        <v>4512</v>
      </c>
      <c r="S307" s="166">
        <v>1455</v>
      </c>
      <c r="T307" s="182">
        <f t="shared" si="19"/>
        <v>0</v>
      </c>
    </row>
    <row r="308" spans="1:20" x14ac:dyDescent="0.2">
      <c r="A308" s="153">
        <v>2026</v>
      </c>
      <c r="B308" s="153">
        <v>7</v>
      </c>
      <c r="D308" s="281">
        <f t="shared" si="17"/>
        <v>12.749397455849053</v>
      </c>
      <c r="E308" s="279">
        <f t="shared" si="18"/>
        <v>12.621903481290563</v>
      </c>
      <c r="F308" s="173"/>
      <c r="G308" s="173">
        <v>30.71</v>
      </c>
      <c r="H308" s="154">
        <v>4042.7753434331453</v>
      </c>
      <c r="I308" s="190">
        <f>VLOOKUP($A308&amp;$B308,'KU Inputs'!$C$2:$I$505,MATCH('KU UtilityData'!I$1,'KU Inputs'!$C$1:$I$1,0),0)*1000</f>
        <v>4853840</v>
      </c>
      <c r="J308" s="190">
        <f>VLOOKUP($A308&amp;$B308,'KU Inputs'!$C$2:$I$505,MATCH('KU UtilityData'!J$1,'KU Inputs'!$C$1:$I$1,0),0)*1000</f>
        <v>1930050</v>
      </c>
      <c r="K308" s="265">
        <v>476852.23727114697</v>
      </c>
      <c r="L308" s="248">
        <v>464748.33</v>
      </c>
      <c r="M308" s="164">
        <v>119692.24898040202</v>
      </c>
      <c r="N308" s="190">
        <f>VLOOKUP($A308&amp;$B308,'KU Inputs'!$C$2:$I$505,MATCH('KU UtilityData'!N$1,'KU Inputs'!$C$1:$I$1,0),0)</f>
        <v>185034.74600000001</v>
      </c>
      <c r="O308" s="190" t="e">
        <f>VLOOKUP($A308&amp;$B308,'KU Inputs'!$C$2:$I$505,MATCH('KU UtilityData'!O$1,'KU Inputs'!$C$1:$I$1,0),0)</f>
        <v>#N/A</v>
      </c>
      <c r="P308" s="264">
        <f t="shared" si="21"/>
        <v>1</v>
      </c>
      <c r="Q308" s="264">
        <f t="shared" si="21"/>
        <v>325</v>
      </c>
      <c r="R308" s="166">
        <v>4512</v>
      </c>
      <c r="S308" s="166">
        <v>1455</v>
      </c>
      <c r="T308" s="182">
        <f t="shared" si="19"/>
        <v>0</v>
      </c>
    </row>
    <row r="309" spans="1:20" x14ac:dyDescent="0.2">
      <c r="A309" s="153">
        <v>2026</v>
      </c>
      <c r="B309" s="153">
        <v>8</v>
      </c>
      <c r="D309" s="281">
        <f t="shared" si="17"/>
        <v>12.749397455849053</v>
      </c>
      <c r="E309" s="279">
        <f t="shared" si="18"/>
        <v>12.621903481290563</v>
      </c>
      <c r="F309" s="173"/>
      <c r="G309" s="173">
        <v>29.52</v>
      </c>
      <c r="H309" s="154">
        <v>4044.8688588385849</v>
      </c>
      <c r="I309" s="190">
        <f>VLOOKUP($A309&amp;$B309,'KU Inputs'!$C$2:$I$505,MATCH('KU UtilityData'!I$1,'KU Inputs'!$C$1:$I$1,0),0)*1000</f>
        <v>4853840</v>
      </c>
      <c r="J309" s="190">
        <f>VLOOKUP($A309&amp;$B309,'KU Inputs'!$C$2:$I$505,MATCH('KU UtilityData'!J$1,'KU Inputs'!$C$1:$I$1,0),0)*1000</f>
        <v>1930050</v>
      </c>
      <c r="K309" s="265">
        <v>477170.13876266102</v>
      </c>
      <c r="L309" s="248">
        <v>464748.33</v>
      </c>
      <c r="M309" s="164">
        <v>119692.24898040202</v>
      </c>
      <c r="N309" s="190">
        <f>VLOOKUP($A309&amp;$B309,'KU Inputs'!$C$2:$I$505,MATCH('KU UtilityData'!N$1,'KU Inputs'!$C$1:$I$1,0),0)</f>
        <v>185034.74600000001</v>
      </c>
      <c r="O309" s="190" t="e">
        <f>VLOOKUP($A309&amp;$B309,'KU Inputs'!$C$2:$I$505,MATCH('KU UtilityData'!O$1,'KU Inputs'!$C$1:$I$1,0),0)</f>
        <v>#N/A</v>
      </c>
      <c r="P309" s="264">
        <f t="shared" si="21"/>
        <v>0</v>
      </c>
      <c r="Q309" s="264">
        <f t="shared" si="21"/>
        <v>341</v>
      </c>
      <c r="R309" s="166">
        <v>4512</v>
      </c>
      <c r="S309" s="166">
        <v>1455</v>
      </c>
      <c r="T309" s="182">
        <f t="shared" si="19"/>
        <v>0</v>
      </c>
    </row>
    <row r="310" spans="1:20" x14ac:dyDescent="0.2">
      <c r="A310" s="153">
        <v>2026</v>
      </c>
      <c r="B310" s="153">
        <v>9</v>
      </c>
      <c r="D310" s="281">
        <f t="shared" si="17"/>
        <v>12.749397455849053</v>
      </c>
      <c r="E310" s="279">
        <f t="shared" si="18"/>
        <v>12.621903481290563</v>
      </c>
      <c r="F310" s="173"/>
      <c r="G310" s="173">
        <v>30.48</v>
      </c>
      <c r="H310" s="154">
        <v>4046.962374244024</v>
      </c>
      <c r="I310" s="190">
        <f>VLOOKUP($A310&amp;$B310,'KU Inputs'!$C$2:$I$505,MATCH('KU UtilityData'!I$1,'KU Inputs'!$C$1:$I$1,0),0)*1000</f>
        <v>4853840</v>
      </c>
      <c r="J310" s="190">
        <f>VLOOKUP($A310&amp;$B310,'KU Inputs'!$C$2:$I$505,MATCH('KU UtilityData'!J$1,'KU Inputs'!$C$1:$I$1,0),0)*1000</f>
        <v>1930050</v>
      </c>
      <c r="K310" s="265">
        <v>477488.25218850275</v>
      </c>
      <c r="L310" s="248">
        <v>464748.33</v>
      </c>
      <c r="M310" s="164">
        <v>119692.24898040202</v>
      </c>
      <c r="N310" s="190">
        <f>VLOOKUP($A310&amp;$B310,'KU Inputs'!$C$2:$I$505,MATCH('KU UtilityData'!N$1,'KU Inputs'!$C$1:$I$1,0),0)</f>
        <v>185034.74600000001</v>
      </c>
      <c r="O310" s="190" t="e">
        <f>VLOOKUP($A310&amp;$B310,'KU Inputs'!$C$2:$I$505,MATCH('KU UtilityData'!O$1,'KU Inputs'!$C$1:$I$1,0),0)</f>
        <v>#N/A</v>
      </c>
      <c r="P310" s="264">
        <f t="shared" si="21"/>
        <v>12</v>
      </c>
      <c r="Q310" s="264">
        <f t="shared" si="21"/>
        <v>261</v>
      </c>
      <c r="R310" s="166">
        <v>4512</v>
      </c>
      <c r="S310" s="166">
        <v>1455</v>
      </c>
      <c r="T310" s="182">
        <f t="shared" si="19"/>
        <v>0</v>
      </c>
    </row>
    <row r="311" spans="1:20" x14ac:dyDescent="0.2">
      <c r="A311" s="153">
        <v>2026</v>
      </c>
      <c r="B311" s="153">
        <v>10</v>
      </c>
      <c r="D311" s="281">
        <f t="shared" si="17"/>
        <v>12.749397455849053</v>
      </c>
      <c r="E311" s="279">
        <f t="shared" si="18"/>
        <v>12.621903481290563</v>
      </c>
      <c r="F311" s="173"/>
      <c r="G311" s="173">
        <v>29.67</v>
      </c>
      <c r="H311" s="154">
        <v>4049.0558896494636</v>
      </c>
      <c r="I311" s="190">
        <f>VLOOKUP($A311&amp;$B311,'KU Inputs'!$C$2:$I$505,MATCH('KU UtilityData'!I$1,'KU Inputs'!$C$1:$I$1,0),0)*1000</f>
        <v>4861604</v>
      </c>
      <c r="J311" s="190">
        <f>VLOOKUP($A311&amp;$B311,'KU Inputs'!$C$2:$I$505,MATCH('KU UtilityData'!J$1,'KU Inputs'!$C$1:$I$1,0),0)*1000</f>
        <v>1933802</v>
      </c>
      <c r="K311" s="265">
        <v>477806.5776899617</v>
      </c>
      <c r="L311" s="248">
        <v>465568.8</v>
      </c>
      <c r="M311" s="164">
        <v>120250.61873856951</v>
      </c>
      <c r="N311" s="190">
        <f>VLOOKUP($A311&amp;$B311,'KU Inputs'!$C$2:$I$505,MATCH('KU UtilityData'!N$1,'KU Inputs'!$C$1:$I$1,0),0)</f>
        <v>185915.33600000001</v>
      </c>
      <c r="O311" s="190" t="e">
        <f>VLOOKUP($A311&amp;$B311,'KU Inputs'!$C$2:$I$505,MATCH('KU UtilityData'!O$1,'KU Inputs'!$C$1:$I$1,0),0)</f>
        <v>#N/A</v>
      </c>
      <c r="P311" s="264">
        <f t="shared" si="21"/>
        <v>136</v>
      </c>
      <c r="Q311" s="264">
        <f t="shared" si="21"/>
        <v>73</v>
      </c>
      <c r="R311" s="166">
        <v>4512</v>
      </c>
      <c r="S311" s="166">
        <v>1455</v>
      </c>
      <c r="T311" s="182">
        <f t="shared" si="19"/>
        <v>0</v>
      </c>
    </row>
    <row r="312" spans="1:20" x14ac:dyDescent="0.2">
      <c r="A312" s="153">
        <v>2026</v>
      </c>
      <c r="B312" s="153">
        <v>11</v>
      </c>
      <c r="D312" s="281">
        <f t="shared" si="17"/>
        <v>12.749397455849053</v>
      </c>
      <c r="E312" s="279">
        <f t="shared" si="18"/>
        <v>12.621903481290563</v>
      </c>
      <c r="F312" s="173"/>
      <c r="G312" s="173">
        <v>29.76</v>
      </c>
      <c r="H312" s="154">
        <v>4051.1494050549027</v>
      </c>
      <c r="I312" s="190">
        <f>VLOOKUP($A312&amp;$B312,'KU Inputs'!$C$2:$I$505,MATCH('KU UtilityData'!I$1,'KU Inputs'!$C$1:$I$1,0),0)*1000</f>
        <v>4861604</v>
      </c>
      <c r="J312" s="190">
        <f>VLOOKUP($A312&amp;$B312,'KU Inputs'!$C$2:$I$505,MATCH('KU UtilityData'!J$1,'KU Inputs'!$C$1:$I$1,0),0)*1000</f>
        <v>1933802</v>
      </c>
      <c r="K312" s="265">
        <v>478125.11540842167</v>
      </c>
      <c r="L312" s="248">
        <v>465568.8</v>
      </c>
      <c r="M312" s="164">
        <v>120250.61873856951</v>
      </c>
      <c r="N312" s="190">
        <f>VLOOKUP($A312&amp;$B312,'KU Inputs'!$C$2:$I$505,MATCH('KU UtilityData'!N$1,'KU Inputs'!$C$1:$I$1,0),0)</f>
        <v>185915.33600000001</v>
      </c>
      <c r="O312" s="190" t="e">
        <f>VLOOKUP($A312&amp;$B312,'KU Inputs'!$C$2:$I$505,MATCH('KU UtilityData'!O$1,'KU Inputs'!$C$1:$I$1,0),0)</f>
        <v>#N/A</v>
      </c>
      <c r="P312" s="264">
        <f t="shared" si="21"/>
        <v>394</v>
      </c>
      <c r="Q312" s="264">
        <f t="shared" si="21"/>
        <v>7</v>
      </c>
      <c r="R312" s="166">
        <v>4512</v>
      </c>
      <c r="S312" s="166">
        <v>1455</v>
      </c>
      <c r="T312" s="182">
        <f t="shared" si="19"/>
        <v>0</v>
      </c>
    </row>
    <row r="313" spans="1:20" x14ac:dyDescent="0.2">
      <c r="A313" s="153">
        <v>2026</v>
      </c>
      <c r="B313" s="153">
        <v>12</v>
      </c>
      <c r="D313" s="281">
        <f t="shared" si="17"/>
        <v>12.749397455849053</v>
      </c>
      <c r="E313" s="279">
        <f t="shared" si="18"/>
        <v>12.621903481290563</v>
      </c>
      <c r="F313" s="173"/>
      <c r="G313" s="173">
        <v>31.57</v>
      </c>
      <c r="H313" s="154">
        <v>4053.2429204603418</v>
      </c>
      <c r="I313" s="190">
        <f>VLOOKUP($A313&amp;$B313,'KU Inputs'!$C$2:$I$505,MATCH('KU UtilityData'!I$1,'KU Inputs'!$C$1:$I$1,0),0)*1000</f>
        <v>4861604</v>
      </c>
      <c r="J313" s="190">
        <f>VLOOKUP($A313&amp;$B313,'KU Inputs'!$C$2:$I$505,MATCH('KU UtilityData'!J$1,'KU Inputs'!$C$1:$I$1,0),0)*1000</f>
        <v>1933802</v>
      </c>
      <c r="K313" s="265">
        <v>478443.86548536055</v>
      </c>
      <c r="L313" s="248">
        <v>465568.8</v>
      </c>
      <c r="M313" s="164">
        <v>120250.61873856951</v>
      </c>
      <c r="N313" s="190">
        <f>VLOOKUP($A313&amp;$B313,'KU Inputs'!$C$2:$I$505,MATCH('KU UtilityData'!N$1,'KU Inputs'!$C$1:$I$1,0),0)</f>
        <v>185915.33600000001</v>
      </c>
      <c r="O313" s="190" t="e">
        <f>VLOOKUP($A313&amp;$B313,'KU Inputs'!$C$2:$I$505,MATCH('KU UtilityData'!O$1,'KU Inputs'!$C$1:$I$1,0),0)</f>
        <v>#N/A</v>
      </c>
      <c r="P313" s="264">
        <f t="shared" si="21"/>
        <v>706</v>
      </c>
      <c r="Q313" s="264">
        <f t="shared" si="21"/>
        <v>0.2</v>
      </c>
      <c r="R313" s="166">
        <v>4512</v>
      </c>
      <c r="S313" s="166">
        <v>1455</v>
      </c>
      <c r="T313" s="182">
        <f t="shared" si="19"/>
        <v>0</v>
      </c>
    </row>
    <row r="314" spans="1:20" x14ac:dyDescent="0.2">
      <c r="A314" s="153">
        <v>2027</v>
      </c>
      <c r="B314" s="153">
        <v>1</v>
      </c>
      <c r="D314" s="281">
        <f t="shared" si="17"/>
        <v>13.004385404966033</v>
      </c>
      <c r="E314" s="279">
        <f t="shared" si="18"/>
        <v>12.874341550916373</v>
      </c>
      <c r="F314" s="173"/>
      <c r="G314" s="173">
        <v>32.520000000000003</v>
      </c>
      <c r="H314" s="154">
        <v>4055.3364358657814</v>
      </c>
      <c r="I314" s="190">
        <f>VLOOKUP($A314&amp;$B314,'KU Inputs'!$C$2:$I$505,MATCH('KU UtilityData'!I$1,'KU Inputs'!$C$1:$I$1,0),0)*1000</f>
        <v>4869349</v>
      </c>
      <c r="J314" s="190">
        <f>VLOOKUP($A314&amp;$B314,'KU Inputs'!$C$2:$I$505,MATCH('KU UtilityData'!J$1,'KU Inputs'!$C$1:$I$1,0),0)*1000</f>
        <v>1937524</v>
      </c>
      <c r="K314" s="265">
        <v>478762.82806235075</v>
      </c>
      <c r="L314" s="248">
        <v>466382.71</v>
      </c>
      <c r="M314" s="164">
        <v>121229.72365078199</v>
      </c>
      <c r="N314" s="190">
        <f>VLOOKUP($A314&amp;$B314,'KU Inputs'!$C$2:$I$505,MATCH('KU UtilityData'!N$1,'KU Inputs'!$C$1:$I$1,0),0)</f>
        <v>187484.08600000001</v>
      </c>
      <c r="O314" s="190" t="e">
        <f>VLOOKUP($A314&amp;$B314,'KU Inputs'!$C$2:$I$505,MATCH('KU UtilityData'!O$1,'KU Inputs'!$C$1:$I$1,0),0)</f>
        <v>#N/A</v>
      </c>
      <c r="P314" s="264">
        <f t="shared" si="21"/>
        <v>996</v>
      </c>
      <c r="Q314" s="264">
        <f t="shared" si="21"/>
        <v>0</v>
      </c>
      <c r="R314" s="166">
        <v>4512</v>
      </c>
      <c r="S314" s="166">
        <v>1455</v>
      </c>
      <c r="T314" s="182">
        <f t="shared" si="19"/>
        <v>0</v>
      </c>
    </row>
    <row r="315" spans="1:20" x14ac:dyDescent="0.2">
      <c r="A315" s="153">
        <v>2027</v>
      </c>
      <c r="B315" s="153">
        <v>2</v>
      </c>
      <c r="D315" s="281">
        <f t="shared" si="17"/>
        <v>13.004385404966033</v>
      </c>
      <c r="E315" s="279">
        <f t="shared" si="18"/>
        <v>12.874341550916373</v>
      </c>
      <c r="F315" s="173"/>
      <c r="G315" s="173">
        <v>30.14</v>
      </c>
      <c r="H315" s="154">
        <v>4057.4299512712205</v>
      </c>
      <c r="I315" s="190">
        <f>VLOOKUP($A315&amp;$B315,'KU Inputs'!$C$2:$I$505,MATCH('KU UtilityData'!I$1,'KU Inputs'!$C$1:$I$1,0),0)*1000</f>
        <v>4869349</v>
      </c>
      <c r="J315" s="190">
        <f>VLOOKUP($A315&amp;$B315,'KU Inputs'!$C$2:$I$505,MATCH('KU UtilityData'!J$1,'KU Inputs'!$C$1:$I$1,0),0)*1000</f>
        <v>1937524</v>
      </c>
      <c r="K315" s="265">
        <v>479082.00328105892</v>
      </c>
      <c r="L315" s="248">
        <v>466382.71</v>
      </c>
      <c r="M315" s="164">
        <v>121229.72365078199</v>
      </c>
      <c r="N315" s="190">
        <f>VLOOKUP($A315&amp;$B315,'KU Inputs'!$C$2:$I$505,MATCH('KU UtilityData'!N$1,'KU Inputs'!$C$1:$I$1,0),0)</f>
        <v>187484.08600000001</v>
      </c>
      <c r="O315" s="190" t="e">
        <f>VLOOKUP($A315&amp;$B315,'KU Inputs'!$C$2:$I$505,MATCH('KU UtilityData'!O$1,'KU Inputs'!$C$1:$I$1,0),0)</f>
        <v>#N/A</v>
      </c>
      <c r="P315" s="264">
        <f t="shared" si="21"/>
        <v>889.8</v>
      </c>
      <c r="Q315" s="264">
        <f t="shared" si="21"/>
        <v>0</v>
      </c>
      <c r="R315" s="166">
        <v>4512</v>
      </c>
      <c r="S315" s="166">
        <v>1455</v>
      </c>
      <c r="T315" s="182">
        <f t="shared" si="19"/>
        <v>0</v>
      </c>
    </row>
    <row r="316" spans="1:20" x14ac:dyDescent="0.2">
      <c r="A316" s="153">
        <v>2027</v>
      </c>
      <c r="B316" s="153">
        <v>3</v>
      </c>
      <c r="D316" s="281">
        <f t="shared" si="17"/>
        <v>13.004385404966033</v>
      </c>
      <c r="E316" s="279">
        <f t="shared" si="18"/>
        <v>12.874341550916373</v>
      </c>
      <c r="F316" s="173"/>
      <c r="G316" s="173">
        <v>30.33</v>
      </c>
      <c r="H316" s="154">
        <v>4059.5234666766601</v>
      </c>
      <c r="I316" s="190">
        <f>VLOOKUP($A316&amp;$B316,'KU Inputs'!$C$2:$I$505,MATCH('KU UtilityData'!I$1,'KU Inputs'!$C$1:$I$1,0),0)*1000</f>
        <v>4869349</v>
      </c>
      <c r="J316" s="190">
        <f>VLOOKUP($A316&amp;$B316,'KU Inputs'!$C$2:$I$505,MATCH('KU UtilityData'!J$1,'KU Inputs'!$C$1:$I$1,0),0)*1000</f>
        <v>1937524</v>
      </c>
      <c r="K316" s="265">
        <v>479401.39128324628</v>
      </c>
      <c r="L316" s="248">
        <v>466382.71</v>
      </c>
      <c r="M316" s="164">
        <v>121229.72365078199</v>
      </c>
      <c r="N316" s="190">
        <f>VLOOKUP($A316&amp;$B316,'KU Inputs'!$C$2:$I$505,MATCH('KU UtilityData'!N$1,'KU Inputs'!$C$1:$I$1,0),0)</f>
        <v>187484.08600000001</v>
      </c>
      <c r="O316" s="190" t="e">
        <f>VLOOKUP($A316&amp;$B316,'KU Inputs'!$C$2:$I$505,MATCH('KU UtilityData'!O$1,'KU Inputs'!$C$1:$I$1,0),0)</f>
        <v>#N/A</v>
      </c>
      <c r="P316" s="264">
        <f t="shared" si="21"/>
        <v>729</v>
      </c>
      <c r="Q316" s="264">
        <f t="shared" si="21"/>
        <v>0.45</v>
      </c>
      <c r="R316" s="166">
        <v>4512</v>
      </c>
      <c r="S316" s="166">
        <v>1455</v>
      </c>
      <c r="T316" s="182">
        <f t="shared" si="19"/>
        <v>0</v>
      </c>
    </row>
    <row r="317" spans="1:20" x14ac:dyDescent="0.2">
      <c r="A317" s="153">
        <v>2027</v>
      </c>
      <c r="B317" s="153">
        <v>4</v>
      </c>
      <c r="D317" s="281">
        <f t="shared" si="17"/>
        <v>13.004385404966033</v>
      </c>
      <c r="E317" s="279">
        <f t="shared" si="18"/>
        <v>12.874341550916373</v>
      </c>
      <c r="F317" s="173"/>
      <c r="G317" s="173">
        <v>30.52</v>
      </c>
      <c r="H317" s="154">
        <v>4061.6169820820992</v>
      </c>
      <c r="I317" s="190">
        <f>VLOOKUP($A317&amp;$B317,'KU Inputs'!$C$2:$I$505,MATCH('KU UtilityData'!I$1,'KU Inputs'!$C$1:$I$1,0),0)*1000</f>
        <v>4877072</v>
      </c>
      <c r="J317" s="190">
        <f>VLOOKUP($A317&amp;$B317,'KU Inputs'!$C$2:$I$505,MATCH('KU UtilityData'!J$1,'KU Inputs'!$C$1:$I$1,0),0)*1000</f>
        <v>1941306</v>
      </c>
      <c r="K317" s="265">
        <v>479720.9922107684</v>
      </c>
      <c r="L317" s="248">
        <v>467209.75</v>
      </c>
      <c r="M317" s="164">
        <v>121846.19623787081</v>
      </c>
      <c r="N317" s="190">
        <f>VLOOKUP($A317&amp;$B317,'KU Inputs'!$C$2:$I$505,MATCH('KU UtilityData'!N$1,'KU Inputs'!$C$1:$I$1,0),0)</f>
        <v>188450.351</v>
      </c>
      <c r="O317" s="190" t="e">
        <f>VLOOKUP($A317&amp;$B317,'KU Inputs'!$C$2:$I$505,MATCH('KU UtilityData'!O$1,'KU Inputs'!$C$1:$I$1,0),0)</f>
        <v>#N/A</v>
      </c>
      <c r="P317" s="264">
        <f t="shared" si="21"/>
        <v>440</v>
      </c>
      <c r="Q317" s="264">
        <f t="shared" si="21"/>
        <v>11.85</v>
      </c>
      <c r="R317" s="166">
        <v>4512</v>
      </c>
      <c r="S317" s="166">
        <v>1455</v>
      </c>
      <c r="T317" s="182">
        <f t="shared" si="19"/>
        <v>0</v>
      </c>
    </row>
    <row r="318" spans="1:20" x14ac:dyDescent="0.2">
      <c r="A318" s="153">
        <v>2027</v>
      </c>
      <c r="B318" s="153">
        <v>5</v>
      </c>
      <c r="D318" s="281">
        <f t="shared" si="17"/>
        <v>13.004385404966033</v>
      </c>
      <c r="E318" s="279">
        <f t="shared" si="18"/>
        <v>12.874341550916373</v>
      </c>
      <c r="F318" s="173"/>
      <c r="G318" s="173">
        <v>29.48</v>
      </c>
      <c r="H318" s="154">
        <v>4063.7104974875383</v>
      </c>
      <c r="I318" s="190">
        <f>VLOOKUP($A318&amp;$B318,'KU Inputs'!$C$2:$I$505,MATCH('KU UtilityData'!I$1,'KU Inputs'!$C$1:$I$1,0),0)*1000</f>
        <v>4877072</v>
      </c>
      <c r="J318" s="190">
        <f>VLOOKUP($A318&amp;$B318,'KU Inputs'!$C$2:$I$505,MATCH('KU UtilityData'!J$1,'KU Inputs'!$C$1:$I$1,0),0)*1000</f>
        <v>1941306</v>
      </c>
      <c r="K318" s="265">
        <v>480040.80620557553</v>
      </c>
      <c r="L318" s="248">
        <v>467209.75</v>
      </c>
      <c r="M318" s="164">
        <v>121846.19623787081</v>
      </c>
      <c r="N318" s="190">
        <f>VLOOKUP($A318&amp;$B318,'KU Inputs'!$C$2:$I$505,MATCH('KU UtilityData'!N$1,'KU Inputs'!$C$1:$I$1,0),0)</f>
        <v>188450.351</v>
      </c>
      <c r="O318" s="190" t="e">
        <f>VLOOKUP($A318&amp;$B318,'KU Inputs'!$C$2:$I$505,MATCH('KU UtilityData'!O$1,'KU Inputs'!$C$1:$I$1,0),0)</f>
        <v>#N/A</v>
      </c>
      <c r="P318" s="264">
        <f t="shared" ref="P318:Q337" si="22">P306</f>
        <v>187</v>
      </c>
      <c r="Q318" s="264">
        <f t="shared" si="22"/>
        <v>47</v>
      </c>
      <c r="R318" s="166">
        <v>4512</v>
      </c>
      <c r="S318" s="166">
        <v>1455</v>
      </c>
      <c r="T318" s="182">
        <f t="shared" si="19"/>
        <v>0</v>
      </c>
    </row>
    <row r="319" spans="1:20" x14ac:dyDescent="0.2">
      <c r="A319" s="153">
        <v>2027</v>
      </c>
      <c r="B319" s="153">
        <v>6</v>
      </c>
      <c r="D319" s="281">
        <f t="shared" si="17"/>
        <v>13.004385404966033</v>
      </c>
      <c r="E319" s="279">
        <f t="shared" si="18"/>
        <v>12.874341550916373</v>
      </c>
      <c r="F319" s="173"/>
      <c r="G319" s="173">
        <v>30.67</v>
      </c>
      <c r="H319" s="154">
        <v>4065.8040128929783</v>
      </c>
      <c r="I319" s="190">
        <f>VLOOKUP($A319&amp;$B319,'KU Inputs'!$C$2:$I$505,MATCH('KU UtilityData'!I$1,'KU Inputs'!$C$1:$I$1,0),0)*1000</f>
        <v>4877072</v>
      </c>
      <c r="J319" s="190">
        <f>VLOOKUP($A319&amp;$B319,'KU Inputs'!$C$2:$I$505,MATCH('KU UtilityData'!J$1,'KU Inputs'!$C$1:$I$1,0),0)*1000</f>
        <v>1941306</v>
      </c>
      <c r="K319" s="265">
        <v>480360.83340971253</v>
      </c>
      <c r="L319" s="248">
        <v>467209.75</v>
      </c>
      <c r="M319" s="164">
        <v>121846.19623787081</v>
      </c>
      <c r="N319" s="190">
        <f>VLOOKUP($A319&amp;$B319,'KU Inputs'!$C$2:$I$505,MATCH('KU UtilityData'!N$1,'KU Inputs'!$C$1:$I$1,0),0)</f>
        <v>188450.351</v>
      </c>
      <c r="O319" s="190" t="e">
        <f>VLOOKUP($A319&amp;$B319,'KU Inputs'!$C$2:$I$505,MATCH('KU UtilityData'!O$1,'KU Inputs'!$C$1:$I$1,0),0)</f>
        <v>#N/A</v>
      </c>
      <c r="P319" s="264">
        <f t="shared" si="22"/>
        <v>49</v>
      </c>
      <c r="Q319" s="264">
        <f t="shared" si="22"/>
        <v>171</v>
      </c>
      <c r="R319" s="166">
        <v>4512</v>
      </c>
      <c r="S319" s="166">
        <v>1455</v>
      </c>
      <c r="T319" s="182">
        <f t="shared" si="19"/>
        <v>0</v>
      </c>
    </row>
    <row r="320" spans="1:20" x14ac:dyDescent="0.2">
      <c r="A320" s="153">
        <v>2027</v>
      </c>
      <c r="B320" s="153">
        <v>7</v>
      </c>
      <c r="D320" s="281">
        <f t="shared" si="17"/>
        <v>13.004385404966033</v>
      </c>
      <c r="E320" s="279">
        <f t="shared" si="18"/>
        <v>12.874341550916373</v>
      </c>
      <c r="F320" s="173"/>
      <c r="G320" s="173">
        <v>30.71</v>
      </c>
      <c r="H320" s="154">
        <v>4067.8642857777254</v>
      </c>
      <c r="I320" s="190">
        <f>VLOOKUP($A320&amp;$B320,'KU Inputs'!$C$2:$I$505,MATCH('KU UtilityData'!I$1,'KU Inputs'!$C$1:$I$1,0),0)*1000</f>
        <v>4884762</v>
      </c>
      <c r="J320" s="190">
        <f>VLOOKUP($A320&amp;$B320,'KU Inputs'!$C$2:$I$505,MATCH('KU UtilityData'!J$1,'KU Inputs'!$C$1:$I$1,0),0)*1000</f>
        <v>1947495</v>
      </c>
      <c r="K320" s="265">
        <v>480681.07396531897</v>
      </c>
      <c r="L320" s="248">
        <v>468563.14</v>
      </c>
      <c r="M320" s="164">
        <v>122375.0910323624</v>
      </c>
      <c r="N320" s="190">
        <f>VLOOKUP($A320&amp;$B320,'KU Inputs'!$C$2:$I$505,MATCH('KU UtilityData'!N$1,'KU Inputs'!$C$1:$I$1,0),0)</f>
        <v>189344.48499999999</v>
      </c>
      <c r="O320" s="190" t="e">
        <f>VLOOKUP($A320&amp;$B320,'KU Inputs'!$C$2:$I$505,MATCH('KU UtilityData'!O$1,'KU Inputs'!$C$1:$I$1,0),0)</f>
        <v>#N/A</v>
      </c>
      <c r="P320" s="264">
        <f t="shared" si="22"/>
        <v>1</v>
      </c>
      <c r="Q320" s="264">
        <f t="shared" si="22"/>
        <v>325</v>
      </c>
      <c r="R320" s="166">
        <v>4512</v>
      </c>
      <c r="S320" s="166">
        <v>1455</v>
      </c>
      <c r="T320" s="182">
        <f t="shared" si="19"/>
        <v>0</v>
      </c>
    </row>
    <row r="321" spans="1:20" x14ac:dyDescent="0.2">
      <c r="A321" s="153">
        <v>2027</v>
      </c>
      <c r="B321" s="153">
        <v>8</v>
      </c>
      <c r="D321" s="281">
        <f t="shared" si="17"/>
        <v>13.004385404966033</v>
      </c>
      <c r="E321" s="279">
        <f t="shared" si="18"/>
        <v>12.874341550916373</v>
      </c>
      <c r="F321" s="173"/>
      <c r="G321" s="173">
        <v>29.52</v>
      </c>
      <c r="H321" s="154">
        <v>4069.9245586624725</v>
      </c>
      <c r="I321" s="190">
        <f>VLOOKUP($A321&amp;$B321,'KU Inputs'!$C$2:$I$505,MATCH('KU UtilityData'!I$1,'KU Inputs'!$C$1:$I$1,0),0)*1000</f>
        <v>4884762</v>
      </c>
      <c r="J321" s="190">
        <f>VLOOKUP($A321&amp;$B321,'KU Inputs'!$C$2:$I$505,MATCH('KU UtilityData'!J$1,'KU Inputs'!$C$1:$I$1,0),0)*1000</f>
        <v>1947495</v>
      </c>
      <c r="K321" s="265">
        <v>481001.52801462915</v>
      </c>
      <c r="L321" s="248">
        <v>468563.14</v>
      </c>
      <c r="M321" s="164">
        <v>122375.0910323624</v>
      </c>
      <c r="N321" s="190">
        <f>VLOOKUP($A321&amp;$B321,'KU Inputs'!$C$2:$I$505,MATCH('KU UtilityData'!N$1,'KU Inputs'!$C$1:$I$1,0),0)</f>
        <v>189344.48499999999</v>
      </c>
      <c r="O321" s="190" t="e">
        <f>VLOOKUP($A321&amp;$B321,'KU Inputs'!$C$2:$I$505,MATCH('KU UtilityData'!O$1,'KU Inputs'!$C$1:$I$1,0),0)</f>
        <v>#N/A</v>
      </c>
      <c r="P321" s="264">
        <f t="shared" si="22"/>
        <v>0</v>
      </c>
      <c r="Q321" s="264">
        <f t="shared" si="22"/>
        <v>341</v>
      </c>
      <c r="R321" s="166">
        <v>4512</v>
      </c>
      <c r="S321" s="166">
        <v>1455</v>
      </c>
      <c r="T321" s="182">
        <f t="shared" si="19"/>
        <v>0</v>
      </c>
    </row>
    <row r="322" spans="1:20" x14ac:dyDescent="0.2">
      <c r="A322" s="153">
        <v>2027</v>
      </c>
      <c r="B322" s="153">
        <v>9</v>
      </c>
      <c r="D322" s="281">
        <f t="shared" si="17"/>
        <v>13.004385404966033</v>
      </c>
      <c r="E322" s="279">
        <f t="shared" si="18"/>
        <v>12.874341550916373</v>
      </c>
      <c r="F322" s="173"/>
      <c r="G322" s="173">
        <v>30.52</v>
      </c>
      <c r="H322" s="154">
        <v>4071.9848315472195</v>
      </c>
      <c r="I322" s="190">
        <f>VLOOKUP($A322&amp;$B322,'KU Inputs'!$C$2:$I$505,MATCH('KU UtilityData'!I$1,'KU Inputs'!$C$1:$I$1,0),0)*1000</f>
        <v>4884762</v>
      </c>
      <c r="J322" s="190">
        <f>VLOOKUP($A322&amp;$B322,'KU Inputs'!$C$2:$I$505,MATCH('KU UtilityData'!J$1,'KU Inputs'!$C$1:$I$1,0),0)*1000</f>
        <v>1947495</v>
      </c>
      <c r="K322" s="265">
        <v>481322.19569997222</v>
      </c>
      <c r="L322" s="248">
        <v>468563.14</v>
      </c>
      <c r="M322" s="164">
        <v>122375.0910323624</v>
      </c>
      <c r="N322" s="190">
        <f>VLOOKUP($A322&amp;$B322,'KU Inputs'!$C$2:$I$505,MATCH('KU UtilityData'!N$1,'KU Inputs'!$C$1:$I$1,0),0)</f>
        <v>189344.48499999999</v>
      </c>
      <c r="O322" s="190" t="e">
        <f>VLOOKUP($A322&amp;$B322,'KU Inputs'!$C$2:$I$505,MATCH('KU UtilityData'!O$1,'KU Inputs'!$C$1:$I$1,0),0)</f>
        <v>#N/A</v>
      </c>
      <c r="P322" s="264">
        <f t="shared" si="22"/>
        <v>12</v>
      </c>
      <c r="Q322" s="264">
        <f t="shared" si="22"/>
        <v>261</v>
      </c>
      <c r="R322" s="166">
        <v>4512</v>
      </c>
      <c r="S322" s="166">
        <v>1455</v>
      </c>
      <c r="T322" s="182">
        <f t="shared" si="19"/>
        <v>0</v>
      </c>
    </row>
    <row r="323" spans="1:20" x14ac:dyDescent="0.2">
      <c r="A323" s="153">
        <v>2027</v>
      </c>
      <c r="B323" s="153">
        <v>10</v>
      </c>
      <c r="D323" s="281">
        <f t="shared" ref="D323:D386" si="23">D311*(1+0.02)</f>
        <v>13.004385404966033</v>
      </c>
      <c r="E323" s="279">
        <f t="shared" si="18"/>
        <v>12.874341550916373</v>
      </c>
      <c r="F323" s="173"/>
      <c r="G323" s="173">
        <v>29.62</v>
      </c>
      <c r="H323" s="154">
        <v>4074.0451044319661</v>
      </c>
      <c r="I323" s="190">
        <f>VLOOKUP($A323&amp;$B323,'KU Inputs'!$C$2:$I$505,MATCH('KU UtilityData'!I$1,'KU Inputs'!$C$1:$I$1,0),0)*1000</f>
        <v>4892430</v>
      </c>
      <c r="J323" s="190">
        <f>VLOOKUP($A323&amp;$B323,'KU Inputs'!$C$2:$I$505,MATCH('KU UtilityData'!J$1,'KU Inputs'!$C$1:$I$1,0),0)*1000</f>
        <v>1950020</v>
      </c>
      <c r="K323" s="265">
        <v>481643.07716377219</v>
      </c>
      <c r="L323" s="248">
        <v>469115.29</v>
      </c>
      <c r="M323" s="164">
        <v>122950.3888887255</v>
      </c>
      <c r="N323" s="190">
        <f>VLOOKUP($A323&amp;$B323,'KU Inputs'!$C$2:$I$505,MATCH('KU UtilityData'!N$1,'KU Inputs'!$C$1:$I$1,0),0)</f>
        <v>190254.26500000001</v>
      </c>
      <c r="O323" s="190" t="e">
        <f>VLOOKUP($A323&amp;$B323,'KU Inputs'!$C$2:$I$505,MATCH('KU UtilityData'!O$1,'KU Inputs'!$C$1:$I$1,0),0)</f>
        <v>#N/A</v>
      </c>
      <c r="P323" s="264">
        <f t="shared" si="22"/>
        <v>136</v>
      </c>
      <c r="Q323" s="264">
        <f t="shared" si="22"/>
        <v>73</v>
      </c>
      <c r="R323" s="166">
        <v>4512</v>
      </c>
      <c r="S323" s="166">
        <v>1455</v>
      </c>
      <c r="T323" s="182">
        <f t="shared" si="19"/>
        <v>0</v>
      </c>
    </row>
    <row r="324" spans="1:20" x14ac:dyDescent="0.2">
      <c r="A324" s="153">
        <v>2027</v>
      </c>
      <c r="B324" s="153">
        <v>11</v>
      </c>
      <c r="D324" s="281">
        <f t="shared" si="23"/>
        <v>13.004385404966033</v>
      </c>
      <c r="E324" s="279">
        <f t="shared" si="18"/>
        <v>12.874341550916373</v>
      </c>
      <c r="F324" s="173"/>
      <c r="G324" s="173">
        <v>29.1</v>
      </c>
      <c r="H324" s="154">
        <v>4076.1053773167132</v>
      </c>
      <c r="I324" s="190">
        <f>VLOOKUP($A324&amp;$B324,'KU Inputs'!$C$2:$I$505,MATCH('KU UtilityData'!I$1,'KU Inputs'!$C$1:$I$1,0),0)*1000</f>
        <v>4892430</v>
      </c>
      <c r="J324" s="190">
        <f>VLOOKUP($A324&amp;$B324,'KU Inputs'!$C$2:$I$505,MATCH('KU UtilityData'!J$1,'KU Inputs'!$C$1:$I$1,0),0)*1000</f>
        <v>1950020</v>
      </c>
      <c r="K324" s="265">
        <v>481964.17254854803</v>
      </c>
      <c r="L324" s="248">
        <v>469115.29</v>
      </c>
      <c r="M324" s="164">
        <v>122950.3888887255</v>
      </c>
      <c r="N324" s="190">
        <f>VLOOKUP($A324&amp;$B324,'KU Inputs'!$C$2:$I$505,MATCH('KU UtilityData'!N$1,'KU Inputs'!$C$1:$I$1,0),0)</f>
        <v>190254.26500000001</v>
      </c>
      <c r="O324" s="190" t="e">
        <f>VLOOKUP($A324&amp;$B324,'KU Inputs'!$C$2:$I$505,MATCH('KU UtilityData'!O$1,'KU Inputs'!$C$1:$I$1,0),0)</f>
        <v>#N/A</v>
      </c>
      <c r="P324" s="264">
        <f t="shared" si="22"/>
        <v>394</v>
      </c>
      <c r="Q324" s="264">
        <f t="shared" si="22"/>
        <v>7</v>
      </c>
      <c r="R324" s="166">
        <v>4512</v>
      </c>
      <c r="S324" s="166">
        <v>1455</v>
      </c>
      <c r="T324" s="182">
        <f t="shared" si="19"/>
        <v>0</v>
      </c>
    </row>
    <row r="325" spans="1:20" x14ac:dyDescent="0.2">
      <c r="A325" s="153">
        <v>2027</v>
      </c>
      <c r="B325" s="153">
        <v>12</v>
      </c>
      <c r="D325" s="281">
        <f t="shared" si="23"/>
        <v>13.004385404966033</v>
      </c>
      <c r="E325" s="279">
        <f t="shared" si="18"/>
        <v>12.874341550916373</v>
      </c>
      <c r="F325" s="173"/>
      <c r="G325" s="173">
        <v>31.67</v>
      </c>
      <c r="H325" s="154">
        <v>4078.1656502014603</v>
      </c>
      <c r="I325" s="190">
        <f>VLOOKUP($A325&amp;$B325,'KU Inputs'!$C$2:$I$505,MATCH('KU UtilityData'!I$1,'KU Inputs'!$C$1:$I$1,0),0)*1000</f>
        <v>4892430</v>
      </c>
      <c r="J325" s="190">
        <f>VLOOKUP($A325&amp;$B325,'KU Inputs'!$C$2:$I$505,MATCH('KU UtilityData'!J$1,'KU Inputs'!$C$1:$I$1,0),0)*1000</f>
        <v>1950020</v>
      </c>
      <c r="K325" s="265">
        <v>482285.48199691367</v>
      </c>
      <c r="L325" s="248">
        <v>469115.29</v>
      </c>
      <c r="M325" s="164">
        <v>122950.3888887255</v>
      </c>
      <c r="N325" s="190">
        <f>VLOOKUP($A325&amp;$B325,'KU Inputs'!$C$2:$I$505,MATCH('KU UtilityData'!N$1,'KU Inputs'!$C$1:$I$1,0),0)</f>
        <v>190254.26500000001</v>
      </c>
      <c r="O325" s="190" t="e">
        <f>VLOOKUP($A325&amp;$B325,'KU Inputs'!$C$2:$I$505,MATCH('KU UtilityData'!O$1,'KU Inputs'!$C$1:$I$1,0),0)</f>
        <v>#N/A</v>
      </c>
      <c r="P325" s="264">
        <f t="shared" si="22"/>
        <v>706</v>
      </c>
      <c r="Q325" s="264">
        <f t="shared" si="22"/>
        <v>0.2</v>
      </c>
      <c r="R325" s="166">
        <v>4512</v>
      </c>
      <c r="S325" s="166">
        <v>1455</v>
      </c>
      <c r="T325" s="182">
        <f t="shared" si="19"/>
        <v>0</v>
      </c>
    </row>
    <row r="326" spans="1:20" x14ac:dyDescent="0.2">
      <c r="A326" s="153">
        <v>2028</v>
      </c>
      <c r="B326" s="153">
        <v>1</v>
      </c>
      <c r="D326" s="281">
        <f t="shared" si="23"/>
        <v>13.264473113065353</v>
      </c>
      <c r="E326" s="279">
        <f t="shared" si="18"/>
        <v>13.131828381934699</v>
      </c>
      <c r="F326" s="173"/>
      <c r="G326" s="173">
        <v>32.71</v>
      </c>
      <c r="H326" s="154">
        <v>4080.2259230862073</v>
      </c>
      <c r="I326" s="190">
        <f>VLOOKUP($A326&amp;$B326,'KU Inputs'!$C$2:$I$505,MATCH('KU UtilityData'!I$1,'KU Inputs'!$C$1:$I$1,0),0)*1000</f>
        <v>4900099</v>
      </c>
      <c r="J326" s="190">
        <f>VLOOKUP($A326&amp;$B326,'KU Inputs'!$C$2:$I$505,MATCH('KU UtilityData'!J$1,'KU Inputs'!$C$1:$I$1,0),0)*1000</f>
        <v>1952613</v>
      </c>
      <c r="K326" s="265">
        <v>482607.00565157825</v>
      </c>
      <c r="L326" s="248">
        <v>469682.32</v>
      </c>
      <c r="M326" s="164">
        <v>123865.07640870241</v>
      </c>
      <c r="N326" s="190">
        <f>VLOOKUP($A326&amp;$B326,'KU Inputs'!$C$2:$I$505,MATCH('KU UtilityData'!N$1,'KU Inputs'!$C$1:$I$1,0),0)</f>
        <v>191884.976</v>
      </c>
      <c r="O326" s="190" t="e">
        <f>VLOOKUP($A326&amp;$B326,'KU Inputs'!$C$2:$I$505,MATCH('KU UtilityData'!O$1,'KU Inputs'!$C$1:$I$1,0),0)</f>
        <v>#N/A</v>
      </c>
      <c r="P326" s="264">
        <f t="shared" si="22"/>
        <v>996</v>
      </c>
      <c r="Q326" s="264">
        <f t="shared" si="22"/>
        <v>0</v>
      </c>
      <c r="R326" s="166">
        <v>4512</v>
      </c>
      <c r="S326" s="166">
        <v>1455</v>
      </c>
      <c r="T326" s="182">
        <f t="shared" si="19"/>
        <v>0</v>
      </c>
    </row>
    <row r="327" spans="1:20" x14ac:dyDescent="0.2">
      <c r="A327" s="153">
        <v>2028</v>
      </c>
      <c r="B327" s="153">
        <v>2</v>
      </c>
      <c r="D327" s="281">
        <f t="shared" si="23"/>
        <v>13.264473113065353</v>
      </c>
      <c r="E327" s="279">
        <f t="shared" ref="E327:E390" si="24">D327*0.99</f>
        <v>13.131828381934699</v>
      </c>
      <c r="F327" s="173"/>
      <c r="G327" s="173">
        <v>29.81</v>
      </c>
      <c r="H327" s="154">
        <v>4082.2861959709544</v>
      </c>
      <c r="I327" s="190">
        <f>VLOOKUP($A327&amp;$B327,'KU Inputs'!$C$2:$I$505,MATCH('KU UtilityData'!I$1,'KU Inputs'!$C$1:$I$1,0),0)*1000</f>
        <v>4900099</v>
      </c>
      <c r="J327" s="190">
        <f>VLOOKUP($A327&amp;$B327,'KU Inputs'!$C$2:$I$505,MATCH('KU UtilityData'!J$1,'KU Inputs'!$C$1:$I$1,0),0)*1000</f>
        <v>1952613</v>
      </c>
      <c r="K327" s="265">
        <v>482928.74365534593</v>
      </c>
      <c r="L327" s="248">
        <v>469682.32</v>
      </c>
      <c r="M327" s="164">
        <v>123865.07640870241</v>
      </c>
      <c r="N327" s="190">
        <f>VLOOKUP($A327&amp;$B327,'KU Inputs'!$C$2:$I$505,MATCH('KU UtilityData'!N$1,'KU Inputs'!$C$1:$I$1,0),0)</f>
        <v>191884.976</v>
      </c>
      <c r="O327" s="190" t="e">
        <f>VLOOKUP($A327&amp;$B327,'KU Inputs'!$C$2:$I$505,MATCH('KU UtilityData'!O$1,'KU Inputs'!$C$1:$I$1,0),0)</f>
        <v>#N/A</v>
      </c>
      <c r="P327" s="264">
        <f t="shared" si="22"/>
        <v>889.8</v>
      </c>
      <c r="Q327" s="264">
        <f t="shared" si="22"/>
        <v>0</v>
      </c>
      <c r="R327" s="166">
        <v>4512</v>
      </c>
      <c r="S327" s="166">
        <v>1455</v>
      </c>
      <c r="T327" s="182">
        <f t="shared" si="19"/>
        <v>0</v>
      </c>
    </row>
    <row r="328" spans="1:20" x14ac:dyDescent="0.2">
      <c r="A328" s="153">
        <v>2028</v>
      </c>
      <c r="B328" s="153">
        <v>3</v>
      </c>
      <c r="D328" s="281">
        <f t="shared" si="23"/>
        <v>13.264473113065353</v>
      </c>
      <c r="E328" s="279">
        <f t="shared" si="24"/>
        <v>13.131828381934699</v>
      </c>
      <c r="F328" s="173"/>
      <c r="G328" s="173">
        <v>30.33</v>
      </c>
      <c r="H328" s="154">
        <v>4084.3464688557015</v>
      </c>
      <c r="I328" s="190">
        <f>VLOOKUP($A328&amp;$B328,'KU Inputs'!$C$2:$I$505,MATCH('KU UtilityData'!I$1,'KU Inputs'!$C$1:$I$1,0),0)*1000</f>
        <v>4900099</v>
      </c>
      <c r="J328" s="190">
        <f>VLOOKUP($A328&amp;$B328,'KU Inputs'!$C$2:$I$505,MATCH('KU UtilityData'!J$1,'KU Inputs'!$C$1:$I$1,0),0)*1000</f>
        <v>1952613</v>
      </c>
      <c r="K328" s="265">
        <v>483250.69615111611</v>
      </c>
      <c r="L328" s="248">
        <v>469682.32</v>
      </c>
      <c r="M328" s="164">
        <v>123865.07640870241</v>
      </c>
      <c r="N328" s="190">
        <f>VLOOKUP($A328&amp;$B328,'KU Inputs'!$C$2:$I$505,MATCH('KU UtilityData'!N$1,'KU Inputs'!$C$1:$I$1,0),0)</f>
        <v>191884.976</v>
      </c>
      <c r="O328" s="190" t="e">
        <f>VLOOKUP($A328&amp;$B328,'KU Inputs'!$C$2:$I$505,MATCH('KU UtilityData'!O$1,'KU Inputs'!$C$1:$I$1,0),0)</f>
        <v>#N/A</v>
      </c>
      <c r="P328" s="264">
        <f t="shared" si="22"/>
        <v>729</v>
      </c>
      <c r="Q328" s="264">
        <f t="shared" si="22"/>
        <v>0.45</v>
      </c>
      <c r="R328" s="166">
        <v>4512</v>
      </c>
      <c r="S328" s="166">
        <v>1455</v>
      </c>
      <c r="T328" s="182">
        <f t="shared" si="19"/>
        <v>0</v>
      </c>
    </row>
    <row r="329" spans="1:20" x14ac:dyDescent="0.2">
      <c r="A329" s="153">
        <v>2028</v>
      </c>
      <c r="B329" s="153">
        <v>4</v>
      </c>
      <c r="D329" s="281">
        <f t="shared" si="23"/>
        <v>13.264473113065353</v>
      </c>
      <c r="E329" s="279">
        <f t="shared" si="24"/>
        <v>13.131828381934699</v>
      </c>
      <c r="F329" s="173"/>
      <c r="G329" s="173">
        <v>30.19</v>
      </c>
      <c r="H329" s="154">
        <v>4086.4067417404485</v>
      </c>
      <c r="I329" s="190">
        <f>VLOOKUP($A329&amp;$B329,'KU Inputs'!$C$2:$I$505,MATCH('KU UtilityData'!I$1,'KU Inputs'!$C$1:$I$1,0),0)*1000</f>
        <v>4907734</v>
      </c>
      <c r="J329" s="190">
        <f>VLOOKUP($A329&amp;$B329,'KU Inputs'!$C$2:$I$505,MATCH('KU UtilityData'!J$1,'KU Inputs'!$C$1:$I$1,0),0)*1000</f>
        <v>1955237</v>
      </c>
      <c r="K329" s="265">
        <v>483572.86328188347</v>
      </c>
      <c r="L329" s="248">
        <v>470256.13</v>
      </c>
      <c r="M329" s="164">
        <v>124474.0269781384</v>
      </c>
      <c r="N329" s="190">
        <f>VLOOKUP($A329&amp;$B329,'KU Inputs'!$C$2:$I$505,MATCH('KU UtilityData'!N$1,'KU Inputs'!$C$1:$I$1,0),0)</f>
        <v>192867.91899999999</v>
      </c>
      <c r="O329" s="190" t="e">
        <f>VLOOKUP($A329&amp;$B329,'KU Inputs'!$C$2:$I$505,MATCH('KU UtilityData'!O$1,'KU Inputs'!$C$1:$I$1,0),0)</f>
        <v>#N/A</v>
      </c>
      <c r="P329" s="264">
        <f t="shared" si="22"/>
        <v>440</v>
      </c>
      <c r="Q329" s="264">
        <f t="shared" si="22"/>
        <v>11.85</v>
      </c>
      <c r="R329" s="166">
        <v>4512</v>
      </c>
      <c r="S329" s="166">
        <v>1455</v>
      </c>
      <c r="T329" s="182">
        <f t="shared" si="19"/>
        <v>0</v>
      </c>
    </row>
    <row r="330" spans="1:20" x14ac:dyDescent="0.2">
      <c r="A330" s="153">
        <v>2028</v>
      </c>
      <c r="B330" s="153">
        <v>5</v>
      </c>
      <c r="D330" s="281">
        <f t="shared" si="23"/>
        <v>13.264473113065353</v>
      </c>
      <c r="E330" s="279">
        <f t="shared" si="24"/>
        <v>13.131828381934699</v>
      </c>
      <c r="F330" s="173"/>
      <c r="G330" s="173">
        <v>30.14</v>
      </c>
      <c r="H330" s="154">
        <v>4088.4670146251956</v>
      </c>
      <c r="I330" s="190">
        <f>VLOOKUP($A330&amp;$B330,'KU Inputs'!$C$2:$I$505,MATCH('KU UtilityData'!I$1,'KU Inputs'!$C$1:$I$1,0),0)*1000</f>
        <v>4907734</v>
      </c>
      <c r="J330" s="190">
        <f>VLOOKUP($A330&amp;$B330,'KU Inputs'!$C$2:$I$505,MATCH('KU UtilityData'!J$1,'KU Inputs'!$C$1:$I$1,0),0)*1000</f>
        <v>1955237</v>
      </c>
      <c r="K330" s="265">
        <v>483895.245190738</v>
      </c>
      <c r="L330" s="248">
        <v>470256.13</v>
      </c>
      <c r="M330" s="164">
        <v>124474.0269781384</v>
      </c>
      <c r="N330" s="190">
        <f>VLOOKUP($A330&amp;$B330,'KU Inputs'!$C$2:$I$505,MATCH('KU UtilityData'!N$1,'KU Inputs'!$C$1:$I$1,0),0)</f>
        <v>192867.91899999999</v>
      </c>
      <c r="O330" s="190" t="e">
        <f>VLOOKUP($A330&amp;$B330,'KU Inputs'!$C$2:$I$505,MATCH('KU UtilityData'!O$1,'KU Inputs'!$C$1:$I$1,0),0)</f>
        <v>#N/A</v>
      </c>
      <c r="P330" s="264">
        <f t="shared" si="22"/>
        <v>187</v>
      </c>
      <c r="Q330" s="264">
        <f t="shared" si="22"/>
        <v>47</v>
      </c>
      <c r="R330" s="166">
        <v>4512</v>
      </c>
      <c r="S330" s="166">
        <v>1455</v>
      </c>
      <c r="T330" s="182">
        <f t="shared" ref="T330:T393" si="25">C330/L330*1000</f>
        <v>0</v>
      </c>
    </row>
    <row r="331" spans="1:20" x14ac:dyDescent="0.2">
      <c r="A331" s="153">
        <v>2028</v>
      </c>
      <c r="B331" s="153">
        <v>6</v>
      </c>
      <c r="D331" s="281">
        <f t="shared" si="23"/>
        <v>13.264473113065353</v>
      </c>
      <c r="E331" s="279">
        <f t="shared" si="24"/>
        <v>13.131828381934699</v>
      </c>
      <c r="F331" s="173"/>
      <c r="G331" s="173">
        <v>30.67</v>
      </c>
      <c r="H331" s="154">
        <v>4090.5272875099427</v>
      </c>
      <c r="I331" s="190">
        <f>VLOOKUP($A331&amp;$B331,'KU Inputs'!$C$2:$I$505,MATCH('KU UtilityData'!I$1,'KU Inputs'!$C$1:$I$1,0),0)*1000</f>
        <v>4907734</v>
      </c>
      <c r="J331" s="190">
        <f>VLOOKUP($A331&amp;$B331,'KU Inputs'!$C$2:$I$505,MATCH('KU UtilityData'!J$1,'KU Inputs'!$C$1:$I$1,0),0)*1000</f>
        <v>1955237</v>
      </c>
      <c r="K331" s="265">
        <v>484217.84202086512</v>
      </c>
      <c r="L331" s="248">
        <v>470256.13</v>
      </c>
      <c r="M331" s="164">
        <v>124474.0269781384</v>
      </c>
      <c r="N331" s="190">
        <f>VLOOKUP($A331&amp;$B331,'KU Inputs'!$C$2:$I$505,MATCH('KU UtilityData'!N$1,'KU Inputs'!$C$1:$I$1,0),0)</f>
        <v>192867.91899999999</v>
      </c>
      <c r="O331" s="190" t="e">
        <f>VLOOKUP($A331&amp;$B331,'KU Inputs'!$C$2:$I$505,MATCH('KU UtilityData'!O$1,'KU Inputs'!$C$1:$I$1,0),0)</f>
        <v>#N/A</v>
      </c>
      <c r="P331" s="264">
        <f t="shared" si="22"/>
        <v>49</v>
      </c>
      <c r="Q331" s="264">
        <f t="shared" si="22"/>
        <v>171</v>
      </c>
      <c r="R331" s="166">
        <v>4512</v>
      </c>
      <c r="S331" s="166">
        <v>1455</v>
      </c>
      <c r="T331" s="182">
        <f t="shared" si="25"/>
        <v>0</v>
      </c>
    </row>
    <row r="332" spans="1:20" x14ac:dyDescent="0.2">
      <c r="A332" s="153">
        <v>2028</v>
      </c>
      <c r="B332" s="153">
        <v>7</v>
      </c>
      <c r="D332" s="281">
        <f t="shared" si="23"/>
        <v>13.264473113065353</v>
      </c>
      <c r="E332" s="279">
        <f t="shared" si="24"/>
        <v>13.131828381934699</v>
      </c>
      <c r="F332" s="173"/>
      <c r="G332" s="173">
        <v>30.67</v>
      </c>
      <c r="H332" s="154">
        <v>4092.5431445006539</v>
      </c>
      <c r="I332" s="190">
        <f>VLOOKUP($A332&amp;$B332,'KU Inputs'!$C$2:$I$505,MATCH('KU UtilityData'!I$1,'KU Inputs'!$C$1:$I$1,0),0)*1000</f>
        <v>4915322</v>
      </c>
      <c r="J332" s="190">
        <f>VLOOKUP($A332&amp;$B332,'KU Inputs'!$C$2:$I$505,MATCH('KU UtilityData'!J$1,'KU Inputs'!$C$1:$I$1,0),0)*1000</f>
        <v>1957733</v>
      </c>
      <c r="K332" s="265">
        <v>484540.65391554567</v>
      </c>
      <c r="L332" s="248">
        <v>470801.95</v>
      </c>
      <c r="M332" s="164">
        <v>125040.09721647202</v>
      </c>
      <c r="N332" s="190">
        <f>VLOOKUP($A332&amp;$B332,'KU Inputs'!$C$2:$I$505,MATCH('KU UtilityData'!N$1,'KU Inputs'!$C$1:$I$1,0),0)</f>
        <v>193808.63</v>
      </c>
      <c r="O332" s="190" t="e">
        <f>VLOOKUP($A332&amp;$B332,'KU Inputs'!$C$2:$I$505,MATCH('KU UtilityData'!O$1,'KU Inputs'!$C$1:$I$1,0),0)</f>
        <v>#N/A</v>
      </c>
      <c r="P332" s="264">
        <f t="shared" si="22"/>
        <v>1</v>
      </c>
      <c r="Q332" s="264">
        <f t="shared" si="22"/>
        <v>325</v>
      </c>
      <c r="R332" s="166">
        <v>4512</v>
      </c>
      <c r="S332" s="166">
        <v>1455</v>
      </c>
      <c r="T332" s="182">
        <f t="shared" si="25"/>
        <v>0</v>
      </c>
    </row>
    <row r="333" spans="1:20" x14ac:dyDescent="0.2">
      <c r="A333" s="153">
        <v>2028</v>
      </c>
      <c r="B333" s="153">
        <v>8</v>
      </c>
      <c r="D333" s="281">
        <f t="shared" si="23"/>
        <v>13.264473113065353</v>
      </c>
      <c r="E333" s="279">
        <f t="shared" si="24"/>
        <v>13.131828381934699</v>
      </c>
      <c r="F333" s="173"/>
      <c r="G333" s="173">
        <v>29.57</v>
      </c>
      <c r="H333" s="154">
        <v>4094.5590014913651</v>
      </c>
      <c r="I333" s="190">
        <f>VLOOKUP($A333&amp;$B333,'KU Inputs'!$C$2:$I$505,MATCH('KU UtilityData'!I$1,'KU Inputs'!$C$1:$I$1,0),0)*1000</f>
        <v>4915322</v>
      </c>
      <c r="J333" s="190">
        <f>VLOOKUP($A333&amp;$B333,'KU Inputs'!$C$2:$I$505,MATCH('KU UtilityData'!J$1,'KU Inputs'!$C$1:$I$1,0),0)*1000</f>
        <v>1957733</v>
      </c>
      <c r="K333" s="265">
        <v>484863.681018156</v>
      </c>
      <c r="L333" s="248">
        <v>470801.95</v>
      </c>
      <c r="M333" s="164">
        <v>125040.09721647202</v>
      </c>
      <c r="N333" s="190">
        <f>VLOOKUP($A333&amp;$B333,'KU Inputs'!$C$2:$I$505,MATCH('KU UtilityData'!N$1,'KU Inputs'!$C$1:$I$1,0),0)</f>
        <v>193808.63</v>
      </c>
      <c r="O333" s="190" t="e">
        <f>VLOOKUP($A333&amp;$B333,'KU Inputs'!$C$2:$I$505,MATCH('KU UtilityData'!O$1,'KU Inputs'!$C$1:$I$1,0),0)</f>
        <v>#N/A</v>
      </c>
      <c r="P333" s="264">
        <f t="shared" si="22"/>
        <v>0</v>
      </c>
      <c r="Q333" s="264">
        <f t="shared" si="22"/>
        <v>341</v>
      </c>
      <c r="R333" s="166">
        <v>4512</v>
      </c>
      <c r="S333" s="166">
        <v>1455</v>
      </c>
      <c r="T333" s="182">
        <f t="shared" si="25"/>
        <v>0</v>
      </c>
    </row>
    <row r="334" spans="1:20" x14ac:dyDescent="0.2">
      <c r="A334" s="153">
        <v>2028</v>
      </c>
      <c r="B334" s="153">
        <v>9</v>
      </c>
      <c r="D334" s="281">
        <f t="shared" si="23"/>
        <v>13.264473113065353</v>
      </c>
      <c r="E334" s="279">
        <f t="shared" si="24"/>
        <v>13.131828381934699</v>
      </c>
      <c r="F334" s="173"/>
      <c r="G334" s="173">
        <v>30.52</v>
      </c>
      <c r="H334" s="154">
        <v>4096.5748584820767</v>
      </c>
      <c r="I334" s="190">
        <f>VLOOKUP($A334&amp;$B334,'KU Inputs'!$C$2:$I$505,MATCH('KU UtilityData'!I$1,'KU Inputs'!$C$1:$I$1,0),0)*1000</f>
        <v>4915322</v>
      </c>
      <c r="J334" s="190">
        <f>VLOOKUP($A334&amp;$B334,'KU Inputs'!$C$2:$I$505,MATCH('KU UtilityData'!J$1,'KU Inputs'!$C$1:$I$1,0),0)*1000</f>
        <v>1957733</v>
      </c>
      <c r="K334" s="265">
        <v>485186.92347216804</v>
      </c>
      <c r="L334" s="248">
        <v>470801.95</v>
      </c>
      <c r="M334" s="164">
        <v>125040.09721647202</v>
      </c>
      <c r="N334" s="190">
        <f>VLOOKUP($A334&amp;$B334,'KU Inputs'!$C$2:$I$505,MATCH('KU UtilityData'!N$1,'KU Inputs'!$C$1:$I$1,0),0)</f>
        <v>193808.63</v>
      </c>
      <c r="O334" s="190" t="e">
        <f>VLOOKUP($A334&amp;$B334,'KU Inputs'!$C$2:$I$505,MATCH('KU UtilityData'!O$1,'KU Inputs'!$C$1:$I$1,0),0)</f>
        <v>#N/A</v>
      </c>
      <c r="P334" s="264">
        <f t="shared" si="22"/>
        <v>12</v>
      </c>
      <c r="Q334" s="264">
        <f t="shared" si="22"/>
        <v>261</v>
      </c>
      <c r="R334" s="166">
        <v>4512</v>
      </c>
      <c r="S334" s="166">
        <v>1455</v>
      </c>
      <c r="T334" s="182">
        <f t="shared" si="25"/>
        <v>0</v>
      </c>
    </row>
    <row r="335" spans="1:20" x14ac:dyDescent="0.2">
      <c r="A335" s="153">
        <v>2028</v>
      </c>
      <c r="B335" s="153">
        <v>10</v>
      </c>
      <c r="D335" s="281">
        <f t="shared" si="23"/>
        <v>13.264473113065353</v>
      </c>
      <c r="E335" s="279">
        <f t="shared" si="24"/>
        <v>13.131828381934699</v>
      </c>
      <c r="F335" s="173"/>
      <c r="G335" s="173">
        <v>29.62</v>
      </c>
      <c r="H335" s="154">
        <v>4098.5907154727875</v>
      </c>
      <c r="I335" s="190">
        <f>VLOOKUP($A335&amp;$B335,'KU Inputs'!$C$2:$I$505,MATCH('KU UtilityData'!I$1,'KU Inputs'!$C$1:$I$1,0),0)*1000</f>
        <v>4922876</v>
      </c>
      <c r="J335" s="190">
        <f>VLOOKUP($A335&amp;$B335,'KU Inputs'!$C$2:$I$505,MATCH('KU UtilityData'!J$1,'KU Inputs'!$C$1:$I$1,0),0)*1000</f>
        <v>1961220</v>
      </c>
      <c r="K335" s="265">
        <v>485510.38142114948</v>
      </c>
      <c r="L335" s="248">
        <v>471564.47</v>
      </c>
      <c r="M335" s="164">
        <v>125668.3446479565</v>
      </c>
      <c r="N335" s="190">
        <f>VLOOKUP($A335&amp;$B335,'KU Inputs'!$C$2:$I$505,MATCH('KU UtilityData'!N$1,'KU Inputs'!$C$1:$I$1,0),0)</f>
        <v>194786.40400000001</v>
      </c>
      <c r="O335" s="190" t="e">
        <f>VLOOKUP($A335&amp;$B335,'KU Inputs'!$C$2:$I$505,MATCH('KU UtilityData'!O$1,'KU Inputs'!$C$1:$I$1,0),0)</f>
        <v>#N/A</v>
      </c>
      <c r="P335" s="264">
        <f t="shared" si="22"/>
        <v>136</v>
      </c>
      <c r="Q335" s="264">
        <f t="shared" si="22"/>
        <v>73</v>
      </c>
      <c r="R335" s="166">
        <v>4512</v>
      </c>
      <c r="S335" s="166">
        <v>1455</v>
      </c>
      <c r="T335" s="182">
        <f t="shared" si="25"/>
        <v>0</v>
      </c>
    </row>
    <row r="336" spans="1:20" x14ac:dyDescent="0.2">
      <c r="A336" s="153">
        <v>2028</v>
      </c>
      <c r="B336" s="153">
        <v>11</v>
      </c>
      <c r="D336" s="281">
        <f t="shared" si="23"/>
        <v>13.264473113065353</v>
      </c>
      <c r="E336" s="279">
        <f t="shared" si="24"/>
        <v>13.131828381934699</v>
      </c>
      <c r="F336" s="173"/>
      <c r="G336" s="173">
        <v>29.95</v>
      </c>
      <c r="H336" s="154">
        <v>4100.6065724634991</v>
      </c>
      <c r="I336" s="190">
        <f>VLOOKUP($A336&amp;$B336,'KU Inputs'!$C$2:$I$505,MATCH('KU UtilityData'!I$1,'KU Inputs'!$C$1:$I$1,0),0)*1000</f>
        <v>4922876</v>
      </c>
      <c r="J336" s="190">
        <f>VLOOKUP($A336&amp;$B336,'KU Inputs'!$C$2:$I$505,MATCH('KU UtilityData'!J$1,'KU Inputs'!$C$1:$I$1,0),0)*1000</f>
        <v>1961220</v>
      </c>
      <c r="K336" s="265">
        <v>485834.05500876356</v>
      </c>
      <c r="L336" s="248">
        <v>471564.47</v>
      </c>
      <c r="M336" s="164">
        <v>125668.3446479565</v>
      </c>
      <c r="N336" s="190">
        <f>VLOOKUP($A336&amp;$B336,'KU Inputs'!$C$2:$I$505,MATCH('KU UtilityData'!N$1,'KU Inputs'!$C$1:$I$1,0),0)</f>
        <v>194786.40400000001</v>
      </c>
      <c r="O336" s="190" t="e">
        <f>VLOOKUP($A336&amp;$B336,'KU Inputs'!$C$2:$I$505,MATCH('KU UtilityData'!O$1,'KU Inputs'!$C$1:$I$1,0),0)</f>
        <v>#N/A</v>
      </c>
      <c r="P336" s="264">
        <f t="shared" si="22"/>
        <v>394</v>
      </c>
      <c r="Q336" s="264">
        <f t="shared" si="22"/>
        <v>7</v>
      </c>
      <c r="R336" s="166">
        <v>4512</v>
      </c>
      <c r="S336" s="166">
        <v>1455</v>
      </c>
      <c r="T336" s="182">
        <f t="shared" si="25"/>
        <v>0</v>
      </c>
    </row>
    <row r="337" spans="1:20" x14ac:dyDescent="0.2">
      <c r="A337" s="153">
        <v>2028</v>
      </c>
      <c r="B337" s="153">
        <v>12</v>
      </c>
      <c r="D337" s="281">
        <f t="shared" si="23"/>
        <v>13.264473113065353</v>
      </c>
      <c r="E337" s="279">
        <f t="shared" si="24"/>
        <v>13.131828381934699</v>
      </c>
      <c r="F337" s="173"/>
      <c r="G337" s="173">
        <v>31.24</v>
      </c>
      <c r="H337" s="154">
        <v>4102.6224294542099</v>
      </c>
      <c r="I337" s="190">
        <f>VLOOKUP($A337&amp;$B337,'KU Inputs'!$C$2:$I$505,MATCH('KU UtilityData'!I$1,'KU Inputs'!$C$1:$I$1,0),0)*1000</f>
        <v>4922876</v>
      </c>
      <c r="J337" s="190">
        <f>VLOOKUP($A337&amp;$B337,'KU Inputs'!$C$2:$I$505,MATCH('KU UtilityData'!J$1,'KU Inputs'!$C$1:$I$1,0),0)*1000</f>
        <v>1961220</v>
      </c>
      <c r="K337" s="265">
        <v>486157.94437876937</v>
      </c>
      <c r="L337" s="248">
        <v>471564.47</v>
      </c>
      <c r="M337" s="164">
        <v>125668.3446479565</v>
      </c>
      <c r="N337" s="190">
        <f>VLOOKUP($A337&amp;$B337,'KU Inputs'!$C$2:$I$505,MATCH('KU UtilityData'!N$1,'KU Inputs'!$C$1:$I$1,0),0)</f>
        <v>194786.40400000001</v>
      </c>
      <c r="O337" s="190" t="e">
        <f>VLOOKUP($A337&amp;$B337,'KU Inputs'!$C$2:$I$505,MATCH('KU UtilityData'!O$1,'KU Inputs'!$C$1:$I$1,0),0)</f>
        <v>#N/A</v>
      </c>
      <c r="P337" s="264">
        <f t="shared" si="22"/>
        <v>706</v>
      </c>
      <c r="Q337" s="264">
        <f t="shared" si="22"/>
        <v>0.2</v>
      </c>
      <c r="R337" s="166">
        <v>4512</v>
      </c>
      <c r="S337" s="166">
        <v>1455</v>
      </c>
      <c r="T337" s="182">
        <f t="shared" si="25"/>
        <v>0</v>
      </c>
    </row>
    <row r="338" spans="1:20" x14ac:dyDescent="0.2">
      <c r="A338" s="153">
        <v>2029</v>
      </c>
      <c r="B338" s="153">
        <v>1</v>
      </c>
      <c r="D338" s="281">
        <f t="shared" si="23"/>
        <v>13.529762575326661</v>
      </c>
      <c r="E338" s="279">
        <f t="shared" si="24"/>
        <v>13.394464949573393</v>
      </c>
      <c r="F338" s="173"/>
      <c r="G338" s="173">
        <v>32.67</v>
      </c>
      <c r="H338" s="154">
        <v>4104.6382864449215</v>
      </c>
      <c r="I338" s="190">
        <f>VLOOKUP($A338&amp;$B338,'KU Inputs'!$C$2:$I$505,MATCH('KU UtilityData'!I$1,'KU Inputs'!$C$1:$I$1,0),0)*1000</f>
        <v>4930397</v>
      </c>
      <c r="J338" s="190">
        <f>VLOOKUP($A338&amp;$B338,'KU Inputs'!$C$2:$I$505,MATCH('KU UtilityData'!J$1,'KU Inputs'!$C$1:$I$1,0),0)*1000</f>
        <v>1964691</v>
      </c>
      <c r="K338" s="265">
        <v>486482.04967502184</v>
      </c>
      <c r="L338" s="248">
        <v>472323.5</v>
      </c>
      <c r="M338" s="164">
        <v>126506.80247489191</v>
      </c>
      <c r="N338" s="190">
        <f>VLOOKUP($A338&amp;$B338,'KU Inputs'!$C$2:$I$505,MATCH('KU UtilityData'!N$1,'KU Inputs'!$C$1:$I$1,0),0)</f>
        <v>196497.82699999999</v>
      </c>
      <c r="O338" s="190" t="e">
        <f>VLOOKUP($A338&amp;$B338,'KU Inputs'!$C$2:$I$505,MATCH('KU UtilityData'!O$1,'KU Inputs'!$C$1:$I$1,0),0)</f>
        <v>#N/A</v>
      </c>
      <c r="P338" s="264">
        <f t="shared" ref="P338:Q357" si="26">P326</f>
        <v>996</v>
      </c>
      <c r="Q338" s="264">
        <f t="shared" si="26"/>
        <v>0</v>
      </c>
      <c r="R338" s="166">
        <v>4512</v>
      </c>
      <c r="S338" s="166">
        <v>1455</v>
      </c>
      <c r="T338" s="182">
        <f t="shared" si="25"/>
        <v>0</v>
      </c>
    </row>
    <row r="339" spans="1:20" x14ac:dyDescent="0.2">
      <c r="A339" s="153">
        <v>2029</v>
      </c>
      <c r="B339" s="153">
        <v>2</v>
      </c>
      <c r="D339" s="281">
        <f t="shared" si="23"/>
        <v>13.529762575326661</v>
      </c>
      <c r="E339" s="279">
        <f t="shared" si="24"/>
        <v>13.394464949573393</v>
      </c>
      <c r="F339" s="173"/>
      <c r="G339" s="173">
        <v>29.86</v>
      </c>
      <c r="H339" s="154">
        <v>4106.6541434356332</v>
      </c>
      <c r="I339" s="190">
        <f>VLOOKUP($A339&amp;$B339,'KU Inputs'!$C$2:$I$505,MATCH('KU UtilityData'!I$1,'KU Inputs'!$C$1:$I$1,0),0)*1000</f>
        <v>4930397</v>
      </c>
      <c r="J339" s="190">
        <f>VLOOKUP($A339&amp;$B339,'KU Inputs'!$C$2:$I$505,MATCH('KU UtilityData'!J$1,'KU Inputs'!$C$1:$I$1,0),0)*1000</f>
        <v>1964691</v>
      </c>
      <c r="K339" s="265">
        <v>486806.37104147184</v>
      </c>
      <c r="L339" s="248">
        <v>472323.5</v>
      </c>
      <c r="M339" s="164">
        <v>126506.80247489191</v>
      </c>
      <c r="N339" s="190">
        <f>VLOOKUP($A339&amp;$B339,'KU Inputs'!$C$2:$I$505,MATCH('KU UtilityData'!N$1,'KU Inputs'!$C$1:$I$1,0),0)</f>
        <v>196497.82699999999</v>
      </c>
      <c r="O339" s="190" t="e">
        <f>VLOOKUP($A339&amp;$B339,'KU Inputs'!$C$2:$I$505,MATCH('KU UtilityData'!O$1,'KU Inputs'!$C$1:$I$1,0),0)</f>
        <v>#N/A</v>
      </c>
      <c r="P339" s="264">
        <f t="shared" si="26"/>
        <v>889.8</v>
      </c>
      <c r="Q339" s="264">
        <f t="shared" si="26"/>
        <v>0</v>
      </c>
      <c r="R339" s="166">
        <v>4512</v>
      </c>
      <c r="S339" s="166">
        <v>1455</v>
      </c>
      <c r="T339" s="182">
        <f t="shared" si="25"/>
        <v>0</v>
      </c>
    </row>
    <row r="340" spans="1:20" x14ac:dyDescent="0.2">
      <c r="A340" s="153">
        <v>2029</v>
      </c>
      <c r="B340" s="153">
        <v>3</v>
      </c>
      <c r="D340" s="281">
        <f t="shared" si="23"/>
        <v>13.529762575326661</v>
      </c>
      <c r="E340" s="279">
        <f t="shared" si="24"/>
        <v>13.394464949573393</v>
      </c>
      <c r="F340" s="173"/>
      <c r="G340" s="173">
        <v>30.43</v>
      </c>
      <c r="H340" s="154">
        <v>4108.6700004263439</v>
      </c>
      <c r="I340" s="190">
        <f>VLOOKUP($A340&amp;$B340,'KU Inputs'!$C$2:$I$505,MATCH('KU UtilityData'!I$1,'KU Inputs'!$C$1:$I$1,0),0)*1000</f>
        <v>4930397</v>
      </c>
      <c r="J340" s="190">
        <f>VLOOKUP($A340&amp;$B340,'KU Inputs'!$C$2:$I$505,MATCH('KU UtilityData'!J$1,'KU Inputs'!$C$1:$I$1,0),0)*1000</f>
        <v>1964691</v>
      </c>
      <c r="K340" s="265">
        <v>487130.90862216614</v>
      </c>
      <c r="L340" s="248">
        <v>472323.5</v>
      </c>
      <c r="M340" s="164">
        <v>126506.80247489191</v>
      </c>
      <c r="N340" s="190">
        <f>VLOOKUP($A340&amp;$B340,'KU Inputs'!$C$2:$I$505,MATCH('KU UtilityData'!N$1,'KU Inputs'!$C$1:$I$1,0),0)</f>
        <v>196497.82699999999</v>
      </c>
      <c r="O340" s="190" t="e">
        <f>VLOOKUP($A340&amp;$B340,'KU Inputs'!$C$2:$I$505,MATCH('KU UtilityData'!O$1,'KU Inputs'!$C$1:$I$1,0),0)</f>
        <v>#N/A</v>
      </c>
      <c r="P340" s="264">
        <f t="shared" si="26"/>
        <v>729</v>
      </c>
      <c r="Q340" s="264">
        <f t="shared" si="26"/>
        <v>0.45</v>
      </c>
      <c r="R340" s="166">
        <v>4512</v>
      </c>
      <c r="S340" s="166">
        <v>1455</v>
      </c>
      <c r="T340" s="182">
        <f t="shared" si="25"/>
        <v>0</v>
      </c>
    </row>
    <row r="341" spans="1:20" x14ac:dyDescent="0.2">
      <c r="A341" s="153">
        <v>2029</v>
      </c>
      <c r="B341" s="153">
        <v>4</v>
      </c>
      <c r="D341" s="281">
        <f t="shared" si="23"/>
        <v>13.529762575326661</v>
      </c>
      <c r="E341" s="279">
        <f t="shared" si="24"/>
        <v>13.394464949573393</v>
      </c>
      <c r="F341" s="173"/>
      <c r="G341" s="173">
        <v>30.71</v>
      </c>
      <c r="H341" s="154">
        <v>4110.6858574170556</v>
      </c>
      <c r="I341" s="190">
        <f>VLOOKUP($A341&amp;$B341,'KU Inputs'!$C$2:$I$505,MATCH('KU UtilityData'!I$1,'KU Inputs'!$C$1:$I$1,0),0)*1000</f>
        <v>4937885</v>
      </c>
      <c r="J341" s="190">
        <f>VLOOKUP($A341&amp;$B341,'KU Inputs'!$C$2:$I$505,MATCH('KU UtilityData'!J$1,'KU Inputs'!$C$1:$I$1,0),0)*1000</f>
        <v>1968159</v>
      </c>
      <c r="K341" s="265">
        <v>487455.66256124753</v>
      </c>
      <c r="L341" s="248">
        <v>473081.87</v>
      </c>
      <c r="M341" s="164">
        <v>127050.0880323235</v>
      </c>
      <c r="N341" s="190">
        <f>VLOOKUP($A341&amp;$B341,'KU Inputs'!$C$2:$I$505,MATCH('KU UtilityData'!N$1,'KU Inputs'!$C$1:$I$1,0),0)</f>
        <v>197549.33600000001</v>
      </c>
      <c r="O341" s="190" t="e">
        <f>VLOOKUP($A341&amp;$B341,'KU Inputs'!$C$2:$I$505,MATCH('KU UtilityData'!O$1,'KU Inputs'!$C$1:$I$1,0),0)</f>
        <v>#N/A</v>
      </c>
      <c r="P341" s="264">
        <f t="shared" si="26"/>
        <v>440</v>
      </c>
      <c r="Q341" s="264">
        <f t="shared" si="26"/>
        <v>11.85</v>
      </c>
      <c r="R341" s="166">
        <v>4512</v>
      </c>
      <c r="S341" s="166">
        <v>1455</v>
      </c>
      <c r="T341" s="182">
        <f t="shared" si="25"/>
        <v>0</v>
      </c>
    </row>
    <row r="342" spans="1:20" x14ac:dyDescent="0.2">
      <c r="A342" s="153">
        <v>2029</v>
      </c>
      <c r="B342" s="153">
        <v>5</v>
      </c>
      <c r="D342" s="281">
        <f t="shared" si="23"/>
        <v>13.529762575326661</v>
      </c>
      <c r="E342" s="279">
        <f t="shared" si="24"/>
        <v>13.394464949573393</v>
      </c>
      <c r="F342" s="173"/>
      <c r="G342" s="173">
        <v>29.52</v>
      </c>
      <c r="H342" s="154">
        <v>4112.7017144077663</v>
      </c>
      <c r="I342" s="190">
        <f>VLOOKUP($A342&amp;$B342,'KU Inputs'!$C$2:$I$505,MATCH('KU UtilityData'!I$1,'KU Inputs'!$C$1:$I$1,0),0)*1000</f>
        <v>4937885</v>
      </c>
      <c r="J342" s="190">
        <f>VLOOKUP($A342&amp;$B342,'KU Inputs'!$C$2:$I$505,MATCH('KU UtilityData'!J$1,'KU Inputs'!$C$1:$I$1,0),0)*1000</f>
        <v>1968159</v>
      </c>
      <c r="K342" s="265">
        <v>487780.633002955</v>
      </c>
      <c r="L342" s="248">
        <v>473081.87</v>
      </c>
      <c r="M342" s="164">
        <v>127050.0880323235</v>
      </c>
      <c r="N342" s="190">
        <f>VLOOKUP($A342&amp;$B342,'KU Inputs'!$C$2:$I$505,MATCH('KU UtilityData'!N$1,'KU Inputs'!$C$1:$I$1,0),0)</f>
        <v>197549.33600000001</v>
      </c>
      <c r="O342" s="190" t="e">
        <f>VLOOKUP($A342&amp;$B342,'KU Inputs'!$C$2:$I$505,MATCH('KU UtilityData'!O$1,'KU Inputs'!$C$1:$I$1,0),0)</f>
        <v>#N/A</v>
      </c>
      <c r="P342" s="264">
        <f t="shared" si="26"/>
        <v>187</v>
      </c>
      <c r="Q342" s="264">
        <f t="shared" si="26"/>
        <v>47</v>
      </c>
      <c r="R342" s="166">
        <v>4512</v>
      </c>
      <c r="S342" s="166">
        <v>1455</v>
      </c>
      <c r="T342" s="182">
        <f t="shared" si="25"/>
        <v>0</v>
      </c>
    </row>
    <row r="343" spans="1:20" x14ac:dyDescent="0.2">
      <c r="A343" s="153">
        <v>2029</v>
      </c>
      <c r="B343" s="153">
        <v>6</v>
      </c>
      <c r="D343" s="281">
        <f t="shared" si="23"/>
        <v>13.529762575326661</v>
      </c>
      <c r="E343" s="279">
        <f t="shared" si="24"/>
        <v>13.394464949573393</v>
      </c>
      <c r="F343" s="173"/>
      <c r="G343" s="173">
        <v>30.62</v>
      </c>
      <c r="H343" s="154">
        <v>4114.717571398478</v>
      </c>
      <c r="I343" s="190">
        <f>VLOOKUP($A343&amp;$B343,'KU Inputs'!$C$2:$I$505,MATCH('KU UtilityData'!I$1,'KU Inputs'!$C$1:$I$1,0),0)*1000</f>
        <v>4937885</v>
      </c>
      <c r="J343" s="190">
        <f>VLOOKUP($A343&amp;$B343,'KU Inputs'!$C$2:$I$505,MATCH('KU UtilityData'!J$1,'KU Inputs'!$C$1:$I$1,0),0)*1000</f>
        <v>1968159</v>
      </c>
      <c r="K343" s="265">
        <v>488105.82009162358</v>
      </c>
      <c r="L343" s="248">
        <v>473081.87</v>
      </c>
      <c r="M343" s="164">
        <v>127050.0880323235</v>
      </c>
      <c r="N343" s="190">
        <f>VLOOKUP($A343&amp;$B343,'KU Inputs'!$C$2:$I$505,MATCH('KU UtilityData'!N$1,'KU Inputs'!$C$1:$I$1,0),0)</f>
        <v>197549.33600000001</v>
      </c>
      <c r="O343" s="190" t="e">
        <f>VLOOKUP($A343&amp;$B343,'KU Inputs'!$C$2:$I$505,MATCH('KU UtilityData'!O$1,'KU Inputs'!$C$1:$I$1,0),0)</f>
        <v>#N/A</v>
      </c>
      <c r="P343" s="264">
        <f t="shared" si="26"/>
        <v>49</v>
      </c>
      <c r="Q343" s="264">
        <f t="shared" si="26"/>
        <v>171</v>
      </c>
      <c r="R343" s="166">
        <v>4512</v>
      </c>
      <c r="S343" s="166">
        <v>1455</v>
      </c>
      <c r="T343" s="182">
        <f t="shared" si="25"/>
        <v>0</v>
      </c>
    </row>
    <row r="344" spans="1:20" x14ac:dyDescent="0.2">
      <c r="A344" s="153">
        <v>2029</v>
      </c>
      <c r="B344" s="153">
        <v>7</v>
      </c>
      <c r="D344" s="281">
        <f t="shared" si="23"/>
        <v>13.529762575326661</v>
      </c>
      <c r="E344" s="279">
        <f t="shared" si="24"/>
        <v>13.394464949573393</v>
      </c>
      <c r="F344" s="173"/>
      <c r="G344" s="173">
        <v>30.76</v>
      </c>
      <c r="H344" s="154">
        <v>4116.6849179049223</v>
      </c>
      <c r="I344" s="190">
        <f>VLOOKUP($A344&amp;$B344,'KU Inputs'!$C$2:$I$505,MATCH('KU UtilityData'!I$1,'KU Inputs'!$C$1:$I$1,0),0)*1000</f>
        <v>4945340</v>
      </c>
      <c r="J344" s="190">
        <f>VLOOKUP($A344&amp;$B344,'KU Inputs'!$C$2:$I$505,MATCH('KU UtilityData'!J$1,'KU Inputs'!$C$1:$I$1,0),0)*1000</f>
        <v>1971586</v>
      </c>
      <c r="K344" s="265">
        <v>488431.22397168464</v>
      </c>
      <c r="L344" s="248">
        <v>473831.27</v>
      </c>
      <c r="M344" s="164">
        <v>127657.90988877231</v>
      </c>
      <c r="N344" s="190">
        <f>VLOOKUP($A344&amp;$B344,'KU Inputs'!$C$2:$I$505,MATCH('KU UtilityData'!N$1,'KU Inputs'!$C$1:$I$1,0),0)</f>
        <v>198516.981</v>
      </c>
      <c r="O344" s="190" t="e">
        <f>VLOOKUP($A344&amp;$B344,'KU Inputs'!$C$2:$I$505,MATCH('KU UtilityData'!O$1,'KU Inputs'!$C$1:$I$1,0),0)</f>
        <v>#N/A</v>
      </c>
      <c r="P344" s="264">
        <f t="shared" si="26"/>
        <v>1</v>
      </c>
      <c r="Q344" s="264">
        <f t="shared" si="26"/>
        <v>325</v>
      </c>
      <c r="R344" s="166">
        <v>4512</v>
      </c>
      <c r="S344" s="166">
        <v>1455</v>
      </c>
      <c r="T344" s="182">
        <f t="shared" si="25"/>
        <v>0</v>
      </c>
    </row>
    <row r="345" spans="1:20" x14ac:dyDescent="0.2">
      <c r="A345" s="153">
        <v>2029</v>
      </c>
      <c r="B345" s="153">
        <v>8</v>
      </c>
      <c r="D345" s="281">
        <f t="shared" si="23"/>
        <v>13.529762575326661</v>
      </c>
      <c r="E345" s="279">
        <f t="shared" si="24"/>
        <v>13.394464949573393</v>
      </c>
      <c r="F345" s="173"/>
      <c r="G345" s="173">
        <v>29.48</v>
      </c>
      <c r="H345" s="154">
        <v>4118.6522644113656</v>
      </c>
      <c r="I345" s="190">
        <f>VLOOKUP($A345&amp;$B345,'KU Inputs'!$C$2:$I$505,MATCH('KU UtilityData'!I$1,'KU Inputs'!$C$1:$I$1,0),0)*1000</f>
        <v>4945340</v>
      </c>
      <c r="J345" s="190">
        <f>VLOOKUP($A345&amp;$B345,'KU Inputs'!$C$2:$I$505,MATCH('KU UtilityData'!J$1,'KU Inputs'!$C$1:$I$1,0),0)*1000</f>
        <v>1971586</v>
      </c>
      <c r="K345" s="265">
        <v>488756.8447876657</v>
      </c>
      <c r="L345" s="248">
        <v>473831.27</v>
      </c>
      <c r="M345" s="164">
        <v>127657.90988877231</v>
      </c>
      <c r="N345" s="190">
        <f>VLOOKUP($A345&amp;$B345,'KU Inputs'!$C$2:$I$505,MATCH('KU UtilityData'!N$1,'KU Inputs'!$C$1:$I$1,0),0)</f>
        <v>198516.981</v>
      </c>
      <c r="O345" s="190" t="e">
        <f>VLOOKUP($A345&amp;$B345,'KU Inputs'!$C$2:$I$505,MATCH('KU UtilityData'!O$1,'KU Inputs'!$C$1:$I$1,0),0)</f>
        <v>#N/A</v>
      </c>
      <c r="P345" s="264">
        <f t="shared" si="26"/>
        <v>0</v>
      </c>
      <c r="Q345" s="264">
        <f t="shared" si="26"/>
        <v>341</v>
      </c>
      <c r="R345" s="166">
        <v>4512</v>
      </c>
      <c r="S345" s="166">
        <v>1455</v>
      </c>
      <c r="T345" s="182">
        <f t="shared" si="25"/>
        <v>0</v>
      </c>
    </row>
    <row r="346" spans="1:20" x14ac:dyDescent="0.2">
      <c r="A346" s="153">
        <v>2029</v>
      </c>
      <c r="B346" s="153">
        <v>9</v>
      </c>
      <c r="D346" s="281">
        <f t="shared" si="23"/>
        <v>13.529762575326661</v>
      </c>
      <c r="E346" s="279">
        <f t="shared" si="24"/>
        <v>13.394464949573393</v>
      </c>
      <c r="F346" s="173"/>
      <c r="G346" s="173">
        <v>30.57</v>
      </c>
      <c r="H346" s="154">
        <v>4120.61961091781</v>
      </c>
      <c r="I346" s="190">
        <f>VLOOKUP($A346&amp;$B346,'KU Inputs'!$C$2:$I$505,MATCH('KU UtilityData'!I$1,'KU Inputs'!$C$1:$I$1,0),0)*1000</f>
        <v>4945340</v>
      </c>
      <c r="J346" s="190">
        <f>VLOOKUP($A346&amp;$B346,'KU Inputs'!$C$2:$I$505,MATCH('KU UtilityData'!J$1,'KU Inputs'!$C$1:$I$1,0),0)*1000</f>
        <v>1971586</v>
      </c>
      <c r="K346" s="265">
        <v>489082.6826841908</v>
      </c>
      <c r="L346" s="248">
        <v>473831.27</v>
      </c>
      <c r="M346" s="164">
        <v>127657.90988877231</v>
      </c>
      <c r="N346" s="190">
        <f>VLOOKUP($A346&amp;$B346,'KU Inputs'!$C$2:$I$505,MATCH('KU UtilityData'!N$1,'KU Inputs'!$C$1:$I$1,0),0)</f>
        <v>198516.981</v>
      </c>
      <c r="O346" s="190" t="e">
        <f>VLOOKUP($A346&amp;$B346,'KU Inputs'!$C$2:$I$505,MATCH('KU UtilityData'!O$1,'KU Inputs'!$C$1:$I$1,0),0)</f>
        <v>#N/A</v>
      </c>
      <c r="P346" s="264">
        <f t="shared" si="26"/>
        <v>12</v>
      </c>
      <c r="Q346" s="264">
        <f t="shared" si="26"/>
        <v>261</v>
      </c>
      <c r="R346" s="166">
        <v>4512</v>
      </c>
      <c r="S346" s="166">
        <v>1455</v>
      </c>
      <c r="T346" s="182">
        <f t="shared" si="25"/>
        <v>0</v>
      </c>
    </row>
    <row r="347" spans="1:20" x14ac:dyDescent="0.2">
      <c r="A347" s="153">
        <v>2029</v>
      </c>
      <c r="B347" s="153">
        <v>10</v>
      </c>
      <c r="D347" s="281">
        <f t="shared" si="23"/>
        <v>13.529762575326661</v>
      </c>
      <c r="E347" s="279">
        <f t="shared" si="24"/>
        <v>13.394464949573393</v>
      </c>
      <c r="F347" s="173"/>
      <c r="G347" s="173">
        <v>29.67</v>
      </c>
      <c r="H347" s="154">
        <v>4122.5869574242543</v>
      </c>
      <c r="I347" s="190">
        <f>VLOOKUP($A347&amp;$B347,'KU Inputs'!$C$2:$I$505,MATCH('KU UtilityData'!I$1,'KU Inputs'!$C$1:$I$1,0),0)*1000</f>
        <v>4952749</v>
      </c>
      <c r="J347" s="190">
        <f>VLOOKUP($A347&amp;$B347,'KU Inputs'!$C$2:$I$505,MATCH('KU UtilityData'!J$1,'KU Inputs'!$C$1:$I$1,0),0)*1000</f>
        <v>1975020</v>
      </c>
      <c r="K347" s="265">
        <v>489408.73780598026</v>
      </c>
      <c r="L347" s="248">
        <v>474582.21</v>
      </c>
      <c r="M347" s="164">
        <v>128290.6223761233</v>
      </c>
      <c r="N347" s="190">
        <f>VLOOKUP($A347&amp;$B347,'KU Inputs'!$C$2:$I$505,MATCH('KU UtilityData'!N$1,'KU Inputs'!$C$1:$I$1,0),0)</f>
        <v>199480.13399999999</v>
      </c>
      <c r="O347" s="190" t="e">
        <f>VLOOKUP($A347&amp;$B347,'KU Inputs'!$C$2:$I$505,MATCH('KU UtilityData'!O$1,'KU Inputs'!$C$1:$I$1,0),0)</f>
        <v>#N/A</v>
      </c>
      <c r="P347" s="264">
        <f t="shared" si="26"/>
        <v>136</v>
      </c>
      <c r="Q347" s="264">
        <f t="shared" si="26"/>
        <v>73</v>
      </c>
      <c r="R347" s="166">
        <v>4512</v>
      </c>
      <c r="S347" s="166">
        <v>1455</v>
      </c>
      <c r="T347" s="182">
        <f t="shared" si="25"/>
        <v>0</v>
      </c>
    </row>
    <row r="348" spans="1:20" x14ac:dyDescent="0.2">
      <c r="A348" s="153">
        <v>2029</v>
      </c>
      <c r="B348" s="153">
        <v>11</v>
      </c>
      <c r="D348" s="281">
        <f t="shared" si="23"/>
        <v>13.529762575326661</v>
      </c>
      <c r="E348" s="279">
        <f t="shared" si="24"/>
        <v>13.394464949573393</v>
      </c>
      <c r="F348" s="173"/>
      <c r="G348" s="173">
        <v>29.95</v>
      </c>
      <c r="H348" s="154">
        <v>4124.5543039306986</v>
      </c>
      <c r="I348" s="190">
        <f>VLOOKUP($A348&amp;$B348,'KU Inputs'!$C$2:$I$505,MATCH('KU UtilityData'!I$1,'KU Inputs'!$C$1:$I$1,0),0)*1000</f>
        <v>4952749</v>
      </c>
      <c r="J348" s="190">
        <f>VLOOKUP($A348&amp;$B348,'KU Inputs'!$C$2:$I$505,MATCH('KU UtilityData'!J$1,'KU Inputs'!$C$1:$I$1,0),0)*1000</f>
        <v>1975020</v>
      </c>
      <c r="K348" s="265">
        <v>489735.01029785088</v>
      </c>
      <c r="L348" s="248">
        <v>474582.21</v>
      </c>
      <c r="M348" s="164">
        <v>128290.6223761233</v>
      </c>
      <c r="N348" s="190">
        <f>VLOOKUP($A348&amp;$B348,'KU Inputs'!$C$2:$I$505,MATCH('KU UtilityData'!N$1,'KU Inputs'!$C$1:$I$1,0),0)</f>
        <v>199480.13399999999</v>
      </c>
      <c r="O348" s="190" t="e">
        <f>VLOOKUP($A348&amp;$B348,'KU Inputs'!$C$2:$I$505,MATCH('KU UtilityData'!O$1,'KU Inputs'!$C$1:$I$1,0),0)</f>
        <v>#N/A</v>
      </c>
      <c r="P348" s="264">
        <f t="shared" si="26"/>
        <v>394</v>
      </c>
      <c r="Q348" s="264">
        <f t="shared" si="26"/>
        <v>7</v>
      </c>
      <c r="R348" s="166">
        <v>4512</v>
      </c>
      <c r="S348" s="166">
        <v>1455</v>
      </c>
      <c r="T348" s="182">
        <f t="shared" si="25"/>
        <v>0</v>
      </c>
    </row>
    <row r="349" spans="1:20" x14ac:dyDescent="0.2">
      <c r="A349" s="153">
        <v>2029</v>
      </c>
      <c r="B349" s="153">
        <v>12</v>
      </c>
      <c r="D349" s="281">
        <f t="shared" si="23"/>
        <v>13.529762575326661</v>
      </c>
      <c r="E349" s="279">
        <f t="shared" si="24"/>
        <v>13.394464949573393</v>
      </c>
      <c r="F349" s="173"/>
      <c r="G349" s="173">
        <v>31.1</v>
      </c>
      <c r="H349" s="154">
        <v>4126.5216504371429</v>
      </c>
      <c r="I349" s="190">
        <f>VLOOKUP($A349&amp;$B349,'KU Inputs'!$C$2:$I$505,MATCH('KU UtilityData'!I$1,'KU Inputs'!$C$1:$I$1,0),0)*1000</f>
        <v>4952749</v>
      </c>
      <c r="J349" s="190">
        <f>VLOOKUP($A349&amp;$B349,'KU Inputs'!$C$2:$I$505,MATCH('KU UtilityData'!J$1,'KU Inputs'!$C$1:$I$1,0),0)*1000</f>
        <v>1975020</v>
      </c>
      <c r="K349" s="265">
        <v>490061.50030471606</v>
      </c>
      <c r="L349" s="248">
        <v>474582.21</v>
      </c>
      <c r="M349" s="164">
        <v>128290.6223761233</v>
      </c>
      <c r="N349" s="190">
        <f>VLOOKUP($A349&amp;$B349,'KU Inputs'!$C$2:$I$505,MATCH('KU UtilityData'!N$1,'KU Inputs'!$C$1:$I$1,0),0)</f>
        <v>199480.13399999999</v>
      </c>
      <c r="O349" s="190" t="e">
        <f>VLOOKUP($A349&amp;$B349,'KU Inputs'!$C$2:$I$505,MATCH('KU UtilityData'!O$1,'KU Inputs'!$C$1:$I$1,0),0)</f>
        <v>#N/A</v>
      </c>
      <c r="P349" s="264">
        <f t="shared" si="26"/>
        <v>706</v>
      </c>
      <c r="Q349" s="264">
        <f t="shared" si="26"/>
        <v>0.2</v>
      </c>
      <c r="R349" s="166">
        <v>4512</v>
      </c>
      <c r="S349" s="166">
        <v>1455</v>
      </c>
      <c r="T349" s="182">
        <f t="shared" si="25"/>
        <v>0</v>
      </c>
    </row>
    <row r="350" spans="1:20" x14ac:dyDescent="0.2">
      <c r="A350" s="153">
        <v>2030</v>
      </c>
      <c r="B350" s="153">
        <v>1</v>
      </c>
      <c r="D350" s="281">
        <f t="shared" si="23"/>
        <v>13.800357826833194</v>
      </c>
      <c r="E350" s="279">
        <f t="shared" si="24"/>
        <v>13.662354248564862</v>
      </c>
      <c r="F350" s="173"/>
      <c r="G350" s="173">
        <v>32.71</v>
      </c>
      <c r="H350" s="154">
        <v>4128.4889969435872</v>
      </c>
      <c r="I350" s="190">
        <f>VLOOKUP($A350&amp;$B350,'KU Inputs'!$C$2:$I$505,MATCH('KU UtilityData'!I$1,'KU Inputs'!$C$1:$I$1,0),0)*1000</f>
        <v>4960126</v>
      </c>
      <c r="J350" s="190">
        <f>VLOOKUP($A350&amp;$B350,'KU Inputs'!$C$2:$I$505,MATCH('KU UtilityData'!J$1,'KU Inputs'!$C$1:$I$1,0),0)*1000</f>
        <v>1978500</v>
      </c>
      <c r="K350" s="265">
        <v>490388.20797158586</v>
      </c>
      <c r="L350" s="248">
        <v>475343.2</v>
      </c>
      <c r="M350" s="164">
        <v>129110.72747367879</v>
      </c>
      <c r="N350" s="190">
        <f>VLOOKUP($A350&amp;$B350,'KU Inputs'!$C$2:$I$505,MATCH('KU UtilityData'!N$1,'KU Inputs'!$C$1:$I$1,0),0)</f>
        <v>201210.11900000001</v>
      </c>
      <c r="O350" s="190" t="e">
        <f>VLOOKUP($A350&amp;$B350,'KU Inputs'!$C$2:$I$505,MATCH('KU UtilityData'!O$1,'KU Inputs'!$C$1:$I$1,0),0)</f>
        <v>#N/A</v>
      </c>
      <c r="P350" s="264">
        <f t="shared" si="26"/>
        <v>996</v>
      </c>
      <c r="Q350" s="264">
        <f t="shared" si="26"/>
        <v>0</v>
      </c>
      <c r="R350" s="166">
        <v>4512</v>
      </c>
      <c r="S350" s="166">
        <v>1455</v>
      </c>
      <c r="T350" s="182">
        <f t="shared" si="25"/>
        <v>0</v>
      </c>
    </row>
    <row r="351" spans="1:20" x14ac:dyDescent="0.2">
      <c r="A351" s="153">
        <v>2030</v>
      </c>
      <c r="B351" s="153">
        <v>2</v>
      </c>
      <c r="D351" s="281">
        <f t="shared" si="23"/>
        <v>13.800357826833194</v>
      </c>
      <c r="E351" s="279">
        <f t="shared" si="24"/>
        <v>13.662354248564862</v>
      </c>
      <c r="F351" s="173"/>
      <c r="G351" s="173">
        <v>29.9</v>
      </c>
      <c r="H351" s="154">
        <v>4130.4563434500315</v>
      </c>
      <c r="I351" s="190">
        <f>VLOOKUP($A351&amp;$B351,'KU Inputs'!$C$2:$I$505,MATCH('KU UtilityData'!I$1,'KU Inputs'!$C$1:$I$1,0),0)*1000</f>
        <v>4960126</v>
      </c>
      <c r="J351" s="190">
        <f>VLOOKUP($A351&amp;$B351,'KU Inputs'!$C$2:$I$505,MATCH('KU UtilityData'!J$1,'KU Inputs'!$C$1:$I$1,0),0)*1000</f>
        <v>1978500</v>
      </c>
      <c r="K351" s="265">
        <v>490715.13344356685</v>
      </c>
      <c r="L351" s="248">
        <v>475343.2</v>
      </c>
      <c r="M351" s="164">
        <v>129110.72747367879</v>
      </c>
      <c r="N351" s="190">
        <f>VLOOKUP($A351&amp;$B351,'KU Inputs'!$C$2:$I$505,MATCH('KU UtilityData'!N$1,'KU Inputs'!$C$1:$I$1,0),0)</f>
        <v>201210.11900000001</v>
      </c>
      <c r="O351" s="190" t="e">
        <f>VLOOKUP($A351&amp;$B351,'KU Inputs'!$C$2:$I$505,MATCH('KU UtilityData'!O$1,'KU Inputs'!$C$1:$I$1,0),0)</f>
        <v>#N/A</v>
      </c>
      <c r="P351" s="264">
        <f t="shared" si="26"/>
        <v>889.8</v>
      </c>
      <c r="Q351" s="264">
        <f t="shared" si="26"/>
        <v>0</v>
      </c>
      <c r="R351" s="166">
        <v>4512</v>
      </c>
      <c r="S351" s="166">
        <v>1455</v>
      </c>
      <c r="T351" s="182">
        <f t="shared" si="25"/>
        <v>0</v>
      </c>
    </row>
    <row r="352" spans="1:20" x14ac:dyDescent="0.2">
      <c r="A352" s="153">
        <v>2030</v>
      </c>
      <c r="B352" s="153">
        <v>3</v>
      </c>
      <c r="D352" s="281">
        <f t="shared" si="23"/>
        <v>13.800357826833194</v>
      </c>
      <c r="E352" s="279">
        <f t="shared" si="24"/>
        <v>13.662354248564862</v>
      </c>
      <c r="F352" s="173"/>
      <c r="G352" s="173">
        <v>30.33</v>
      </c>
      <c r="H352" s="154">
        <v>4132.4236899564758</v>
      </c>
      <c r="I352" s="190">
        <f>VLOOKUP($A352&amp;$B352,'KU Inputs'!$C$2:$I$505,MATCH('KU UtilityData'!I$1,'KU Inputs'!$C$1:$I$1,0),0)*1000</f>
        <v>4960126</v>
      </c>
      <c r="J352" s="190">
        <f>VLOOKUP($A352&amp;$B352,'KU Inputs'!$C$2:$I$505,MATCH('KU UtilityData'!J$1,'KU Inputs'!$C$1:$I$1,0),0)*1000</f>
        <v>1978500</v>
      </c>
      <c r="K352" s="265">
        <v>491042.27686586254</v>
      </c>
      <c r="L352" s="248">
        <v>475343.2</v>
      </c>
      <c r="M352" s="164">
        <v>129110.72747367879</v>
      </c>
      <c r="N352" s="190">
        <f>VLOOKUP($A352&amp;$B352,'KU Inputs'!$C$2:$I$505,MATCH('KU UtilityData'!N$1,'KU Inputs'!$C$1:$I$1,0),0)</f>
        <v>201210.11900000001</v>
      </c>
      <c r="O352" s="190" t="e">
        <f>VLOOKUP($A352&amp;$B352,'KU Inputs'!$C$2:$I$505,MATCH('KU UtilityData'!O$1,'KU Inputs'!$C$1:$I$1,0),0)</f>
        <v>#N/A</v>
      </c>
      <c r="P352" s="264">
        <f t="shared" si="26"/>
        <v>729</v>
      </c>
      <c r="Q352" s="264">
        <f t="shared" si="26"/>
        <v>0.45</v>
      </c>
      <c r="R352" s="166">
        <v>4512</v>
      </c>
      <c r="S352" s="166">
        <v>1455</v>
      </c>
      <c r="T352" s="182">
        <f t="shared" si="25"/>
        <v>0</v>
      </c>
    </row>
    <row r="353" spans="1:20" x14ac:dyDescent="0.2">
      <c r="A353" s="153">
        <v>2030</v>
      </c>
      <c r="B353" s="153">
        <v>4</v>
      </c>
      <c r="D353" s="281">
        <f t="shared" si="23"/>
        <v>13.800357826833194</v>
      </c>
      <c r="E353" s="279">
        <f t="shared" si="24"/>
        <v>13.662354248564862</v>
      </c>
      <c r="F353" s="173"/>
      <c r="G353" s="173">
        <v>29.95</v>
      </c>
      <c r="H353" s="154">
        <v>4134.3910364629201</v>
      </c>
      <c r="I353" s="190">
        <f>VLOOKUP($A353&amp;$B353,'KU Inputs'!$C$2:$I$505,MATCH('KU UtilityData'!I$1,'KU Inputs'!$C$1:$I$1,0),0)*1000</f>
        <v>4967471</v>
      </c>
      <c r="J353" s="190">
        <f>VLOOKUP($A353&amp;$B353,'KU Inputs'!$C$2:$I$505,MATCH('KU UtilityData'!J$1,'KU Inputs'!$C$1:$I$1,0),0)*1000</f>
        <v>1982043</v>
      </c>
      <c r="K353" s="265">
        <v>491369.6383837731</v>
      </c>
      <c r="L353" s="248">
        <v>476117.97</v>
      </c>
      <c r="M353" s="164">
        <v>129852.85936900179</v>
      </c>
      <c r="N353" s="190">
        <f>VLOOKUP($A353&amp;$B353,'KU Inputs'!$C$2:$I$505,MATCH('KU UtilityData'!N$1,'KU Inputs'!$C$1:$I$1,0),0)</f>
        <v>202357.96400000001</v>
      </c>
      <c r="O353" s="190" t="e">
        <f>VLOOKUP($A353&amp;$B353,'KU Inputs'!$C$2:$I$505,MATCH('KU UtilityData'!O$1,'KU Inputs'!$C$1:$I$1,0),0)</f>
        <v>#N/A</v>
      </c>
      <c r="P353" s="264">
        <f t="shared" si="26"/>
        <v>440</v>
      </c>
      <c r="Q353" s="264">
        <f t="shared" si="26"/>
        <v>11.85</v>
      </c>
      <c r="R353" s="166">
        <v>4512</v>
      </c>
      <c r="S353" s="166">
        <v>1455</v>
      </c>
      <c r="T353" s="182">
        <f t="shared" si="25"/>
        <v>0</v>
      </c>
    </row>
    <row r="354" spans="1:20" x14ac:dyDescent="0.2">
      <c r="A354" s="153">
        <v>2030</v>
      </c>
      <c r="B354" s="153">
        <v>5</v>
      </c>
      <c r="D354" s="281">
        <f t="shared" si="23"/>
        <v>13.800357826833194</v>
      </c>
      <c r="E354" s="279">
        <f t="shared" si="24"/>
        <v>13.662354248564862</v>
      </c>
      <c r="F354" s="173"/>
      <c r="G354" s="173">
        <v>30.38</v>
      </c>
      <c r="H354" s="154">
        <v>4136.3583829693644</v>
      </c>
      <c r="I354" s="190">
        <f>VLOOKUP($A354&amp;$B354,'KU Inputs'!$C$2:$I$505,MATCH('KU UtilityData'!I$1,'KU Inputs'!$C$1:$I$1,0),0)*1000</f>
        <v>4967471</v>
      </c>
      <c r="J354" s="190">
        <f>VLOOKUP($A354&amp;$B354,'KU Inputs'!$C$2:$I$505,MATCH('KU UtilityData'!J$1,'KU Inputs'!$C$1:$I$1,0),0)*1000</f>
        <v>1982043</v>
      </c>
      <c r="K354" s="265">
        <v>491697.21814269555</v>
      </c>
      <c r="L354" s="248">
        <v>476117.97</v>
      </c>
      <c r="M354" s="164">
        <v>129852.85936900179</v>
      </c>
      <c r="N354" s="190">
        <f>VLOOKUP($A354&amp;$B354,'KU Inputs'!$C$2:$I$505,MATCH('KU UtilityData'!N$1,'KU Inputs'!$C$1:$I$1,0),0)</f>
        <v>202357.96400000001</v>
      </c>
      <c r="O354" s="190" t="e">
        <f>VLOOKUP($A354&amp;$B354,'KU Inputs'!$C$2:$I$505,MATCH('KU UtilityData'!O$1,'KU Inputs'!$C$1:$I$1,0),0)</f>
        <v>#N/A</v>
      </c>
      <c r="P354" s="264">
        <f t="shared" si="26"/>
        <v>187</v>
      </c>
      <c r="Q354" s="264">
        <f t="shared" si="26"/>
        <v>47</v>
      </c>
      <c r="R354" s="166">
        <v>4512</v>
      </c>
      <c r="S354" s="166">
        <v>1455</v>
      </c>
      <c r="T354" s="182">
        <f t="shared" si="25"/>
        <v>0</v>
      </c>
    </row>
    <row r="355" spans="1:20" x14ac:dyDescent="0.2">
      <c r="A355" s="153">
        <v>2030</v>
      </c>
      <c r="B355" s="153">
        <v>6</v>
      </c>
      <c r="D355" s="281">
        <f t="shared" si="23"/>
        <v>13.800357826833194</v>
      </c>
      <c r="E355" s="279">
        <f t="shared" si="24"/>
        <v>13.662354248564862</v>
      </c>
      <c r="F355" s="173"/>
      <c r="G355" s="173">
        <v>30.67</v>
      </c>
      <c r="H355" s="154">
        <v>4138.3257294758077</v>
      </c>
      <c r="I355" s="190">
        <f>VLOOKUP($A355&amp;$B355,'KU Inputs'!$C$2:$I$505,MATCH('KU UtilityData'!I$1,'KU Inputs'!$C$1:$I$1,0),0)*1000</f>
        <v>4967471</v>
      </c>
      <c r="J355" s="190">
        <f>VLOOKUP($A355&amp;$B355,'KU Inputs'!$C$2:$I$505,MATCH('KU UtilityData'!J$1,'KU Inputs'!$C$1:$I$1,0),0)*1000</f>
        <v>1982043</v>
      </c>
      <c r="K355" s="265">
        <v>492025.01628812397</v>
      </c>
      <c r="L355" s="248">
        <v>476117.97</v>
      </c>
      <c r="M355" s="164">
        <v>129852.85936900179</v>
      </c>
      <c r="N355" s="190">
        <f>VLOOKUP($A355&amp;$B355,'KU Inputs'!$C$2:$I$505,MATCH('KU UtilityData'!N$1,'KU Inputs'!$C$1:$I$1,0),0)</f>
        <v>202357.96400000001</v>
      </c>
      <c r="O355" s="190" t="e">
        <f>VLOOKUP($A355&amp;$B355,'KU Inputs'!$C$2:$I$505,MATCH('KU UtilityData'!O$1,'KU Inputs'!$C$1:$I$1,0),0)</f>
        <v>#N/A</v>
      </c>
      <c r="P355" s="264">
        <f t="shared" si="26"/>
        <v>49</v>
      </c>
      <c r="Q355" s="264">
        <f t="shared" si="26"/>
        <v>171</v>
      </c>
      <c r="R355" s="166">
        <v>4512</v>
      </c>
      <c r="S355" s="166">
        <v>1455</v>
      </c>
      <c r="T355" s="182">
        <f t="shared" si="25"/>
        <v>0</v>
      </c>
    </row>
    <row r="356" spans="1:20" x14ac:dyDescent="0.2">
      <c r="A356" s="153">
        <v>2030</v>
      </c>
      <c r="B356" s="153">
        <v>7</v>
      </c>
      <c r="D356" s="281">
        <f t="shared" si="23"/>
        <v>13.800357826833194</v>
      </c>
      <c r="E356" s="279">
        <f t="shared" si="24"/>
        <v>13.662354248564862</v>
      </c>
      <c r="F356" s="173"/>
      <c r="G356" s="173">
        <v>30.67</v>
      </c>
      <c r="H356" s="154">
        <v>4140.2453982959978</v>
      </c>
      <c r="I356" s="190">
        <f>VLOOKUP($A356&amp;$B356,'KU Inputs'!$C$2:$I$505,MATCH('KU UtilityData'!I$1,'KU Inputs'!$C$1:$I$1,0),0)*1000</f>
        <v>4974784</v>
      </c>
      <c r="J356" s="190">
        <f>VLOOKUP($A356&amp;$B356,'KU Inputs'!$C$2:$I$505,MATCH('KU UtilityData'!J$1,'KU Inputs'!$C$1:$I$1,0),0)*1000</f>
        <v>1985561</v>
      </c>
      <c r="K356" s="265">
        <v>492353.03296564933</v>
      </c>
      <c r="L356" s="248">
        <v>476887.27</v>
      </c>
      <c r="M356" s="164">
        <v>130444.17937212689</v>
      </c>
      <c r="N356" s="190">
        <f>VLOOKUP($A356&amp;$B356,'KU Inputs'!$C$2:$I$505,MATCH('KU UtilityData'!N$1,'KU Inputs'!$C$1:$I$1,0),0)</f>
        <v>203321.337</v>
      </c>
      <c r="O356" s="190" t="e">
        <f>VLOOKUP($A356&amp;$B356,'KU Inputs'!$C$2:$I$505,MATCH('KU UtilityData'!O$1,'KU Inputs'!$C$1:$I$1,0),0)</f>
        <v>#N/A</v>
      </c>
      <c r="P356" s="264">
        <f t="shared" si="26"/>
        <v>1</v>
      </c>
      <c r="Q356" s="264">
        <f t="shared" si="26"/>
        <v>325</v>
      </c>
      <c r="R356" s="166">
        <v>4512</v>
      </c>
      <c r="S356" s="166">
        <v>1455</v>
      </c>
      <c r="T356" s="182">
        <f t="shared" si="25"/>
        <v>0</v>
      </c>
    </row>
    <row r="357" spans="1:20" x14ac:dyDescent="0.2">
      <c r="A357" s="153">
        <v>2030</v>
      </c>
      <c r="B357" s="153">
        <v>8</v>
      </c>
      <c r="D357" s="281">
        <f t="shared" si="23"/>
        <v>13.800357826833194</v>
      </c>
      <c r="E357" s="279">
        <f t="shared" si="24"/>
        <v>13.662354248564862</v>
      </c>
      <c r="F357" s="173"/>
      <c r="G357" s="173">
        <v>29.48</v>
      </c>
      <c r="H357" s="154">
        <v>4142.1650671161879</v>
      </c>
      <c r="I357" s="190">
        <f>VLOOKUP($A357&amp;$B357,'KU Inputs'!$C$2:$I$505,MATCH('KU UtilityData'!I$1,'KU Inputs'!$C$1:$I$1,0),0)*1000</f>
        <v>4974784</v>
      </c>
      <c r="J357" s="190">
        <f>VLOOKUP($A357&amp;$B357,'KU Inputs'!$C$2:$I$505,MATCH('KU UtilityData'!J$1,'KU Inputs'!$C$1:$I$1,0),0)*1000</f>
        <v>1985561</v>
      </c>
      <c r="K357" s="265">
        <v>492681.2683209597</v>
      </c>
      <c r="L357" s="248">
        <v>476887.27</v>
      </c>
      <c r="M357" s="164">
        <v>130444.17937212689</v>
      </c>
      <c r="N357" s="190">
        <f>VLOOKUP($A357&amp;$B357,'KU Inputs'!$C$2:$I$505,MATCH('KU UtilityData'!N$1,'KU Inputs'!$C$1:$I$1,0),0)</f>
        <v>203321.337</v>
      </c>
      <c r="O357" s="190" t="e">
        <f>VLOOKUP($A357&amp;$B357,'KU Inputs'!$C$2:$I$505,MATCH('KU UtilityData'!O$1,'KU Inputs'!$C$1:$I$1,0),0)</f>
        <v>#N/A</v>
      </c>
      <c r="P357" s="264">
        <f t="shared" si="26"/>
        <v>0</v>
      </c>
      <c r="Q357" s="264">
        <f t="shared" si="26"/>
        <v>341</v>
      </c>
      <c r="R357" s="166">
        <v>4512</v>
      </c>
      <c r="S357" s="166">
        <v>1455</v>
      </c>
      <c r="T357" s="182">
        <f t="shared" si="25"/>
        <v>0</v>
      </c>
    </row>
    <row r="358" spans="1:20" x14ac:dyDescent="0.2">
      <c r="A358" s="153">
        <v>2030</v>
      </c>
      <c r="B358" s="153">
        <v>9</v>
      </c>
      <c r="D358" s="281">
        <f t="shared" si="23"/>
        <v>13.800357826833194</v>
      </c>
      <c r="E358" s="279">
        <f t="shared" si="24"/>
        <v>13.662354248564862</v>
      </c>
      <c r="F358" s="173"/>
      <c r="G358" s="173">
        <v>30.71</v>
      </c>
      <c r="H358" s="154">
        <v>4144.0847359363779</v>
      </c>
      <c r="I358" s="190">
        <f>VLOOKUP($A358&amp;$B358,'KU Inputs'!$C$2:$I$505,MATCH('KU UtilityData'!I$1,'KU Inputs'!$C$1:$I$1,0),0)*1000</f>
        <v>4974784</v>
      </c>
      <c r="J358" s="190">
        <f>VLOOKUP($A358&amp;$B358,'KU Inputs'!$C$2:$I$505,MATCH('KU UtilityData'!J$1,'KU Inputs'!$C$1:$I$1,0),0)*1000</f>
        <v>1985561</v>
      </c>
      <c r="K358" s="265">
        <v>493009.72249984031</v>
      </c>
      <c r="L358" s="248">
        <v>476887.27</v>
      </c>
      <c r="M358" s="164">
        <v>130444.17937212689</v>
      </c>
      <c r="N358" s="190">
        <f>VLOOKUP($A358&amp;$B358,'KU Inputs'!$C$2:$I$505,MATCH('KU UtilityData'!N$1,'KU Inputs'!$C$1:$I$1,0),0)</f>
        <v>203321.337</v>
      </c>
      <c r="O358" s="190" t="e">
        <f>VLOOKUP($A358&amp;$B358,'KU Inputs'!$C$2:$I$505,MATCH('KU UtilityData'!O$1,'KU Inputs'!$C$1:$I$1,0),0)</f>
        <v>#N/A</v>
      </c>
      <c r="P358" s="264">
        <f t="shared" ref="P358:Q377" si="27">P346</f>
        <v>12</v>
      </c>
      <c r="Q358" s="264">
        <f t="shared" si="27"/>
        <v>261</v>
      </c>
      <c r="R358" s="166">
        <v>4512</v>
      </c>
      <c r="S358" s="166">
        <v>1455</v>
      </c>
      <c r="T358" s="182">
        <f t="shared" si="25"/>
        <v>0</v>
      </c>
    </row>
    <row r="359" spans="1:20" x14ac:dyDescent="0.2">
      <c r="A359" s="153">
        <v>2030</v>
      </c>
      <c r="B359" s="153">
        <v>10</v>
      </c>
      <c r="D359" s="281">
        <f t="shared" si="23"/>
        <v>13.800357826833194</v>
      </c>
      <c r="E359" s="279">
        <f t="shared" si="24"/>
        <v>13.662354248564862</v>
      </c>
      <c r="F359" s="173"/>
      <c r="G359" s="173">
        <v>29.52</v>
      </c>
      <c r="H359" s="154">
        <v>4146.004404756568</v>
      </c>
      <c r="I359" s="190">
        <f>VLOOKUP($A359&amp;$B359,'KU Inputs'!$C$2:$I$505,MATCH('KU UtilityData'!I$1,'KU Inputs'!$C$1:$I$1,0),0)*1000</f>
        <v>4982053</v>
      </c>
      <c r="J359" s="190">
        <f>VLOOKUP($A359&amp;$B359,'KU Inputs'!$C$2:$I$505,MATCH('KU UtilityData'!J$1,'KU Inputs'!$C$1:$I$1,0),0)*1000</f>
        <v>1989038</v>
      </c>
      <c r="K359" s="265">
        <v>493338.39564817352</v>
      </c>
      <c r="L359" s="248">
        <v>477647.61</v>
      </c>
      <c r="M359" s="164">
        <v>130969.08113901061</v>
      </c>
      <c r="N359" s="190">
        <f>VLOOKUP($A359&amp;$B359,'KU Inputs'!$C$2:$I$505,MATCH('KU UtilityData'!N$1,'KU Inputs'!$C$1:$I$1,0),0)</f>
        <v>204205.139</v>
      </c>
      <c r="O359" s="190" t="e">
        <f>VLOOKUP($A359&amp;$B359,'KU Inputs'!$C$2:$I$505,MATCH('KU UtilityData'!O$1,'KU Inputs'!$C$1:$I$1,0),0)</f>
        <v>#N/A</v>
      </c>
      <c r="P359" s="264">
        <f t="shared" si="27"/>
        <v>136</v>
      </c>
      <c r="Q359" s="264">
        <f t="shared" si="27"/>
        <v>73</v>
      </c>
      <c r="R359" s="166">
        <v>4512</v>
      </c>
      <c r="S359" s="166">
        <v>1455</v>
      </c>
      <c r="T359" s="182">
        <f t="shared" si="25"/>
        <v>0</v>
      </c>
    </row>
    <row r="360" spans="1:20" x14ac:dyDescent="0.2">
      <c r="A360" s="153">
        <v>2030</v>
      </c>
      <c r="B360" s="153">
        <v>11</v>
      </c>
      <c r="D360" s="281">
        <f t="shared" si="23"/>
        <v>13.800357826833194</v>
      </c>
      <c r="E360" s="279">
        <f t="shared" si="24"/>
        <v>13.662354248564862</v>
      </c>
      <c r="F360" s="173"/>
      <c r="G360" s="173">
        <v>29.38</v>
      </c>
      <c r="H360" s="154">
        <v>4147.9240735767589</v>
      </c>
      <c r="I360" s="190">
        <f>VLOOKUP($A360&amp;$B360,'KU Inputs'!$C$2:$I$505,MATCH('KU UtilityData'!I$1,'KU Inputs'!$C$1:$I$1,0),0)*1000</f>
        <v>4982053</v>
      </c>
      <c r="J360" s="190">
        <f>VLOOKUP($A360&amp;$B360,'KU Inputs'!$C$2:$I$505,MATCH('KU UtilityData'!J$1,'KU Inputs'!$C$1:$I$1,0),0)*1000</f>
        <v>1989038</v>
      </c>
      <c r="K360" s="265">
        <v>493667.28791193891</v>
      </c>
      <c r="L360" s="248">
        <v>477647.61</v>
      </c>
      <c r="M360" s="164">
        <v>130969.08113901061</v>
      </c>
      <c r="N360" s="190">
        <f>VLOOKUP($A360&amp;$B360,'KU Inputs'!$C$2:$I$505,MATCH('KU UtilityData'!N$1,'KU Inputs'!$C$1:$I$1,0),0)</f>
        <v>204205.139</v>
      </c>
      <c r="O360" s="190" t="e">
        <f>VLOOKUP($A360&amp;$B360,'KU Inputs'!$C$2:$I$505,MATCH('KU UtilityData'!O$1,'KU Inputs'!$C$1:$I$1,0),0)</f>
        <v>#N/A</v>
      </c>
      <c r="P360" s="264">
        <f t="shared" si="27"/>
        <v>394</v>
      </c>
      <c r="Q360" s="264">
        <f t="shared" si="27"/>
        <v>7</v>
      </c>
      <c r="R360" s="166">
        <v>4512</v>
      </c>
      <c r="S360" s="166">
        <v>1455</v>
      </c>
      <c r="T360" s="182">
        <f t="shared" si="25"/>
        <v>0</v>
      </c>
    </row>
    <row r="361" spans="1:20" x14ac:dyDescent="0.2">
      <c r="A361" s="153">
        <v>2030</v>
      </c>
      <c r="B361" s="153">
        <v>12</v>
      </c>
      <c r="D361" s="281">
        <f t="shared" si="23"/>
        <v>13.800357826833194</v>
      </c>
      <c r="E361" s="279">
        <f t="shared" si="24"/>
        <v>13.662354248564862</v>
      </c>
      <c r="F361" s="173"/>
      <c r="G361" s="173">
        <v>32.049999999999997</v>
      </c>
      <c r="H361" s="154">
        <v>4149.843742396949</v>
      </c>
      <c r="I361" s="190">
        <f>VLOOKUP($A361&amp;$B361,'KU Inputs'!$C$2:$I$505,MATCH('KU UtilityData'!I$1,'KU Inputs'!$C$1:$I$1,0),0)*1000</f>
        <v>4982053</v>
      </c>
      <c r="J361" s="190">
        <f>VLOOKUP($A361&amp;$B361,'KU Inputs'!$C$2:$I$505,MATCH('KU UtilityData'!J$1,'KU Inputs'!$C$1:$I$1,0),0)*1000</f>
        <v>1989038</v>
      </c>
      <c r="K361" s="265">
        <v>493996.39943721349</v>
      </c>
      <c r="L361" s="248">
        <v>477647.61</v>
      </c>
      <c r="M361" s="164">
        <v>130969.08113901061</v>
      </c>
      <c r="N361" s="190">
        <f>VLOOKUP($A361&amp;$B361,'KU Inputs'!$C$2:$I$505,MATCH('KU UtilityData'!N$1,'KU Inputs'!$C$1:$I$1,0),0)</f>
        <v>204205.139</v>
      </c>
      <c r="O361" s="190" t="e">
        <f>VLOOKUP($A361&amp;$B361,'KU Inputs'!$C$2:$I$505,MATCH('KU UtilityData'!O$1,'KU Inputs'!$C$1:$I$1,0),0)</f>
        <v>#N/A</v>
      </c>
      <c r="P361" s="264">
        <f t="shared" si="27"/>
        <v>706</v>
      </c>
      <c r="Q361" s="264">
        <f t="shared" si="27"/>
        <v>0.2</v>
      </c>
      <c r="R361" s="166">
        <v>4512</v>
      </c>
      <c r="S361" s="166">
        <v>1455</v>
      </c>
      <c r="T361" s="182">
        <f t="shared" si="25"/>
        <v>0</v>
      </c>
    </row>
    <row r="362" spans="1:20" x14ac:dyDescent="0.2">
      <c r="A362" s="153">
        <v>2031</v>
      </c>
      <c r="B362" s="153">
        <v>1</v>
      </c>
      <c r="D362" s="281">
        <f t="shared" si="23"/>
        <v>14.076364983369858</v>
      </c>
      <c r="E362" s="279">
        <f t="shared" si="24"/>
        <v>13.935601333536159</v>
      </c>
      <c r="F362" s="173"/>
      <c r="G362" s="173">
        <v>32.33</v>
      </c>
      <c r="H362" s="154">
        <v>4151.763411217139</v>
      </c>
      <c r="I362" s="190">
        <f>VLOOKUP($A362&amp;$B362,'KU Inputs'!$C$2:$I$505,MATCH('KU UtilityData'!I$1,'KU Inputs'!$C$1:$I$1,0),0)*1000</f>
        <v>4989290</v>
      </c>
      <c r="J362" s="190">
        <f>VLOOKUP($A362&amp;$B362,'KU Inputs'!$C$2:$I$505,MATCH('KU UtilityData'!J$1,'KU Inputs'!$C$1:$I$1,0),0)*1000</f>
        <v>1992472</v>
      </c>
      <c r="K362" s="265">
        <v>494325.7303701716</v>
      </c>
      <c r="L362" s="248">
        <v>478398.55</v>
      </c>
      <c r="M362" s="164">
        <v>131793.62185068079</v>
      </c>
      <c r="N362" s="190">
        <f>VLOOKUP($A362&amp;$B362,'KU Inputs'!$C$2:$I$505,MATCH('KU UtilityData'!N$1,'KU Inputs'!$C$1:$I$1,0),0)</f>
        <v>205835.74900000001</v>
      </c>
      <c r="O362" s="190" t="e">
        <f>VLOOKUP($A362&amp;$B362,'KU Inputs'!$C$2:$I$505,MATCH('KU UtilityData'!O$1,'KU Inputs'!$C$1:$I$1,0),0)</f>
        <v>#N/A</v>
      </c>
      <c r="P362" s="264">
        <f t="shared" si="27"/>
        <v>996</v>
      </c>
      <c r="Q362" s="264">
        <f t="shared" si="27"/>
        <v>0</v>
      </c>
      <c r="R362" s="166">
        <v>4512</v>
      </c>
      <c r="S362" s="166">
        <v>1455</v>
      </c>
      <c r="T362" s="182">
        <f t="shared" si="25"/>
        <v>0</v>
      </c>
    </row>
    <row r="363" spans="1:20" x14ac:dyDescent="0.2">
      <c r="A363" s="153">
        <v>2031</v>
      </c>
      <c r="B363" s="153">
        <v>2</v>
      </c>
      <c r="D363" s="281">
        <f t="shared" si="23"/>
        <v>14.076364983369858</v>
      </c>
      <c r="E363" s="279">
        <f t="shared" si="24"/>
        <v>13.935601333536159</v>
      </c>
      <c r="F363" s="173"/>
      <c r="G363" s="173">
        <v>30.05</v>
      </c>
      <c r="H363" s="154">
        <v>4153.6830800373291</v>
      </c>
      <c r="I363" s="190">
        <f>VLOOKUP($A363&amp;$B363,'KU Inputs'!$C$2:$I$505,MATCH('KU UtilityData'!I$1,'KU Inputs'!$C$1:$I$1,0),0)*1000</f>
        <v>4989290</v>
      </c>
      <c r="J363" s="190">
        <f>VLOOKUP($A363&amp;$B363,'KU Inputs'!$C$2:$I$505,MATCH('KU UtilityData'!J$1,'KU Inputs'!$C$1:$I$1,0),0)*1000</f>
        <v>1992472</v>
      </c>
      <c r="K363" s="265">
        <v>494655.28085708502</v>
      </c>
      <c r="L363" s="248">
        <v>478398.55</v>
      </c>
      <c r="M363" s="164">
        <v>131793.62185068079</v>
      </c>
      <c r="N363" s="190">
        <f>VLOOKUP($A363&amp;$B363,'KU Inputs'!$C$2:$I$505,MATCH('KU UtilityData'!N$1,'KU Inputs'!$C$1:$I$1,0),0)</f>
        <v>205835.74900000001</v>
      </c>
      <c r="O363" s="190" t="e">
        <f>VLOOKUP($A363&amp;$B363,'KU Inputs'!$C$2:$I$505,MATCH('KU UtilityData'!O$1,'KU Inputs'!$C$1:$I$1,0),0)</f>
        <v>#N/A</v>
      </c>
      <c r="P363" s="264">
        <f t="shared" si="27"/>
        <v>889.8</v>
      </c>
      <c r="Q363" s="264">
        <f t="shared" si="27"/>
        <v>0</v>
      </c>
      <c r="R363" s="166">
        <v>4512</v>
      </c>
      <c r="S363" s="166">
        <v>1455</v>
      </c>
      <c r="T363" s="182">
        <f t="shared" si="25"/>
        <v>0</v>
      </c>
    </row>
    <row r="364" spans="1:20" x14ac:dyDescent="0.2">
      <c r="A364" s="153">
        <v>2031</v>
      </c>
      <c r="B364" s="153">
        <v>3</v>
      </c>
      <c r="D364" s="281">
        <f t="shared" si="23"/>
        <v>14.076364983369858</v>
      </c>
      <c r="E364" s="279">
        <f t="shared" si="24"/>
        <v>13.935601333536159</v>
      </c>
      <c r="F364" s="173"/>
      <c r="G364" s="173">
        <v>30.19</v>
      </c>
      <c r="H364" s="154">
        <v>4155.6027488575191</v>
      </c>
      <c r="I364" s="190">
        <f>VLOOKUP($A364&amp;$B364,'KU Inputs'!$C$2:$I$505,MATCH('KU UtilityData'!I$1,'KU Inputs'!$C$1:$I$1,0),0)*1000</f>
        <v>4989290</v>
      </c>
      <c r="J364" s="190">
        <f>VLOOKUP($A364&amp;$B364,'KU Inputs'!$C$2:$I$505,MATCH('KU UtilityData'!J$1,'KU Inputs'!$C$1:$I$1,0),0)*1000</f>
        <v>1992472</v>
      </c>
      <c r="K364" s="265">
        <v>494985.05104432302</v>
      </c>
      <c r="L364" s="248">
        <v>478398.55</v>
      </c>
      <c r="M364" s="164">
        <v>131793.62185068079</v>
      </c>
      <c r="N364" s="190">
        <f>VLOOKUP($A364&amp;$B364,'KU Inputs'!$C$2:$I$505,MATCH('KU UtilityData'!N$1,'KU Inputs'!$C$1:$I$1,0),0)</f>
        <v>205835.74900000001</v>
      </c>
      <c r="O364" s="190" t="e">
        <f>VLOOKUP($A364&amp;$B364,'KU Inputs'!$C$2:$I$505,MATCH('KU UtilityData'!O$1,'KU Inputs'!$C$1:$I$1,0),0)</f>
        <v>#N/A</v>
      </c>
      <c r="P364" s="264">
        <f t="shared" si="27"/>
        <v>729</v>
      </c>
      <c r="Q364" s="264">
        <f t="shared" si="27"/>
        <v>0.45</v>
      </c>
      <c r="R364" s="166">
        <v>4512</v>
      </c>
      <c r="S364" s="166">
        <v>1455</v>
      </c>
      <c r="T364" s="182">
        <f t="shared" si="25"/>
        <v>0</v>
      </c>
    </row>
    <row r="365" spans="1:20" x14ac:dyDescent="0.2">
      <c r="A365" s="153">
        <v>2031</v>
      </c>
      <c r="B365" s="153">
        <v>4</v>
      </c>
      <c r="D365" s="281">
        <f t="shared" si="23"/>
        <v>14.076364983369858</v>
      </c>
      <c r="E365" s="279">
        <f t="shared" si="24"/>
        <v>13.935601333536159</v>
      </c>
      <c r="F365" s="173"/>
      <c r="G365" s="173">
        <v>30.33</v>
      </c>
      <c r="H365" s="154">
        <v>4157.5224176777101</v>
      </c>
      <c r="I365" s="190">
        <f>VLOOKUP($A365&amp;$B365,'KU Inputs'!$C$2:$I$505,MATCH('KU UtilityData'!I$1,'KU Inputs'!$C$1:$I$1,0),0)*1000</f>
        <v>4996497</v>
      </c>
      <c r="J365" s="190">
        <f>VLOOKUP($A365&amp;$B365,'KU Inputs'!$C$2:$I$505,MATCH('KU UtilityData'!J$1,'KU Inputs'!$C$1:$I$1,0),0)*1000</f>
        <v>1995892</v>
      </c>
      <c r="K365" s="265">
        <v>495315.04107835254</v>
      </c>
      <c r="L365" s="248">
        <v>479146.42</v>
      </c>
      <c r="M365" s="164">
        <v>132355.0356467964</v>
      </c>
      <c r="N365" s="190">
        <f>VLOOKUP($A365&amp;$B365,'KU Inputs'!$C$2:$I$505,MATCH('KU UtilityData'!N$1,'KU Inputs'!$C$1:$I$1,0),0)</f>
        <v>206821.26699999999</v>
      </c>
      <c r="O365" s="190" t="e">
        <f>VLOOKUP($A365&amp;$B365,'KU Inputs'!$C$2:$I$505,MATCH('KU UtilityData'!O$1,'KU Inputs'!$C$1:$I$1,0),0)</f>
        <v>#N/A</v>
      </c>
      <c r="P365" s="264">
        <f t="shared" si="27"/>
        <v>440</v>
      </c>
      <c r="Q365" s="264">
        <f t="shared" si="27"/>
        <v>11.85</v>
      </c>
      <c r="R365" s="166">
        <v>4512</v>
      </c>
      <c r="S365" s="166">
        <v>1455</v>
      </c>
      <c r="T365" s="182">
        <f t="shared" si="25"/>
        <v>0</v>
      </c>
    </row>
    <row r="366" spans="1:20" x14ac:dyDescent="0.2">
      <c r="A366" s="153">
        <v>2031</v>
      </c>
      <c r="B366" s="153">
        <v>5</v>
      </c>
      <c r="D366" s="281">
        <f t="shared" si="23"/>
        <v>14.076364983369858</v>
      </c>
      <c r="E366" s="279">
        <f t="shared" si="24"/>
        <v>13.935601333536159</v>
      </c>
      <c r="F366" s="173"/>
      <c r="G366" s="173">
        <v>30.14</v>
      </c>
      <c r="H366" s="154">
        <v>4159.4420864979002</v>
      </c>
      <c r="I366" s="190">
        <f>VLOOKUP($A366&amp;$B366,'KU Inputs'!$C$2:$I$505,MATCH('KU UtilityData'!I$1,'KU Inputs'!$C$1:$I$1,0),0)*1000</f>
        <v>4996497</v>
      </c>
      <c r="J366" s="190">
        <f>VLOOKUP($A366&amp;$B366,'KU Inputs'!$C$2:$I$505,MATCH('KU UtilityData'!J$1,'KU Inputs'!$C$1:$I$1,0),0)*1000</f>
        <v>1995892</v>
      </c>
      <c r="K366" s="265">
        <v>495645.25110573805</v>
      </c>
      <c r="L366" s="248">
        <v>479146.42</v>
      </c>
      <c r="M366" s="164">
        <v>132355.0356467964</v>
      </c>
      <c r="N366" s="190">
        <f>VLOOKUP($A366&amp;$B366,'KU Inputs'!$C$2:$I$505,MATCH('KU UtilityData'!N$1,'KU Inputs'!$C$1:$I$1,0),0)</f>
        <v>206821.26699999999</v>
      </c>
      <c r="O366" s="190" t="e">
        <f>VLOOKUP($A366&amp;$B366,'KU Inputs'!$C$2:$I$505,MATCH('KU UtilityData'!O$1,'KU Inputs'!$C$1:$I$1,0),0)</f>
        <v>#N/A</v>
      </c>
      <c r="P366" s="264">
        <f t="shared" si="27"/>
        <v>187</v>
      </c>
      <c r="Q366" s="264">
        <f t="shared" si="27"/>
        <v>47</v>
      </c>
      <c r="R366" s="166">
        <v>4512</v>
      </c>
      <c r="S366" s="166">
        <v>1455</v>
      </c>
      <c r="T366" s="182">
        <f t="shared" si="25"/>
        <v>0</v>
      </c>
    </row>
    <row r="367" spans="1:20" x14ac:dyDescent="0.2">
      <c r="A367" s="153">
        <v>2031</v>
      </c>
      <c r="B367" s="153">
        <v>6</v>
      </c>
      <c r="D367" s="281">
        <f t="shared" si="23"/>
        <v>14.076364983369858</v>
      </c>
      <c r="E367" s="279">
        <f t="shared" si="24"/>
        <v>13.935601333536159</v>
      </c>
      <c r="F367" s="173"/>
      <c r="G367" s="173">
        <v>30.52</v>
      </c>
      <c r="H367" s="154">
        <v>4161.3617553180902</v>
      </c>
      <c r="I367" s="190">
        <f>VLOOKUP($A367&amp;$B367,'KU Inputs'!$C$2:$I$505,MATCH('KU UtilityData'!I$1,'KU Inputs'!$C$1:$I$1,0),0)*1000</f>
        <v>4996497</v>
      </c>
      <c r="J367" s="190">
        <f>VLOOKUP($A367&amp;$B367,'KU Inputs'!$C$2:$I$505,MATCH('KU UtilityData'!J$1,'KU Inputs'!$C$1:$I$1,0),0)*1000</f>
        <v>1995892</v>
      </c>
      <c r="K367" s="265">
        <v>495975.68127314182</v>
      </c>
      <c r="L367" s="248">
        <v>479146.42</v>
      </c>
      <c r="M367" s="164">
        <v>132355.0356467964</v>
      </c>
      <c r="N367" s="190">
        <f>VLOOKUP($A367&amp;$B367,'KU Inputs'!$C$2:$I$505,MATCH('KU UtilityData'!N$1,'KU Inputs'!$C$1:$I$1,0),0)</f>
        <v>206821.26699999999</v>
      </c>
      <c r="O367" s="190" t="e">
        <f>VLOOKUP($A367&amp;$B367,'KU Inputs'!$C$2:$I$505,MATCH('KU UtilityData'!O$1,'KU Inputs'!$C$1:$I$1,0),0)</f>
        <v>#N/A</v>
      </c>
      <c r="P367" s="264">
        <f t="shared" si="27"/>
        <v>49</v>
      </c>
      <c r="Q367" s="264">
        <f t="shared" si="27"/>
        <v>171</v>
      </c>
      <c r="R367" s="166">
        <v>4512</v>
      </c>
      <c r="S367" s="166">
        <v>1455</v>
      </c>
      <c r="T367" s="182">
        <f t="shared" si="25"/>
        <v>0</v>
      </c>
    </row>
    <row r="368" spans="1:20" x14ac:dyDescent="0.2">
      <c r="A368" s="153">
        <v>2031</v>
      </c>
      <c r="B368" s="153">
        <v>7</v>
      </c>
      <c r="D368" s="281">
        <f t="shared" si="23"/>
        <v>14.076364983369858</v>
      </c>
      <c r="E368" s="279">
        <f t="shared" si="24"/>
        <v>13.935601333536159</v>
      </c>
      <c r="F368" s="173"/>
      <c r="G368" s="173">
        <v>30.67</v>
      </c>
      <c r="H368" s="154">
        <v>4163.2369388444095</v>
      </c>
      <c r="I368" s="190">
        <f>VLOOKUP($A368&amp;$B368,'KU Inputs'!$C$2:$I$505,MATCH('KU UtilityData'!I$1,'KU Inputs'!$C$1:$I$1,0),0)*1000</f>
        <v>5003686</v>
      </c>
      <c r="J368" s="190">
        <f>VLOOKUP($A368&amp;$B368,'KU Inputs'!$C$2:$I$505,MATCH('KU UtilityData'!J$1,'KU Inputs'!$C$1:$I$1,0),0)*1000</f>
        <v>1999290</v>
      </c>
      <c r="K368" s="265">
        <v>496306.33172732388</v>
      </c>
      <c r="L368" s="248">
        <v>479889.48</v>
      </c>
      <c r="M368" s="164">
        <v>132868.87791789073</v>
      </c>
      <c r="N368" s="190">
        <f>VLOOKUP($A368&amp;$B368,'KU Inputs'!$C$2:$I$505,MATCH('KU UtilityData'!N$1,'KU Inputs'!$C$1:$I$1,0),0)</f>
        <v>207691.48499999999</v>
      </c>
      <c r="O368" s="190" t="e">
        <f>VLOOKUP($A368&amp;$B368,'KU Inputs'!$C$2:$I$505,MATCH('KU UtilityData'!O$1,'KU Inputs'!$C$1:$I$1,0),0)</f>
        <v>#N/A</v>
      </c>
      <c r="P368" s="264">
        <f t="shared" si="27"/>
        <v>1</v>
      </c>
      <c r="Q368" s="264">
        <f t="shared" si="27"/>
        <v>325</v>
      </c>
      <c r="R368" s="166">
        <v>4512</v>
      </c>
      <c r="S368" s="166">
        <v>1455</v>
      </c>
      <c r="T368" s="182">
        <f t="shared" si="25"/>
        <v>0</v>
      </c>
    </row>
    <row r="369" spans="1:20" x14ac:dyDescent="0.2">
      <c r="A369" s="153">
        <v>2031</v>
      </c>
      <c r="B369" s="153">
        <v>8</v>
      </c>
      <c r="D369" s="281">
        <f t="shared" si="23"/>
        <v>14.076364983369858</v>
      </c>
      <c r="E369" s="279">
        <f t="shared" si="24"/>
        <v>13.935601333536159</v>
      </c>
      <c r="F369" s="173"/>
      <c r="G369" s="173">
        <v>29.48</v>
      </c>
      <c r="H369" s="154">
        <v>4165.1121223707296</v>
      </c>
      <c r="I369" s="190">
        <f>VLOOKUP($A369&amp;$B369,'KU Inputs'!$C$2:$I$505,MATCH('KU UtilityData'!I$1,'KU Inputs'!$C$1:$I$1,0),0)*1000</f>
        <v>5003686</v>
      </c>
      <c r="J369" s="190">
        <f>VLOOKUP($A369&amp;$B369,'KU Inputs'!$C$2:$I$505,MATCH('KU UtilityData'!J$1,'KU Inputs'!$C$1:$I$1,0),0)*1000</f>
        <v>1999290</v>
      </c>
      <c r="K369" s="265">
        <v>496637.20261514204</v>
      </c>
      <c r="L369" s="248">
        <v>479889.48</v>
      </c>
      <c r="M369" s="164">
        <v>132868.87791789073</v>
      </c>
      <c r="N369" s="190">
        <f>VLOOKUP($A369&amp;$B369,'KU Inputs'!$C$2:$I$505,MATCH('KU UtilityData'!N$1,'KU Inputs'!$C$1:$I$1,0),0)</f>
        <v>207691.48499999999</v>
      </c>
      <c r="O369" s="190" t="e">
        <f>VLOOKUP($A369&amp;$B369,'KU Inputs'!$C$2:$I$505,MATCH('KU UtilityData'!O$1,'KU Inputs'!$C$1:$I$1,0),0)</f>
        <v>#N/A</v>
      </c>
      <c r="P369" s="264">
        <f t="shared" si="27"/>
        <v>0</v>
      </c>
      <c r="Q369" s="264">
        <f t="shared" si="27"/>
        <v>341</v>
      </c>
      <c r="R369" s="166">
        <v>4512</v>
      </c>
      <c r="S369" s="166">
        <v>1455</v>
      </c>
      <c r="T369" s="182">
        <f t="shared" si="25"/>
        <v>0</v>
      </c>
    </row>
    <row r="370" spans="1:20" x14ac:dyDescent="0.2">
      <c r="A370" s="153">
        <v>2031</v>
      </c>
      <c r="B370" s="153">
        <v>9</v>
      </c>
      <c r="D370" s="281">
        <f t="shared" si="23"/>
        <v>14.076364983369858</v>
      </c>
      <c r="E370" s="279">
        <f t="shared" si="24"/>
        <v>13.935601333536159</v>
      </c>
      <c r="F370" s="173"/>
      <c r="G370" s="173">
        <v>30.86</v>
      </c>
      <c r="H370" s="154">
        <v>4166.9873058970497</v>
      </c>
      <c r="I370" s="190">
        <f>VLOOKUP($A370&amp;$B370,'KU Inputs'!$C$2:$I$505,MATCH('KU UtilityData'!I$1,'KU Inputs'!$C$1:$I$1,0),0)*1000</f>
        <v>5003686</v>
      </c>
      <c r="J370" s="190">
        <f>VLOOKUP($A370&amp;$B370,'KU Inputs'!$C$2:$I$505,MATCH('KU UtilityData'!J$1,'KU Inputs'!$C$1:$I$1,0),0)*1000</f>
        <v>1999290</v>
      </c>
      <c r="K370" s="265">
        <v>496968.29408355209</v>
      </c>
      <c r="L370" s="248">
        <v>479889.48</v>
      </c>
      <c r="M370" s="164">
        <v>132868.87791789073</v>
      </c>
      <c r="N370" s="190">
        <f>VLOOKUP($A370&amp;$B370,'KU Inputs'!$C$2:$I$505,MATCH('KU UtilityData'!N$1,'KU Inputs'!$C$1:$I$1,0),0)</f>
        <v>207691.48499999999</v>
      </c>
      <c r="O370" s="190" t="e">
        <f>VLOOKUP($A370&amp;$B370,'KU Inputs'!$C$2:$I$505,MATCH('KU UtilityData'!O$1,'KU Inputs'!$C$1:$I$1,0),0)</f>
        <v>#N/A</v>
      </c>
      <c r="P370" s="264">
        <f t="shared" si="27"/>
        <v>12</v>
      </c>
      <c r="Q370" s="264">
        <f t="shared" si="27"/>
        <v>261</v>
      </c>
      <c r="R370" s="166">
        <v>4512</v>
      </c>
      <c r="S370" s="166">
        <v>1455</v>
      </c>
      <c r="T370" s="182">
        <f t="shared" si="25"/>
        <v>0</v>
      </c>
    </row>
    <row r="371" spans="1:20" x14ac:dyDescent="0.2">
      <c r="A371" s="153">
        <v>2031</v>
      </c>
      <c r="B371" s="153">
        <v>10</v>
      </c>
      <c r="D371" s="281">
        <f t="shared" si="23"/>
        <v>14.076364983369858</v>
      </c>
      <c r="E371" s="279">
        <f t="shared" si="24"/>
        <v>13.935601333536159</v>
      </c>
      <c r="F371" s="173"/>
      <c r="G371" s="173">
        <v>29.38</v>
      </c>
      <c r="H371" s="154">
        <v>4168.8624894233699</v>
      </c>
      <c r="I371" s="190">
        <f>VLOOKUP($A371&amp;$B371,'KU Inputs'!$C$2:$I$505,MATCH('KU UtilityData'!I$1,'KU Inputs'!$C$1:$I$1,0),0)*1000</f>
        <v>5010833</v>
      </c>
      <c r="J371" s="190">
        <f>VLOOKUP($A371&amp;$B371,'KU Inputs'!$C$2:$I$505,MATCH('KU UtilityData'!J$1,'KU Inputs'!$C$1:$I$1,0),0)*1000</f>
        <v>2002689</v>
      </c>
      <c r="K371" s="265">
        <v>497299.60627960775</v>
      </c>
      <c r="L371" s="248">
        <v>480632.76</v>
      </c>
      <c r="M371" s="164">
        <v>133372.17561140779</v>
      </c>
      <c r="N371" s="190">
        <f>VLOOKUP($A371&amp;$B371,'KU Inputs'!$C$2:$I$505,MATCH('KU UtilityData'!N$1,'KU Inputs'!$C$1:$I$1,0),0)</f>
        <v>208506.54</v>
      </c>
      <c r="O371" s="190" t="e">
        <f>VLOOKUP($A371&amp;$B371,'KU Inputs'!$C$2:$I$505,MATCH('KU UtilityData'!O$1,'KU Inputs'!$C$1:$I$1,0),0)</f>
        <v>#N/A</v>
      </c>
      <c r="P371" s="264">
        <f t="shared" si="27"/>
        <v>136</v>
      </c>
      <c r="Q371" s="264">
        <f t="shared" si="27"/>
        <v>73</v>
      </c>
      <c r="R371" s="166">
        <v>4512</v>
      </c>
      <c r="S371" s="166">
        <v>1455</v>
      </c>
      <c r="T371" s="182">
        <f t="shared" si="25"/>
        <v>0</v>
      </c>
    </row>
    <row r="372" spans="1:20" x14ac:dyDescent="0.2">
      <c r="A372" s="153">
        <v>2031</v>
      </c>
      <c r="B372" s="153">
        <v>11</v>
      </c>
      <c r="D372" s="281">
        <f t="shared" si="23"/>
        <v>14.076364983369858</v>
      </c>
      <c r="E372" s="279">
        <f t="shared" si="24"/>
        <v>13.935601333536159</v>
      </c>
      <c r="F372" s="173"/>
      <c r="G372" s="173">
        <v>29.57</v>
      </c>
      <c r="H372" s="154">
        <v>4170.7376729496891</v>
      </c>
      <c r="I372" s="190">
        <f>VLOOKUP($A372&amp;$B372,'KU Inputs'!$C$2:$I$505,MATCH('KU UtilityData'!I$1,'KU Inputs'!$C$1:$I$1,0),0)*1000</f>
        <v>5010833</v>
      </c>
      <c r="J372" s="190">
        <f>VLOOKUP($A372&amp;$B372,'KU Inputs'!$C$2:$I$505,MATCH('KU UtilityData'!J$1,'KU Inputs'!$C$1:$I$1,0),0)*1000</f>
        <v>2002689</v>
      </c>
      <c r="K372" s="265">
        <v>497631.13935046078</v>
      </c>
      <c r="L372" s="248">
        <v>480632.76</v>
      </c>
      <c r="M372" s="164">
        <v>133372.17561140779</v>
      </c>
      <c r="N372" s="190">
        <f>VLOOKUP($A372&amp;$B372,'KU Inputs'!$C$2:$I$505,MATCH('KU UtilityData'!N$1,'KU Inputs'!$C$1:$I$1,0),0)</f>
        <v>208506.54</v>
      </c>
      <c r="O372" s="190" t="e">
        <f>VLOOKUP($A372&amp;$B372,'KU Inputs'!$C$2:$I$505,MATCH('KU UtilityData'!O$1,'KU Inputs'!$C$1:$I$1,0),0)</f>
        <v>#N/A</v>
      </c>
      <c r="P372" s="264">
        <f t="shared" si="27"/>
        <v>394</v>
      </c>
      <c r="Q372" s="264">
        <f t="shared" si="27"/>
        <v>7</v>
      </c>
      <c r="R372" s="166">
        <v>4512</v>
      </c>
      <c r="S372" s="166">
        <v>1455</v>
      </c>
      <c r="T372" s="182">
        <f t="shared" si="25"/>
        <v>0</v>
      </c>
    </row>
    <row r="373" spans="1:20" x14ac:dyDescent="0.2">
      <c r="A373" s="153">
        <v>2031</v>
      </c>
      <c r="B373" s="153">
        <v>12</v>
      </c>
      <c r="D373" s="281">
        <f t="shared" si="23"/>
        <v>14.076364983369858</v>
      </c>
      <c r="E373" s="279">
        <f t="shared" si="24"/>
        <v>13.935601333536159</v>
      </c>
      <c r="F373" s="173"/>
      <c r="G373" s="173">
        <v>31.81</v>
      </c>
      <c r="H373" s="154">
        <v>4172.6128564760093</v>
      </c>
      <c r="I373" s="190">
        <f>VLOOKUP($A373&amp;$B373,'KU Inputs'!$C$2:$I$505,MATCH('KU UtilityData'!I$1,'KU Inputs'!$C$1:$I$1,0),0)*1000</f>
        <v>5010833</v>
      </c>
      <c r="J373" s="190">
        <f>VLOOKUP($A373&amp;$B373,'KU Inputs'!$C$2:$I$505,MATCH('KU UtilityData'!J$1,'KU Inputs'!$C$1:$I$1,0),0)*1000</f>
        <v>2002689</v>
      </c>
      <c r="K373" s="265">
        <v>497962.89344336104</v>
      </c>
      <c r="L373" s="248">
        <v>480632.76</v>
      </c>
      <c r="M373" s="164">
        <v>133372.17561140779</v>
      </c>
      <c r="N373" s="190">
        <f>VLOOKUP($A373&amp;$B373,'KU Inputs'!$C$2:$I$505,MATCH('KU UtilityData'!N$1,'KU Inputs'!$C$1:$I$1,0),0)</f>
        <v>208506.54</v>
      </c>
      <c r="O373" s="190" t="e">
        <f>VLOOKUP($A373&amp;$B373,'KU Inputs'!$C$2:$I$505,MATCH('KU UtilityData'!O$1,'KU Inputs'!$C$1:$I$1,0),0)</f>
        <v>#N/A</v>
      </c>
      <c r="P373" s="264">
        <f t="shared" si="27"/>
        <v>706</v>
      </c>
      <c r="Q373" s="264">
        <f t="shared" si="27"/>
        <v>0.2</v>
      </c>
      <c r="R373" s="166">
        <v>4512</v>
      </c>
      <c r="S373" s="166">
        <v>1455</v>
      </c>
      <c r="T373" s="182">
        <f t="shared" si="25"/>
        <v>0</v>
      </c>
    </row>
    <row r="374" spans="1:20" x14ac:dyDescent="0.2">
      <c r="A374" s="153">
        <v>2032</v>
      </c>
      <c r="B374" s="153">
        <v>1</v>
      </c>
      <c r="D374" s="281">
        <f t="shared" si="23"/>
        <v>14.357892283037256</v>
      </c>
      <c r="E374" s="279">
        <f t="shared" si="24"/>
        <v>14.214313360206884</v>
      </c>
      <c r="F374" s="173"/>
      <c r="G374" s="173">
        <v>32.380000000000003</v>
      </c>
      <c r="H374" s="154">
        <v>4174.4880400023294</v>
      </c>
      <c r="I374" s="190">
        <f>VLOOKUP($A374&amp;$B374,'KU Inputs'!$C$2:$I$505,MATCH('KU UtilityData'!I$1,'KU Inputs'!$C$1:$I$1,0),0)*1000</f>
        <v>5017950</v>
      </c>
      <c r="J374" s="190">
        <f>VLOOKUP($A374&amp;$B374,'KU Inputs'!$C$2:$I$505,MATCH('KU UtilityData'!J$1,'KU Inputs'!$C$1:$I$1,0),0)*1000</f>
        <v>2006070</v>
      </c>
      <c r="K374" s="265">
        <v>498294.86870565655</v>
      </c>
      <c r="L374" s="248">
        <v>481372.11</v>
      </c>
      <c r="M374" s="164">
        <v>134301.39467163541</v>
      </c>
      <c r="N374" s="190">
        <f>VLOOKUP($A374&amp;$B374,'KU Inputs'!$C$2:$I$505,MATCH('KU UtilityData'!N$1,'KU Inputs'!$C$1:$I$1,0),0)</f>
        <v>210181.51699999999</v>
      </c>
      <c r="O374" s="190" t="e">
        <f>VLOOKUP($A374&amp;$B374,'KU Inputs'!$C$2:$I$505,MATCH('KU UtilityData'!O$1,'KU Inputs'!$C$1:$I$1,0),0)</f>
        <v>#N/A</v>
      </c>
      <c r="P374" s="264">
        <f t="shared" si="27"/>
        <v>996</v>
      </c>
      <c r="Q374" s="264">
        <f t="shared" si="27"/>
        <v>0</v>
      </c>
      <c r="R374" s="166">
        <v>4512</v>
      </c>
      <c r="S374" s="166">
        <v>1455</v>
      </c>
      <c r="T374" s="182">
        <f t="shared" si="25"/>
        <v>0</v>
      </c>
    </row>
    <row r="375" spans="1:20" x14ac:dyDescent="0.2">
      <c r="A375" s="153">
        <v>2032</v>
      </c>
      <c r="B375" s="153">
        <v>2</v>
      </c>
      <c r="D375" s="281">
        <f t="shared" si="23"/>
        <v>14.357892283037256</v>
      </c>
      <c r="E375" s="279">
        <f t="shared" si="24"/>
        <v>14.214313360206884</v>
      </c>
      <c r="F375" s="173"/>
      <c r="G375" s="173">
        <v>30.19</v>
      </c>
      <c r="H375" s="154">
        <v>4176.3632235286495</v>
      </c>
      <c r="I375" s="190">
        <f>VLOOKUP($A375&amp;$B375,'KU Inputs'!$C$2:$I$505,MATCH('KU UtilityData'!I$1,'KU Inputs'!$C$1:$I$1,0),0)*1000</f>
        <v>5017950</v>
      </c>
      <c r="J375" s="190">
        <f>VLOOKUP($A375&amp;$B375,'KU Inputs'!$C$2:$I$505,MATCH('KU UtilityData'!J$1,'KU Inputs'!$C$1:$I$1,0),0)*1000</f>
        <v>2006070</v>
      </c>
      <c r="K375" s="265">
        <v>498627.06528479361</v>
      </c>
      <c r="L375" s="248">
        <v>481372.11</v>
      </c>
      <c r="M375" s="164">
        <v>134301.39467163541</v>
      </c>
      <c r="N375" s="190">
        <f>VLOOKUP($A375&amp;$B375,'KU Inputs'!$C$2:$I$505,MATCH('KU UtilityData'!N$1,'KU Inputs'!$C$1:$I$1,0),0)</f>
        <v>210181.51699999999</v>
      </c>
      <c r="O375" s="190" t="e">
        <f>VLOOKUP($A375&amp;$B375,'KU Inputs'!$C$2:$I$505,MATCH('KU UtilityData'!O$1,'KU Inputs'!$C$1:$I$1,0),0)</f>
        <v>#N/A</v>
      </c>
      <c r="P375" s="264">
        <f t="shared" si="27"/>
        <v>889.8</v>
      </c>
      <c r="Q375" s="264">
        <f t="shared" si="27"/>
        <v>0</v>
      </c>
      <c r="R375" s="166">
        <v>4512</v>
      </c>
      <c r="S375" s="166">
        <v>1455</v>
      </c>
      <c r="T375" s="182">
        <f t="shared" si="25"/>
        <v>0</v>
      </c>
    </row>
    <row r="376" spans="1:20" x14ac:dyDescent="0.2">
      <c r="A376" s="153">
        <v>2032</v>
      </c>
      <c r="B376" s="153">
        <v>3</v>
      </c>
      <c r="D376" s="281">
        <f t="shared" si="23"/>
        <v>14.357892283037256</v>
      </c>
      <c r="E376" s="279">
        <f t="shared" si="24"/>
        <v>14.214313360206884</v>
      </c>
      <c r="F376" s="173"/>
      <c r="G376" s="173">
        <v>30.33</v>
      </c>
      <c r="H376" s="154">
        <v>4178.2384070549688</v>
      </c>
      <c r="I376" s="190">
        <f>VLOOKUP($A376&amp;$B376,'KU Inputs'!$C$2:$I$505,MATCH('KU UtilityData'!I$1,'KU Inputs'!$C$1:$I$1,0),0)*1000</f>
        <v>5017950</v>
      </c>
      <c r="J376" s="190">
        <f>VLOOKUP($A376&amp;$B376,'KU Inputs'!$C$2:$I$505,MATCH('KU UtilityData'!J$1,'KU Inputs'!$C$1:$I$1,0),0)*1000</f>
        <v>2006070</v>
      </c>
      <c r="K376" s="265">
        <v>498959.48332831677</v>
      </c>
      <c r="L376" s="248">
        <v>481372.11</v>
      </c>
      <c r="M376" s="164">
        <v>134301.39467163541</v>
      </c>
      <c r="N376" s="190">
        <f>VLOOKUP($A376&amp;$B376,'KU Inputs'!$C$2:$I$505,MATCH('KU UtilityData'!N$1,'KU Inputs'!$C$1:$I$1,0),0)</f>
        <v>210181.51699999999</v>
      </c>
      <c r="O376" s="190" t="e">
        <f>VLOOKUP($A376&amp;$B376,'KU Inputs'!$C$2:$I$505,MATCH('KU UtilityData'!O$1,'KU Inputs'!$C$1:$I$1,0),0)</f>
        <v>#N/A</v>
      </c>
      <c r="P376" s="264">
        <f t="shared" si="27"/>
        <v>729</v>
      </c>
      <c r="Q376" s="264">
        <f t="shared" si="27"/>
        <v>0.45</v>
      </c>
      <c r="R376" s="166">
        <v>4512</v>
      </c>
      <c r="S376" s="166">
        <v>1455</v>
      </c>
      <c r="T376" s="182">
        <f t="shared" si="25"/>
        <v>0</v>
      </c>
    </row>
    <row r="377" spans="1:20" x14ac:dyDescent="0.2">
      <c r="A377" s="153">
        <v>2032</v>
      </c>
      <c r="B377" s="153">
        <v>4</v>
      </c>
      <c r="D377" s="281">
        <f t="shared" si="23"/>
        <v>14.357892283037256</v>
      </c>
      <c r="E377" s="279">
        <f t="shared" si="24"/>
        <v>14.214313360206884</v>
      </c>
      <c r="F377" s="173"/>
      <c r="G377" s="173">
        <v>30.48</v>
      </c>
      <c r="H377" s="154">
        <v>4180.1135905812889</v>
      </c>
      <c r="I377" s="190">
        <f>VLOOKUP($A377&amp;$B377,'KU Inputs'!$C$2:$I$505,MATCH('KU UtilityData'!I$1,'KU Inputs'!$C$1:$I$1,0),0)*1000</f>
        <v>5025037</v>
      </c>
      <c r="J377" s="190">
        <f>VLOOKUP($A377&amp;$B377,'KU Inputs'!$C$2:$I$505,MATCH('KU UtilityData'!J$1,'KU Inputs'!$C$1:$I$1,0),0)*1000</f>
        <v>2009497</v>
      </c>
      <c r="K377" s="265">
        <v>499292.12298386893</v>
      </c>
      <c r="L377" s="248">
        <v>482121.51</v>
      </c>
      <c r="M377" s="164">
        <v>134839.33113172121</v>
      </c>
      <c r="N377" s="190">
        <f>VLOOKUP($A377&amp;$B377,'KU Inputs'!$C$2:$I$505,MATCH('KU UtilityData'!N$1,'KU Inputs'!$C$1:$I$1,0),0)</f>
        <v>211132.98300000001</v>
      </c>
      <c r="O377" s="190" t="e">
        <f>VLOOKUP($A377&amp;$B377,'KU Inputs'!$C$2:$I$505,MATCH('KU UtilityData'!O$1,'KU Inputs'!$C$1:$I$1,0),0)</f>
        <v>#N/A</v>
      </c>
      <c r="P377" s="264">
        <f t="shared" si="27"/>
        <v>440</v>
      </c>
      <c r="Q377" s="264">
        <f t="shared" si="27"/>
        <v>11.85</v>
      </c>
      <c r="R377" s="166">
        <v>4512</v>
      </c>
      <c r="S377" s="166">
        <v>1455</v>
      </c>
      <c r="T377" s="182">
        <f t="shared" si="25"/>
        <v>0</v>
      </c>
    </row>
    <row r="378" spans="1:20" x14ac:dyDescent="0.2">
      <c r="A378" s="153">
        <v>2032</v>
      </c>
      <c r="B378" s="153">
        <v>5</v>
      </c>
      <c r="D378" s="281">
        <f t="shared" si="23"/>
        <v>14.357892283037256</v>
      </c>
      <c r="E378" s="279">
        <f t="shared" si="24"/>
        <v>14.214313360206884</v>
      </c>
      <c r="F378" s="173"/>
      <c r="G378" s="173">
        <v>29.52</v>
      </c>
      <c r="H378" s="154">
        <v>4181.9887741076091</v>
      </c>
      <c r="I378" s="190">
        <f>VLOOKUP($A378&amp;$B378,'KU Inputs'!$C$2:$I$505,MATCH('KU UtilityData'!I$1,'KU Inputs'!$C$1:$I$1,0),0)*1000</f>
        <v>5025037</v>
      </c>
      <c r="J378" s="190">
        <f>VLOOKUP($A378&amp;$B378,'KU Inputs'!$C$2:$I$505,MATCH('KU UtilityData'!J$1,'KU Inputs'!$C$1:$I$1,0),0)*1000</f>
        <v>2009497</v>
      </c>
      <c r="K378" s="265">
        <v>499624.98439919145</v>
      </c>
      <c r="L378" s="248">
        <v>482121.51</v>
      </c>
      <c r="M378" s="164">
        <v>134839.33113172121</v>
      </c>
      <c r="N378" s="190">
        <f>VLOOKUP($A378&amp;$B378,'KU Inputs'!$C$2:$I$505,MATCH('KU UtilityData'!N$1,'KU Inputs'!$C$1:$I$1,0),0)</f>
        <v>211132.98300000001</v>
      </c>
      <c r="O378" s="190" t="e">
        <f>VLOOKUP($A378&amp;$B378,'KU Inputs'!$C$2:$I$505,MATCH('KU UtilityData'!O$1,'KU Inputs'!$C$1:$I$1,0),0)</f>
        <v>#N/A</v>
      </c>
      <c r="P378" s="264">
        <f t="shared" ref="P378:Q397" si="28">P366</f>
        <v>187</v>
      </c>
      <c r="Q378" s="264">
        <f t="shared" si="28"/>
        <v>47</v>
      </c>
      <c r="R378" s="166">
        <v>4512</v>
      </c>
      <c r="S378" s="166">
        <v>1455</v>
      </c>
      <c r="T378" s="182">
        <f t="shared" si="25"/>
        <v>0</v>
      </c>
    </row>
    <row r="379" spans="1:20" x14ac:dyDescent="0.2">
      <c r="A379" s="153">
        <v>2032</v>
      </c>
      <c r="B379" s="153">
        <v>6</v>
      </c>
      <c r="D379" s="281">
        <f t="shared" si="23"/>
        <v>14.357892283037256</v>
      </c>
      <c r="E379" s="279">
        <f t="shared" si="24"/>
        <v>14.214313360206884</v>
      </c>
      <c r="F379" s="173"/>
      <c r="G379" s="173">
        <v>30.71</v>
      </c>
      <c r="H379" s="154">
        <v>4183.8639576339301</v>
      </c>
      <c r="I379" s="190">
        <f>VLOOKUP($A379&amp;$B379,'KU Inputs'!$C$2:$I$505,MATCH('KU UtilityData'!I$1,'KU Inputs'!$C$1:$I$1,0),0)*1000</f>
        <v>5025037</v>
      </c>
      <c r="J379" s="190">
        <f>VLOOKUP($A379&amp;$B379,'KU Inputs'!$C$2:$I$505,MATCH('KU UtilityData'!J$1,'KU Inputs'!$C$1:$I$1,0),0)*1000</f>
        <v>2009497</v>
      </c>
      <c r="K379" s="265">
        <v>499958.06772212422</v>
      </c>
      <c r="L379" s="248">
        <v>482121.51</v>
      </c>
      <c r="M379" s="164">
        <v>134839.33113172121</v>
      </c>
      <c r="N379" s="190">
        <f>VLOOKUP($A379&amp;$B379,'KU Inputs'!$C$2:$I$505,MATCH('KU UtilityData'!N$1,'KU Inputs'!$C$1:$I$1,0),0)</f>
        <v>211132.98300000001</v>
      </c>
      <c r="O379" s="190" t="e">
        <f>VLOOKUP($A379&amp;$B379,'KU Inputs'!$C$2:$I$505,MATCH('KU UtilityData'!O$1,'KU Inputs'!$C$1:$I$1,0),0)</f>
        <v>#N/A</v>
      </c>
      <c r="P379" s="264">
        <f t="shared" si="28"/>
        <v>49</v>
      </c>
      <c r="Q379" s="264">
        <f t="shared" si="28"/>
        <v>171</v>
      </c>
      <c r="R379" s="166">
        <v>4512</v>
      </c>
      <c r="S379" s="166">
        <v>1455</v>
      </c>
      <c r="T379" s="182">
        <f t="shared" si="25"/>
        <v>0</v>
      </c>
    </row>
    <row r="380" spans="1:20" x14ac:dyDescent="0.2">
      <c r="A380" s="153">
        <v>2032</v>
      </c>
      <c r="B380" s="153">
        <v>7</v>
      </c>
      <c r="D380" s="281">
        <f t="shared" si="23"/>
        <v>14.357892283037256</v>
      </c>
      <c r="E380" s="279">
        <f t="shared" si="24"/>
        <v>14.214313360206884</v>
      </c>
      <c r="F380" s="173"/>
      <c r="G380" s="173">
        <v>30.57</v>
      </c>
      <c r="H380" s="154">
        <v>4185.6933372695257</v>
      </c>
      <c r="I380" s="190">
        <f>VLOOKUP($A380&amp;$B380,'KU Inputs'!$C$2:$I$505,MATCH('KU UtilityData'!I$1,'KU Inputs'!$C$1:$I$1,0),0)*1000</f>
        <v>5032096</v>
      </c>
      <c r="J380" s="190">
        <f>VLOOKUP($A380&amp;$B380,'KU Inputs'!$C$2:$I$505,MATCH('KU UtilityData'!J$1,'KU Inputs'!$C$1:$I$1,0),0)*1000</f>
        <v>2014751</v>
      </c>
      <c r="K380" s="265">
        <v>500291.37310060562</v>
      </c>
      <c r="L380" s="248">
        <v>483270.44</v>
      </c>
      <c r="M380" s="164">
        <v>135321.35743320332</v>
      </c>
      <c r="N380" s="190">
        <f>VLOOKUP($A380&amp;$B380,'KU Inputs'!$C$2:$I$505,MATCH('KU UtilityData'!N$1,'KU Inputs'!$C$1:$I$1,0),0)</f>
        <v>211990.587</v>
      </c>
      <c r="O380" s="190" t="e">
        <f>VLOOKUP($A380&amp;$B380,'KU Inputs'!$C$2:$I$505,MATCH('KU UtilityData'!O$1,'KU Inputs'!$C$1:$I$1,0),0)</f>
        <v>#N/A</v>
      </c>
      <c r="P380" s="264">
        <f t="shared" si="28"/>
        <v>1</v>
      </c>
      <c r="Q380" s="264">
        <f t="shared" si="28"/>
        <v>325</v>
      </c>
      <c r="R380" s="166">
        <v>4512</v>
      </c>
      <c r="S380" s="166">
        <v>1455</v>
      </c>
      <c r="T380" s="182">
        <f t="shared" si="25"/>
        <v>0</v>
      </c>
    </row>
    <row r="381" spans="1:20" x14ac:dyDescent="0.2">
      <c r="A381" s="153">
        <v>2032</v>
      </c>
      <c r="B381" s="153">
        <v>8</v>
      </c>
      <c r="D381" s="281">
        <f t="shared" si="23"/>
        <v>14.357892283037256</v>
      </c>
      <c r="E381" s="279">
        <f t="shared" si="24"/>
        <v>14.214313360206884</v>
      </c>
      <c r="F381" s="173"/>
      <c r="G381" s="173">
        <v>29.67</v>
      </c>
      <c r="H381" s="154">
        <v>4187.5227169051213</v>
      </c>
      <c r="I381" s="190">
        <f>VLOOKUP($A381&amp;$B381,'KU Inputs'!$C$2:$I$505,MATCH('KU UtilityData'!I$1,'KU Inputs'!$C$1:$I$1,0),0)*1000</f>
        <v>5032096</v>
      </c>
      <c r="J381" s="190">
        <f>VLOOKUP($A381&amp;$B381,'KU Inputs'!$C$2:$I$505,MATCH('KU UtilityData'!J$1,'KU Inputs'!$C$1:$I$1,0),0)*1000</f>
        <v>2014751</v>
      </c>
      <c r="K381" s="265">
        <v>500624.90068267263</v>
      </c>
      <c r="L381" s="248">
        <v>483270.44</v>
      </c>
      <c r="M381" s="164">
        <v>135321.35743320332</v>
      </c>
      <c r="N381" s="190">
        <f>VLOOKUP($A381&amp;$B381,'KU Inputs'!$C$2:$I$505,MATCH('KU UtilityData'!N$1,'KU Inputs'!$C$1:$I$1,0),0)</f>
        <v>211990.587</v>
      </c>
      <c r="O381" s="190" t="e">
        <f>VLOOKUP($A381&amp;$B381,'KU Inputs'!$C$2:$I$505,MATCH('KU UtilityData'!O$1,'KU Inputs'!$C$1:$I$1,0),0)</f>
        <v>#N/A</v>
      </c>
      <c r="P381" s="264">
        <f t="shared" si="28"/>
        <v>0</v>
      </c>
      <c r="Q381" s="264">
        <f t="shared" si="28"/>
        <v>341</v>
      </c>
      <c r="R381" s="166">
        <v>4512</v>
      </c>
      <c r="S381" s="166">
        <v>1455</v>
      </c>
      <c r="T381" s="182">
        <f t="shared" si="25"/>
        <v>0</v>
      </c>
    </row>
    <row r="382" spans="1:20" x14ac:dyDescent="0.2">
      <c r="A382" s="153">
        <v>2032</v>
      </c>
      <c r="B382" s="153">
        <v>9</v>
      </c>
      <c r="D382" s="281">
        <f t="shared" si="23"/>
        <v>14.357892283037256</v>
      </c>
      <c r="E382" s="279">
        <f t="shared" si="24"/>
        <v>14.214313360206884</v>
      </c>
      <c r="F382" s="173"/>
      <c r="G382" s="173">
        <v>30.48</v>
      </c>
      <c r="H382" s="154">
        <v>4189.352096540717</v>
      </c>
      <c r="I382" s="190">
        <f>VLOOKUP($A382&amp;$B382,'KU Inputs'!$C$2:$I$505,MATCH('KU UtilityData'!I$1,'KU Inputs'!$C$1:$I$1,0),0)*1000</f>
        <v>5032096</v>
      </c>
      <c r="J382" s="190">
        <f>VLOOKUP($A382&amp;$B382,'KU Inputs'!$C$2:$I$505,MATCH('KU UtilityData'!J$1,'KU Inputs'!$C$1:$I$1,0),0)*1000</f>
        <v>2014751</v>
      </c>
      <c r="K382" s="265">
        <v>500958.65061646106</v>
      </c>
      <c r="L382" s="248">
        <v>483270.44</v>
      </c>
      <c r="M382" s="164">
        <v>135321.35743320332</v>
      </c>
      <c r="N382" s="190">
        <f>VLOOKUP($A382&amp;$B382,'KU Inputs'!$C$2:$I$505,MATCH('KU UtilityData'!N$1,'KU Inputs'!$C$1:$I$1,0),0)</f>
        <v>211990.587</v>
      </c>
      <c r="O382" s="190" t="e">
        <f>VLOOKUP($A382&amp;$B382,'KU Inputs'!$C$2:$I$505,MATCH('KU UtilityData'!O$1,'KU Inputs'!$C$1:$I$1,0),0)</f>
        <v>#N/A</v>
      </c>
      <c r="P382" s="264">
        <f t="shared" si="28"/>
        <v>12</v>
      </c>
      <c r="Q382" s="264">
        <f t="shared" si="28"/>
        <v>261</v>
      </c>
      <c r="R382" s="166">
        <v>4512</v>
      </c>
      <c r="S382" s="166">
        <v>1455</v>
      </c>
      <c r="T382" s="182">
        <f t="shared" si="25"/>
        <v>0</v>
      </c>
    </row>
    <row r="383" spans="1:20" x14ac:dyDescent="0.2">
      <c r="A383" s="153">
        <v>2032</v>
      </c>
      <c r="B383" s="153">
        <v>10</v>
      </c>
      <c r="D383" s="281">
        <f t="shared" si="23"/>
        <v>14.357892283037256</v>
      </c>
      <c r="E383" s="279">
        <f t="shared" si="24"/>
        <v>14.214313360206884</v>
      </c>
      <c r="F383" s="173"/>
      <c r="G383" s="173">
        <v>29.67</v>
      </c>
      <c r="H383" s="154">
        <v>4191.1814761763135</v>
      </c>
      <c r="I383" s="190">
        <f>VLOOKUP($A383&amp;$B383,'KU Inputs'!$C$2:$I$505,MATCH('KU UtilityData'!I$1,'KU Inputs'!$C$1:$I$1,0),0)*1000</f>
        <v>5039113</v>
      </c>
      <c r="J383" s="190">
        <f>VLOOKUP($A383&amp;$B383,'KU Inputs'!$C$2:$I$505,MATCH('KU UtilityData'!J$1,'KU Inputs'!$C$1:$I$1,0),0)*1000</f>
        <v>2017226</v>
      </c>
      <c r="K383" s="265">
        <v>501292.62305020535</v>
      </c>
      <c r="L383" s="248">
        <v>483811.66</v>
      </c>
      <c r="M383" s="164">
        <v>135837.0171592095</v>
      </c>
      <c r="N383" s="190">
        <f>VLOOKUP($A383&amp;$B383,'KU Inputs'!$C$2:$I$505,MATCH('KU UtilityData'!N$1,'KU Inputs'!$C$1:$I$1,0),0)</f>
        <v>212819.59099999999</v>
      </c>
      <c r="O383" s="190" t="e">
        <f>VLOOKUP($A383&amp;$B383,'KU Inputs'!$C$2:$I$505,MATCH('KU UtilityData'!O$1,'KU Inputs'!$C$1:$I$1,0),0)</f>
        <v>#N/A</v>
      </c>
      <c r="P383" s="264">
        <f t="shared" si="28"/>
        <v>136</v>
      </c>
      <c r="Q383" s="264">
        <f t="shared" si="28"/>
        <v>73</v>
      </c>
      <c r="R383" s="166">
        <v>4512</v>
      </c>
      <c r="S383" s="166">
        <v>1455</v>
      </c>
      <c r="T383" s="182">
        <f t="shared" si="25"/>
        <v>0</v>
      </c>
    </row>
    <row r="384" spans="1:20" x14ac:dyDescent="0.2">
      <c r="A384" s="153">
        <v>2032</v>
      </c>
      <c r="B384" s="153">
        <v>11</v>
      </c>
      <c r="D384" s="281">
        <f t="shared" si="23"/>
        <v>14.357892283037256</v>
      </c>
      <c r="E384" s="279">
        <f t="shared" si="24"/>
        <v>14.214313360206884</v>
      </c>
      <c r="F384" s="173"/>
      <c r="G384" s="173">
        <v>29.76</v>
      </c>
      <c r="H384" s="154">
        <v>4193.0108558119091</v>
      </c>
      <c r="I384" s="190">
        <f>VLOOKUP($A384&amp;$B384,'KU Inputs'!$C$2:$I$505,MATCH('KU UtilityData'!I$1,'KU Inputs'!$C$1:$I$1,0),0)*1000</f>
        <v>5039113</v>
      </c>
      <c r="J384" s="190">
        <f>VLOOKUP($A384&amp;$B384,'KU Inputs'!$C$2:$I$505,MATCH('KU UtilityData'!J$1,'KU Inputs'!$C$1:$I$1,0),0)*1000</f>
        <v>2017226</v>
      </c>
      <c r="K384" s="265">
        <v>501626.81813223881</v>
      </c>
      <c r="L384" s="248">
        <v>483811.66</v>
      </c>
      <c r="M384" s="164">
        <v>135837.0171592095</v>
      </c>
      <c r="N384" s="190">
        <f>VLOOKUP($A384&amp;$B384,'KU Inputs'!$C$2:$I$505,MATCH('KU UtilityData'!N$1,'KU Inputs'!$C$1:$I$1,0),0)</f>
        <v>212819.59099999999</v>
      </c>
      <c r="O384" s="190" t="e">
        <f>VLOOKUP($A384&amp;$B384,'KU Inputs'!$C$2:$I$505,MATCH('KU UtilityData'!O$1,'KU Inputs'!$C$1:$I$1,0),0)</f>
        <v>#N/A</v>
      </c>
      <c r="P384" s="264">
        <f t="shared" si="28"/>
        <v>394</v>
      </c>
      <c r="Q384" s="264">
        <f t="shared" si="28"/>
        <v>7</v>
      </c>
      <c r="R384" s="166">
        <v>4512</v>
      </c>
      <c r="S384" s="166">
        <v>1455</v>
      </c>
      <c r="T384" s="182">
        <f t="shared" si="25"/>
        <v>0</v>
      </c>
    </row>
    <row r="385" spans="1:20" x14ac:dyDescent="0.2">
      <c r="A385" s="153">
        <v>2032</v>
      </c>
      <c r="B385" s="153">
        <v>12</v>
      </c>
      <c r="D385" s="281">
        <f t="shared" si="23"/>
        <v>14.357892283037256</v>
      </c>
      <c r="E385" s="279">
        <f t="shared" si="24"/>
        <v>14.214313360206884</v>
      </c>
      <c r="F385" s="173"/>
      <c r="G385" s="173">
        <v>31.38</v>
      </c>
      <c r="H385" s="154">
        <v>4194.8402354475047</v>
      </c>
      <c r="I385" s="190">
        <f>VLOOKUP($A385&amp;$B385,'KU Inputs'!$C$2:$I$505,MATCH('KU UtilityData'!I$1,'KU Inputs'!$C$1:$I$1,0),0)*1000</f>
        <v>5039113</v>
      </c>
      <c r="J385" s="190">
        <f>VLOOKUP($A385&amp;$B385,'KU Inputs'!$C$2:$I$505,MATCH('KU UtilityData'!J$1,'KU Inputs'!$C$1:$I$1,0),0)*1000</f>
        <v>2017226</v>
      </c>
      <c r="K385" s="265">
        <v>501961.2360109936</v>
      </c>
      <c r="L385" s="248">
        <v>483811.66</v>
      </c>
      <c r="M385" s="164">
        <v>135837.0171592095</v>
      </c>
      <c r="N385" s="190">
        <f>VLOOKUP($A385&amp;$B385,'KU Inputs'!$C$2:$I$505,MATCH('KU UtilityData'!N$1,'KU Inputs'!$C$1:$I$1,0),0)</f>
        <v>212819.59099999999</v>
      </c>
      <c r="O385" s="190" t="e">
        <f>VLOOKUP($A385&amp;$B385,'KU Inputs'!$C$2:$I$505,MATCH('KU UtilityData'!O$1,'KU Inputs'!$C$1:$I$1,0),0)</f>
        <v>#N/A</v>
      </c>
      <c r="P385" s="264">
        <f t="shared" si="28"/>
        <v>706</v>
      </c>
      <c r="Q385" s="264">
        <f t="shared" si="28"/>
        <v>0.2</v>
      </c>
      <c r="R385" s="166">
        <v>4512</v>
      </c>
      <c r="S385" s="166">
        <v>1455</v>
      </c>
      <c r="T385" s="182">
        <f t="shared" si="25"/>
        <v>0</v>
      </c>
    </row>
    <row r="386" spans="1:20" x14ac:dyDescent="0.2">
      <c r="A386" s="153">
        <v>2033</v>
      </c>
      <c r="B386" s="153">
        <v>1</v>
      </c>
      <c r="D386" s="281">
        <f t="shared" si="23"/>
        <v>14.645050128698001</v>
      </c>
      <c r="E386" s="279">
        <f t="shared" si="24"/>
        <v>14.498599627411021</v>
      </c>
      <c r="F386" s="173"/>
      <c r="G386" s="173">
        <v>32.71</v>
      </c>
      <c r="H386" s="154">
        <v>4196.6696150831003</v>
      </c>
      <c r="I386" s="190">
        <f>VLOOKUP($A386&amp;$B386,'KU Inputs'!$C$2:$I$505,MATCH('KU UtilityData'!I$1,'KU Inputs'!$C$1:$I$1,0),0)*1000</f>
        <v>5046103</v>
      </c>
      <c r="J386" s="190">
        <f>VLOOKUP($A386&amp;$B386,'KU Inputs'!$C$2:$I$505,MATCH('KU UtilityData'!J$1,'KU Inputs'!$C$1:$I$1,0),0)*1000</f>
        <v>2020707</v>
      </c>
      <c r="K386" s="265">
        <v>502295.87683500088</v>
      </c>
      <c r="L386" s="248">
        <v>484572.88</v>
      </c>
      <c r="M386" s="164">
        <v>136737.79260615801</v>
      </c>
      <c r="N386" s="190">
        <f>VLOOKUP($A386&amp;$B386,'KU Inputs'!$C$2:$I$505,MATCH('KU UtilityData'!N$1,'KU Inputs'!$C$1:$I$1,0),0)</f>
        <v>214486.36799999999</v>
      </c>
      <c r="O386" s="190" t="e">
        <f>VLOOKUP($A386&amp;$B386,'KU Inputs'!$C$2:$I$505,MATCH('KU UtilityData'!O$1,'KU Inputs'!$C$1:$I$1,0),0)</f>
        <v>#N/A</v>
      </c>
      <c r="P386" s="264">
        <f t="shared" si="28"/>
        <v>996</v>
      </c>
      <c r="Q386" s="264">
        <f t="shared" si="28"/>
        <v>0</v>
      </c>
      <c r="R386" s="166">
        <v>4512</v>
      </c>
      <c r="S386" s="166">
        <v>1455</v>
      </c>
      <c r="T386" s="182">
        <f t="shared" si="25"/>
        <v>0</v>
      </c>
    </row>
    <row r="387" spans="1:20" x14ac:dyDescent="0.2">
      <c r="A387" s="153">
        <v>2033</v>
      </c>
      <c r="B387" s="153">
        <v>2</v>
      </c>
      <c r="D387" s="281">
        <f t="shared" ref="D387:D450" si="29">D375*(1+0.02)</f>
        <v>14.645050128698001</v>
      </c>
      <c r="E387" s="279">
        <f t="shared" si="24"/>
        <v>14.498599627411021</v>
      </c>
      <c r="F387" s="173"/>
      <c r="G387" s="173">
        <v>29.81</v>
      </c>
      <c r="H387" s="154">
        <v>4198.4989947186959</v>
      </c>
      <c r="I387" s="190">
        <f>VLOOKUP($A387&amp;$B387,'KU Inputs'!$C$2:$I$505,MATCH('KU UtilityData'!I$1,'KU Inputs'!$C$1:$I$1,0),0)*1000</f>
        <v>5046103</v>
      </c>
      <c r="J387" s="190">
        <f>VLOOKUP($A387&amp;$B387,'KU Inputs'!$C$2:$I$505,MATCH('KU UtilityData'!J$1,'KU Inputs'!$C$1:$I$1,0),0)*1000</f>
        <v>2020707</v>
      </c>
      <c r="K387" s="265">
        <v>502630.74075289082</v>
      </c>
      <c r="L387" s="248">
        <v>484572.88</v>
      </c>
      <c r="M387" s="164">
        <v>136737.79260615801</v>
      </c>
      <c r="N387" s="190">
        <f>VLOOKUP($A387&amp;$B387,'KU Inputs'!$C$2:$I$505,MATCH('KU UtilityData'!N$1,'KU Inputs'!$C$1:$I$1,0),0)</f>
        <v>214486.36799999999</v>
      </c>
      <c r="O387" s="190" t="e">
        <f>VLOOKUP($A387&amp;$B387,'KU Inputs'!$C$2:$I$505,MATCH('KU UtilityData'!O$1,'KU Inputs'!$C$1:$I$1,0),0)</f>
        <v>#N/A</v>
      </c>
      <c r="P387" s="264">
        <f t="shared" si="28"/>
        <v>889.8</v>
      </c>
      <c r="Q387" s="264">
        <f t="shared" si="28"/>
        <v>0</v>
      </c>
      <c r="R387" s="166">
        <v>4512</v>
      </c>
      <c r="S387" s="166">
        <v>1455</v>
      </c>
      <c r="T387" s="182">
        <f t="shared" si="25"/>
        <v>0</v>
      </c>
    </row>
    <row r="388" spans="1:20" x14ac:dyDescent="0.2">
      <c r="A388" s="153">
        <v>2033</v>
      </c>
      <c r="B388" s="153">
        <v>3</v>
      </c>
      <c r="D388" s="281">
        <f t="shared" si="29"/>
        <v>14.645050128698001</v>
      </c>
      <c r="E388" s="279">
        <f t="shared" si="24"/>
        <v>14.498599627411021</v>
      </c>
      <c r="F388" s="173"/>
      <c r="G388" s="173">
        <v>30.33</v>
      </c>
      <c r="H388" s="154">
        <v>4200.3283743542916</v>
      </c>
      <c r="I388" s="190">
        <f>VLOOKUP($A388&amp;$B388,'KU Inputs'!$C$2:$I$505,MATCH('KU UtilityData'!I$1,'KU Inputs'!$C$1:$I$1,0),0)*1000</f>
        <v>5046103</v>
      </c>
      <c r="J388" s="190">
        <f>VLOOKUP($A388&amp;$B388,'KU Inputs'!$C$2:$I$505,MATCH('KU UtilityData'!J$1,'KU Inputs'!$C$1:$I$1,0),0)*1000</f>
        <v>2020707</v>
      </c>
      <c r="K388" s="265">
        <v>502965.82791339268</v>
      </c>
      <c r="L388" s="248">
        <v>484572.88</v>
      </c>
      <c r="M388" s="164">
        <v>136737.79260615801</v>
      </c>
      <c r="N388" s="190">
        <f>VLOOKUP($A388&amp;$B388,'KU Inputs'!$C$2:$I$505,MATCH('KU UtilityData'!N$1,'KU Inputs'!$C$1:$I$1,0),0)</f>
        <v>214486.36799999999</v>
      </c>
      <c r="O388" s="190" t="e">
        <f>VLOOKUP($A388&amp;$B388,'KU Inputs'!$C$2:$I$505,MATCH('KU UtilityData'!O$1,'KU Inputs'!$C$1:$I$1,0),0)</f>
        <v>#N/A</v>
      </c>
      <c r="P388" s="264">
        <f t="shared" si="28"/>
        <v>729</v>
      </c>
      <c r="Q388" s="264">
        <f t="shared" si="28"/>
        <v>0.45</v>
      </c>
      <c r="R388" s="166">
        <v>4512</v>
      </c>
      <c r="S388" s="166">
        <v>1455</v>
      </c>
      <c r="T388" s="182">
        <f t="shared" si="25"/>
        <v>0</v>
      </c>
    </row>
    <row r="389" spans="1:20" x14ac:dyDescent="0.2">
      <c r="A389" s="153">
        <v>2033</v>
      </c>
      <c r="B389" s="153">
        <v>4</v>
      </c>
      <c r="D389" s="281">
        <f t="shared" si="29"/>
        <v>14.645050128698001</v>
      </c>
      <c r="E389" s="279">
        <f t="shared" si="24"/>
        <v>14.498599627411021</v>
      </c>
      <c r="F389" s="173"/>
      <c r="G389" s="173">
        <v>30.19</v>
      </c>
      <c r="H389" s="154">
        <v>4202.1577539898872</v>
      </c>
      <c r="I389" s="190">
        <f>VLOOKUP($A389&amp;$B389,'KU Inputs'!$C$2:$I$505,MATCH('KU UtilityData'!I$1,'KU Inputs'!$C$1:$I$1,0),0)*1000</f>
        <v>5053065</v>
      </c>
      <c r="J389" s="190">
        <f>VLOOKUP($A389&amp;$B389,'KU Inputs'!$C$2:$I$505,MATCH('KU UtilityData'!J$1,'KU Inputs'!$C$1:$I$1,0),0)*1000</f>
        <v>2024180</v>
      </c>
      <c r="K389" s="265">
        <v>503301.13846533489</v>
      </c>
      <c r="L389" s="248">
        <v>485332.34</v>
      </c>
      <c r="M389" s="164">
        <v>137210.73555267171</v>
      </c>
      <c r="N389" s="190">
        <f>VLOOKUP($A389&amp;$B389,'KU Inputs'!$C$2:$I$505,MATCH('KU UtilityData'!N$1,'KU Inputs'!$C$1:$I$1,0),0)</f>
        <v>215382.42600000001</v>
      </c>
      <c r="O389" s="190" t="e">
        <f>VLOOKUP($A389&amp;$B389,'KU Inputs'!$C$2:$I$505,MATCH('KU UtilityData'!O$1,'KU Inputs'!$C$1:$I$1,0),0)</f>
        <v>#N/A</v>
      </c>
      <c r="P389" s="264">
        <f t="shared" si="28"/>
        <v>440</v>
      </c>
      <c r="Q389" s="264">
        <f t="shared" si="28"/>
        <v>11.85</v>
      </c>
      <c r="R389" s="166">
        <v>4512</v>
      </c>
      <c r="S389" s="166">
        <v>1455</v>
      </c>
      <c r="T389" s="182">
        <f t="shared" si="25"/>
        <v>0</v>
      </c>
    </row>
    <row r="390" spans="1:20" x14ac:dyDescent="0.2">
      <c r="A390" s="153">
        <v>2033</v>
      </c>
      <c r="B390" s="153">
        <v>5</v>
      </c>
      <c r="D390" s="281">
        <f t="shared" si="29"/>
        <v>14.645050128698001</v>
      </c>
      <c r="E390" s="279">
        <f t="shared" si="24"/>
        <v>14.498599627411021</v>
      </c>
      <c r="F390" s="173"/>
      <c r="G390" s="173">
        <v>30.14</v>
      </c>
      <c r="H390" s="154">
        <v>4203.9871336254828</v>
      </c>
      <c r="I390" s="190">
        <f>VLOOKUP($A390&amp;$B390,'KU Inputs'!$C$2:$I$505,MATCH('KU UtilityData'!I$1,'KU Inputs'!$C$1:$I$1,0),0)*1000</f>
        <v>5053065</v>
      </c>
      <c r="J390" s="190">
        <f>VLOOKUP($A390&amp;$B390,'KU Inputs'!$C$2:$I$505,MATCH('KU UtilityData'!J$1,'KU Inputs'!$C$1:$I$1,0),0)*1000</f>
        <v>2024180</v>
      </c>
      <c r="K390" s="265">
        <v>503636.67255764507</v>
      </c>
      <c r="L390" s="248">
        <v>485332.34</v>
      </c>
      <c r="M390" s="164">
        <v>137210.73555267171</v>
      </c>
      <c r="N390" s="190">
        <f>VLOOKUP($A390&amp;$B390,'KU Inputs'!$C$2:$I$505,MATCH('KU UtilityData'!N$1,'KU Inputs'!$C$1:$I$1,0),0)</f>
        <v>215382.42600000001</v>
      </c>
      <c r="O390" s="190" t="e">
        <f>VLOOKUP($A390&amp;$B390,'KU Inputs'!$C$2:$I$505,MATCH('KU UtilityData'!O$1,'KU Inputs'!$C$1:$I$1,0),0)</f>
        <v>#N/A</v>
      </c>
      <c r="P390" s="264">
        <f t="shared" si="28"/>
        <v>187</v>
      </c>
      <c r="Q390" s="264">
        <f t="shared" si="28"/>
        <v>47</v>
      </c>
      <c r="R390" s="166">
        <v>4512</v>
      </c>
      <c r="S390" s="166">
        <v>1455</v>
      </c>
      <c r="T390" s="182">
        <f t="shared" si="25"/>
        <v>0</v>
      </c>
    </row>
    <row r="391" spans="1:20" x14ac:dyDescent="0.2">
      <c r="A391" s="153">
        <v>2033</v>
      </c>
      <c r="B391" s="153">
        <v>6</v>
      </c>
      <c r="D391" s="281">
        <f t="shared" si="29"/>
        <v>14.645050128698001</v>
      </c>
      <c r="E391" s="279">
        <f t="shared" ref="E391:E454" si="30">D391*0.99</f>
        <v>14.498599627411021</v>
      </c>
      <c r="F391" s="173"/>
      <c r="G391" s="173">
        <v>30.67</v>
      </c>
      <c r="H391" s="154">
        <v>4205.8165132610793</v>
      </c>
      <c r="I391" s="190">
        <f>VLOOKUP($A391&amp;$B391,'KU Inputs'!$C$2:$I$505,MATCH('KU UtilityData'!I$1,'KU Inputs'!$C$1:$I$1,0),0)*1000</f>
        <v>5053065</v>
      </c>
      <c r="J391" s="190">
        <f>VLOOKUP($A391&amp;$B391,'KU Inputs'!$C$2:$I$505,MATCH('KU UtilityData'!J$1,'KU Inputs'!$C$1:$I$1,0),0)*1000</f>
        <v>2024180</v>
      </c>
      <c r="K391" s="265">
        <v>503972.43033935013</v>
      </c>
      <c r="L391" s="248">
        <v>485332.34</v>
      </c>
      <c r="M391" s="164">
        <v>137210.73555267171</v>
      </c>
      <c r="N391" s="190">
        <f>VLOOKUP($A391&amp;$B391,'KU Inputs'!$C$2:$I$505,MATCH('KU UtilityData'!N$1,'KU Inputs'!$C$1:$I$1,0),0)</f>
        <v>215382.42600000001</v>
      </c>
      <c r="O391" s="190" t="e">
        <f>VLOOKUP($A391&amp;$B391,'KU Inputs'!$C$2:$I$505,MATCH('KU UtilityData'!O$1,'KU Inputs'!$C$1:$I$1,0),0)</f>
        <v>#N/A</v>
      </c>
      <c r="P391" s="264">
        <f t="shared" si="28"/>
        <v>49</v>
      </c>
      <c r="Q391" s="264">
        <f t="shared" si="28"/>
        <v>171</v>
      </c>
      <c r="R391" s="166">
        <v>4512</v>
      </c>
      <c r="S391" s="166">
        <v>1455</v>
      </c>
      <c r="T391" s="182">
        <f t="shared" si="25"/>
        <v>0</v>
      </c>
    </row>
    <row r="392" spans="1:20" x14ac:dyDescent="0.2">
      <c r="A392" s="153">
        <v>2033</v>
      </c>
      <c r="B392" s="153">
        <v>7</v>
      </c>
      <c r="D392" s="281">
        <f t="shared" si="29"/>
        <v>14.645050128698001</v>
      </c>
      <c r="E392" s="279">
        <f t="shared" si="30"/>
        <v>14.498599627411021</v>
      </c>
      <c r="F392" s="173"/>
      <c r="G392" s="173">
        <v>30.71</v>
      </c>
      <c r="H392" s="154">
        <v>4207.6022404008172</v>
      </c>
      <c r="I392" s="190">
        <f>VLOOKUP($A392&amp;$B392,'KU Inputs'!$C$2:$I$505,MATCH('KU UtilityData'!I$1,'KU Inputs'!$C$1:$I$1,0),0)*1000</f>
        <v>5060000</v>
      </c>
      <c r="J392" s="190">
        <f>VLOOKUP($A392&amp;$B392,'KU Inputs'!$C$2:$I$505,MATCH('KU UtilityData'!J$1,'KU Inputs'!$C$1:$I$1,0),0)*1000</f>
        <v>2027626</v>
      </c>
      <c r="K392" s="265">
        <v>504308.4119595763</v>
      </c>
      <c r="L392" s="248">
        <v>486085.9</v>
      </c>
      <c r="M392" s="164">
        <v>137734.12696285589</v>
      </c>
      <c r="N392" s="190">
        <f>VLOOKUP($A392&amp;$B392,'KU Inputs'!$C$2:$I$505,MATCH('KU UtilityData'!N$1,'KU Inputs'!$C$1:$I$1,0),0)</f>
        <v>216207.60200000001</v>
      </c>
      <c r="O392" s="190" t="e">
        <f>VLOOKUP($A392&amp;$B392,'KU Inputs'!$C$2:$I$505,MATCH('KU UtilityData'!O$1,'KU Inputs'!$C$1:$I$1,0),0)</f>
        <v>#N/A</v>
      </c>
      <c r="P392" s="264">
        <f t="shared" si="28"/>
        <v>1</v>
      </c>
      <c r="Q392" s="264">
        <f t="shared" si="28"/>
        <v>325</v>
      </c>
      <c r="R392" s="166">
        <v>4512</v>
      </c>
      <c r="S392" s="166">
        <v>1455</v>
      </c>
      <c r="T392" s="182">
        <f t="shared" si="25"/>
        <v>0</v>
      </c>
    </row>
    <row r="393" spans="1:20" x14ac:dyDescent="0.2">
      <c r="A393" s="153">
        <v>2033</v>
      </c>
      <c r="B393" s="153">
        <v>8</v>
      </c>
      <c r="D393" s="281">
        <f t="shared" si="29"/>
        <v>14.645050128698001</v>
      </c>
      <c r="E393" s="279">
        <f t="shared" si="30"/>
        <v>14.498599627411021</v>
      </c>
      <c r="F393" s="173"/>
      <c r="G393" s="173">
        <v>29.52</v>
      </c>
      <c r="H393" s="154">
        <v>4209.387967540556</v>
      </c>
      <c r="I393" s="190">
        <f>VLOOKUP($A393&amp;$B393,'KU Inputs'!$C$2:$I$505,MATCH('KU UtilityData'!I$1,'KU Inputs'!$C$1:$I$1,0),0)*1000</f>
        <v>5060000</v>
      </c>
      <c r="J393" s="190">
        <f>VLOOKUP($A393&amp;$B393,'KU Inputs'!$C$2:$I$505,MATCH('KU UtilityData'!J$1,'KU Inputs'!$C$1:$I$1,0),0)*1000</f>
        <v>2027626</v>
      </c>
      <c r="K393" s="265">
        <v>504644.61756754934</v>
      </c>
      <c r="L393" s="248">
        <v>486085.9</v>
      </c>
      <c r="M393" s="164">
        <v>137734.12696285589</v>
      </c>
      <c r="N393" s="190">
        <f>VLOOKUP($A393&amp;$B393,'KU Inputs'!$C$2:$I$505,MATCH('KU UtilityData'!N$1,'KU Inputs'!$C$1:$I$1,0),0)</f>
        <v>216207.60200000001</v>
      </c>
      <c r="O393" s="190" t="e">
        <f>VLOOKUP($A393&amp;$B393,'KU Inputs'!$C$2:$I$505,MATCH('KU UtilityData'!O$1,'KU Inputs'!$C$1:$I$1,0),0)</f>
        <v>#N/A</v>
      </c>
      <c r="P393" s="264">
        <f t="shared" si="28"/>
        <v>0</v>
      </c>
      <c r="Q393" s="264">
        <f t="shared" si="28"/>
        <v>341</v>
      </c>
      <c r="R393" s="166">
        <v>4512</v>
      </c>
      <c r="S393" s="166">
        <v>1455</v>
      </c>
      <c r="T393" s="182">
        <f t="shared" si="25"/>
        <v>0</v>
      </c>
    </row>
    <row r="394" spans="1:20" x14ac:dyDescent="0.2">
      <c r="A394" s="153">
        <v>2033</v>
      </c>
      <c r="B394" s="153">
        <v>9</v>
      </c>
      <c r="D394" s="281">
        <f t="shared" si="29"/>
        <v>14.645050128698001</v>
      </c>
      <c r="E394" s="279">
        <f t="shared" si="30"/>
        <v>14.498599627411021</v>
      </c>
      <c r="F394" s="173"/>
      <c r="G394" s="173">
        <v>30.52</v>
      </c>
      <c r="H394" s="154">
        <v>4211.1736946802939</v>
      </c>
      <c r="I394" s="190">
        <f>VLOOKUP($A394&amp;$B394,'KU Inputs'!$C$2:$I$505,MATCH('KU UtilityData'!I$1,'KU Inputs'!$C$1:$I$1,0),0)*1000</f>
        <v>5060000</v>
      </c>
      <c r="J394" s="190">
        <f>VLOOKUP($A394&amp;$B394,'KU Inputs'!$C$2:$I$505,MATCH('KU UtilityData'!J$1,'KU Inputs'!$C$1:$I$1,0),0)*1000</f>
        <v>2027626</v>
      </c>
      <c r="K394" s="265">
        <v>504981.04731259437</v>
      </c>
      <c r="L394" s="248">
        <v>486085.9</v>
      </c>
      <c r="M394" s="164">
        <v>137734.12696285589</v>
      </c>
      <c r="N394" s="190">
        <f>VLOOKUP($A394&amp;$B394,'KU Inputs'!$C$2:$I$505,MATCH('KU UtilityData'!N$1,'KU Inputs'!$C$1:$I$1,0),0)</f>
        <v>216207.60200000001</v>
      </c>
      <c r="O394" s="190" t="e">
        <f>VLOOKUP($A394&amp;$B394,'KU Inputs'!$C$2:$I$505,MATCH('KU UtilityData'!O$1,'KU Inputs'!$C$1:$I$1,0),0)</f>
        <v>#N/A</v>
      </c>
      <c r="P394" s="264">
        <f t="shared" si="28"/>
        <v>12</v>
      </c>
      <c r="Q394" s="264">
        <f t="shared" si="28"/>
        <v>261</v>
      </c>
      <c r="R394" s="166">
        <v>4512</v>
      </c>
      <c r="S394" s="166">
        <v>1455</v>
      </c>
      <c r="T394" s="182">
        <f t="shared" ref="T394:T457" si="31">C394/L394*1000</f>
        <v>0</v>
      </c>
    </row>
    <row r="395" spans="1:20" x14ac:dyDescent="0.2">
      <c r="A395" s="153">
        <v>2033</v>
      </c>
      <c r="B395" s="153">
        <v>10</v>
      </c>
      <c r="D395" s="281">
        <f t="shared" si="29"/>
        <v>14.645050128698001</v>
      </c>
      <c r="E395" s="279">
        <f t="shared" si="30"/>
        <v>14.498599627411021</v>
      </c>
      <c r="F395" s="173"/>
      <c r="G395" s="173">
        <v>29.62</v>
      </c>
      <c r="H395" s="154">
        <v>4212.9594218200327</v>
      </c>
      <c r="I395" s="190">
        <f>VLOOKUP($A395&amp;$B395,'KU Inputs'!$C$2:$I$505,MATCH('KU UtilityData'!I$1,'KU Inputs'!$C$1:$I$1,0),0)*1000</f>
        <v>5066896</v>
      </c>
      <c r="J395" s="190">
        <f>VLOOKUP($A395&amp;$B395,'KU Inputs'!$C$2:$I$505,MATCH('KU UtilityData'!J$1,'KU Inputs'!$C$1:$I$1,0),0)*1000</f>
        <v>2031118</v>
      </c>
      <c r="K395" s="265">
        <v>505317.70134413603</v>
      </c>
      <c r="L395" s="248">
        <v>486849.52</v>
      </c>
      <c r="M395" s="164">
        <v>138267.05777385479</v>
      </c>
      <c r="N395" s="190">
        <f>VLOOKUP($A395&amp;$B395,'KU Inputs'!$C$2:$I$505,MATCH('KU UtilityData'!N$1,'KU Inputs'!$C$1:$I$1,0),0)</f>
        <v>217023.29399999999</v>
      </c>
      <c r="O395" s="190" t="e">
        <f>VLOOKUP($A395&amp;$B395,'KU Inputs'!$C$2:$I$505,MATCH('KU UtilityData'!O$1,'KU Inputs'!$C$1:$I$1,0),0)</f>
        <v>#N/A</v>
      </c>
      <c r="P395" s="264">
        <f t="shared" si="28"/>
        <v>136</v>
      </c>
      <c r="Q395" s="264">
        <f t="shared" si="28"/>
        <v>73</v>
      </c>
      <c r="R395" s="166">
        <v>4512</v>
      </c>
      <c r="S395" s="166">
        <v>1455</v>
      </c>
      <c r="T395" s="182">
        <f t="shared" si="31"/>
        <v>0</v>
      </c>
    </row>
    <row r="396" spans="1:20" x14ac:dyDescent="0.2">
      <c r="A396" s="153">
        <v>2033</v>
      </c>
      <c r="B396" s="153">
        <v>11</v>
      </c>
      <c r="D396" s="281">
        <f t="shared" si="29"/>
        <v>14.645050128698001</v>
      </c>
      <c r="E396" s="279">
        <f t="shared" si="30"/>
        <v>14.498599627411021</v>
      </c>
      <c r="F396" s="173"/>
      <c r="G396" s="173">
        <v>29.95</v>
      </c>
      <c r="H396" s="154">
        <v>4214.7451489597706</v>
      </c>
      <c r="I396" s="190">
        <f>VLOOKUP($A396&amp;$B396,'KU Inputs'!$C$2:$I$505,MATCH('KU UtilityData'!I$1,'KU Inputs'!$C$1:$I$1,0),0)*1000</f>
        <v>5066896</v>
      </c>
      <c r="J396" s="190">
        <f>VLOOKUP($A396&amp;$B396,'KU Inputs'!$C$2:$I$505,MATCH('KU UtilityData'!J$1,'KU Inputs'!$C$1:$I$1,0),0)*1000</f>
        <v>2031118</v>
      </c>
      <c r="K396" s="265">
        <v>505654.57981169876</v>
      </c>
      <c r="L396" s="248">
        <v>486849.52</v>
      </c>
      <c r="M396" s="164">
        <v>138267.05777385479</v>
      </c>
      <c r="N396" s="190">
        <f>VLOOKUP($A396&amp;$B396,'KU Inputs'!$C$2:$I$505,MATCH('KU UtilityData'!N$1,'KU Inputs'!$C$1:$I$1,0),0)</f>
        <v>217023.29399999999</v>
      </c>
      <c r="O396" s="190" t="e">
        <f>VLOOKUP($A396&amp;$B396,'KU Inputs'!$C$2:$I$505,MATCH('KU UtilityData'!O$1,'KU Inputs'!$C$1:$I$1,0),0)</f>
        <v>#N/A</v>
      </c>
      <c r="P396" s="264">
        <f t="shared" si="28"/>
        <v>394</v>
      </c>
      <c r="Q396" s="264">
        <f t="shared" si="28"/>
        <v>7</v>
      </c>
      <c r="R396" s="166">
        <v>4512</v>
      </c>
      <c r="S396" s="166">
        <v>1455</v>
      </c>
      <c r="T396" s="182">
        <f t="shared" si="31"/>
        <v>0</v>
      </c>
    </row>
    <row r="397" spans="1:20" x14ac:dyDescent="0.2">
      <c r="A397" s="153">
        <v>2033</v>
      </c>
      <c r="B397" s="153">
        <v>12</v>
      </c>
      <c r="D397" s="281">
        <f t="shared" si="29"/>
        <v>14.645050128698001</v>
      </c>
      <c r="E397" s="279">
        <f t="shared" si="30"/>
        <v>14.498599627411021</v>
      </c>
      <c r="F397" s="173"/>
      <c r="G397" s="173">
        <v>32</v>
      </c>
      <c r="H397" s="154">
        <v>4216.5308760995094</v>
      </c>
      <c r="I397" s="190">
        <f>VLOOKUP($A397&amp;$B397,'KU Inputs'!$C$2:$I$505,MATCH('KU UtilityData'!I$1,'KU Inputs'!$C$1:$I$1,0),0)*1000</f>
        <v>5066896</v>
      </c>
      <c r="J397" s="190">
        <f>VLOOKUP($A397&amp;$B397,'KU Inputs'!$C$2:$I$505,MATCH('KU UtilityData'!J$1,'KU Inputs'!$C$1:$I$1,0),0)*1000</f>
        <v>2031118</v>
      </c>
      <c r="K397" s="265">
        <v>505991.6828649065</v>
      </c>
      <c r="L397" s="248">
        <v>486849.52</v>
      </c>
      <c r="M397" s="164">
        <v>138267.05777385479</v>
      </c>
      <c r="N397" s="190">
        <f>VLOOKUP($A397&amp;$B397,'KU Inputs'!$C$2:$I$505,MATCH('KU UtilityData'!N$1,'KU Inputs'!$C$1:$I$1,0),0)</f>
        <v>217023.29399999999</v>
      </c>
      <c r="O397" s="190" t="e">
        <f>VLOOKUP($A397&amp;$B397,'KU Inputs'!$C$2:$I$505,MATCH('KU UtilityData'!O$1,'KU Inputs'!$C$1:$I$1,0),0)</f>
        <v>#N/A</v>
      </c>
      <c r="P397" s="264">
        <f t="shared" si="28"/>
        <v>706</v>
      </c>
      <c r="Q397" s="264">
        <f t="shared" si="28"/>
        <v>0.2</v>
      </c>
      <c r="R397" s="166">
        <v>4512</v>
      </c>
      <c r="S397" s="166">
        <v>1455</v>
      </c>
      <c r="T397" s="182">
        <f t="shared" si="31"/>
        <v>0</v>
      </c>
    </row>
    <row r="398" spans="1:20" x14ac:dyDescent="0.2">
      <c r="A398" s="153">
        <v>2034</v>
      </c>
      <c r="B398" s="153">
        <v>1</v>
      </c>
      <c r="D398" s="281">
        <f t="shared" si="29"/>
        <v>14.937951131271962</v>
      </c>
      <c r="E398" s="279">
        <f t="shared" si="30"/>
        <v>14.788571619959242</v>
      </c>
      <c r="F398" s="173"/>
      <c r="G398" s="173">
        <v>31.9</v>
      </c>
      <c r="H398" s="154">
        <v>4218.3166032392473</v>
      </c>
      <c r="I398" s="190">
        <f>VLOOKUP($A398&amp;$B398,'KU Inputs'!$C$2:$I$505,MATCH('KU UtilityData'!I$1,'KU Inputs'!$C$1:$I$1,0),0)*1000</f>
        <v>5073765</v>
      </c>
      <c r="J398" s="190">
        <f>VLOOKUP($A398&amp;$B398,'KU Inputs'!$C$2:$I$505,MATCH('KU UtilityData'!J$1,'KU Inputs'!$C$1:$I$1,0),0)*1000</f>
        <v>2034563</v>
      </c>
      <c r="K398" s="265">
        <v>506329.01065348304</v>
      </c>
      <c r="L398" s="248">
        <v>487602.86</v>
      </c>
      <c r="M398" s="164">
        <v>139186.1450530875</v>
      </c>
      <c r="N398" s="190">
        <f>VLOOKUP($A398&amp;$B398,'KU Inputs'!$C$2:$I$505,MATCH('KU UtilityData'!N$1,'KU Inputs'!$C$1:$I$1,0),0)</f>
        <v>218712.25599999999</v>
      </c>
      <c r="O398" s="190" t="e">
        <f>VLOOKUP($A398&amp;$B398,'KU Inputs'!$C$2:$I$505,MATCH('KU UtilityData'!O$1,'KU Inputs'!$C$1:$I$1,0),0)</f>
        <v>#N/A</v>
      </c>
      <c r="P398" s="264">
        <f t="shared" ref="P398:Q417" si="32">P386</f>
        <v>996</v>
      </c>
      <c r="Q398" s="264">
        <f t="shared" si="32"/>
        <v>0</v>
      </c>
      <c r="R398" s="166">
        <v>4512</v>
      </c>
      <c r="S398" s="166">
        <v>1455</v>
      </c>
      <c r="T398" s="182">
        <f t="shared" si="31"/>
        <v>0</v>
      </c>
    </row>
    <row r="399" spans="1:20" x14ac:dyDescent="0.2">
      <c r="A399" s="153">
        <v>2034</v>
      </c>
      <c r="B399" s="153">
        <v>2</v>
      </c>
      <c r="D399" s="281">
        <f t="shared" si="29"/>
        <v>14.937951131271962</v>
      </c>
      <c r="E399" s="279">
        <f t="shared" si="30"/>
        <v>14.788571619959242</v>
      </c>
      <c r="F399" s="173"/>
      <c r="G399" s="173">
        <v>31.29</v>
      </c>
      <c r="H399" s="154">
        <v>4220.1023303789862</v>
      </c>
      <c r="I399" s="190">
        <f>VLOOKUP($A399&amp;$B399,'KU Inputs'!$C$2:$I$505,MATCH('KU UtilityData'!I$1,'KU Inputs'!$C$1:$I$1,0),0)*1000</f>
        <v>5073765</v>
      </c>
      <c r="J399" s="190">
        <f>VLOOKUP($A399&amp;$B399,'KU Inputs'!$C$2:$I$505,MATCH('KU UtilityData'!J$1,'KU Inputs'!$C$1:$I$1,0),0)*1000</f>
        <v>2034563</v>
      </c>
      <c r="K399" s="265">
        <v>506666.56332725199</v>
      </c>
      <c r="L399" s="248">
        <v>487602.86</v>
      </c>
      <c r="M399" s="164">
        <v>139186.1450530875</v>
      </c>
      <c r="N399" s="190">
        <f>VLOOKUP($A399&amp;$B399,'KU Inputs'!$C$2:$I$505,MATCH('KU UtilityData'!N$1,'KU Inputs'!$C$1:$I$1,0),0)</f>
        <v>218712.25599999999</v>
      </c>
      <c r="O399" s="190" t="e">
        <f>VLOOKUP($A399&amp;$B399,'KU Inputs'!$C$2:$I$505,MATCH('KU UtilityData'!O$1,'KU Inputs'!$C$1:$I$1,0),0)</f>
        <v>#N/A</v>
      </c>
      <c r="P399" s="264">
        <f t="shared" si="32"/>
        <v>889.8</v>
      </c>
      <c r="Q399" s="264">
        <f t="shared" si="32"/>
        <v>0</v>
      </c>
      <c r="R399" s="166">
        <v>4512</v>
      </c>
      <c r="S399" s="166">
        <v>1455</v>
      </c>
      <c r="T399" s="182">
        <f t="shared" si="31"/>
        <v>0</v>
      </c>
    </row>
    <row r="400" spans="1:20" x14ac:dyDescent="0.2">
      <c r="A400" s="153">
        <v>2034</v>
      </c>
      <c r="B400" s="153">
        <v>3</v>
      </c>
      <c r="D400" s="281">
        <f t="shared" si="29"/>
        <v>14.937951131271962</v>
      </c>
      <c r="E400" s="279">
        <f t="shared" si="30"/>
        <v>14.788571619959242</v>
      </c>
      <c r="F400" s="173"/>
      <c r="G400" s="173">
        <v>30.33</v>
      </c>
      <c r="H400" s="154">
        <v>4221.8880575187241</v>
      </c>
      <c r="I400" s="190">
        <f>VLOOKUP($A400&amp;$B400,'KU Inputs'!$C$2:$I$505,MATCH('KU UtilityData'!I$1,'KU Inputs'!$C$1:$I$1,0),0)*1000</f>
        <v>5073765</v>
      </c>
      <c r="J400" s="190">
        <f>VLOOKUP($A400&amp;$B400,'KU Inputs'!$C$2:$I$505,MATCH('KU UtilityData'!J$1,'KU Inputs'!$C$1:$I$1,0),0)*1000</f>
        <v>2034563</v>
      </c>
      <c r="K400" s="265">
        <v>507004.34103613679</v>
      </c>
      <c r="L400" s="248">
        <v>487602.86</v>
      </c>
      <c r="M400" s="164">
        <v>139186.1450530875</v>
      </c>
      <c r="N400" s="190">
        <f>VLOOKUP($A400&amp;$B400,'KU Inputs'!$C$2:$I$505,MATCH('KU UtilityData'!N$1,'KU Inputs'!$C$1:$I$1,0),0)</f>
        <v>218712.25599999999</v>
      </c>
      <c r="O400" s="190" t="e">
        <f>VLOOKUP($A400&amp;$B400,'KU Inputs'!$C$2:$I$505,MATCH('KU UtilityData'!O$1,'KU Inputs'!$C$1:$I$1,0),0)</f>
        <v>#N/A</v>
      </c>
      <c r="P400" s="264">
        <f t="shared" si="32"/>
        <v>729</v>
      </c>
      <c r="Q400" s="264">
        <f t="shared" si="32"/>
        <v>0.45</v>
      </c>
      <c r="R400" s="166">
        <v>4512</v>
      </c>
      <c r="S400" s="166">
        <v>1455</v>
      </c>
      <c r="T400" s="182">
        <f t="shared" si="31"/>
        <v>0</v>
      </c>
    </row>
    <row r="401" spans="1:20" x14ac:dyDescent="0.2">
      <c r="A401" s="153">
        <v>2034</v>
      </c>
      <c r="B401" s="153">
        <v>4</v>
      </c>
      <c r="D401" s="281">
        <f t="shared" si="29"/>
        <v>14.937951131271962</v>
      </c>
      <c r="E401" s="279">
        <f t="shared" si="30"/>
        <v>14.788571619959242</v>
      </c>
      <c r="F401" s="173"/>
      <c r="G401" s="173">
        <v>30.65</v>
      </c>
      <c r="H401" s="154">
        <v>4223.6737846584629</v>
      </c>
      <c r="I401" s="190">
        <f>VLOOKUP($A401&amp;$B401,'KU Inputs'!$C$2:$I$505,MATCH('KU UtilityData'!I$1,'KU Inputs'!$C$1:$I$1,0),0)*1000</f>
        <v>5080609</v>
      </c>
      <c r="J401" s="190">
        <f>VLOOKUP($A401&amp;$B401,'KU Inputs'!$C$2:$I$505,MATCH('KU UtilityData'!J$1,'KU Inputs'!$C$1:$I$1,0),0)*1000</f>
        <v>2038033</v>
      </c>
      <c r="K401" s="265">
        <v>507342.34393016086</v>
      </c>
      <c r="L401" s="248">
        <v>488361.66</v>
      </c>
      <c r="M401" s="164">
        <v>139696.34764365171</v>
      </c>
      <c r="N401" s="190">
        <f>VLOOKUP($A401&amp;$B401,'KU Inputs'!$C$2:$I$505,MATCH('KU UtilityData'!N$1,'KU Inputs'!$C$1:$I$1,0),0)</f>
        <v>219678.68900000001</v>
      </c>
      <c r="O401" s="190" t="e">
        <f>VLOOKUP($A401&amp;$B401,'KU Inputs'!$C$2:$I$505,MATCH('KU UtilityData'!O$1,'KU Inputs'!$C$1:$I$1,0),0)</f>
        <v>#N/A</v>
      </c>
      <c r="P401" s="264">
        <f t="shared" si="32"/>
        <v>440</v>
      </c>
      <c r="Q401" s="264">
        <f t="shared" si="32"/>
        <v>11.85</v>
      </c>
      <c r="R401" s="166">
        <v>4512</v>
      </c>
      <c r="S401" s="166">
        <v>1455</v>
      </c>
      <c r="T401" s="182">
        <f t="shared" si="31"/>
        <v>0</v>
      </c>
    </row>
    <row r="402" spans="1:20" x14ac:dyDescent="0.2">
      <c r="A402" s="153">
        <v>2034</v>
      </c>
      <c r="B402" s="153">
        <v>5</v>
      </c>
      <c r="D402" s="281">
        <f t="shared" si="29"/>
        <v>14.937951131271962</v>
      </c>
      <c r="E402" s="279">
        <f t="shared" si="30"/>
        <v>14.788571619959242</v>
      </c>
      <c r="F402" s="173"/>
      <c r="G402" s="173">
        <v>29.71</v>
      </c>
      <c r="H402" s="154">
        <v>4225.4595117982008</v>
      </c>
      <c r="I402" s="190">
        <f>VLOOKUP($A402&amp;$B402,'KU Inputs'!$C$2:$I$505,MATCH('KU UtilityData'!I$1,'KU Inputs'!$C$1:$I$1,0),0)*1000</f>
        <v>5080609</v>
      </c>
      <c r="J402" s="190">
        <f>VLOOKUP($A402&amp;$B402,'KU Inputs'!$C$2:$I$505,MATCH('KU UtilityData'!J$1,'KU Inputs'!$C$1:$I$1,0),0)*1000</f>
        <v>2038033</v>
      </c>
      <c r="K402" s="265">
        <v>507680.57215944759</v>
      </c>
      <c r="L402" s="248">
        <v>488361.66</v>
      </c>
      <c r="M402" s="164">
        <v>139696.34764365171</v>
      </c>
      <c r="N402" s="190">
        <f>VLOOKUP($A402&amp;$B402,'KU Inputs'!$C$2:$I$505,MATCH('KU UtilityData'!N$1,'KU Inputs'!$C$1:$I$1,0),0)</f>
        <v>219678.68900000001</v>
      </c>
      <c r="O402" s="190" t="e">
        <f>VLOOKUP($A402&amp;$B402,'KU Inputs'!$C$2:$I$505,MATCH('KU UtilityData'!O$1,'KU Inputs'!$C$1:$I$1,0),0)</f>
        <v>#N/A</v>
      </c>
      <c r="P402" s="264">
        <f t="shared" si="32"/>
        <v>187</v>
      </c>
      <c r="Q402" s="264">
        <f t="shared" si="32"/>
        <v>47</v>
      </c>
      <c r="R402" s="166">
        <v>4512</v>
      </c>
      <c r="S402" s="166">
        <v>1455</v>
      </c>
      <c r="T402" s="182">
        <f t="shared" si="31"/>
        <v>0</v>
      </c>
    </row>
    <row r="403" spans="1:20" x14ac:dyDescent="0.2">
      <c r="A403" s="153">
        <v>2034</v>
      </c>
      <c r="B403" s="153">
        <v>6</v>
      </c>
      <c r="D403" s="281">
        <f t="shared" si="29"/>
        <v>14.937951131271962</v>
      </c>
      <c r="E403" s="279">
        <f t="shared" si="30"/>
        <v>14.788571619959242</v>
      </c>
      <c r="F403" s="173"/>
      <c r="G403" s="173">
        <v>30.62</v>
      </c>
      <c r="H403" s="154">
        <v>4227.2452389379441</v>
      </c>
      <c r="I403" s="190">
        <f>VLOOKUP($A403&amp;$B403,'KU Inputs'!$C$2:$I$505,MATCH('KU UtilityData'!I$1,'KU Inputs'!$C$1:$I$1,0),0)*1000</f>
        <v>5080609</v>
      </c>
      <c r="J403" s="190">
        <f>VLOOKUP($A403&amp;$B403,'KU Inputs'!$C$2:$I$505,MATCH('KU UtilityData'!J$1,'KU Inputs'!$C$1:$I$1,0),0)*1000</f>
        <v>2038033</v>
      </c>
      <c r="K403" s="265">
        <v>508019.02587422053</v>
      </c>
      <c r="L403" s="248">
        <v>488361.66</v>
      </c>
      <c r="M403" s="164">
        <v>139696.34764365171</v>
      </c>
      <c r="N403" s="190">
        <f>VLOOKUP($A403&amp;$B403,'KU Inputs'!$C$2:$I$505,MATCH('KU UtilityData'!N$1,'KU Inputs'!$C$1:$I$1,0),0)</f>
        <v>219678.68900000001</v>
      </c>
      <c r="O403" s="190" t="e">
        <f>VLOOKUP($A403&amp;$B403,'KU Inputs'!$C$2:$I$505,MATCH('KU UtilityData'!O$1,'KU Inputs'!$C$1:$I$1,0),0)</f>
        <v>#N/A</v>
      </c>
      <c r="P403" s="264">
        <f t="shared" si="32"/>
        <v>49</v>
      </c>
      <c r="Q403" s="264">
        <f t="shared" si="32"/>
        <v>171</v>
      </c>
      <c r="R403" s="166">
        <v>4512</v>
      </c>
      <c r="S403" s="166">
        <v>1455</v>
      </c>
      <c r="T403" s="182">
        <f t="shared" si="31"/>
        <v>0</v>
      </c>
    </row>
    <row r="404" spans="1:20" x14ac:dyDescent="0.2">
      <c r="A404" s="153">
        <v>2034</v>
      </c>
      <c r="B404" s="153">
        <v>7</v>
      </c>
      <c r="D404" s="281">
        <f t="shared" si="29"/>
        <v>14.937951131271962</v>
      </c>
      <c r="E404" s="279">
        <f t="shared" si="30"/>
        <v>14.788571619959242</v>
      </c>
      <c r="F404" s="173"/>
      <c r="G404" s="173">
        <v>30.81</v>
      </c>
      <c r="H404" s="154">
        <v>4228.9908529733821</v>
      </c>
      <c r="I404" s="190">
        <f>VLOOKUP($A404&amp;$B404,'KU Inputs'!$C$2:$I$505,MATCH('KU UtilityData'!I$1,'KU Inputs'!$C$1:$I$1,0),0)*1000</f>
        <v>5087441</v>
      </c>
      <c r="J404" s="190">
        <f>VLOOKUP($A404&amp;$B404,'KU Inputs'!$C$2:$I$505,MATCH('KU UtilityData'!J$1,'KU Inputs'!$C$1:$I$1,0),0)*1000</f>
        <v>2043357</v>
      </c>
      <c r="K404" s="265">
        <v>508357.7052248033</v>
      </c>
      <c r="L404" s="248">
        <v>489525.9</v>
      </c>
      <c r="M404" s="164">
        <v>140245.2175202439</v>
      </c>
      <c r="N404" s="190">
        <f>VLOOKUP($A404&amp;$B404,'KU Inputs'!$C$2:$I$505,MATCH('KU UtilityData'!N$1,'KU Inputs'!$C$1:$I$1,0),0)</f>
        <v>220588.57</v>
      </c>
      <c r="O404" s="190" t="e">
        <f>VLOOKUP($A404&amp;$B404,'KU Inputs'!$C$2:$I$505,MATCH('KU UtilityData'!O$1,'KU Inputs'!$C$1:$I$1,0),0)</f>
        <v>#N/A</v>
      </c>
      <c r="P404" s="264">
        <f t="shared" si="32"/>
        <v>1</v>
      </c>
      <c r="Q404" s="264">
        <f t="shared" si="32"/>
        <v>325</v>
      </c>
      <c r="R404" s="166">
        <v>4512</v>
      </c>
      <c r="S404" s="166">
        <v>1455</v>
      </c>
      <c r="T404" s="182">
        <f t="shared" si="31"/>
        <v>0</v>
      </c>
    </row>
    <row r="405" spans="1:20" x14ac:dyDescent="0.2">
      <c r="A405" s="153">
        <v>2034</v>
      </c>
      <c r="B405" s="153">
        <v>8</v>
      </c>
      <c r="D405" s="281">
        <f t="shared" si="29"/>
        <v>14.937951131271962</v>
      </c>
      <c r="E405" s="279">
        <f t="shared" si="30"/>
        <v>14.788571619959242</v>
      </c>
      <c r="F405" s="173"/>
      <c r="G405" s="173">
        <v>29.43</v>
      </c>
      <c r="H405" s="154">
        <v>4230.73646700882</v>
      </c>
      <c r="I405" s="190">
        <f>VLOOKUP($A405&amp;$B405,'KU Inputs'!$C$2:$I$505,MATCH('KU UtilityData'!I$1,'KU Inputs'!$C$1:$I$1,0),0)*1000</f>
        <v>5087441</v>
      </c>
      <c r="J405" s="190">
        <f>VLOOKUP($A405&amp;$B405,'KU Inputs'!$C$2:$I$505,MATCH('KU UtilityData'!J$1,'KU Inputs'!$C$1:$I$1,0),0)*1000</f>
        <v>2043357</v>
      </c>
      <c r="K405" s="265">
        <v>508696.61036161979</v>
      </c>
      <c r="L405" s="248">
        <v>489525.9</v>
      </c>
      <c r="M405" s="164">
        <v>140245.2175202439</v>
      </c>
      <c r="N405" s="190">
        <f>VLOOKUP($A405&amp;$B405,'KU Inputs'!$C$2:$I$505,MATCH('KU UtilityData'!N$1,'KU Inputs'!$C$1:$I$1,0),0)</f>
        <v>220588.57</v>
      </c>
      <c r="O405" s="190" t="e">
        <f>VLOOKUP($A405&amp;$B405,'KU Inputs'!$C$2:$I$505,MATCH('KU UtilityData'!O$1,'KU Inputs'!$C$1:$I$1,0),0)</f>
        <v>#N/A</v>
      </c>
      <c r="P405" s="264">
        <f t="shared" si="32"/>
        <v>0</v>
      </c>
      <c r="Q405" s="264">
        <f t="shared" si="32"/>
        <v>341</v>
      </c>
      <c r="R405" s="166">
        <v>4512</v>
      </c>
      <c r="S405" s="166">
        <v>1455</v>
      </c>
      <c r="T405" s="182">
        <f t="shared" si="31"/>
        <v>0</v>
      </c>
    </row>
    <row r="406" spans="1:20" x14ac:dyDescent="0.2">
      <c r="A406" s="153">
        <v>2034</v>
      </c>
      <c r="B406" s="153">
        <v>9</v>
      </c>
      <c r="D406" s="281">
        <f t="shared" si="29"/>
        <v>14.937951131271962</v>
      </c>
      <c r="E406" s="279">
        <f t="shared" si="30"/>
        <v>14.788571619959242</v>
      </c>
      <c r="F406" s="173"/>
      <c r="G406" s="173">
        <v>30.57</v>
      </c>
      <c r="H406" s="154">
        <v>4232.4820810442579</v>
      </c>
      <c r="I406" s="190">
        <f>VLOOKUP($A406&amp;$B406,'KU Inputs'!$C$2:$I$505,MATCH('KU UtilityData'!I$1,'KU Inputs'!$C$1:$I$1,0),0)*1000</f>
        <v>5087441</v>
      </c>
      <c r="J406" s="190">
        <f>VLOOKUP($A406&amp;$B406,'KU Inputs'!$C$2:$I$505,MATCH('KU UtilityData'!J$1,'KU Inputs'!$C$1:$I$1,0),0)*1000</f>
        <v>2043357</v>
      </c>
      <c r="K406" s="265">
        <v>509035.74143519416</v>
      </c>
      <c r="L406" s="248">
        <v>489525.9</v>
      </c>
      <c r="M406" s="164">
        <v>140245.2175202439</v>
      </c>
      <c r="N406" s="190">
        <f>VLOOKUP($A406&amp;$B406,'KU Inputs'!$C$2:$I$505,MATCH('KU UtilityData'!N$1,'KU Inputs'!$C$1:$I$1,0),0)</f>
        <v>220588.57</v>
      </c>
      <c r="O406" s="190" t="e">
        <f>VLOOKUP($A406&amp;$B406,'KU Inputs'!$C$2:$I$505,MATCH('KU UtilityData'!O$1,'KU Inputs'!$C$1:$I$1,0),0)</f>
        <v>#N/A</v>
      </c>
      <c r="P406" s="264">
        <f t="shared" si="32"/>
        <v>12</v>
      </c>
      <c r="Q406" s="264">
        <f t="shared" si="32"/>
        <v>261</v>
      </c>
      <c r="R406" s="166">
        <v>4512</v>
      </c>
      <c r="S406" s="166">
        <v>1455</v>
      </c>
      <c r="T406" s="182">
        <f t="shared" si="31"/>
        <v>0</v>
      </c>
    </row>
    <row r="407" spans="1:20" x14ac:dyDescent="0.2">
      <c r="A407" s="153">
        <v>2034</v>
      </c>
      <c r="B407" s="153">
        <v>10</v>
      </c>
      <c r="D407" s="281">
        <f t="shared" si="29"/>
        <v>14.937951131271962</v>
      </c>
      <c r="E407" s="279">
        <f t="shared" si="30"/>
        <v>14.788571619959242</v>
      </c>
      <c r="F407" s="173"/>
      <c r="G407" s="173">
        <v>29.67</v>
      </c>
      <c r="H407" s="154">
        <v>4234.2276950796959</v>
      </c>
      <c r="I407" s="190">
        <f>VLOOKUP($A407&amp;$B407,'KU Inputs'!$C$2:$I$505,MATCH('KU UtilityData'!I$1,'KU Inputs'!$C$1:$I$1,0),0)*1000</f>
        <v>5094236</v>
      </c>
      <c r="J407" s="190">
        <f>VLOOKUP($A407&amp;$B407,'KU Inputs'!$C$2:$I$505,MATCH('KU UtilityData'!J$1,'KU Inputs'!$C$1:$I$1,0),0)*1000</f>
        <v>2045792</v>
      </c>
      <c r="K407" s="265">
        <v>509375.09859615093</v>
      </c>
      <c r="L407" s="248">
        <v>490058.37</v>
      </c>
      <c r="M407" s="164">
        <v>140805.67855669133</v>
      </c>
      <c r="N407" s="190">
        <f>VLOOKUP($A407&amp;$B407,'KU Inputs'!$C$2:$I$505,MATCH('KU UtilityData'!N$1,'KU Inputs'!$C$1:$I$1,0),0)</f>
        <v>221480.42499999999</v>
      </c>
      <c r="O407" s="190" t="e">
        <f>VLOOKUP($A407&amp;$B407,'KU Inputs'!$C$2:$I$505,MATCH('KU UtilityData'!O$1,'KU Inputs'!$C$1:$I$1,0),0)</f>
        <v>#N/A</v>
      </c>
      <c r="P407" s="264">
        <f t="shared" si="32"/>
        <v>136</v>
      </c>
      <c r="Q407" s="264">
        <f t="shared" si="32"/>
        <v>73</v>
      </c>
      <c r="R407" s="166">
        <v>4512</v>
      </c>
      <c r="S407" s="166">
        <v>1455</v>
      </c>
      <c r="T407" s="182">
        <f t="shared" si="31"/>
        <v>0</v>
      </c>
    </row>
    <row r="408" spans="1:20" x14ac:dyDescent="0.2">
      <c r="A408" s="153">
        <v>2034</v>
      </c>
      <c r="B408" s="153">
        <v>11</v>
      </c>
      <c r="D408" s="281">
        <f t="shared" si="29"/>
        <v>14.937951131271962</v>
      </c>
      <c r="E408" s="279">
        <f t="shared" si="30"/>
        <v>14.788571619959242</v>
      </c>
      <c r="F408" s="173"/>
      <c r="G408" s="173">
        <v>29.05</v>
      </c>
      <c r="H408" s="154">
        <v>4235.9733091151329</v>
      </c>
      <c r="I408" s="190">
        <f>VLOOKUP($A408&amp;$B408,'KU Inputs'!$C$2:$I$505,MATCH('KU UtilityData'!I$1,'KU Inputs'!$C$1:$I$1,0),0)*1000</f>
        <v>5094236</v>
      </c>
      <c r="J408" s="190">
        <f>VLOOKUP($A408&amp;$B408,'KU Inputs'!$C$2:$I$505,MATCH('KU UtilityData'!J$1,'KU Inputs'!$C$1:$I$1,0),0)*1000</f>
        <v>2045792</v>
      </c>
      <c r="K408" s="265">
        <v>509714.68199521501</v>
      </c>
      <c r="L408" s="248">
        <v>490058.37</v>
      </c>
      <c r="M408" s="164">
        <v>140805.67855669133</v>
      </c>
      <c r="N408" s="190">
        <f>VLOOKUP($A408&amp;$B408,'KU Inputs'!$C$2:$I$505,MATCH('KU UtilityData'!N$1,'KU Inputs'!$C$1:$I$1,0),0)</f>
        <v>221480.42499999999</v>
      </c>
      <c r="O408" s="190" t="e">
        <f>VLOOKUP($A408&amp;$B408,'KU Inputs'!$C$2:$I$505,MATCH('KU UtilityData'!O$1,'KU Inputs'!$C$1:$I$1,0),0)</f>
        <v>#N/A</v>
      </c>
      <c r="P408" s="264">
        <f t="shared" si="32"/>
        <v>394</v>
      </c>
      <c r="Q408" s="264">
        <f t="shared" si="32"/>
        <v>7</v>
      </c>
      <c r="R408" s="166">
        <v>4512</v>
      </c>
      <c r="S408" s="166">
        <v>1455</v>
      </c>
      <c r="T408" s="182">
        <f t="shared" si="31"/>
        <v>0</v>
      </c>
    </row>
    <row r="409" spans="1:20" x14ac:dyDescent="0.2">
      <c r="A409" s="153">
        <v>2034</v>
      </c>
      <c r="B409" s="153">
        <v>12</v>
      </c>
      <c r="D409" s="281">
        <f t="shared" si="29"/>
        <v>14.937951131271962</v>
      </c>
      <c r="E409" s="279">
        <f t="shared" si="30"/>
        <v>14.788571619959242</v>
      </c>
      <c r="F409" s="173"/>
      <c r="G409" s="173">
        <v>31</v>
      </c>
      <c r="H409" s="154">
        <v>4237.7189231505708</v>
      </c>
      <c r="I409" s="190">
        <f>VLOOKUP($A409&amp;$B409,'KU Inputs'!$C$2:$I$505,MATCH('KU UtilityData'!I$1,'KU Inputs'!$C$1:$I$1,0),0)*1000</f>
        <v>5094236</v>
      </c>
      <c r="J409" s="190">
        <f>VLOOKUP($A409&amp;$B409,'KU Inputs'!$C$2:$I$505,MATCH('KU UtilityData'!J$1,'KU Inputs'!$C$1:$I$1,0),0)*1000</f>
        <v>2045792</v>
      </c>
      <c r="K409" s="265">
        <v>510054.49178321176</v>
      </c>
      <c r="L409" s="248">
        <v>490058.37</v>
      </c>
      <c r="M409" s="164">
        <v>140805.67855669133</v>
      </c>
      <c r="N409" s="190">
        <f>VLOOKUP($A409&amp;$B409,'KU Inputs'!$C$2:$I$505,MATCH('KU UtilityData'!N$1,'KU Inputs'!$C$1:$I$1,0),0)</f>
        <v>221480.42499999999</v>
      </c>
      <c r="O409" s="190" t="e">
        <f>VLOOKUP($A409&amp;$B409,'KU Inputs'!$C$2:$I$505,MATCH('KU UtilityData'!O$1,'KU Inputs'!$C$1:$I$1,0),0)</f>
        <v>#N/A</v>
      </c>
      <c r="P409" s="264">
        <f t="shared" si="32"/>
        <v>706</v>
      </c>
      <c r="Q409" s="264">
        <f t="shared" si="32"/>
        <v>0.2</v>
      </c>
      <c r="R409" s="166">
        <v>4512</v>
      </c>
      <c r="S409" s="166">
        <v>1455</v>
      </c>
      <c r="T409" s="182">
        <f t="shared" si="31"/>
        <v>0</v>
      </c>
    </row>
    <row r="410" spans="1:20" x14ac:dyDescent="0.2">
      <c r="A410" s="153">
        <v>2035</v>
      </c>
      <c r="B410" s="153">
        <v>1</v>
      </c>
      <c r="D410" s="281">
        <f t="shared" si="29"/>
        <v>15.236710153897402</v>
      </c>
      <c r="E410" s="279">
        <f t="shared" si="30"/>
        <v>15.084343052358427</v>
      </c>
      <c r="F410" s="173"/>
      <c r="G410" s="173">
        <v>32.33</v>
      </c>
      <c r="H410" s="154">
        <v>4239.4645371860088</v>
      </c>
      <c r="I410" s="190">
        <f>VLOOKUP($A410&amp;$B410,'KU Inputs'!$C$2:$I$505,MATCH('KU UtilityData'!I$1,'KU Inputs'!$C$1:$I$1,0),0)*1000</f>
        <v>5101006</v>
      </c>
      <c r="J410" s="190">
        <f>VLOOKUP($A410&amp;$B410,'KU Inputs'!$C$2:$I$505,MATCH('KU UtilityData'!J$1,'KU Inputs'!$C$1:$I$1,0),0)*1000</f>
        <v>2049090.0000000002</v>
      </c>
      <c r="K410" s="265">
        <v>510394.52811106719</v>
      </c>
      <c r="L410" s="248">
        <v>490779.57</v>
      </c>
      <c r="M410" s="164">
        <v>141675.35134562961</v>
      </c>
      <c r="N410" s="190">
        <f>VLOOKUP($A410&amp;$B410,'KU Inputs'!$C$2:$I$505,MATCH('KU UtilityData'!N$1,'KU Inputs'!$C$1:$I$1,0),0)</f>
        <v>223274.90299999999</v>
      </c>
      <c r="O410" s="190" t="e">
        <f>VLOOKUP($A410&amp;$B410,'KU Inputs'!$C$2:$I$505,MATCH('KU UtilityData'!O$1,'KU Inputs'!$C$1:$I$1,0),0)</f>
        <v>#N/A</v>
      </c>
      <c r="P410" s="264">
        <f t="shared" si="32"/>
        <v>996</v>
      </c>
      <c r="Q410" s="264">
        <f t="shared" si="32"/>
        <v>0</v>
      </c>
      <c r="R410" s="166">
        <v>4512</v>
      </c>
      <c r="S410" s="166">
        <v>1455</v>
      </c>
      <c r="T410" s="182">
        <f t="shared" si="31"/>
        <v>0</v>
      </c>
    </row>
    <row r="411" spans="1:20" x14ac:dyDescent="0.2">
      <c r="A411" s="153">
        <v>2035</v>
      </c>
      <c r="B411" s="153">
        <v>2</v>
      </c>
      <c r="D411" s="281">
        <f t="shared" si="29"/>
        <v>15.236710153897402</v>
      </c>
      <c r="E411" s="279">
        <f t="shared" si="30"/>
        <v>15.084343052358427</v>
      </c>
      <c r="F411" s="173"/>
      <c r="G411" s="173">
        <v>29.86</v>
      </c>
      <c r="H411" s="154">
        <v>4241.2101512214467</v>
      </c>
      <c r="I411" s="190">
        <f>VLOOKUP($A411&amp;$B411,'KU Inputs'!$C$2:$I$505,MATCH('KU UtilityData'!I$1,'KU Inputs'!$C$1:$I$1,0),0)*1000</f>
        <v>5101006</v>
      </c>
      <c r="J411" s="190">
        <f>VLOOKUP($A411&amp;$B411,'KU Inputs'!$C$2:$I$505,MATCH('KU UtilityData'!J$1,'KU Inputs'!$C$1:$I$1,0),0)*1000</f>
        <v>2049090.0000000002</v>
      </c>
      <c r="K411" s="265">
        <v>510734.79112980788</v>
      </c>
      <c r="L411" s="248">
        <v>490779.57</v>
      </c>
      <c r="M411" s="164">
        <v>141675.35134562961</v>
      </c>
      <c r="N411" s="190">
        <f>VLOOKUP($A411&amp;$B411,'KU Inputs'!$C$2:$I$505,MATCH('KU UtilityData'!N$1,'KU Inputs'!$C$1:$I$1,0),0)</f>
        <v>223274.90299999999</v>
      </c>
      <c r="O411" s="190" t="e">
        <f>VLOOKUP($A411&amp;$B411,'KU Inputs'!$C$2:$I$505,MATCH('KU UtilityData'!O$1,'KU Inputs'!$C$1:$I$1,0),0)</f>
        <v>#N/A</v>
      </c>
      <c r="P411" s="264">
        <f t="shared" si="32"/>
        <v>889.8</v>
      </c>
      <c r="Q411" s="264">
        <f t="shared" si="32"/>
        <v>0</v>
      </c>
      <c r="R411" s="166">
        <v>4512</v>
      </c>
      <c r="S411" s="166">
        <v>1455</v>
      </c>
      <c r="T411" s="182">
        <f t="shared" si="31"/>
        <v>0</v>
      </c>
    </row>
    <row r="412" spans="1:20" x14ac:dyDescent="0.2">
      <c r="A412" s="153">
        <v>2035</v>
      </c>
      <c r="B412" s="153">
        <v>3</v>
      </c>
      <c r="D412" s="281">
        <f t="shared" si="29"/>
        <v>15.236710153897402</v>
      </c>
      <c r="E412" s="279">
        <f t="shared" si="30"/>
        <v>15.084343052358427</v>
      </c>
      <c r="F412" s="173"/>
      <c r="G412" s="173">
        <v>30.76</v>
      </c>
      <c r="H412" s="154">
        <v>4242.9557652568847</v>
      </c>
      <c r="I412" s="190">
        <f>VLOOKUP($A412&amp;$B412,'KU Inputs'!$C$2:$I$505,MATCH('KU UtilityData'!I$1,'KU Inputs'!$C$1:$I$1,0),0)*1000</f>
        <v>5101006</v>
      </c>
      <c r="J412" s="190">
        <f>VLOOKUP($A412&amp;$B412,'KU Inputs'!$C$2:$I$505,MATCH('KU UtilityData'!J$1,'KU Inputs'!$C$1:$I$1,0),0)*1000</f>
        <v>2049090.0000000002</v>
      </c>
      <c r="K412" s="265">
        <v>511075.28099056106</v>
      </c>
      <c r="L412" s="248">
        <v>490779.57</v>
      </c>
      <c r="M412" s="164">
        <v>141675.35134562961</v>
      </c>
      <c r="N412" s="190">
        <f>VLOOKUP($A412&amp;$B412,'KU Inputs'!$C$2:$I$505,MATCH('KU UtilityData'!N$1,'KU Inputs'!$C$1:$I$1,0),0)</f>
        <v>223274.90299999999</v>
      </c>
      <c r="O412" s="190" t="e">
        <f>VLOOKUP($A412&amp;$B412,'KU Inputs'!$C$2:$I$505,MATCH('KU UtilityData'!O$1,'KU Inputs'!$C$1:$I$1,0),0)</f>
        <v>#N/A</v>
      </c>
      <c r="P412" s="264">
        <f t="shared" si="32"/>
        <v>729</v>
      </c>
      <c r="Q412" s="264">
        <f t="shared" si="32"/>
        <v>0.45</v>
      </c>
      <c r="R412" s="166">
        <v>4512</v>
      </c>
      <c r="S412" s="166">
        <v>1455</v>
      </c>
      <c r="T412" s="182">
        <f t="shared" si="31"/>
        <v>0</v>
      </c>
    </row>
    <row r="413" spans="1:20" x14ac:dyDescent="0.2">
      <c r="A413" s="153">
        <v>2035</v>
      </c>
      <c r="B413" s="153">
        <v>4</v>
      </c>
      <c r="D413" s="281">
        <f t="shared" si="29"/>
        <v>15.236710153897402</v>
      </c>
      <c r="E413" s="279">
        <f t="shared" si="30"/>
        <v>15.084343052358427</v>
      </c>
      <c r="F413" s="173"/>
      <c r="G413" s="173">
        <v>30.38</v>
      </c>
      <c r="H413" s="154">
        <v>4244.7013792923226</v>
      </c>
      <c r="I413" s="190">
        <f>VLOOKUP($A413&amp;$B413,'KU Inputs'!$C$2:$I$505,MATCH('KU UtilityData'!I$1,'KU Inputs'!$C$1:$I$1,0),0)*1000</f>
        <v>5107751</v>
      </c>
      <c r="J413" s="190">
        <f>VLOOKUP($A413&amp;$B413,'KU Inputs'!$C$2:$I$505,MATCH('KU UtilityData'!J$1,'KU Inputs'!$C$1:$I$1,0),0)*1000</f>
        <v>2052382</v>
      </c>
      <c r="K413" s="265">
        <v>511415.99784455472</v>
      </c>
      <c r="L413" s="248">
        <v>491499.45</v>
      </c>
      <c r="M413" s="164">
        <v>142240.05161772121</v>
      </c>
      <c r="N413" s="190">
        <f>VLOOKUP($A413&amp;$B413,'KU Inputs'!$C$2:$I$505,MATCH('KU UtilityData'!N$1,'KU Inputs'!$C$1:$I$1,0),0)</f>
        <v>224274.87700000001</v>
      </c>
      <c r="O413" s="190" t="e">
        <f>VLOOKUP($A413&amp;$B413,'KU Inputs'!$C$2:$I$505,MATCH('KU UtilityData'!O$1,'KU Inputs'!$C$1:$I$1,0),0)</f>
        <v>#N/A</v>
      </c>
      <c r="P413" s="264">
        <f t="shared" si="32"/>
        <v>440</v>
      </c>
      <c r="Q413" s="264">
        <f t="shared" si="32"/>
        <v>11.85</v>
      </c>
      <c r="R413" s="166">
        <v>4512</v>
      </c>
      <c r="S413" s="166">
        <v>1455</v>
      </c>
      <c r="T413" s="182">
        <f t="shared" si="31"/>
        <v>0</v>
      </c>
    </row>
    <row r="414" spans="1:20" x14ac:dyDescent="0.2">
      <c r="A414" s="153">
        <v>2035</v>
      </c>
      <c r="B414" s="153">
        <v>5</v>
      </c>
      <c r="D414" s="281">
        <f t="shared" si="29"/>
        <v>15.236710153897402</v>
      </c>
      <c r="E414" s="279">
        <f t="shared" si="30"/>
        <v>15.084343052358427</v>
      </c>
      <c r="F414" s="173"/>
      <c r="G414" s="173">
        <v>29.52</v>
      </c>
      <c r="H414" s="154">
        <v>4246.4469933277605</v>
      </c>
      <c r="I414" s="190">
        <f>VLOOKUP($A414&amp;$B414,'KU Inputs'!$C$2:$I$505,MATCH('KU UtilityData'!I$1,'KU Inputs'!$C$1:$I$1,0),0)*1000</f>
        <v>5107751</v>
      </c>
      <c r="J414" s="190">
        <f>VLOOKUP($A414&amp;$B414,'KU Inputs'!$C$2:$I$505,MATCH('KU UtilityData'!J$1,'KU Inputs'!$C$1:$I$1,0),0)*1000</f>
        <v>2052382</v>
      </c>
      <c r="K414" s="265">
        <v>511756.9418431177</v>
      </c>
      <c r="L414" s="248">
        <v>491499.45</v>
      </c>
      <c r="M414" s="164">
        <v>142240.05161772121</v>
      </c>
      <c r="N414" s="190">
        <f>VLOOKUP($A414&amp;$B414,'KU Inputs'!$C$2:$I$505,MATCH('KU UtilityData'!N$1,'KU Inputs'!$C$1:$I$1,0),0)</f>
        <v>224274.87700000001</v>
      </c>
      <c r="O414" s="190" t="e">
        <f>VLOOKUP($A414&amp;$B414,'KU Inputs'!$C$2:$I$505,MATCH('KU UtilityData'!O$1,'KU Inputs'!$C$1:$I$1,0),0)</f>
        <v>#N/A</v>
      </c>
      <c r="P414" s="264">
        <f t="shared" si="32"/>
        <v>187</v>
      </c>
      <c r="Q414" s="264">
        <f t="shared" si="32"/>
        <v>47</v>
      </c>
      <c r="R414" s="166">
        <v>4512</v>
      </c>
      <c r="S414" s="166">
        <v>1455</v>
      </c>
      <c r="T414" s="182">
        <f t="shared" si="31"/>
        <v>0</v>
      </c>
    </row>
    <row r="415" spans="1:20" x14ac:dyDescent="0.2">
      <c r="A415" s="153">
        <v>2035</v>
      </c>
      <c r="B415" s="153">
        <v>6</v>
      </c>
      <c r="D415" s="281">
        <f t="shared" si="29"/>
        <v>15.236710153897402</v>
      </c>
      <c r="E415" s="279">
        <f t="shared" si="30"/>
        <v>15.084343052358427</v>
      </c>
      <c r="F415" s="173"/>
      <c r="G415" s="173">
        <v>30.62</v>
      </c>
      <c r="H415" s="154">
        <v>4248.1926073631976</v>
      </c>
      <c r="I415" s="190">
        <f>VLOOKUP($A415&amp;$B415,'KU Inputs'!$C$2:$I$505,MATCH('KU UtilityData'!I$1,'KU Inputs'!$C$1:$I$1,0),0)*1000</f>
        <v>5107751</v>
      </c>
      <c r="J415" s="190">
        <f>VLOOKUP($A415&amp;$B415,'KU Inputs'!$C$2:$I$505,MATCH('KU UtilityData'!J$1,'KU Inputs'!$C$1:$I$1,0),0)*1000</f>
        <v>2052382</v>
      </c>
      <c r="K415" s="265">
        <v>512098.11313767976</v>
      </c>
      <c r="L415" s="248">
        <v>491499.45</v>
      </c>
      <c r="M415" s="164">
        <v>142240.05161772121</v>
      </c>
      <c r="N415" s="190">
        <f>VLOOKUP($A415&amp;$B415,'KU Inputs'!$C$2:$I$505,MATCH('KU UtilityData'!N$1,'KU Inputs'!$C$1:$I$1,0),0)</f>
        <v>224274.87700000001</v>
      </c>
      <c r="O415" s="190" t="e">
        <f>VLOOKUP($A415&amp;$B415,'KU Inputs'!$C$2:$I$505,MATCH('KU UtilityData'!O$1,'KU Inputs'!$C$1:$I$1,0),0)</f>
        <v>#N/A</v>
      </c>
      <c r="P415" s="264">
        <f t="shared" si="32"/>
        <v>49</v>
      </c>
      <c r="Q415" s="264">
        <f t="shared" si="32"/>
        <v>171</v>
      </c>
      <c r="R415" s="166">
        <v>4512</v>
      </c>
      <c r="S415" s="166">
        <v>1455</v>
      </c>
      <c r="T415" s="182">
        <f t="shared" si="31"/>
        <v>0</v>
      </c>
    </row>
    <row r="416" spans="1:20" x14ac:dyDescent="0.2">
      <c r="A416" s="153">
        <v>2035</v>
      </c>
      <c r="B416" s="153">
        <v>7</v>
      </c>
      <c r="D416" s="281">
        <f t="shared" si="29"/>
        <v>15.236710153897402</v>
      </c>
      <c r="E416" s="279">
        <f t="shared" si="30"/>
        <v>15.084343052358427</v>
      </c>
      <c r="F416" s="173"/>
      <c r="G416" s="173">
        <v>30.76</v>
      </c>
      <c r="H416" s="154">
        <v>4249.9035214814203</v>
      </c>
      <c r="I416" s="190">
        <f>VLOOKUP($A416&amp;$B416,'KU Inputs'!$C$2:$I$505,MATCH('KU UtilityData'!I$1,'KU Inputs'!$C$1:$I$1,0),0)*1000</f>
        <v>5114472</v>
      </c>
      <c r="J416" s="190">
        <f>VLOOKUP($A416&amp;$B416,'KU Inputs'!$C$2:$I$505,MATCH('KU UtilityData'!J$1,'KU Inputs'!$C$1:$I$1,0),0)*1000</f>
        <v>2055661.9999999998</v>
      </c>
      <c r="K416" s="265">
        <v>512439.51187977148</v>
      </c>
      <c r="L416" s="248">
        <v>492216.71</v>
      </c>
      <c r="M416" s="164">
        <v>142801.7189308338</v>
      </c>
      <c r="N416" s="190">
        <f>VLOOKUP($A416&amp;$B416,'KU Inputs'!$C$2:$I$505,MATCH('KU UtilityData'!N$1,'KU Inputs'!$C$1:$I$1,0),0)</f>
        <v>225199.902</v>
      </c>
      <c r="O416" s="190" t="e">
        <f>VLOOKUP($A416&amp;$B416,'KU Inputs'!$C$2:$I$505,MATCH('KU UtilityData'!O$1,'KU Inputs'!$C$1:$I$1,0),0)</f>
        <v>#N/A</v>
      </c>
      <c r="P416" s="264">
        <f t="shared" si="32"/>
        <v>1</v>
      </c>
      <c r="Q416" s="264">
        <f t="shared" si="32"/>
        <v>325</v>
      </c>
      <c r="R416" s="166">
        <v>4512</v>
      </c>
      <c r="S416" s="166">
        <v>1455</v>
      </c>
      <c r="T416" s="182">
        <f t="shared" si="31"/>
        <v>0</v>
      </c>
    </row>
    <row r="417" spans="1:20" x14ac:dyDescent="0.2">
      <c r="A417" s="153">
        <v>2035</v>
      </c>
      <c r="B417" s="153">
        <v>8</v>
      </c>
      <c r="D417" s="281">
        <f t="shared" si="29"/>
        <v>15.236710153897402</v>
      </c>
      <c r="E417" s="279">
        <f t="shared" si="30"/>
        <v>15.084343052358427</v>
      </c>
      <c r="F417" s="173"/>
      <c r="G417" s="173">
        <v>29.48</v>
      </c>
      <c r="H417" s="154">
        <v>4251.6144355996421</v>
      </c>
      <c r="I417" s="190">
        <f>VLOOKUP($A417&amp;$B417,'KU Inputs'!$C$2:$I$505,MATCH('KU UtilityData'!I$1,'KU Inputs'!$C$1:$I$1,0),0)*1000</f>
        <v>5114472</v>
      </c>
      <c r="J417" s="190">
        <f>VLOOKUP($A417&amp;$B417,'KU Inputs'!$C$2:$I$505,MATCH('KU UtilityData'!J$1,'KU Inputs'!$C$1:$I$1,0),0)*1000</f>
        <v>2055661.9999999998</v>
      </c>
      <c r="K417" s="265">
        <v>512781.13822102465</v>
      </c>
      <c r="L417" s="248">
        <v>492216.71</v>
      </c>
      <c r="M417" s="164">
        <v>142801.7189308338</v>
      </c>
      <c r="N417" s="190">
        <f>VLOOKUP($A417&amp;$B417,'KU Inputs'!$C$2:$I$505,MATCH('KU UtilityData'!N$1,'KU Inputs'!$C$1:$I$1,0),0)</f>
        <v>225199.902</v>
      </c>
      <c r="O417" s="190" t="e">
        <f>VLOOKUP($A417&amp;$B417,'KU Inputs'!$C$2:$I$505,MATCH('KU UtilityData'!O$1,'KU Inputs'!$C$1:$I$1,0),0)</f>
        <v>#N/A</v>
      </c>
      <c r="P417" s="264">
        <f t="shared" si="32"/>
        <v>0</v>
      </c>
      <c r="Q417" s="264">
        <f t="shared" si="32"/>
        <v>341</v>
      </c>
      <c r="R417" s="166">
        <v>4512</v>
      </c>
      <c r="S417" s="166">
        <v>1455</v>
      </c>
      <c r="T417" s="182">
        <f t="shared" si="31"/>
        <v>0</v>
      </c>
    </row>
    <row r="418" spans="1:20" x14ac:dyDescent="0.2">
      <c r="A418" s="153">
        <v>2035</v>
      </c>
      <c r="B418" s="153">
        <v>9</v>
      </c>
      <c r="D418" s="281">
        <f t="shared" si="29"/>
        <v>15.236710153897402</v>
      </c>
      <c r="E418" s="279">
        <f t="shared" si="30"/>
        <v>15.084343052358427</v>
      </c>
      <c r="F418" s="173"/>
      <c r="G418" s="173">
        <v>30.57</v>
      </c>
      <c r="H418" s="154">
        <v>4253.3253497178639</v>
      </c>
      <c r="I418" s="190">
        <f>VLOOKUP($A418&amp;$B418,'KU Inputs'!$C$2:$I$505,MATCH('KU UtilityData'!I$1,'KU Inputs'!$C$1:$I$1,0),0)*1000</f>
        <v>5114472</v>
      </c>
      <c r="J418" s="190">
        <f>VLOOKUP($A418&amp;$B418,'KU Inputs'!$C$2:$I$505,MATCH('KU UtilityData'!J$1,'KU Inputs'!$C$1:$I$1,0),0)*1000</f>
        <v>2055661.9999999998</v>
      </c>
      <c r="K418" s="265">
        <v>513122.99231317197</v>
      </c>
      <c r="L418" s="248">
        <v>492216.71</v>
      </c>
      <c r="M418" s="164">
        <v>142801.7189308338</v>
      </c>
      <c r="N418" s="190">
        <f>VLOOKUP($A418&amp;$B418,'KU Inputs'!$C$2:$I$505,MATCH('KU UtilityData'!N$1,'KU Inputs'!$C$1:$I$1,0),0)</f>
        <v>225199.902</v>
      </c>
      <c r="O418" s="190" t="e">
        <f>VLOOKUP($A418&amp;$B418,'KU Inputs'!$C$2:$I$505,MATCH('KU UtilityData'!O$1,'KU Inputs'!$C$1:$I$1,0),0)</f>
        <v>#N/A</v>
      </c>
      <c r="P418" s="264">
        <f t="shared" ref="P418:Q437" si="33">P406</f>
        <v>12</v>
      </c>
      <c r="Q418" s="264">
        <f t="shared" si="33"/>
        <v>261</v>
      </c>
      <c r="R418" s="166">
        <v>4512</v>
      </c>
      <c r="S418" s="166">
        <v>1455</v>
      </c>
      <c r="T418" s="182">
        <f t="shared" si="31"/>
        <v>0</v>
      </c>
    </row>
    <row r="419" spans="1:20" x14ac:dyDescent="0.2">
      <c r="A419" s="153">
        <v>2035</v>
      </c>
      <c r="B419" s="153">
        <v>10</v>
      </c>
      <c r="D419" s="281">
        <f t="shared" si="29"/>
        <v>15.236710153897402</v>
      </c>
      <c r="E419" s="279">
        <f t="shared" si="30"/>
        <v>15.084343052358427</v>
      </c>
      <c r="F419" s="173"/>
      <c r="G419" s="173">
        <v>29.67</v>
      </c>
      <c r="H419" s="154">
        <v>4255.0362638360857</v>
      </c>
      <c r="I419" s="190">
        <f>VLOOKUP($A419&amp;$B419,'KU Inputs'!$C$2:$I$505,MATCH('KU UtilityData'!I$1,'KU Inputs'!$C$1:$I$1,0),0)*1000</f>
        <v>5121157</v>
      </c>
      <c r="J419" s="190">
        <f>VLOOKUP($A419&amp;$B419,'KU Inputs'!$C$2:$I$505,MATCH('KU UtilityData'!J$1,'KU Inputs'!$C$1:$I$1,0),0)*1000</f>
        <v>2058951</v>
      </c>
      <c r="K419" s="265">
        <v>513465.07430804736</v>
      </c>
      <c r="L419" s="248">
        <v>492935.94</v>
      </c>
      <c r="M419" s="164">
        <v>143333.9986393975</v>
      </c>
      <c r="N419" s="190">
        <f>VLOOKUP($A419&amp;$B419,'KU Inputs'!$C$2:$I$505,MATCH('KU UtilityData'!N$1,'KU Inputs'!$C$1:$I$1,0),0)</f>
        <v>226081.57399999999</v>
      </c>
      <c r="O419" s="190" t="e">
        <f>VLOOKUP($A419&amp;$B419,'KU Inputs'!$C$2:$I$505,MATCH('KU UtilityData'!O$1,'KU Inputs'!$C$1:$I$1,0),0)</f>
        <v>#N/A</v>
      </c>
      <c r="P419" s="264">
        <f t="shared" si="33"/>
        <v>136</v>
      </c>
      <c r="Q419" s="264">
        <f t="shared" si="33"/>
        <v>73</v>
      </c>
      <c r="R419" s="166">
        <v>4512</v>
      </c>
      <c r="S419" s="166">
        <v>1455</v>
      </c>
      <c r="T419" s="182">
        <f t="shared" si="31"/>
        <v>0</v>
      </c>
    </row>
    <row r="420" spans="1:20" x14ac:dyDescent="0.2">
      <c r="A420" s="153">
        <v>2035</v>
      </c>
      <c r="B420" s="153">
        <v>11</v>
      </c>
      <c r="D420" s="281">
        <f t="shared" si="29"/>
        <v>15.236710153897402</v>
      </c>
      <c r="E420" s="279">
        <f t="shared" si="30"/>
        <v>15.084343052358427</v>
      </c>
      <c r="F420" s="173"/>
      <c r="G420" s="173">
        <v>29.95</v>
      </c>
      <c r="H420" s="154">
        <v>4256.7471779543075</v>
      </c>
      <c r="I420" s="190">
        <f>VLOOKUP($A420&amp;$B420,'KU Inputs'!$C$2:$I$505,MATCH('KU UtilityData'!I$1,'KU Inputs'!$C$1:$I$1,0),0)*1000</f>
        <v>5121157</v>
      </c>
      <c r="J420" s="190">
        <f>VLOOKUP($A420&amp;$B420,'KU Inputs'!$C$2:$I$505,MATCH('KU UtilityData'!J$1,'KU Inputs'!$C$1:$I$1,0),0)*1000</f>
        <v>2058951</v>
      </c>
      <c r="K420" s="265">
        <v>513807.38435758604</v>
      </c>
      <c r="L420" s="248">
        <v>492935.94</v>
      </c>
      <c r="M420" s="164">
        <v>143333.9986393975</v>
      </c>
      <c r="N420" s="190">
        <f>VLOOKUP($A420&amp;$B420,'KU Inputs'!$C$2:$I$505,MATCH('KU UtilityData'!N$1,'KU Inputs'!$C$1:$I$1,0),0)</f>
        <v>226081.57399999999</v>
      </c>
      <c r="O420" s="190" t="e">
        <f>VLOOKUP($A420&amp;$B420,'KU Inputs'!$C$2:$I$505,MATCH('KU UtilityData'!O$1,'KU Inputs'!$C$1:$I$1,0),0)</f>
        <v>#N/A</v>
      </c>
      <c r="P420" s="264">
        <f t="shared" si="33"/>
        <v>394</v>
      </c>
      <c r="Q420" s="264">
        <f t="shared" si="33"/>
        <v>7</v>
      </c>
      <c r="R420" s="166">
        <v>4512</v>
      </c>
      <c r="S420" s="166">
        <v>1455</v>
      </c>
      <c r="T420" s="182">
        <f t="shared" si="31"/>
        <v>0</v>
      </c>
    </row>
    <row r="421" spans="1:20" x14ac:dyDescent="0.2">
      <c r="A421" s="153">
        <v>2035</v>
      </c>
      <c r="B421" s="153">
        <v>12</v>
      </c>
      <c r="D421" s="281">
        <f t="shared" si="29"/>
        <v>15.236710153897402</v>
      </c>
      <c r="E421" s="279">
        <f t="shared" si="30"/>
        <v>15.084343052358427</v>
      </c>
      <c r="F421" s="173"/>
      <c r="G421" s="173">
        <v>31.38</v>
      </c>
      <c r="H421" s="160">
        <v>4258.4580920725293</v>
      </c>
      <c r="I421" s="190">
        <f>VLOOKUP($A421&amp;$B421,'KU Inputs'!$C$2:$I$505,MATCH('KU UtilityData'!I$1,'KU Inputs'!$C$1:$I$1,0),0)*1000</f>
        <v>5121157</v>
      </c>
      <c r="J421" s="190">
        <f>VLOOKUP($A421&amp;$B421,'KU Inputs'!$C$2:$I$505,MATCH('KU UtilityData'!J$1,'KU Inputs'!$C$1:$I$1,0),0)*1000</f>
        <v>2058951</v>
      </c>
      <c r="K421" s="265">
        <v>514149.92261382437</v>
      </c>
      <c r="L421" s="248">
        <v>492935.94</v>
      </c>
      <c r="M421" s="164">
        <v>143333.9986393975</v>
      </c>
      <c r="N421" s="190">
        <f>VLOOKUP($A421&amp;$B421,'KU Inputs'!$C$2:$I$505,MATCH('KU UtilityData'!N$1,'KU Inputs'!$C$1:$I$1,0),0)</f>
        <v>226081.57399999999</v>
      </c>
      <c r="O421" s="190" t="e">
        <f>VLOOKUP($A421&amp;$B421,'KU Inputs'!$C$2:$I$505,MATCH('KU UtilityData'!O$1,'KU Inputs'!$C$1:$I$1,0),0)</f>
        <v>#N/A</v>
      </c>
      <c r="P421" s="264">
        <f t="shared" si="33"/>
        <v>706</v>
      </c>
      <c r="Q421" s="264">
        <f t="shared" si="33"/>
        <v>0.2</v>
      </c>
      <c r="R421" s="166">
        <v>4512</v>
      </c>
      <c r="S421" s="166">
        <v>1455</v>
      </c>
      <c r="T421" s="182">
        <f t="shared" si="31"/>
        <v>0</v>
      </c>
    </row>
    <row r="422" spans="1:20" x14ac:dyDescent="0.2">
      <c r="A422" s="153">
        <v>2036</v>
      </c>
      <c r="B422" s="153">
        <v>1</v>
      </c>
      <c r="D422" s="281">
        <f t="shared" si="29"/>
        <v>15.541444356975351</v>
      </c>
      <c r="E422" s="279">
        <f t="shared" si="30"/>
        <v>15.386029913405597</v>
      </c>
      <c r="F422" s="173"/>
      <c r="G422" s="173">
        <v>32.43</v>
      </c>
      <c r="H422" s="154">
        <v>4260.169006190752</v>
      </c>
      <c r="I422" s="190">
        <f>VLOOKUP($A422&amp;$B422,'KU Inputs'!$C$2:$I$505,MATCH('KU UtilityData'!I$1,'KU Inputs'!$C$1:$I$1,0),0)*1000</f>
        <v>5127834</v>
      </c>
      <c r="J422" s="190">
        <f>VLOOKUP($A422&amp;$B422,'KU Inputs'!$C$2:$I$505,MATCH('KU UtilityData'!J$1,'KU Inputs'!$C$1:$I$1,0),0)*1000</f>
        <v>2062277</v>
      </c>
      <c r="K422" s="265">
        <v>514492.68922890024</v>
      </c>
      <c r="L422" s="248">
        <v>493663.25</v>
      </c>
      <c r="M422" s="164">
        <v>144234.99103084428</v>
      </c>
      <c r="N422" s="190">
        <f>VLOOKUP($A422&amp;$B422,'KU Inputs'!$C$2:$I$505,MATCH('KU UtilityData'!N$1,'KU Inputs'!$C$1:$I$1,0),0)</f>
        <v>227897.829</v>
      </c>
      <c r="O422" s="190" t="e">
        <f>VLOOKUP($A422&amp;$B422,'KU Inputs'!$C$2:$I$505,MATCH('KU UtilityData'!O$1,'KU Inputs'!$C$1:$I$1,0),0)</f>
        <v>#N/A</v>
      </c>
      <c r="P422" s="264">
        <f t="shared" si="33"/>
        <v>996</v>
      </c>
      <c r="Q422" s="264">
        <f t="shared" si="33"/>
        <v>0</v>
      </c>
      <c r="R422" s="166">
        <v>4512</v>
      </c>
      <c r="S422" s="166">
        <v>1455</v>
      </c>
      <c r="T422" s="182">
        <f t="shared" si="31"/>
        <v>0</v>
      </c>
    </row>
    <row r="423" spans="1:20" x14ac:dyDescent="0.2">
      <c r="A423" s="153">
        <v>2036</v>
      </c>
      <c r="B423" s="153">
        <v>2</v>
      </c>
      <c r="D423" s="281">
        <f t="shared" si="29"/>
        <v>15.541444356975351</v>
      </c>
      <c r="E423" s="279">
        <f t="shared" si="30"/>
        <v>15.386029913405597</v>
      </c>
      <c r="F423" s="173"/>
      <c r="G423" s="173">
        <v>29.9</v>
      </c>
      <c r="H423" s="154">
        <v>4261.8799203089739</v>
      </c>
      <c r="I423" s="190">
        <f>VLOOKUP($A423&amp;$B423,'KU Inputs'!$C$2:$I$505,MATCH('KU UtilityData'!I$1,'KU Inputs'!$C$1:$I$1,0),0)*1000</f>
        <v>5127834</v>
      </c>
      <c r="J423" s="190">
        <f>VLOOKUP($A423&amp;$B423,'KU Inputs'!$C$2:$I$505,MATCH('KU UtilityData'!J$1,'KU Inputs'!$C$1:$I$1,0),0)*1000</f>
        <v>2062277</v>
      </c>
      <c r="K423" s="265">
        <v>514835.68435505283</v>
      </c>
      <c r="L423" s="248">
        <v>493663.25</v>
      </c>
      <c r="M423" s="164">
        <v>144234.99103084428</v>
      </c>
      <c r="N423" s="190">
        <f>VLOOKUP($A423&amp;$B423,'KU Inputs'!$C$2:$I$505,MATCH('KU UtilityData'!N$1,'KU Inputs'!$C$1:$I$1,0),0)</f>
        <v>227897.829</v>
      </c>
      <c r="O423" s="190" t="e">
        <f>VLOOKUP($A423&amp;$B423,'KU Inputs'!$C$2:$I$505,MATCH('KU UtilityData'!O$1,'KU Inputs'!$C$1:$I$1,0),0)</f>
        <v>#N/A</v>
      </c>
      <c r="P423" s="264">
        <f t="shared" si="33"/>
        <v>889.8</v>
      </c>
      <c r="Q423" s="264">
        <f t="shared" si="33"/>
        <v>0</v>
      </c>
      <c r="R423" s="166">
        <v>4512</v>
      </c>
      <c r="S423" s="166">
        <v>1455</v>
      </c>
      <c r="T423" s="182">
        <f t="shared" si="31"/>
        <v>0</v>
      </c>
    </row>
    <row r="424" spans="1:20" x14ac:dyDescent="0.2">
      <c r="A424" s="153">
        <v>2036</v>
      </c>
      <c r="B424" s="153">
        <v>3</v>
      </c>
      <c r="D424" s="281">
        <f t="shared" si="29"/>
        <v>15.541444356975351</v>
      </c>
      <c r="E424" s="279">
        <f t="shared" si="30"/>
        <v>15.386029913405597</v>
      </c>
      <c r="F424" s="173"/>
      <c r="G424" s="173">
        <v>30.33</v>
      </c>
      <c r="H424" s="154">
        <v>4263.5908344271957</v>
      </c>
      <c r="I424" s="190">
        <f>VLOOKUP($A424&amp;$B424,'KU Inputs'!$C$2:$I$505,MATCH('KU UtilityData'!I$1,'KU Inputs'!$C$1:$I$1,0),0)*1000</f>
        <v>5127834</v>
      </c>
      <c r="J424" s="190">
        <f>VLOOKUP($A424&amp;$B424,'KU Inputs'!$C$2:$I$505,MATCH('KU UtilityData'!J$1,'KU Inputs'!$C$1:$I$1,0),0)*1000</f>
        <v>2062277</v>
      </c>
      <c r="K424" s="265">
        <v>515178.90814462281</v>
      </c>
      <c r="L424" s="248">
        <v>493663.25</v>
      </c>
      <c r="M424" s="164">
        <v>144234.99103084428</v>
      </c>
      <c r="N424" s="190">
        <f>VLOOKUP($A424&amp;$B424,'KU Inputs'!$C$2:$I$505,MATCH('KU UtilityData'!N$1,'KU Inputs'!$C$1:$I$1,0),0)</f>
        <v>227897.829</v>
      </c>
      <c r="O424" s="190" t="e">
        <f>VLOOKUP($A424&amp;$B424,'KU Inputs'!$C$2:$I$505,MATCH('KU UtilityData'!O$1,'KU Inputs'!$C$1:$I$1,0),0)</f>
        <v>#N/A</v>
      </c>
      <c r="P424" s="264">
        <f t="shared" si="33"/>
        <v>729</v>
      </c>
      <c r="Q424" s="264">
        <f t="shared" si="33"/>
        <v>0.45</v>
      </c>
      <c r="R424" s="166">
        <v>4512</v>
      </c>
      <c r="S424" s="166">
        <v>1455</v>
      </c>
      <c r="T424" s="182">
        <f t="shared" si="31"/>
        <v>0</v>
      </c>
    </row>
    <row r="425" spans="1:20" x14ac:dyDescent="0.2">
      <c r="A425" s="153">
        <v>2036</v>
      </c>
      <c r="B425" s="153">
        <v>4</v>
      </c>
      <c r="D425" s="281">
        <f t="shared" si="29"/>
        <v>15.541444356975351</v>
      </c>
      <c r="E425" s="279">
        <f t="shared" si="30"/>
        <v>15.386029913405597</v>
      </c>
      <c r="F425" s="173"/>
      <c r="G425" s="173">
        <v>30.29</v>
      </c>
      <c r="H425" s="154">
        <v>4265.3017485454175</v>
      </c>
      <c r="I425" s="190">
        <f>VLOOKUP($A425&amp;$B425,'KU Inputs'!$C$2:$I$505,MATCH('KU UtilityData'!I$1,'KU Inputs'!$C$1:$I$1,0),0)*1000</f>
        <v>5134516</v>
      </c>
      <c r="J425" s="190">
        <f>VLOOKUP($A425&amp;$B425,'KU Inputs'!$C$2:$I$505,MATCH('KU UtilityData'!J$1,'KU Inputs'!$C$1:$I$1,0),0)*1000</f>
        <v>2065558</v>
      </c>
      <c r="K425" s="265">
        <v>515522.3607500525</v>
      </c>
      <c r="L425" s="248">
        <v>494380.73</v>
      </c>
      <c r="M425" s="164">
        <v>144886.30847978839</v>
      </c>
      <c r="N425" s="190">
        <f>VLOOKUP($A425&amp;$B425,'KU Inputs'!$C$2:$I$505,MATCH('KU UtilityData'!N$1,'KU Inputs'!$C$1:$I$1,0),0)</f>
        <v>228888.74400000001</v>
      </c>
      <c r="O425" s="190" t="e">
        <f>VLOOKUP($A425&amp;$B425,'KU Inputs'!$C$2:$I$505,MATCH('KU UtilityData'!O$1,'KU Inputs'!$C$1:$I$1,0),0)</f>
        <v>#N/A</v>
      </c>
      <c r="P425" s="264">
        <f t="shared" si="33"/>
        <v>440</v>
      </c>
      <c r="Q425" s="264">
        <f t="shared" si="33"/>
        <v>11.85</v>
      </c>
      <c r="R425" s="166">
        <v>4512</v>
      </c>
      <c r="S425" s="166">
        <v>1455</v>
      </c>
      <c r="T425" s="182">
        <f t="shared" si="31"/>
        <v>0</v>
      </c>
    </row>
    <row r="426" spans="1:20" x14ac:dyDescent="0.2">
      <c r="A426" s="153">
        <v>2036</v>
      </c>
      <c r="B426" s="153">
        <v>5</v>
      </c>
      <c r="D426" s="281">
        <f t="shared" si="29"/>
        <v>15.541444356975351</v>
      </c>
      <c r="E426" s="279">
        <f t="shared" si="30"/>
        <v>15.386029913405597</v>
      </c>
      <c r="F426" s="173"/>
      <c r="G426" s="173">
        <v>30.05</v>
      </c>
      <c r="H426" s="154">
        <v>4267.0126626636393</v>
      </c>
      <c r="I426" s="190">
        <f>VLOOKUP($A426&amp;$B426,'KU Inputs'!$C$2:$I$505,MATCH('KU UtilityData'!I$1,'KU Inputs'!$C$1:$I$1,0),0)*1000</f>
        <v>5134516</v>
      </c>
      <c r="J426" s="190">
        <f>VLOOKUP($A426&amp;$B426,'KU Inputs'!$C$2:$I$505,MATCH('KU UtilityData'!J$1,'KU Inputs'!$C$1:$I$1,0),0)*1000</f>
        <v>2065558</v>
      </c>
      <c r="K426" s="265">
        <v>515866.04232388583</v>
      </c>
      <c r="L426" s="248">
        <v>494380.73</v>
      </c>
      <c r="M426" s="164">
        <v>144886.30847978839</v>
      </c>
      <c r="N426" s="190">
        <f>VLOOKUP($A426&amp;$B426,'KU Inputs'!$C$2:$I$505,MATCH('KU UtilityData'!N$1,'KU Inputs'!$C$1:$I$1,0),0)</f>
        <v>228888.74400000001</v>
      </c>
      <c r="O426" s="190" t="e">
        <f>VLOOKUP($A426&amp;$B426,'KU Inputs'!$C$2:$I$505,MATCH('KU UtilityData'!O$1,'KU Inputs'!$C$1:$I$1,0),0)</f>
        <v>#N/A</v>
      </c>
      <c r="P426" s="264">
        <f t="shared" si="33"/>
        <v>187</v>
      </c>
      <c r="Q426" s="264">
        <f t="shared" si="33"/>
        <v>47</v>
      </c>
      <c r="R426" s="166">
        <v>4512</v>
      </c>
      <c r="S426" s="166">
        <v>1455</v>
      </c>
      <c r="T426" s="182">
        <f t="shared" si="31"/>
        <v>0</v>
      </c>
    </row>
    <row r="427" spans="1:20" x14ac:dyDescent="0.2">
      <c r="A427" s="153">
        <v>2036</v>
      </c>
      <c r="B427" s="153">
        <v>6</v>
      </c>
      <c r="D427" s="281">
        <f t="shared" si="29"/>
        <v>15.541444356975351</v>
      </c>
      <c r="E427" s="279">
        <f t="shared" si="30"/>
        <v>15.386029913405597</v>
      </c>
      <c r="F427" s="173"/>
      <c r="G427" s="173">
        <v>30.67</v>
      </c>
      <c r="H427" s="154">
        <v>4268.7235767818665</v>
      </c>
      <c r="I427" s="190">
        <f>VLOOKUP($A427&amp;$B427,'KU Inputs'!$C$2:$I$505,MATCH('KU UtilityData'!I$1,'KU Inputs'!$C$1:$I$1,0),0)*1000</f>
        <v>5134516</v>
      </c>
      <c r="J427" s="190">
        <f>VLOOKUP($A427&amp;$B427,'KU Inputs'!$C$2:$I$505,MATCH('KU UtilityData'!J$1,'KU Inputs'!$C$1:$I$1,0),0)*1000</f>
        <v>2065558</v>
      </c>
      <c r="K427" s="265">
        <v>516209.9530187684</v>
      </c>
      <c r="L427" s="248">
        <v>494380.73</v>
      </c>
      <c r="M427" s="164">
        <v>144886.30847978839</v>
      </c>
      <c r="N427" s="190">
        <f>VLOOKUP($A427&amp;$B427,'KU Inputs'!$C$2:$I$505,MATCH('KU UtilityData'!N$1,'KU Inputs'!$C$1:$I$1,0),0)</f>
        <v>228888.74400000001</v>
      </c>
      <c r="O427" s="190" t="e">
        <f>VLOOKUP($A427&amp;$B427,'KU Inputs'!$C$2:$I$505,MATCH('KU UtilityData'!O$1,'KU Inputs'!$C$1:$I$1,0),0)</f>
        <v>#N/A</v>
      </c>
      <c r="P427" s="264">
        <f t="shared" si="33"/>
        <v>49</v>
      </c>
      <c r="Q427" s="264">
        <f t="shared" si="33"/>
        <v>171</v>
      </c>
      <c r="R427" s="166">
        <v>4512</v>
      </c>
      <c r="S427" s="166">
        <v>1455</v>
      </c>
      <c r="T427" s="182">
        <f t="shared" si="31"/>
        <v>0</v>
      </c>
    </row>
    <row r="428" spans="1:20" x14ac:dyDescent="0.2">
      <c r="A428" s="153">
        <v>2036</v>
      </c>
      <c r="B428" s="153">
        <v>7</v>
      </c>
      <c r="D428" s="281">
        <f t="shared" si="29"/>
        <v>15.541444356975351</v>
      </c>
      <c r="E428" s="279">
        <f t="shared" si="30"/>
        <v>15.386029913405597</v>
      </c>
      <c r="F428" s="173"/>
      <c r="G428" s="173">
        <v>30.62</v>
      </c>
      <c r="H428" s="154">
        <v>4270.4142261484349</v>
      </c>
      <c r="I428" s="190">
        <f>VLOOKUP($A428&amp;$B428,'KU Inputs'!$C$2:$I$505,MATCH('KU UtilityData'!I$1,'KU Inputs'!$C$1:$I$1,0),0)*1000</f>
        <v>5141193</v>
      </c>
      <c r="J428" s="190">
        <f>VLOOKUP($A428&amp;$B428,'KU Inputs'!$C$2:$I$505,MATCH('KU UtilityData'!J$1,'KU Inputs'!$C$1:$I$1,0),0)*1000</f>
        <v>2068831.9999999998</v>
      </c>
      <c r="K428" s="265">
        <v>516554.09298744751</v>
      </c>
      <c r="L428" s="248">
        <v>495096.68</v>
      </c>
      <c r="M428" s="164">
        <v>145466.58202801348</v>
      </c>
      <c r="N428" s="190">
        <f>VLOOKUP($A428&amp;$B428,'KU Inputs'!$C$2:$I$505,MATCH('KU UtilityData'!N$1,'KU Inputs'!$C$1:$I$1,0),0)</f>
        <v>229812.7</v>
      </c>
      <c r="O428" s="190" t="e">
        <f>VLOOKUP($A428&amp;$B428,'KU Inputs'!$C$2:$I$505,MATCH('KU UtilityData'!O$1,'KU Inputs'!$C$1:$I$1,0),0)</f>
        <v>#N/A</v>
      </c>
      <c r="P428" s="264">
        <f t="shared" si="33"/>
        <v>1</v>
      </c>
      <c r="Q428" s="264">
        <f t="shared" si="33"/>
        <v>325</v>
      </c>
      <c r="R428" s="166">
        <v>4512</v>
      </c>
      <c r="S428" s="166">
        <v>1455</v>
      </c>
      <c r="T428" s="182">
        <f t="shared" si="31"/>
        <v>0</v>
      </c>
    </row>
    <row r="429" spans="1:20" x14ac:dyDescent="0.2">
      <c r="A429" s="153">
        <v>2036</v>
      </c>
      <c r="B429" s="153">
        <v>8</v>
      </c>
      <c r="D429" s="281">
        <f t="shared" si="29"/>
        <v>15.541444356975351</v>
      </c>
      <c r="E429" s="279">
        <f t="shared" si="30"/>
        <v>15.386029913405597</v>
      </c>
      <c r="F429" s="173"/>
      <c r="G429" s="173">
        <v>29.52</v>
      </c>
      <c r="H429" s="154">
        <v>4272.1048755150041</v>
      </c>
      <c r="I429" s="190">
        <f>VLOOKUP($A429&amp;$B429,'KU Inputs'!$C$2:$I$505,MATCH('KU UtilityData'!I$1,'KU Inputs'!$C$1:$I$1,0),0)*1000</f>
        <v>5141193</v>
      </c>
      <c r="J429" s="190">
        <f>VLOOKUP($A429&amp;$B429,'KU Inputs'!$C$2:$I$505,MATCH('KU UtilityData'!J$1,'KU Inputs'!$C$1:$I$1,0),0)*1000</f>
        <v>2068831.9999999998</v>
      </c>
      <c r="K429" s="265">
        <v>516898.46238277241</v>
      </c>
      <c r="L429" s="248">
        <v>495096.68</v>
      </c>
      <c r="M429" s="164">
        <v>145466.58202801348</v>
      </c>
      <c r="N429" s="190">
        <f>VLOOKUP($A429&amp;$B429,'KU Inputs'!$C$2:$I$505,MATCH('KU UtilityData'!N$1,'KU Inputs'!$C$1:$I$1,0),0)</f>
        <v>229812.7</v>
      </c>
      <c r="O429" s="190" t="e">
        <f>VLOOKUP($A429&amp;$B429,'KU Inputs'!$C$2:$I$505,MATCH('KU UtilityData'!O$1,'KU Inputs'!$C$1:$I$1,0),0)</f>
        <v>#N/A</v>
      </c>
      <c r="P429" s="264">
        <f t="shared" si="33"/>
        <v>0</v>
      </c>
      <c r="Q429" s="264">
        <f t="shared" si="33"/>
        <v>341</v>
      </c>
      <c r="R429" s="166">
        <v>4512</v>
      </c>
      <c r="S429" s="166">
        <v>1455</v>
      </c>
      <c r="T429" s="182">
        <f t="shared" si="31"/>
        <v>0</v>
      </c>
    </row>
    <row r="430" spans="1:20" x14ac:dyDescent="0.2">
      <c r="A430" s="153">
        <v>2036</v>
      </c>
      <c r="B430" s="153">
        <v>9</v>
      </c>
      <c r="D430" s="281">
        <f t="shared" si="29"/>
        <v>15.541444356975351</v>
      </c>
      <c r="E430" s="279">
        <f t="shared" si="30"/>
        <v>15.386029913405597</v>
      </c>
      <c r="F430" s="173"/>
      <c r="G430" s="173">
        <v>30.71</v>
      </c>
      <c r="H430" s="154">
        <v>4273.7955248815724</v>
      </c>
      <c r="I430" s="190">
        <f>VLOOKUP($A430&amp;$B430,'KU Inputs'!$C$2:$I$505,MATCH('KU UtilityData'!I$1,'KU Inputs'!$C$1:$I$1,0),0)*1000</f>
        <v>5141193</v>
      </c>
      <c r="J430" s="190">
        <f>VLOOKUP($A430&amp;$B430,'KU Inputs'!$C$2:$I$505,MATCH('KU UtilityData'!J$1,'KU Inputs'!$C$1:$I$1,0),0)*1000</f>
        <v>2068831.9999999998</v>
      </c>
      <c r="K430" s="265">
        <v>517243.06135769421</v>
      </c>
      <c r="L430" s="248">
        <v>495096.68</v>
      </c>
      <c r="M430" s="164">
        <v>145466.58202801348</v>
      </c>
      <c r="N430" s="190">
        <f>VLOOKUP($A430&amp;$B430,'KU Inputs'!$C$2:$I$505,MATCH('KU UtilityData'!N$1,'KU Inputs'!$C$1:$I$1,0),0)</f>
        <v>229812.7</v>
      </c>
      <c r="O430" s="190" t="e">
        <f>VLOOKUP($A430&amp;$B430,'KU Inputs'!$C$2:$I$505,MATCH('KU UtilityData'!O$1,'KU Inputs'!$C$1:$I$1,0),0)</f>
        <v>#N/A</v>
      </c>
      <c r="P430" s="264">
        <f t="shared" si="33"/>
        <v>12</v>
      </c>
      <c r="Q430" s="264">
        <f t="shared" si="33"/>
        <v>261</v>
      </c>
      <c r="R430" s="166">
        <v>4512</v>
      </c>
      <c r="S430" s="166">
        <v>1455</v>
      </c>
      <c r="T430" s="182">
        <f t="shared" si="31"/>
        <v>0</v>
      </c>
    </row>
    <row r="431" spans="1:20" x14ac:dyDescent="0.2">
      <c r="A431" s="153">
        <v>2036</v>
      </c>
      <c r="B431" s="153">
        <v>10</v>
      </c>
      <c r="D431" s="281">
        <f t="shared" si="29"/>
        <v>15.541444356975351</v>
      </c>
      <c r="E431" s="279">
        <f t="shared" si="30"/>
        <v>15.386029913405597</v>
      </c>
      <c r="F431" s="173"/>
      <c r="G431" s="173">
        <v>29.52</v>
      </c>
      <c r="H431" s="154">
        <v>4275.4861742481417</v>
      </c>
      <c r="I431" s="190">
        <f>VLOOKUP($A431&amp;$B431,'KU Inputs'!$C$2:$I$505,MATCH('KU UtilityData'!I$1,'KU Inputs'!$C$1:$I$1,0),0)*1000</f>
        <v>5147851</v>
      </c>
      <c r="J431" s="190">
        <f>VLOOKUP($A431&amp;$B431,'KU Inputs'!$C$2:$I$505,MATCH('KU UtilityData'!J$1,'KU Inputs'!$C$1:$I$1,0),0)*1000</f>
        <v>2072083.9999999998</v>
      </c>
      <c r="K431" s="265">
        <v>517587.89006526599</v>
      </c>
      <c r="L431" s="248">
        <v>495807.81</v>
      </c>
      <c r="M431" s="164">
        <v>145955.26333955221</v>
      </c>
      <c r="N431" s="190">
        <f>VLOOKUP($A431&amp;$B431,'KU Inputs'!$C$2:$I$505,MATCH('KU UtilityData'!N$1,'KU Inputs'!$C$1:$I$1,0),0)</f>
        <v>230688.69399999999</v>
      </c>
      <c r="O431" s="190" t="e">
        <f>VLOOKUP($A431&amp;$B431,'KU Inputs'!$C$2:$I$505,MATCH('KU UtilityData'!O$1,'KU Inputs'!$C$1:$I$1,0),0)</f>
        <v>#N/A</v>
      </c>
      <c r="P431" s="264">
        <f t="shared" si="33"/>
        <v>136</v>
      </c>
      <c r="Q431" s="264">
        <f t="shared" si="33"/>
        <v>73</v>
      </c>
      <c r="R431" s="166">
        <v>4512</v>
      </c>
      <c r="S431" s="166">
        <v>1455</v>
      </c>
      <c r="T431" s="182">
        <f t="shared" si="31"/>
        <v>0</v>
      </c>
    </row>
    <row r="432" spans="1:20" x14ac:dyDescent="0.2">
      <c r="A432" s="153">
        <v>2036</v>
      </c>
      <c r="B432" s="153">
        <v>11</v>
      </c>
      <c r="D432" s="281">
        <f t="shared" si="29"/>
        <v>15.541444356975351</v>
      </c>
      <c r="E432" s="279">
        <f t="shared" si="30"/>
        <v>15.386029913405597</v>
      </c>
      <c r="F432" s="173"/>
      <c r="G432" s="173">
        <v>29.38</v>
      </c>
      <c r="H432" s="154">
        <v>4277.17682361471</v>
      </c>
      <c r="I432" s="190">
        <f>VLOOKUP($A432&amp;$B432,'KU Inputs'!$C$2:$I$505,MATCH('KU UtilityData'!I$1,'KU Inputs'!$C$1:$I$1,0),0)*1000</f>
        <v>5147851</v>
      </c>
      <c r="J432" s="190">
        <f>VLOOKUP($A432&amp;$B432,'KU Inputs'!$C$2:$I$505,MATCH('KU UtilityData'!J$1,'KU Inputs'!$C$1:$I$1,0),0)*1000</f>
        <v>2072083.9999999998</v>
      </c>
      <c r="K432" s="265">
        <v>517932.94865864282</v>
      </c>
      <c r="L432" s="248">
        <v>495807.81</v>
      </c>
      <c r="M432" s="164">
        <v>145955.26333955221</v>
      </c>
      <c r="N432" s="190">
        <f>VLOOKUP($A432&amp;$B432,'KU Inputs'!$C$2:$I$505,MATCH('KU UtilityData'!N$1,'KU Inputs'!$C$1:$I$1,0),0)</f>
        <v>230688.69399999999</v>
      </c>
      <c r="O432" s="190" t="e">
        <f>VLOOKUP($A432&amp;$B432,'KU Inputs'!$C$2:$I$505,MATCH('KU UtilityData'!O$1,'KU Inputs'!$C$1:$I$1,0),0)</f>
        <v>#N/A</v>
      </c>
      <c r="P432" s="264">
        <f t="shared" si="33"/>
        <v>394</v>
      </c>
      <c r="Q432" s="264">
        <f t="shared" si="33"/>
        <v>7</v>
      </c>
      <c r="R432" s="166">
        <v>4512</v>
      </c>
      <c r="S432" s="166">
        <v>1455</v>
      </c>
      <c r="T432" s="182">
        <f t="shared" si="31"/>
        <v>0</v>
      </c>
    </row>
    <row r="433" spans="1:20" x14ac:dyDescent="0.2">
      <c r="A433" s="153">
        <v>2036</v>
      </c>
      <c r="B433" s="153">
        <v>12</v>
      </c>
      <c r="D433" s="281">
        <f t="shared" si="29"/>
        <v>15.541444356975351</v>
      </c>
      <c r="E433" s="279">
        <f t="shared" si="30"/>
        <v>15.386029913405597</v>
      </c>
      <c r="F433" s="173"/>
      <c r="G433" s="173">
        <v>32.81</v>
      </c>
      <c r="H433" s="154">
        <v>4278.8674729812792</v>
      </c>
      <c r="I433" s="190">
        <f>VLOOKUP($A433&amp;$B433,'KU Inputs'!$C$2:$I$505,MATCH('KU UtilityData'!I$1,'KU Inputs'!$C$1:$I$1,0),0)*1000</f>
        <v>5147851</v>
      </c>
      <c r="J433" s="190">
        <f>VLOOKUP($A433&amp;$B433,'KU Inputs'!$C$2:$I$505,MATCH('KU UtilityData'!J$1,'KU Inputs'!$C$1:$I$1,0),0)*1000</f>
        <v>2072083.9999999998</v>
      </c>
      <c r="K433" s="265">
        <v>518278.23729108187</v>
      </c>
      <c r="L433" s="248">
        <v>495807.81</v>
      </c>
      <c r="M433" s="164">
        <v>145955.26333955221</v>
      </c>
      <c r="N433" s="190">
        <f>VLOOKUP($A433&amp;$B433,'KU Inputs'!$C$2:$I$505,MATCH('KU UtilityData'!N$1,'KU Inputs'!$C$1:$I$1,0),0)</f>
        <v>230688.69399999999</v>
      </c>
      <c r="O433" s="190" t="e">
        <f>VLOOKUP($A433&amp;$B433,'KU Inputs'!$C$2:$I$505,MATCH('KU UtilityData'!O$1,'KU Inputs'!$C$1:$I$1,0),0)</f>
        <v>#N/A</v>
      </c>
      <c r="P433" s="264">
        <f t="shared" si="33"/>
        <v>706</v>
      </c>
      <c r="Q433" s="264">
        <f t="shared" si="33"/>
        <v>0.2</v>
      </c>
      <c r="R433" s="166">
        <v>4512</v>
      </c>
      <c r="S433" s="166">
        <v>1455</v>
      </c>
      <c r="T433" s="182">
        <f t="shared" si="31"/>
        <v>0</v>
      </c>
    </row>
    <row r="434" spans="1:20" x14ac:dyDescent="0.2">
      <c r="A434" s="153">
        <v>2037</v>
      </c>
      <c r="B434" s="153">
        <v>1</v>
      </c>
      <c r="D434" s="281">
        <f t="shared" si="29"/>
        <v>15.852273244114858</v>
      </c>
      <c r="E434" s="279">
        <f t="shared" si="30"/>
        <v>15.693750511673709</v>
      </c>
      <c r="F434" s="173"/>
      <c r="G434" s="173">
        <v>32.43</v>
      </c>
      <c r="H434" s="154">
        <v>4280.5581223478475</v>
      </c>
      <c r="I434" s="190">
        <f>VLOOKUP($A434&amp;$B434,'KU Inputs'!$C$2:$I$505,MATCH('KU UtilityData'!I$1,'KU Inputs'!$C$1:$I$1,0),0)*1000</f>
        <v>5154503</v>
      </c>
      <c r="J434" s="190">
        <f>VLOOKUP($A434&amp;$B434,'KU Inputs'!$C$2:$I$505,MATCH('KU UtilityData'!J$1,'KU Inputs'!$C$1:$I$1,0),0)*1000</f>
        <v>2076992.0000000002</v>
      </c>
      <c r="K434" s="265">
        <v>518623.75611594255</v>
      </c>
      <c r="L434" s="248">
        <v>496881.08</v>
      </c>
      <c r="M434" s="164">
        <v>146736.31800822809</v>
      </c>
      <c r="N434" s="190">
        <f>VLOOKUP($A434&amp;$B434,'KU Inputs'!$C$2:$I$505,MATCH('KU UtilityData'!N$1,'KU Inputs'!$C$1:$I$1,0),0)</f>
        <v>232435.19899999999</v>
      </c>
      <c r="O434" s="190" t="e">
        <f>VLOOKUP($A434&amp;$B434,'KU Inputs'!$C$2:$I$505,MATCH('KU UtilityData'!O$1,'KU Inputs'!$C$1:$I$1,0),0)</f>
        <v>#N/A</v>
      </c>
      <c r="P434" s="264">
        <f t="shared" si="33"/>
        <v>996</v>
      </c>
      <c r="Q434" s="264">
        <f t="shared" si="33"/>
        <v>0</v>
      </c>
      <c r="R434" s="166">
        <v>4512</v>
      </c>
      <c r="S434" s="166">
        <v>1455</v>
      </c>
      <c r="T434" s="182">
        <f t="shared" si="31"/>
        <v>0</v>
      </c>
    </row>
    <row r="435" spans="1:20" x14ac:dyDescent="0.2">
      <c r="A435" s="153">
        <v>2037</v>
      </c>
      <c r="B435" s="153">
        <v>2</v>
      </c>
      <c r="D435" s="281">
        <f t="shared" si="29"/>
        <v>15.852273244114858</v>
      </c>
      <c r="E435" s="279">
        <f t="shared" si="30"/>
        <v>15.693750511673709</v>
      </c>
      <c r="F435" s="173"/>
      <c r="G435" s="173">
        <v>29.9</v>
      </c>
      <c r="H435" s="154">
        <v>4282.2487717144168</v>
      </c>
      <c r="I435" s="190">
        <f>VLOOKUP($A435&amp;$B435,'KU Inputs'!$C$2:$I$505,MATCH('KU UtilityData'!I$1,'KU Inputs'!$C$1:$I$1,0),0)*1000</f>
        <v>5154503</v>
      </c>
      <c r="J435" s="190">
        <f>VLOOKUP($A435&amp;$B435,'KU Inputs'!$C$2:$I$505,MATCH('KU UtilityData'!J$1,'KU Inputs'!$C$1:$I$1,0),0)*1000</f>
        <v>2076992.0000000002</v>
      </c>
      <c r="K435" s="265">
        <v>518969.50528668647</v>
      </c>
      <c r="L435" s="248">
        <v>496881.08</v>
      </c>
      <c r="M435" s="164">
        <v>146736.31800822809</v>
      </c>
      <c r="N435" s="190">
        <f>VLOOKUP($A435&amp;$B435,'KU Inputs'!$C$2:$I$505,MATCH('KU UtilityData'!N$1,'KU Inputs'!$C$1:$I$1,0),0)</f>
        <v>232435.19899999999</v>
      </c>
      <c r="O435" s="190" t="e">
        <f>VLOOKUP($A435&amp;$B435,'KU Inputs'!$C$2:$I$505,MATCH('KU UtilityData'!O$1,'KU Inputs'!$C$1:$I$1,0),0)</f>
        <v>#N/A</v>
      </c>
      <c r="P435" s="264">
        <f t="shared" si="33"/>
        <v>889.8</v>
      </c>
      <c r="Q435" s="264">
        <f t="shared" si="33"/>
        <v>0</v>
      </c>
      <c r="R435" s="166">
        <v>4512</v>
      </c>
      <c r="S435" s="166">
        <v>1455</v>
      </c>
      <c r="T435" s="182">
        <f t="shared" si="31"/>
        <v>0</v>
      </c>
    </row>
    <row r="436" spans="1:20" x14ac:dyDescent="0.2">
      <c r="A436" s="153">
        <v>2037</v>
      </c>
      <c r="B436" s="153">
        <v>3</v>
      </c>
      <c r="D436" s="281">
        <f t="shared" si="29"/>
        <v>15.852273244114858</v>
      </c>
      <c r="E436" s="279">
        <f t="shared" si="30"/>
        <v>15.693750511673709</v>
      </c>
      <c r="F436" s="173"/>
      <c r="G436" s="173">
        <v>30.33</v>
      </c>
      <c r="H436" s="154">
        <v>4283.9394210809851</v>
      </c>
      <c r="I436" s="190">
        <f>VLOOKUP($A436&amp;$B436,'KU Inputs'!$C$2:$I$505,MATCH('KU UtilityData'!I$1,'KU Inputs'!$C$1:$I$1,0),0)*1000</f>
        <v>5154503</v>
      </c>
      <c r="J436" s="190">
        <f>VLOOKUP($A436&amp;$B436,'KU Inputs'!$C$2:$I$505,MATCH('KU UtilityData'!J$1,'KU Inputs'!$C$1:$I$1,0),0)*1000</f>
        <v>2076992.0000000002</v>
      </c>
      <c r="K436" s="265">
        <v>519315.48495687754</v>
      </c>
      <c r="L436" s="248">
        <v>496881.08</v>
      </c>
      <c r="M436" s="164">
        <v>146736.31800822809</v>
      </c>
      <c r="N436" s="190">
        <f>VLOOKUP($A436&amp;$B436,'KU Inputs'!$C$2:$I$505,MATCH('KU UtilityData'!N$1,'KU Inputs'!$C$1:$I$1,0),0)</f>
        <v>232435.19899999999</v>
      </c>
      <c r="O436" s="190" t="e">
        <f>VLOOKUP($A436&amp;$B436,'KU Inputs'!$C$2:$I$505,MATCH('KU UtilityData'!O$1,'KU Inputs'!$C$1:$I$1,0),0)</f>
        <v>#N/A</v>
      </c>
      <c r="P436" s="264">
        <f t="shared" si="33"/>
        <v>729</v>
      </c>
      <c r="Q436" s="264">
        <f t="shared" si="33"/>
        <v>0.45</v>
      </c>
      <c r="R436" s="166">
        <v>4512</v>
      </c>
      <c r="S436" s="166">
        <v>1455</v>
      </c>
      <c r="T436" s="182">
        <f t="shared" si="31"/>
        <v>0</v>
      </c>
    </row>
    <row r="437" spans="1:20" x14ac:dyDescent="0.2">
      <c r="A437" s="153">
        <v>2037</v>
      </c>
      <c r="B437" s="153">
        <v>4</v>
      </c>
      <c r="D437" s="281">
        <f t="shared" si="29"/>
        <v>15.852273244114858</v>
      </c>
      <c r="E437" s="279">
        <f t="shared" si="30"/>
        <v>15.693750511673709</v>
      </c>
      <c r="F437" s="173"/>
      <c r="G437" s="173">
        <v>30.29</v>
      </c>
      <c r="H437" s="154">
        <v>4285.6300704475543</v>
      </c>
      <c r="I437" s="190">
        <f>VLOOKUP($A437&amp;$B437,'KU Inputs'!$C$2:$I$505,MATCH('KU UtilityData'!I$1,'KU Inputs'!$C$1:$I$1,0),0)*1000</f>
        <v>5161152</v>
      </c>
      <c r="J437" s="190">
        <f>VLOOKUP($A437&amp;$B437,'KU Inputs'!$C$2:$I$505,MATCH('KU UtilityData'!J$1,'KU Inputs'!$C$1:$I$1,0),0)*1000</f>
        <v>2079442</v>
      </c>
      <c r="K437" s="265">
        <v>519661.69528018206</v>
      </c>
      <c r="L437" s="248">
        <v>497416.84</v>
      </c>
      <c r="M437" s="164">
        <v>147534.36711674201</v>
      </c>
      <c r="N437" s="190">
        <f>VLOOKUP($A437&amp;$B437,'KU Inputs'!$C$2:$I$505,MATCH('KU UtilityData'!N$1,'KU Inputs'!$C$1:$I$1,0),0)</f>
        <v>233443.413</v>
      </c>
      <c r="O437" s="190" t="e">
        <f>VLOOKUP($A437&amp;$B437,'KU Inputs'!$C$2:$I$505,MATCH('KU UtilityData'!O$1,'KU Inputs'!$C$1:$I$1,0),0)</f>
        <v>#N/A</v>
      </c>
      <c r="P437" s="264">
        <f t="shared" si="33"/>
        <v>440</v>
      </c>
      <c r="Q437" s="264">
        <f t="shared" si="33"/>
        <v>11.85</v>
      </c>
      <c r="R437" s="166">
        <v>4512</v>
      </c>
      <c r="S437" s="166">
        <v>1455</v>
      </c>
      <c r="T437" s="182">
        <f t="shared" si="31"/>
        <v>0</v>
      </c>
    </row>
    <row r="438" spans="1:20" x14ac:dyDescent="0.2">
      <c r="A438" s="153">
        <v>2037</v>
      </c>
      <c r="B438" s="153">
        <v>5</v>
      </c>
      <c r="D438" s="281">
        <f t="shared" si="29"/>
        <v>15.852273244114858</v>
      </c>
      <c r="E438" s="279">
        <f t="shared" si="30"/>
        <v>15.693750511673709</v>
      </c>
      <c r="F438" s="173"/>
      <c r="G438" s="173">
        <v>30.05</v>
      </c>
      <c r="H438" s="154">
        <v>4287.3207198141226</v>
      </c>
      <c r="I438" s="190">
        <f>VLOOKUP($A438&amp;$B438,'KU Inputs'!$C$2:$I$505,MATCH('KU UtilityData'!I$1,'KU Inputs'!$C$1:$I$1,0),0)*1000</f>
        <v>5161152</v>
      </c>
      <c r="J438" s="190">
        <f>VLOOKUP($A438&amp;$B438,'KU Inputs'!$C$2:$I$505,MATCH('KU UtilityData'!J$1,'KU Inputs'!$C$1:$I$1,0),0)*1000</f>
        <v>2079442</v>
      </c>
      <c r="K438" s="265">
        <v>520008.13641036878</v>
      </c>
      <c r="L438" s="248">
        <v>497416.84</v>
      </c>
      <c r="M438" s="164">
        <v>147534.36711674201</v>
      </c>
      <c r="N438" s="190">
        <f>VLOOKUP($A438&amp;$B438,'KU Inputs'!$C$2:$I$505,MATCH('KU UtilityData'!N$1,'KU Inputs'!$C$1:$I$1,0),0)</f>
        <v>233443.413</v>
      </c>
      <c r="O438" s="190" t="e">
        <f>VLOOKUP($A438&amp;$B438,'KU Inputs'!$C$2:$I$505,MATCH('KU UtilityData'!O$1,'KU Inputs'!$C$1:$I$1,0),0)</f>
        <v>#N/A</v>
      </c>
      <c r="P438" s="264">
        <f t="shared" ref="P438:Q457" si="34">P426</f>
        <v>187</v>
      </c>
      <c r="Q438" s="264">
        <f t="shared" si="34"/>
        <v>47</v>
      </c>
      <c r="R438" s="166">
        <v>4512</v>
      </c>
      <c r="S438" s="166">
        <v>1455</v>
      </c>
      <c r="T438" s="182">
        <f t="shared" si="31"/>
        <v>0</v>
      </c>
    </row>
    <row r="439" spans="1:20" x14ac:dyDescent="0.2">
      <c r="A439" s="153">
        <v>2037</v>
      </c>
      <c r="B439" s="153">
        <v>6</v>
      </c>
      <c r="D439" s="281">
        <f t="shared" si="29"/>
        <v>15.852273244114858</v>
      </c>
      <c r="E439" s="279">
        <f t="shared" si="30"/>
        <v>15.693750511673709</v>
      </c>
      <c r="F439" s="173"/>
      <c r="G439" s="173">
        <v>30.67</v>
      </c>
      <c r="H439" s="154">
        <v>4289.0113691806882</v>
      </c>
      <c r="I439" s="190">
        <f>VLOOKUP($A439&amp;$B439,'KU Inputs'!$C$2:$I$505,MATCH('KU UtilityData'!I$1,'KU Inputs'!$C$1:$I$1,0),0)*1000</f>
        <v>5161152</v>
      </c>
      <c r="J439" s="190">
        <f>VLOOKUP($A439&amp;$B439,'KU Inputs'!$C$2:$I$505,MATCH('KU UtilityData'!J$1,'KU Inputs'!$C$1:$I$1,0),0)*1000</f>
        <v>2079442</v>
      </c>
      <c r="K439" s="265">
        <v>520354.80850130902</v>
      </c>
      <c r="L439" s="248">
        <v>497416.84</v>
      </c>
      <c r="M439" s="164">
        <v>147534.36711674201</v>
      </c>
      <c r="N439" s="190">
        <f>VLOOKUP($A439&amp;$B439,'KU Inputs'!$C$2:$I$505,MATCH('KU UtilityData'!N$1,'KU Inputs'!$C$1:$I$1,0),0)</f>
        <v>233443.413</v>
      </c>
      <c r="O439" s="190" t="e">
        <f>VLOOKUP($A439&amp;$B439,'KU Inputs'!$C$2:$I$505,MATCH('KU UtilityData'!O$1,'KU Inputs'!$C$1:$I$1,0),0)</f>
        <v>#N/A</v>
      </c>
      <c r="P439" s="264">
        <f t="shared" si="34"/>
        <v>49</v>
      </c>
      <c r="Q439" s="264">
        <f t="shared" si="34"/>
        <v>171</v>
      </c>
      <c r="R439" s="166">
        <v>4512</v>
      </c>
      <c r="S439" s="166">
        <v>1455</v>
      </c>
      <c r="T439" s="182">
        <f t="shared" si="31"/>
        <v>0</v>
      </c>
    </row>
    <row r="440" spans="1:20" x14ac:dyDescent="0.2">
      <c r="A440" s="153">
        <v>2037</v>
      </c>
      <c r="B440" s="153">
        <v>7</v>
      </c>
      <c r="D440" s="281">
        <f t="shared" si="29"/>
        <v>15.852273244114858</v>
      </c>
      <c r="E440" s="279">
        <f t="shared" si="30"/>
        <v>15.693750511673709</v>
      </c>
      <c r="F440" s="173"/>
      <c r="G440" s="173">
        <v>30.62</v>
      </c>
      <c r="H440" s="154">
        <v>4290.6880691805372</v>
      </c>
      <c r="I440" s="190">
        <f>VLOOKUP($A440&amp;$B440,'KU Inputs'!$C$2:$I$505,MATCH('KU UtilityData'!I$1,'KU Inputs'!$C$1:$I$1,0),0)*1000</f>
        <v>5167811</v>
      </c>
      <c r="J440" s="190">
        <f>VLOOKUP($A440&amp;$B440,'KU Inputs'!$C$2:$I$505,MATCH('KU UtilityData'!J$1,'KU Inputs'!$C$1:$I$1,0),0)*1000</f>
        <v>2082416.0000000002</v>
      </c>
      <c r="K440" s="265">
        <v>520701.71170697652</v>
      </c>
      <c r="L440" s="248">
        <v>498067.18</v>
      </c>
      <c r="M440" s="164">
        <v>148086.38741009351</v>
      </c>
      <c r="N440" s="190">
        <f>VLOOKUP($A440&amp;$B440,'KU Inputs'!$C$2:$I$505,MATCH('KU UtilityData'!N$1,'KU Inputs'!$C$1:$I$1,0),0)</f>
        <v>234353.842</v>
      </c>
      <c r="O440" s="190" t="e">
        <f>VLOOKUP($A440&amp;$B440,'KU Inputs'!$C$2:$I$505,MATCH('KU UtilityData'!O$1,'KU Inputs'!$C$1:$I$1,0),0)</f>
        <v>#N/A</v>
      </c>
      <c r="P440" s="264">
        <f t="shared" si="34"/>
        <v>1</v>
      </c>
      <c r="Q440" s="264">
        <f t="shared" si="34"/>
        <v>325</v>
      </c>
      <c r="R440" s="166">
        <v>4512</v>
      </c>
      <c r="S440" s="166">
        <v>1455</v>
      </c>
      <c r="T440" s="182">
        <f t="shared" si="31"/>
        <v>0</v>
      </c>
    </row>
    <row r="441" spans="1:20" x14ac:dyDescent="0.2">
      <c r="A441" s="153">
        <v>2037</v>
      </c>
      <c r="B441" s="153">
        <v>8</v>
      </c>
      <c r="D441" s="281">
        <f t="shared" si="29"/>
        <v>15.852273244114858</v>
      </c>
      <c r="E441" s="279">
        <f t="shared" si="30"/>
        <v>15.693750511673709</v>
      </c>
      <c r="F441" s="173"/>
      <c r="G441" s="173">
        <v>29.52</v>
      </c>
      <c r="H441" s="154">
        <v>4292.3647691803853</v>
      </c>
      <c r="I441" s="190">
        <f>VLOOKUP($A441&amp;$B441,'KU Inputs'!$C$2:$I$505,MATCH('KU UtilityData'!I$1,'KU Inputs'!$C$1:$I$1,0),0)*1000</f>
        <v>5167811</v>
      </c>
      <c r="J441" s="190">
        <f>VLOOKUP($A441&amp;$B441,'KU Inputs'!$C$2:$I$505,MATCH('KU UtilityData'!J$1,'KU Inputs'!$C$1:$I$1,0),0)*1000</f>
        <v>2082416.0000000002</v>
      </c>
      <c r="K441" s="265">
        <v>521048.84618144779</v>
      </c>
      <c r="L441" s="248">
        <v>498067.18</v>
      </c>
      <c r="M441" s="164">
        <v>148086.38741009351</v>
      </c>
      <c r="N441" s="190">
        <f>VLOOKUP($A441&amp;$B441,'KU Inputs'!$C$2:$I$505,MATCH('KU UtilityData'!N$1,'KU Inputs'!$C$1:$I$1,0),0)</f>
        <v>234353.842</v>
      </c>
      <c r="O441" s="190" t="e">
        <f>VLOOKUP($A441&amp;$B441,'KU Inputs'!$C$2:$I$505,MATCH('KU UtilityData'!O$1,'KU Inputs'!$C$1:$I$1,0),0)</f>
        <v>#N/A</v>
      </c>
      <c r="P441" s="264">
        <f t="shared" si="34"/>
        <v>0</v>
      </c>
      <c r="Q441" s="264">
        <f t="shared" si="34"/>
        <v>341</v>
      </c>
      <c r="R441" s="166">
        <v>4512</v>
      </c>
      <c r="S441" s="166">
        <v>1455</v>
      </c>
      <c r="T441" s="182">
        <f t="shared" si="31"/>
        <v>0</v>
      </c>
    </row>
    <row r="442" spans="1:20" x14ac:dyDescent="0.2">
      <c r="A442" s="153">
        <v>2037</v>
      </c>
      <c r="B442" s="153">
        <v>9</v>
      </c>
      <c r="D442" s="281">
        <f t="shared" si="29"/>
        <v>15.852273244114858</v>
      </c>
      <c r="E442" s="279">
        <f t="shared" si="30"/>
        <v>15.693750511673709</v>
      </c>
      <c r="F442" s="173"/>
      <c r="G442" s="173">
        <v>30.71</v>
      </c>
      <c r="H442" s="154">
        <v>4294.0414691802334</v>
      </c>
      <c r="I442" s="190">
        <f>VLOOKUP($A442&amp;$B442,'KU Inputs'!$C$2:$I$505,MATCH('KU UtilityData'!I$1,'KU Inputs'!$C$1:$I$1,0),0)*1000</f>
        <v>5167811</v>
      </c>
      <c r="J442" s="190">
        <f>VLOOKUP($A442&amp;$B442,'KU Inputs'!$C$2:$I$505,MATCH('KU UtilityData'!J$1,'KU Inputs'!$C$1:$I$1,0),0)*1000</f>
        <v>2082416.0000000002</v>
      </c>
      <c r="K442" s="265">
        <v>521396.21207890206</v>
      </c>
      <c r="L442" s="248">
        <v>498067.18</v>
      </c>
      <c r="M442" s="164">
        <v>148086.38741009351</v>
      </c>
      <c r="N442" s="190">
        <f>VLOOKUP($A442&amp;$B442,'KU Inputs'!$C$2:$I$505,MATCH('KU UtilityData'!N$1,'KU Inputs'!$C$1:$I$1,0),0)</f>
        <v>234353.842</v>
      </c>
      <c r="O442" s="190" t="e">
        <f>VLOOKUP($A442&amp;$B442,'KU Inputs'!$C$2:$I$505,MATCH('KU UtilityData'!O$1,'KU Inputs'!$C$1:$I$1,0),0)</f>
        <v>#N/A</v>
      </c>
      <c r="P442" s="264">
        <f t="shared" si="34"/>
        <v>12</v>
      </c>
      <c r="Q442" s="264">
        <f t="shared" si="34"/>
        <v>261</v>
      </c>
      <c r="R442" s="166">
        <v>4512</v>
      </c>
      <c r="S442" s="166">
        <v>1455</v>
      </c>
      <c r="T442" s="182">
        <f t="shared" si="31"/>
        <v>0</v>
      </c>
    </row>
    <row r="443" spans="1:20" x14ac:dyDescent="0.2">
      <c r="A443" s="153">
        <v>2037</v>
      </c>
      <c r="B443" s="153">
        <v>10</v>
      </c>
      <c r="D443" s="281">
        <f t="shared" si="29"/>
        <v>15.852273244114858</v>
      </c>
      <c r="E443" s="279">
        <f t="shared" si="30"/>
        <v>15.693750511673709</v>
      </c>
      <c r="F443" s="173"/>
      <c r="G443" s="173">
        <v>29.52</v>
      </c>
      <c r="H443" s="154">
        <v>4295.7181691800824</v>
      </c>
      <c r="I443" s="190">
        <f>VLOOKUP($A443&amp;$B443,'KU Inputs'!$C$2:$I$505,MATCH('KU UtilityData'!I$1,'KU Inputs'!$C$1:$I$1,0),0)*1000</f>
        <v>5174454</v>
      </c>
      <c r="J443" s="190">
        <f>VLOOKUP($A443&amp;$B443,'KU Inputs'!$C$2:$I$505,MATCH('KU UtilityData'!J$1,'KU Inputs'!$C$1:$I$1,0),0)*1000</f>
        <v>2085362</v>
      </c>
      <c r="K443" s="265">
        <v>521743.80955362128</v>
      </c>
      <c r="L443" s="248">
        <v>498711.4</v>
      </c>
      <c r="M443" s="164">
        <v>148683.67861456331</v>
      </c>
      <c r="N443" s="190">
        <f>VLOOKUP($A443&amp;$B443,'KU Inputs'!$C$2:$I$505,MATCH('KU UtilityData'!N$1,'KU Inputs'!$C$1:$I$1,0),0)</f>
        <v>235229.45199999999</v>
      </c>
      <c r="O443" s="190" t="e">
        <f>VLOOKUP($A443&amp;$B443,'KU Inputs'!$C$2:$I$505,MATCH('KU UtilityData'!O$1,'KU Inputs'!$C$1:$I$1,0),0)</f>
        <v>#N/A</v>
      </c>
      <c r="P443" s="264">
        <f t="shared" si="34"/>
        <v>136</v>
      </c>
      <c r="Q443" s="264">
        <f t="shared" si="34"/>
        <v>73</v>
      </c>
      <c r="R443" s="166">
        <v>4512</v>
      </c>
      <c r="S443" s="166">
        <v>1455</v>
      </c>
      <c r="T443" s="182">
        <f t="shared" si="31"/>
        <v>0</v>
      </c>
    </row>
    <row r="444" spans="1:20" x14ac:dyDescent="0.2">
      <c r="A444" s="153">
        <v>2037</v>
      </c>
      <c r="B444" s="153">
        <v>11</v>
      </c>
      <c r="D444" s="281">
        <f t="shared" si="29"/>
        <v>15.852273244114858</v>
      </c>
      <c r="E444" s="279">
        <f t="shared" si="30"/>
        <v>15.693750511673709</v>
      </c>
      <c r="F444" s="173"/>
      <c r="G444" s="173">
        <v>29.38</v>
      </c>
      <c r="H444" s="154">
        <v>4297.3948691799305</v>
      </c>
      <c r="I444" s="190">
        <f>VLOOKUP($A444&amp;$B444,'KU Inputs'!$C$2:$I$505,MATCH('KU UtilityData'!I$1,'KU Inputs'!$C$1:$I$1,0),0)*1000</f>
        <v>5174454</v>
      </c>
      <c r="J444" s="190">
        <f>VLOOKUP($A444&amp;$B444,'KU Inputs'!$C$2:$I$505,MATCH('KU UtilityData'!J$1,'KU Inputs'!$C$1:$I$1,0),0)*1000</f>
        <v>2085362</v>
      </c>
      <c r="K444" s="265">
        <v>522091.63875999034</v>
      </c>
      <c r="L444" s="248">
        <v>498711.4</v>
      </c>
      <c r="M444" s="164">
        <v>148683.67861456331</v>
      </c>
      <c r="N444" s="190">
        <f>VLOOKUP($A444&amp;$B444,'KU Inputs'!$C$2:$I$505,MATCH('KU UtilityData'!N$1,'KU Inputs'!$C$1:$I$1,0),0)</f>
        <v>235229.45199999999</v>
      </c>
      <c r="O444" s="190" t="e">
        <f>VLOOKUP($A444&amp;$B444,'KU Inputs'!$C$2:$I$505,MATCH('KU UtilityData'!O$1,'KU Inputs'!$C$1:$I$1,0),0)</f>
        <v>#N/A</v>
      </c>
      <c r="P444" s="264">
        <f t="shared" si="34"/>
        <v>394</v>
      </c>
      <c r="Q444" s="264">
        <f t="shared" si="34"/>
        <v>7</v>
      </c>
      <c r="R444" s="166">
        <v>4512</v>
      </c>
      <c r="S444" s="166">
        <v>1455</v>
      </c>
      <c r="T444" s="182">
        <f t="shared" si="31"/>
        <v>0</v>
      </c>
    </row>
    <row r="445" spans="1:20" x14ac:dyDescent="0.2">
      <c r="A445" s="153">
        <v>2037</v>
      </c>
      <c r="B445" s="153">
        <v>12</v>
      </c>
      <c r="D445" s="281">
        <f t="shared" si="29"/>
        <v>15.852273244114858</v>
      </c>
      <c r="E445" s="279">
        <f t="shared" si="30"/>
        <v>15.693750511673709</v>
      </c>
      <c r="F445" s="173"/>
      <c r="G445" s="173">
        <v>32.81</v>
      </c>
      <c r="H445" s="154">
        <v>4299.0715691797786</v>
      </c>
      <c r="I445" s="190">
        <f>VLOOKUP($A445&amp;$B445,'KU Inputs'!$C$2:$I$505,MATCH('KU UtilityData'!I$1,'KU Inputs'!$C$1:$I$1,0),0)*1000</f>
        <v>5174454</v>
      </c>
      <c r="J445" s="190">
        <f>VLOOKUP($A445&amp;$B445,'KU Inputs'!$C$2:$I$505,MATCH('KU UtilityData'!J$1,'KU Inputs'!$C$1:$I$1,0),0)*1000</f>
        <v>2085362</v>
      </c>
      <c r="K445" s="265">
        <v>522439.69985249697</v>
      </c>
      <c r="L445" s="248">
        <v>498711.4</v>
      </c>
      <c r="M445" s="164">
        <v>148683.67861456331</v>
      </c>
      <c r="N445" s="190">
        <f>VLOOKUP($A445&amp;$B445,'KU Inputs'!$C$2:$I$505,MATCH('KU UtilityData'!N$1,'KU Inputs'!$C$1:$I$1,0),0)</f>
        <v>235229.45199999999</v>
      </c>
      <c r="O445" s="190" t="e">
        <f>VLOOKUP($A445&amp;$B445,'KU Inputs'!$C$2:$I$505,MATCH('KU UtilityData'!O$1,'KU Inputs'!$C$1:$I$1,0),0)</f>
        <v>#N/A</v>
      </c>
      <c r="P445" s="264">
        <f t="shared" si="34"/>
        <v>706</v>
      </c>
      <c r="Q445" s="264">
        <f t="shared" si="34"/>
        <v>0.2</v>
      </c>
      <c r="R445" s="166">
        <v>4512</v>
      </c>
      <c r="S445" s="166">
        <v>1455</v>
      </c>
      <c r="T445" s="182">
        <f t="shared" si="31"/>
        <v>0</v>
      </c>
    </row>
    <row r="446" spans="1:20" x14ac:dyDescent="0.2">
      <c r="A446" s="153">
        <v>2038</v>
      </c>
      <c r="B446" s="153">
        <v>1</v>
      </c>
      <c r="D446" s="281">
        <f t="shared" si="29"/>
        <v>16.169318708997157</v>
      </c>
      <c r="E446" s="279">
        <f t="shared" si="30"/>
        <v>16.007625521907183</v>
      </c>
      <c r="F446" s="173"/>
      <c r="G446" s="173">
        <v>32.43</v>
      </c>
      <c r="H446" s="154">
        <v>4300.7482691796276</v>
      </c>
      <c r="I446" s="190">
        <f>VLOOKUP($A446&amp;$B446,'KU Inputs'!$C$2:$I$505,MATCH('KU UtilityData'!I$1,'KU Inputs'!$C$1:$I$1,0),0)*1000</f>
        <v>5181100</v>
      </c>
      <c r="J446" s="190">
        <f>VLOOKUP($A446&amp;$B446,'KU Inputs'!$C$2:$I$505,MATCH('KU UtilityData'!J$1,'KU Inputs'!$C$1:$I$1,0),0)*1000</f>
        <v>2088344</v>
      </c>
      <c r="K446" s="265">
        <v>522787.99298573192</v>
      </c>
      <c r="L446" s="248">
        <v>499363.49</v>
      </c>
      <c r="M446" s="164">
        <v>149185.49427033891</v>
      </c>
      <c r="N446" s="190">
        <f>VLOOKUP($A446&amp;$B446,'KU Inputs'!$C$2:$I$505,MATCH('KU UtilityData'!N$1,'KU Inputs'!$C$1:$I$1,0),0)</f>
        <v>237001.329</v>
      </c>
      <c r="O446" s="190" t="e">
        <f>VLOOKUP($A446&amp;$B446,'KU Inputs'!$C$2:$I$505,MATCH('KU UtilityData'!O$1,'KU Inputs'!$C$1:$I$1,0),0)</f>
        <v>#N/A</v>
      </c>
      <c r="P446" s="264">
        <f t="shared" si="34"/>
        <v>996</v>
      </c>
      <c r="Q446" s="264">
        <f t="shared" si="34"/>
        <v>0</v>
      </c>
      <c r="R446" s="166">
        <v>4512</v>
      </c>
      <c r="S446" s="166">
        <v>1455</v>
      </c>
      <c r="T446" s="182">
        <f t="shared" si="31"/>
        <v>0</v>
      </c>
    </row>
    <row r="447" spans="1:20" x14ac:dyDescent="0.2">
      <c r="A447" s="153">
        <v>2038</v>
      </c>
      <c r="B447" s="153">
        <v>2</v>
      </c>
      <c r="D447" s="281">
        <f t="shared" si="29"/>
        <v>16.169318708997157</v>
      </c>
      <c r="E447" s="279">
        <f t="shared" si="30"/>
        <v>16.007625521907183</v>
      </c>
      <c r="F447" s="173"/>
      <c r="G447" s="173">
        <v>29.9</v>
      </c>
      <c r="H447" s="154">
        <v>4302.4249691794757</v>
      </c>
      <c r="I447" s="190">
        <f>VLOOKUP($A447&amp;$B447,'KU Inputs'!$C$2:$I$505,MATCH('KU UtilityData'!I$1,'KU Inputs'!$C$1:$I$1,0),0)*1000</f>
        <v>5181100</v>
      </c>
      <c r="J447" s="190">
        <f>VLOOKUP($A447&amp;$B447,'KU Inputs'!$C$2:$I$505,MATCH('KU UtilityData'!J$1,'KU Inputs'!$C$1:$I$1,0),0)*1000</f>
        <v>2088344</v>
      </c>
      <c r="K447" s="265">
        <v>523136.51831438905</v>
      </c>
      <c r="L447" s="248">
        <v>499363.49</v>
      </c>
      <c r="M447" s="164">
        <v>149185.49427033891</v>
      </c>
      <c r="N447" s="190">
        <f>VLOOKUP($A447&amp;$B447,'KU Inputs'!$C$2:$I$505,MATCH('KU UtilityData'!N$1,'KU Inputs'!$C$1:$I$1,0),0)</f>
        <v>237001.329</v>
      </c>
      <c r="O447" s="190" t="e">
        <f>VLOOKUP($A447&amp;$B447,'KU Inputs'!$C$2:$I$505,MATCH('KU UtilityData'!O$1,'KU Inputs'!$C$1:$I$1,0),0)</f>
        <v>#N/A</v>
      </c>
      <c r="P447" s="264">
        <f t="shared" si="34"/>
        <v>889.8</v>
      </c>
      <c r="Q447" s="264">
        <f t="shared" si="34"/>
        <v>0</v>
      </c>
      <c r="R447" s="166">
        <v>4512</v>
      </c>
      <c r="S447" s="166">
        <v>1455</v>
      </c>
      <c r="T447" s="182">
        <f t="shared" si="31"/>
        <v>0</v>
      </c>
    </row>
    <row r="448" spans="1:20" x14ac:dyDescent="0.2">
      <c r="A448" s="153">
        <v>2038</v>
      </c>
      <c r="B448" s="153">
        <v>3</v>
      </c>
      <c r="D448" s="281">
        <f t="shared" si="29"/>
        <v>16.169318708997157</v>
      </c>
      <c r="E448" s="279">
        <f t="shared" si="30"/>
        <v>16.007625521907183</v>
      </c>
      <c r="F448" s="173"/>
      <c r="G448" s="173">
        <v>30.33</v>
      </c>
      <c r="H448" s="154">
        <v>4304.1016691793238</v>
      </c>
      <c r="I448" s="190">
        <f>VLOOKUP($A448&amp;$B448,'KU Inputs'!$C$2:$I$505,MATCH('KU UtilityData'!I$1,'KU Inputs'!$C$1:$I$1,0),0)*1000</f>
        <v>5181100</v>
      </c>
      <c r="J448" s="190">
        <f>VLOOKUP($A448&amp;$B448,'KU Inputs'!$C$2:$I$505,MATCH('KU UtilityData'!J$1,'KU Inputs'!$C$1:$I$1,0),0)*1000</f>
        <v>2088344</v>
      </c>
      <c r="K448" s="265">
        <v>523485.27599326527</v>
      </c>
      <c r="L448" s="248">
        <v>499363.49</v>
      </c>
      <c r="M448" s="164">
        <v>149185.49427033891</v>
      </c>
      <c r="N448" s="190">
        <f>VLOOKUP($A448&amp;$B448,'KU Inputs'!$C$2:$I$505,MATCH('KU UtilityData'!N$1,'KU Inputs'!$C$1:$I$1,0),0)</f>
        <v>237001.329</v>
      </c>
      <c r="O448" s="190" t="e">
        <f>VLOOKUP($A448&amp;$B448,'KU Inputs'!$C$2:$I$505,MATCH('KU UtilityData'!O$1,'KU Inputs'!$C$1:$I$1,0),0)</f>
        <v>#N/A</v>
      </c>
      <c r="P448" s="264">
        <f t="shared" si="34"/>
        <v>729</v>
      </c>
      <c r="Q448" s="264">
        <f t="shared" si="34"/>
        <v>0.45</v>
      </c>
      <c r="R448" s="166">
        <v>4512</v>
      </c>
      <c r="S448" s="166">
        <v>1455</v>
      </c>
      <c r="T448" s="182">
        <f t="shared" si="31"/>
        <v>0</v>
      </c>
    </row>
    <row r="449" spans="1:20" x14ac:dyDescent="0.2">
      <c r="A449" s="153">
        <v>2038</v>
      </c>
      <c r="B449" s="153">
        <v>4</v>
      </c>
      <c r="D449" s="281">
        <f t="shared" si="29"/>
        <v>16.169318708997157</v>
      </c>
      <c r="E449" s="279">
        <f t="shared" si="30"/>
        <v>16.007625521907183</v>
      </c>
      <c r="F449" s="173"/>
      <c r="G449" s="173">
        <v>30.29</v>
      </c>
      <c r="H449" s="154">
        <v>4305.7783691791728</v>
      </c>
      <c r="I449" s="190">
        <f>VLOOKUP($A449&amp;$B449,'KU Inputs'!$C$2:$I$505,MATCH('KU UtilityData'!I$1,'KU Inputs'!$C$1:$I$1,0),0)*1000</f>
        <v>5187749</v>
      </c>
      <c r="J449" s="190">
        <f>VLOOKUP($A449&amp;$B449,'KU Inputs'!$C$2:$I$505,MATCH('KU UtilityData'!J$1,'KU Inputs'!$C$1:$I$1,0),0)*1000</f>
        <v>2091375</v>
      </c>
      <c r="K449" s="265">
        <v>523834.26617726072</v>
      </c>
      <c r="L449" s="248">
        <v>500026.3</v>
      </c>
      <c r="M449" s="164">
        <v>150050.48527940348</v>
      </c>
      <c r="N449" s="190">
        <f>VLOOKUP($A449&amp;$B449,'KU Inputs'!$C$2:$I$505,MATCH('KU UtilityData'!N$1,'KU Inputs'!$C$1:$I$1,0),0)</f>
        <v>237918.01</v>
      </c>
      <c r="O449" s="190" t="e">
        <f>VLOOKUP($A449&amp;$B449,'KU Inputs'!$C$2:$I$505,MATCH('KU UtilityData'!O$1,'KU Inputs'!$C$1:$I$1,0),0)</f>
        <v>#N/A</v>
      </c>
      <c r="P449" s="264">
        <f t="shared" si="34"/>
        <v>440</v>
      </c>
      <c r="Q449" s="264">
        <f t="shared" si="34"/>
        <v>11.85</v>
      </c>
      <c r="R449" s="166">
        <v>4512</v>
      </c>
      <c r="S449" s="166">
        <v>1455</v>
      </c>
      <c r="T449" s="182">
        <f t="shared" si="31"/>
        <v>0</v>
      </c>
    </row>
    <row r="450" spans="1:20" x14ac:dyDescent="0.2">
      <c r="A450" s="153">
        <v>2038</v>
      </c>
      <c r="B450" s="153">
        <v>5</v>
      </c>
      <c r="D450" s="281">
        <f t="shared" si="29"/>
        <v>16.169318708997157</v>
      </c>
      <c r="E450" s="279">
        <f t="shared" si="30"/>
        <v>16.007625521907183</v>
      </c>
      <c r="F450" s="173"/>
      <c r="G450" s="173">
        <v>30.05</v>
      </c>
      <c r="H450" s="154">
        <v>4307.4550691790209</v>
      </c>
      <c r="I450" s="190">
        <f>VLOOKUP($A450&amp;$B450,'KU Inputs'!$C$2:$I$505,MATCH('KU UtilityData'!I$1,'KU Inputs'!$C$1:$I$1,0),0)*1000</f>
        <v>5187749</v>
      </c>
      <c r="J450" s="190">
        <f>VLOOKUP($A450&amp;$B450,'KU Inputs'!$C$2:$I$505,MATCH('KU UtilityData'!J$1,'KU Inputs'!$C$1:$I$1,0),0)*1000</f>
        <v>2091375</v>
      </c>
      <c r="K450" s="265">
        <v>524183.48902137886</v>
      </c>
      <c r="L450" s="248">
        <v>500026.3</v>
      </c>
      <c r="M450" s="164">
        <v>150050.48527940348</v>
      </c>
      <c r="N450" s="190">
        <f>VLOOKUP($A450&amp;$B450,'KU Inputs'!$C$2:$I$505,MATCH('KU UtilityData'!N$1,'KU Inputs'!$C$1:$I$1,0),0)</f>
        <v>237918.01</v>
      </c>
      <c r="O450" s="190" t="e">
        <f>VLOOKUP($A450&amp;$B450,'KU Inputs'!$C$2:$I$505,MATCH('KU UtilityData'!O$1,'KU Inputs'!$C$1:$I$1,0),0)</f>
        <v>#N/A</v>
      </c>
      <c r="P450" s="264">
        <f t="shared" si="34"/>
        <v>187</v>
      </c>
      <c r="Q450" s="264">
        <f t="shared" si="34"/>
        <v>47</v>
      </c>
      <c r="R450" s="166">
        <v>4512</v>
      </c>
      <c r="S450" s="166">
        <v>1455</v>
      </c>
      <c r="T450" s="182">
        <f t="shared" si="31"/>
        <v>0</v>
      </c>
    </row>
    <row r="451" spans="1:20" x14ac:dyDescent="0.2">
      <c r="A451" s="153">
        <v>2038</v>
      </c>
      <c r="B451" s="153">
        <v>6</v>
      </c>
      <c r="D451" s="281">
        <f t="shared" ref="D451:D505" si="35">D439*(1+0.02)</f>
        <v>16.169318708997157</v>
      </c>
      <c r="E451" s="279">
        <f t="shared" si="30"/>
        <v>16.007625521907183</v>
      </c>
      <c r="F451" s="173"/>
      <c r="G451" s="173">
        <v>30.67</v>
      </c>
      <c r="H451" s="154">
        <v>4309.1317691788645</v>
      </c>
      <c r="I451" s="190">
        <f>VLOOKUP($A451&amp;$B451,'KU Inputs'!$C$2:$I$505,MATCH('KU UtilityData'!I$1,'KU Inputs'!$C$1:$I$1,0),0)*1000</f>
        <v>5187749</v>
      </c>
      <c r="J451" s="190">
        <f>VLOOKUP($A451&amp;$B451,'KU Inputs'!$C$2:$I$505,MATCH('KU UtilityData'!J$1,'KU Inputs'!$C$1:$I$1,0),0)*1000</f>
        <v>2091375</v>
      </c>
      <c r="K451" s="265">
        <v>524532.94468072639</v>
      </c>
      <c r="L451" s="248">
        <v>500026.3</v>
      </c>
      <c r="M451" s="164">
        <v>150050.48527940348</v>
      </c>
      <c r="N451" s="190">
        <f>VLOOKUP($A451&amp;$B451,'KU Inputs'!$C$2:$I$505,MATCH('KU UtilityData'!N$1,'KU Inputs'!$C$1:$I$1,0),0)</f>
        <v>237918.01</v>
      </c>
      <c r="O451" s="190" t="e">
        <f>VLOOKUP($A451&amp;$B451,'KU Inputs'!$C$2:$I$505,MATCH('KU UtilityData'!O$1,'KU Inputs'!$C$1:$I$1,0),0)</f>
        <v>#N/A</v>
      </c>
      <c r="P451" s="264">
        <f t="shared" si="34"/>
        <v>49</v>
      </c>
      <c r="Q451" s="264">
        <f t="shared" si="34"/>
        <v>171</v>
      </c>
      <c r="R451" s="166">
        <v>4512</v>
      </c>
      <c r="S451" s="166">
        <v>1455</v>
      </c>
      <c r="T451" s="182">
        <f t="shared" si="31"/>
        <v>0</v>
      </c>
    </row>
    <row r="452" spans="1:20" x14ac:dyDescent="0.2">
      <c r="A452" s="153">
        <v>2038</v>
      </c>
      <c r="B452" s="153">
        <v>7</v>
      </c>
      <c r="D452" s="281">
        <f t="shared" si="35"/>
        <v>16.169318708997157</v>
      </c>
      <c r="E452" s="279">
        <f t="shared" si="30"/>
        <v>16.007625521907183</v>
      </c>
      <c r="F452" s="173"/>
      <c r="G452" s="173">
        <v>30.62</v>
      </c>
      <c r="H452" s="154">
        <v>4310.8027089924553</v>
      </c>
      <c r="I452" s="190">
        <f>VLOOKUP($A452&amp;$B452,'KU Inputs'!$C$2:$I$505,MATCH('KU UtilityData'!I$1,'KU Inputs'!$C$1:$I$1,0),0)*1000</f>
        <v>5194402</v>
      </c>
      <c r="J452" s="190">
        <f>VLOOKUP($A452&amp;$B452,'KU Inputs'!$C$2:$I$505,MATCH('KU UtilityData'!J$1,'KU Inputs'!$C$1:$I$1,0),0)*1000</f>
        <v>2094380.9999999998</v>
      </c>
      <c r="K452" s="265">
        <v>524882.63331051345</v>
      </c>
      <c r="L452" s="248">
        <v>500683.64</v>
      </c>
      <c r="M452" s="164">
        <v>150574.37002448901</v>
      </c>
      <c r="N452" s="190">
        <f>VLOOKUP($A452&amp;$B452,'KU Inputs'!$C$2:$I$505,MATCH('KU UtilityData'!N$1,'KU Inputs'!$C$1:$I$1,0),0)</f>
        <v>238774.076</v>
      </c>
      <c r="O452" s="190" t="e">
        <f>VLOOKUP($A452&amp;$B452,'KU Inputs'!$C$2:$I$505,MATCH('KU UtilityData'!O$1,'KU Inputs'!$C$1:$I$1,0),0)</f>
        <v>#N/A</v>
      </c>
      <c r="P452" s="264">
        <f t="shared" si="34"/>
        <v>1</v>
      </c>
      <c r="Q452" s="264">
        <f t="shared" si="34"/>
        <v>325</v>
      </c>
      <c r="R452" s="166">
        <v>4512</v>
      </c>
      <c r="S452" s="166">
        <v>1455</v>
      </c>
      <c r="T452" s="182">
        <f t="shared" si="31"/>
        <v>0</v>
      </c>
    </row>
    <row r="453" spans="1:20" x14ac:dyDescent="0.2">
      <c r="A453" s="153">
        <v>2038</v>
      </c>
      <c r="B453" s="153">
        <v>8</v>
      </c>
      <c r="D453" s="281">
        <f t="shared" si="35"/>
        <v>16.169318708997157</v>
      </c>
      <c r="E453" s="279">
        <f t="shared" si="30"/>
        <v>16.007625521907183</v>
      </c>
      <c r="F453" s="173"/>
      <c r="G453" s="173">
        <v>29.52</v>
      </c>
      <c r="H453" s="154">
        <v>4312.4736488060462</v>
      </c>
      <c r="I453" s="190">
        <f>VLOOKUP($A453&amp;$B453,'KU Inputs'!$C$2:$I$505,MATCH('KU UtilityData'!I$1,'KU Inputs'!$C$1:$I$1,0),0)*1000</f>
        <v>5194402</v>
      </c>
      <c r="J453" s="190">
        <f>VLOOKUP($A453&amp;$B453,'KU Inputs'!$C$2:$I$505,MATCH('KU UtilityData'!J$1,'KU Inputs'!$C$1:$I$1,0),0)*1000</f>
        <v>2094380.9999999998</v>
      </c>
      <c r="K453" s="265">
        <v>525232.55506605376</v>
      </c>
      <c r="L453" s="248">
        <v>500683.64</v>
      </c>
      <c r="M453" s="164">
        <v>150574.37002448901</v>
      </c>
      <c r="N453" s="190">
        <f>VLOOKUP($A453&amp;$B453,'KU Inputs'!$C$2:$I$505,MATCH('KU UtilityData'!N$1,'KU Inputs'!$C$1:$I$1,0),0)</f>
        <v>238774.076</v>
      </c>
      <c r="O453" s="190" t="e">
        <f>VLOOKUP($A453&amp;$B453,'KU Inputs'!$C$2:$I$505,MATCH('KU UtilityData'!O$1,'KU Inputs'!$C$1:$I$1,0),0)</f>
        <v>#N/A</v>
      </c>
      <c r="P453" s="264">
        <f t="shared" si="34"/>
        <v>0</v>
      </c>
      <c r="Q453" s="264">
        <f t="shared" si="34"/>
        <v>341</v>
      </c>
      <c r="R453" s="166">
        <v>4512</v>
      </c>
      <c r="S453" s="166">
        <v>1455</v>
      </c>
      <c r="T453" s="182">
        <f t="shared" si="31"/>
        <v>0</v>
      </c>
    </row>
    <row r="454" spans="1:20" x14ac:dyDescent="0.2">
      <c r="A454" s="153">
        <v>2038</v>
      </c>
      <c r="B454" s="153">
        <v>9</v>
      </c>
      <c r="D454" s="281">
        <f t="shared" si="35"/>
        <v>16.169318708997157</v>
      </c>
      <c r="E454" s="279">
        <f t="shared" si="30"/>
        <v>16.007625521907183</v>
      </c>
      <c r="F454" s="173"/>
      <c r="G454" s="173">
        <v>30.71</v>
      </c>
      <c r="H454" s="154">
        <v>4314.1445886196361</v>
      </c>
      <c r="I454" s="190">
        <f>VLOOKUP($A454&amp;$B454,'KU Inputs'!$C$2:$I$505,MATCH('KU UtilityData'!I$1,'KU Inputs'!$C$1:$I$1,0),0)*1000</f>
        <v>5194402</v>
      </c>
      <c r="J454" s="190">
        <f>VLOOKUP($A454&amp;$B454,'KU Inputs'!$C$2:$I$505,MATCH('KU UtilityData'!J$1,'KU Inputs'!$C$1:$I$1,0),0)*1000</f>
        <v>2094380.9999999998</v>
      </c>
      <c r="K454" s="265">
        <v>525582.71010276442</v>
      </c>
      <c r="L454" s="248">
        <v>500683.64</v>
      </c>
      <c r="M454" s="164">
        <v>150574.37002448901</v>
      </c>
      <c r="N454" s="190">
        <f>VLOOKUP($A454&amp;$B454,'KU Inputs'!$C$2:$I$505,MATCH('KU UtilityData'!N$1,'KU Inputs'!$C$1:$I$1,0),0)</f>
        <v>238774.076</v>
      </c>
      <c r="O454" s="190" t="e">
        <f>VLOOKUP($A454&amp;$B454,'KU Inputs'!$C$2:$I$505,MATCH('KU UtilityData'!O$1,'KU Inputs'!$C$1:$I$1,0),0)</f>
        <v>#N/A</v>
      </c>
      <c r="P454" s="264">
        <f t="shared" si="34"/>
        <v>12</v>
      </c>
      <c r="Q454" s="264">
        <f t="shared" si="34"/>
        <v>261</v>
      </c>
      <c r="R454" s="166">
        <v>4512</v>
      </c>
      <c r="S454" s="166">
        <v>1455</v>
      </c>
      <c r="T454" s="182">
        <f t="shared" si="31"/>
        <v>0</v>
      </c>
    </row>
    <row r="455" spans="1:20" x14ac:dyDescent="0.2">
      <c r="A455" s="153">
        <v>2038</v>
      </c>
      <c r="B455" s="153">
        <v>10</v>
      </c>
      <c r="D455" s="281">
        <f t="shared" si="35"/>
        <v>16.169318708997157</v>
      </c>
      <c r="E455" s="279">
        <f t="shared" ref="E455:E493" si="36">D455*0.99</f>
        <v>16.007625521907183</v>
      </c>
      <c r="F455" s="173"/>
      <c r="G455" s="173">
        <v>29.52</v>
      </c>
      <c r="H455" s="154">
        <v>4315.815528433227</v>
      </c>
      <c r="I455" s="190">
        <f>VLOOKUP($A455&amp;$B455,'KU Inputs'!$C$2:$I$505,MATCH('KU UtilityData'!I$1,'KU Inputs'!$C$1:$I$1,0),0)*1000</f>
        <v>5201086</v>
      </c>
      <c r="J455" s="190">
        <f>VLOOKUP($A455&amp;$B455,'KU Inputs'!$C$2:$I$505,MATCH('KU UtilityData'!J$1,'KU Inputs'!$C$1:$I$1,0),0)*1000</f>
        <v>2097399</v>
      </c>
      <c r="K455" s="265">
        <v>525933.0985761662</v>
      </c>
      <c r="L455" s="248">
        <v>501343.61</v>
      </c>
      <c r="M455" s="164">
        <v>151195.33120001521</v>
      </c>
      <c r="N455" s="190">
        <f>VLOOKUP($A455&amp;$B455,'KU Inputs'!$C$2:$I$505,MATCH('KU UtilityData'!N$1,'KU Inputs'!$C$1:$I$1,0),0)</f>
        <v>239533.158</v>
      </c>
      <c r="O455" s="190" t="e">
        <f>VLOOKUP($A455&amp;$B455,'KU Inputs'!$C$2:$I$505,MATCH('KU UtilityData'!O$1,'KU Inputs'!$C$1:$I$1,0),0)</f>
        <v>#N/A</v>
      </c>
      <c r="P455" s="264">
        <f t="shared" si="34"/>
        <v>136</v>
      </c>
      <c r="Q455" s="264">
        <f t="shared" si="34"/>
        <v>73</v>
      </c>
      <c r="R455" s="166">
        <v>4512</v>
      </c>
      <c r="S455" s="166">
        <v>1455</v>
      </c>
      <c r="T455" s="182">
        <f t="shared" si="31"/>
        <v>0</v>
      </c>
    </row>
    <row r="456" spans="1:20" x14ac:dyDescent="0.2">
      <c r="A456" s="153">
        <v>2038</v>
      </c>
      <c r="B456" s="153">
        <v>11</v>
      </c>
      <c r="D456" s="281">
        <f t="shared" si="35"/>
        <v>16.169318708997157</v>
      </c>
      <c r="E456" s="279">
        <f t="shared" si="36"/>
        <v>16.007625521907183</v>
      </c>
      <c r="F456" s="173"/>
      <c r="G456" s="173">
        <v>29.38</v>
      </c>
      <c r="H456" s="154">
        <v>4317.4864682468178</v>
      </c>
      <c r="I456" s="190">
        <f>VLOOKUP($A456&amp;$B456,'KU Inputs'!$C$2:$I$505,MATCH('KU UtilityData'!I$1,'KU Inputs'!$C$1:$I$1,0),0)*1000</f>
        <v>5201086</v>
      </c>
      <c r="J456" s="190">
        <f>VLOOKUP($A456&amp;$B456,'KU Inputs'!$C$2:$I$505,MATCH('KU UtilityData'!J$1,'KU Inputs'!$C$1:$I$1,0),0)*1000</f>
        <v>2097399</v>
      </c>
      <c r="K456" s="265">
        <v>526283.72064188356</v>
      </c>
      <c r="L456" s="248">
        <v>501343.61</v>
      </c>
      <c r="M456" s="164">
        <v>151195.33120001521</v>
      </c>
      <c r="N456" s="190">
        <f>VLOOKUP($A456&amp;$B456,'KU Inputs'!$C$2:$I$505,MATCH('KU UtilityData'!N$1,'KU Inputs'!$C$1:$I$1,0),0)</f>
        <v>239533.158</v>
      </c>
      <c r="O456" s="190" t="e">
        <f>VLOOKUP($A456&amp;$B456,'KU Inputs'!$C$2:$I$505,MATCH('KU UtilityData'!O$1,'KU Inputs'!$C$1:$I$1,0),0)</f>
        <v>#N/A</v>
      </c>
      <c r="P456" s="264">
        <f t="shared" si="34"/>
        <v>394</v>
      </c>
      <c r="Q456" s="264">
        <f t="shared" si="34"/>
        <v>7</v>
      </c>
      <c r="R456" s="166">
        <v>4512</v>
      </c>
      <c r="S456" s="166">
        <v>1455</v>
      </c>
      <c r="T456" s="182">
        <f t="shared" si="31"/>
        <v>0</v>
      </c>
    </row>
    <row r="457" spans="1:20" x14ac:dyDescent="0.2">
      <c r="A457" s="153">
        <v>2038</v>
      </c>
      <c r="B457" s="153">
        <v>12</v>
      </c>
      <c r="D457" s="281">
        <f t="shared" si="35"/>
        <v>16.169318708997157</v>
      </c>
      <c r="E457" s="279">
        <f t="shared" si="36"/>
        <v>16.007625521907183</v>
      </c>
      <c r="F457" s="173"/>
      <c r="G457" s="173">
        <v>32.81</v>
      </c>
      <c r="H457" s="154">
        <v>4319.1574080604078</v>
      </c>
      <c r="I457" s="190">
        <f>VLOOKUP($A457&amp;$B457,'KU Inputs'!$C$2:$I$505,MATCH('KU UtilityData'!I$1,'KU Inputs'!$C$1:$I$1,0),0)*1000</f>
        <v>5201086</v>
      </c>
      <c r="J457" s="190">
        <f>VLOOKUP($A457&amp;$B457,'KU Inputs'!$C$2:$I$505,MATCH('KU UtilityData'!J$1,'KU Inputs'!$C$1:$I$1,0),0)*1000</f>
        <v>2097399</v>
      </c>
      <c r="K457" s="265">
        <v>526634.5764556448</v>
      </c>
      <c r="L457" s="248">
        <v>501343.61</v>
      </c>
      <c r="M457" s="164">
        <v>151195.33120001521</v>
      </c>
      <c r="N457" s="190">
        <f>VLOOKUP($A457&amp;$B457,'KU Inputs'!$C$2:$I$505,MATCH('KU UtilityData'!N$1,'KU Inputs'!$C$1:$I$1,0),0)</f>
        <v>239533.158</v>
      </c>
      <c r="O457" s="190" t="e">
        <f>VLOOKUP($A457&amp;$B457,'KU Inputs'!$C$2:$I$505,MATCH('KU UtilityData'!O$1,'KU Inputs'!$C$1:$I$1,0),0)</f>
        <v>#N/A</v>
      </c>
      <c r="P457" s="264">
        <f t="shared" si="34"/>
        <v>706</v>
      </c>
      <c r="Q457" s="264">
        <f t="shared" si="34"/>
        <v>0.2</v>
      </c>
      <c r="R457" s="166">
        <v>4512</v>
      </c>
      <c r="S457" s="166">
        <v>1455</v>
      </c>
      <c r="T457" s="182">
        <f t="shared" si="31"/>
        <v>0</v>
      </c>
    </row>
    <row r="458" spans="1:20" x14ac:dyDescent="0.2">
      <c r="A458" s="153">
        <v>2039</v>
      </c>
      <c r="B458" s="153">
        <v>1</v>
      </c>
      <c r="D458" s="281">
        <f t="shared" si="35"/>
        <v>16.4927050831771</v>
      </c>
      <c r="E458" s="279">
        <f t="shared" si="36"/>
        <v>16.327778032345329</v>
      </c>
      <c r="F458" s="173"/>
      <c r="G458" s="174">
        <v>32.43</v>
      </c>
      <c r="H458" s="154">
        <v>4320.8283478739986</v>
      </c>
      <c r="I458" s="190">
        <f>VLOOKUP($A458&amp;$B458,'KU Inputs'!$C$2:$I$505,MATCH('KU UtilityData'!I$1,'KU Inputs'!$C$1:$I$1,0),0)*1000</f>
        <v>5207762</v>
      </c>
      <c r="J458" s="190">
        <f>VLOOKUP($A458&amp;$B458,'KU Inputs'!$C$2:$I$505,MATCH('KU UtilityData'!J$1,'KU Inputs'!$C$1:$I$1,0),0)*1000</f>
        <v>2100383</v>
      </c>
      <c r="K458" s="265">
        <v>526985.66617328185</v>
      </c>
      <c r="L458" s="248">
        <v>501996.14</v>
      </c>
      <c r="M458" s="167">
        <v>151511.53822304332</v>
      </c>
      <c r="N458" s="190">
        <f>VLOOKUP($A458&amp;$B458,'KU Inputs'!$C$2:$I$505,MATCH('KU UtilityData'!N$1,'KU Inputs'!$C$1:$I$1,0),0)</f>
        <v>241255.864</v>
      </c>
      <c r="O458" s="190" t="e">
        <f>VLOOKUP($A458&amp;$B458,'KU Inputs'!$C$2:$I$505,MATCH('KU UtilityData'!O$1,'KU Inputs'!$C$1:$I$1,0),0)</f>
        <v>#N/A</v>
      </c>
      <c r="P458" s="264">
        <f t="shared" ref="P458:Q477" si="37">P446</f>
        <v>996</v>
      </c>
      <c r="Q458" s="264">
        <f t="shared" si="37"/>
        <v>0</v>
      </c>
      <c r="R458" s="166">
        <v>4512</v>
      </c>
      <c r="S458" s="166">
        <v>1455</v>
      </c>
      <c r="T458" s="182">
        <f t="shared" ref="T458:T505" si="38">C458/L458*1000</f>
        <v>0</v>
      </c>
    </row>
    <row r="459" spans="1:20" x14ac:dyDescent="0.2">
      <c r="A459" s="153">
        <v>2039</v>
      </c>
      <c r="B459" s="153">
        <v>2</v>
      </c>
      <c r="D459" s="281">
        <f t="shared" si="35"/>
        <v>16.4927050831771</v>
      </c>
      <c r="E459" s="279">
        <f t="shared" si="36"/>
        <v>16.327778032345329</v>
      </c>
      <c r="F459" s="173"/>
      <c r="G459" s="174">
        <v>29.9</v>
      </c>
      <c r="H459" s="154">
        <v>4322.4992876875895</v>
      </c>
      <c r="I459" s="190">
        <f>VLOOKUP($A459&amp;$B459,'KU Inputs'!$C$2:$I$505,MATCH('KU UtilityData'!I$1,'KU Inputs'!$C$1:$I$1,0),0)*1000</f>
        <v>5207762</v>
      </c>
      <c r="J459" s="190">
        <f>VLOOKUP($A459&amp;$B459,'KU Inputs'!$C$2:$I$505,MATCH('KU UtilityData'!J$1,'KU Inputs'!$C$1:$I$1,0),0)*1000</f>
        <v>2100383</v>
      </c>
      <c r="K459" s="265">
        <v>527336.9899507307</v>
      </c>
      <c r="L459" s="248">
        <v>501996.14</v>
      </c>
      <c r="M459" s="167">
        <v>151511.53822304332</v>
      </c>
      <c r="N459" s="190">
        <f>VLOOKUP($A459&amp;$B459,'KU Inputs'!$C$2:$I$505,MATCH('KU UtilityData'!N$1,'KU Inputs'!$C$1:$I$1,0),0)</f>
        <v>241255.864</v>
      </c>
      <c r="O459" s="190" t="e">
        <f>VLOOKUP($A459&amp;$B459,'KU Inputs'!$C$2:$I$505,MATCH('KU UtilityData'!O$1,'KU Inputs'!$C$1:$I$1,0),0)</f>
        <v>#N/A</v>
      </c>
      <c r="P459" s="264">
        <f t="shared" si="37"/>
        <v>889.8</v>
      </c>
      <c r="Q459" s="264">
        <f t="shared" si="37"/>
        <v>0</v>
      </c>
      <c r="R459" s="166">
        <v>4512</v>
      </c>
      <c r="S459" s="166">
        <v>1455</v>
      </c>
      <c r="T459" s="182">
        <f t="shared" si="38"/>
        <v>0</v>
      </c>
    </row>
    <row r="460" spans="1:20" x14ac:dyDescent="0.2">
      <c r="A460" s="153">
        <v>2039</v>
      </c>
      <c r="B460" s="153">
        <v>3</v>
      </c>
      <c r="D460" s="281">
        <f t="shared" si="35"/>
        <v>16.4927050831771</v>
      </c>
      <c r="E460" s="279">
        <f t="shared" si="36"/>
        <v>16.327778032345329</v>
      </c>
      <c r="F460" s="173"/>
      <c r="G460" s="174">
        <v>30.33</v>
      </c>
      <c r="H460" s="154">
        <v>4324.1702275011803</v>
      </c>
      <c r="I460" s="190">
        <f>VLOOKUP($A460&amp;$B460,'KU Inputs'!$C$2:$I$505,MATCH('KU UtilityData'!I$1,'KU Inputs'!$C$1:$I$1,0),0)*1000</f>
        <v>5207762</v>
      </c>
      <c r="J460" s="190">
        <f>VLOOKUP($A460&amp;$B460,'KU Inputs'!$C$2:$I$505,MATCH('KU UtilityData'!J$1,'KU Inputs'!$C$1:$I$1,0),0)*1000</f>
        <v>2100383</v>
      </c>
      <c r="K460" s="265">
        <v>527688.54794403119</v>
      </c>
      <c r="L460" s="248">
        <v>501996.14</v>
      </c>
      <c r="M460" s="167">
        <v>151511.53822304332</v>
      </c>
      <c r="N460" s="190">
        <f>VLOOKUP($A460&amp;$B460,'KU Inputs'!$C$2:$I$505,MATCH('KU UtilityData'!N$1,'KU Inputs'!$C$1:$I$1,0),0)</f>
        <v>241255.864</v>
      </c>
      <c r="O460" s="190" t="e">
        <f>VLOOKUP($A460&amp;$B460,'KU Inputs'!$C$2:$I$505,MATCH('KU UtilityData'!O$1,'KU Inputs'!$C$1:$I$1,0),0)</f>
        <v>#N/A</v>
      </c>
      <c r="P460" s="264">
        <f t="shared" si="37"/>
        <v>729</v>
      </c>
      <c r="Q460" s="264">
        <f t="shared" si="37"/>
        <v>0.45</v>
      </c>
      <c r="R460" s="166">
        <v>4512</v>
      </c>
      <c r="S460" s="166">
        <v>1455</v>
      </c>
      <c r="T460" s="182">
        <f t="shared" si="38"/>
        <v>0</v>
      </c>
    </row>
    <row r="461" spans="1:20" x14ac:dyDescent="0.2">
      <c r="A461" s="153">
        <v>2039</v>
      </c>
      <c r="B461" s="153">
        <v>4</v>
      </c>
      <c r="D461" s="281">
        <f t="shared" si="35"/>
        <v>16.4927050831771</v>
      </c>
      <c r="E461" s="279">
        <f t="shared" si="36"/>
        <v>16.327778032345329</v>
      </c>
      <c r="F461" s="173"/>
      <c r="G461" s="174">
        <v>30.29</v>
      </c>
      <c r="H461" s="154">
        <v>4325.8411673147702</v>
      </c>
      <c r="I461" s="190">
        <f>VLOOKUP($A461&amp;$B461,'KU Inputs'!$C$2:$I$505,MATCH('KU UtilityData'!I$1,'KU Inputs'!$C$1:$I$1,0),0)*1000</f>
        <v>5214432</v>
      </c>
      <c r="J461" s="190">
        <f>VLOOKUP($A461&amp;$B461,'KU Inputs'!$C$2:$I$505,MATCH('KU UtilityData'!J$1,'KU Inputs'!$C$1:$I$1,0),0)*1000</f>
        <v>2103498</v>
      </c>
      <c r="K461" s="265">
        <v>528040.34030932712</v>
      </c>
      <c r="L461" s="248">
        <v>502677.32</v>
      </c>
      <c r="M461" s="167">
        <v>152450.37002714959</v>
      </c>
      <c r="N461" s="190">
        <f>VLOOKUP($A461&amp;$B461,'KU Inputs'!$C$2:$I$505,MATCH('KU UtilityData'!N$1,'KU Inputs'!$C$1:$I$1,0),0)</f>
        <v>242089.55</v>
      </c>
      <c r="O461" s="190" t="e">
        <f>VLOOKUP($A461&amp;$B461,'KU Inputs'!$C$2:$I$505,MATCH('KU UtilityData'!O$1,'KU Inputs'!$C$1:$I$1,0),0)</f>
        <v>#N/A</v>
      </c>
      <c r="P461" s="264">
        <f t="shared" si="37"/>
        <v>440</v>
      </c>
      <c r="Q461" s="264">
        <f t="shared" si="37"/>
        <v>11.85</v>
      </c>
      <c r="R461" s="166">
        <v>4512</v>
      </c>
      <c r="S461" s="166">
        <v>1455</v>
      </c>
      <c r="T461" s="182">
        <f t="shared" si="38"/>
        <v>0</v>
      </c>
    </row>
    <row r="462" spans="1:20" x14ac:dyDescent="0.2">
      <c r="A462" s="153">
        <v>2039</v>
      </c>
      <c r="B462" s="153">
        <v>5</v>
      </c>
      <c r="D462" s="281">
        <f t="shared" si="35"/>
        <v>16.4927050831771</v>
      </c>
      <c r="E462" s="279">
        <f t="shared" si="36"/>
        <v>16.327778032345329</v>
      </c>
      <c r="F462" s="173"/>
      <c r="G462" s="174">
        <v>30.05</v>
      </c>
      <c r="H462" s="154">
        <v>4327.5121071283611</v>
      </c>
      <c r="I462" s="190">
        <f>VLOOKUP($A462&amp;$B462,'KU Inputs'!$C$2:$I$505,MATCH('KU UtilityData'!I$1,'KU Inputs'!$C$1:$I$1,0),0)*1000</f>
        <v>5214432</v>
      </c>
      <c r="J462" s="190">
        <f>VLOOKUP($A462&amp;$B462,'KU Inputs'!$C$2:$I$505,MATCH('KU UtilityData'!J$1,'KU Inputs'!$C$1:$I$1,0),0)*1000</f>
        <v>2103498</v>
      </c>
      <c r="K462" s="265">
        <v>528392.36720286659</v>
      </c>
      <c r="L462" s="248">
        <v>502677.32</v>
      </c>
      <c r="M462" s="167">
        <v>152450.37002714959</v>
      </c>
      <c r="N462" s="190">
        <f>VLOOKUP($A462&amp;$B462,'KU Inputs'!$C$2:$I$505,MATCH('KU UtilityData'!N$1,'KU Inputs'!$C$1:$I$1,0),0)</f>
        <v>242089.55</v>
      </c>
      <c r="O462" s="190" t="e">
        <f>VLOOKUP($A462&amp;$B462,'KU Inputs'!$C$2:$I$505,MATCH('KU UtilityData'!O$1,'KU Inputs'!$C$1:$I$1,0),0)</f>
        <v>#N/A</v>
      </c>
      <c r="P462" s="264">
        <f t="shared" si="37"/>
        <v>187</v>
      </c>
      <c r="Q462" s="264">
        <f t="shared" si="37"/>
        <v>47</v>
      </c>
      <c r="R462" s="166">
        <v>4512</v>
      </c>
      <c r="S462" s="166">
        <v>1455</v>
      </c>
      <c r="T462" s="182">
        <f t="shared" si="38"/>
        <v>0</v>
      </c>
    </row>
    <row r="463" spans="1:20" x14ac:dyDescent="0.2">
      <c r="A463" s="153">
        <v>2039</v>
      </c>
      <c r="B463" s="153">
        <v>6</v>
      </c>
      <c r="D463" s="281">
        <f t="shared" si="35"/>
        <v>16.4927050831771</v>
      </c>
      <c r="E463" s="279">
        <f t="shared" si="36"/>
        <v>16.327778032345329</v>
      </c>
      <c r="F463" s="173"/>
      <c r="G463" s="174">
        <v>30.67</v>
      </c>
      <c r="H463" s="154">
        <v>4329.1830469419474</v>
      </c>
      <c r="I463" s="190">
        <f>VLOOKUP($A463&amp;$B463,'KU Inputs'!$C$2:$I$505,MATCH('KU UtilityData'!I$1,'KU Inputs'!$C$1:$I$1,0),0)*1000</f>
        <v>5214432</v>
      </c>
      <c r="J463" s="190">
        <f>VLOOKUP($A463&amp;$B463,'KU Inputs'!$C$2:$I$505,MATCH('KU UtilityData'!J$1,'KU Inputs'!$C$1:$I$1,0),0)*1000</f>
        <v>2103498</v>
      </c>
      <c r="K463" s="265">
        <v>528744.62878100178</v>
      </c>
      <c r="L463" s="248">
        <v>502677.32</v>
      </c>
      <c r="M463" s="167">
        <v>152450.37002714959</v>
      </c>
      <c r="N463" s="190">
        <f>VLOOKUP($A463&amp;$B463,'KU Inputs'!$C$2:$I$505,MATCH('KU UtilityData'!N$1,'KU Inputs'!$C$1:$I$1,0),0)</f>
        <v>242089.55</v>
      </c>
      <c r="O463" s="190" t="e">
        <f>VLOOKUP($A463&amp;$B463,'KU Inputs'!$C$2:$I$505,MATCH('KU UtilityData'!O$1,'KU Inputs'!$C$1:$I$1,0),0)</f>
        <v>#N/A</v>
      </c>
      <c r="P463" s="264">
        <f t="shared" si="37"/>
        <v>49</v>
      </c>
      <c r="Q463" s="264">
        <f t="shared" si="37"/>
        <v>171</v>
      </c>
      <c r="R463" s="166">
        <v>4512</v>
      </c>
      <c r="S463" s="166">
        <v>1455</v>
      </c>
      <c r="T463" s="182">
        <f t="shared" si="38"/>
        <v>0</v>
      </c>
    </row>
    <row r="464" spans="1:20" x14ac:dyDescent="0.2">
      <c r="A464" s="153">
        <v>2039</v>
      </c>
      <c r="B464" s="153">
        <v>7</v>
      </c>
      <c r="D464" s="281">
        <f t="shared" si="35"/>
        <v>16.4927050831771</v>
      </c>
      <c r="E464" s="279">
        <f t="shared" si="36"/>
        <v>16.327778032345329</v>
      </c>
      <c r="F464" s="173"/>
      <c r="G464" s="174">
        <v>30.62</v>
      </c>
      <c r="H464" s="154">
        <v>4330.8411477861673</v>
      </c>
      <c r="I464" s="190">
        <f>VLOOKUP($A464&amp;$B464,'KU Inputs'!$C$2:$I$505,MATCH('KU UtilityData'!I$1,'KU Inputs'!$C$1:$I$1,0),0)*1000</f>
        <v>5221097</v>
      </c>
      <c r="J464" s="190">
        <f>VLOOKUP($A464&amp;$B464,'KU Inputs'!$C$2:$I$505,MATCH('KU UtilityData'!J$1,'KU Inputs'!$C$1:$I$1,0),0)*1000</f>
        <v>2106587</v>
      </c>
      <c r="K464" s="265">
        <v>529097.12520018907</v>
      </c>
      <c r="L464" s="248">
        <v>503352.81</v>
      </c>
      <c r="M464" s="167">
        <v>152910.57265332772</v>
      </c>
      <c r="N464" s="190">
        <f>VLOOKUP($A464&amp;$B464,'KU Inputs'!$C$2:$I$505,MATCH('KU UtilityData'!N$1,'KU Inputs'!$C$1:$I$1,0),0)</f>
        <v>242952.587</v>
      </c>
      <c r="O464" s="190" t="e">
        <f>VLOOKUP($A464&amp;$B464,'KU Inputs'!$C$2:$I$505,MATCH('KU UtilityData'!O$1,'KU Inputs'!$C$1:$I$1,0),0)</f>
        <v>#N/A</v>
      </c>
      <c r="P464" s="264">
        <f t="shared" si="37"/>
        <v>1</v>
      </c>
      <c r="Q464" s="264">
        <f t="shared" si="37"/>
        <v>325</v>
      </c>
      <c r="R464" s="166">
        <v>4512</v>
      </c>
      <c r="S464" s="166">
        <v>1455</v>
      </c>
      <c r="T464" s="182">
        <f t="shared" si="38"/>
        <v>0</v>
      </c>
    </row>
    <row r="465" spans="1:20" x14ac:dyDescent="0.2">
      <c r="A465" s="153">
        <v>2039</v>
      </c>
      <c r="B465" s="153">
        <v>8</v>
      </c>
      <c r="D465" s="281">
        <f t="shared" si="35"/>
        <v>16.4927050831771</v>
      </c>
      <c r="E465" s="279">
        <f t="shared" si="36"/>
        <v>16.327778032345329</v>
      </c>
      <c r="F465" s="173"/>
      <c r="G465" s="174">
        <v>29.52</v>
      </c>
      <c r="H465" s="154">
        <v>4332.4992486303881</v>
      </c>
      <c r="I465" s="190">
        <f>VLOOKUP($A465&amp;$B465,'KU Inputs'!$C$2:$I$505,MATCH('KU UtilityData'!I$1,'KU Inputs'!$C$1:$I$1,0),0)*1000</f>
        <v>5221097</v>
      </c>
      <c r="J465" s="190">
        <f>VLOOKUP($A465&amp;$B465,'KU Inputs'!$C$2:$I$505,MATCH('KU UtilityData'!J$1,'KU Inputs'!$C$1:$I$1,0),0)*1000</f>
        <v>2106587</v>
      </c>
      <c r="K465" s="265">
        <v>529449.85661698913</v>
      </c>
      <c r="L465" s="248">
        <v>503352.81</v>
      </c>
      <c r="M465" s="167">
        <v>152910.57265332772</v>
      </c>
      <c r="N465" s="190">
        <f>VLOOKUP($A465&amp;$B465,'KU Inputs'!$C$2:$I$505,MATCH('KU UtilityData'!N$1,'KU Inputs'!$C$1:$I$1,0),0)</f>
        <v>242952.587</v>
      </c>
      <c r="O465" s="190" t="e">
        <f>VLOOKUP($A465&amp;$B465,'KU Inputs'!$C$2:$I$505,MATCH('KU UtilityData'!O$1,'KU Inputs'!$C$1:$I$1,0),0)</f>
        <v>#N/A</v>
      </c>
      <c r="P465" s="264">
        <f t="shared" si="37"/>
        <v>0</v>
      </c>
      <c r="Q465" s="264">
        <f t="shared" si="37"/>
        <v>341</v>
      </c>
      <c r="R465" s="166">
        <v>4512</v>
      </c>
      <c r="S465" s="166">
        <v>1455</v>
      </c>
      <c r="T465" s="182">
        <f t="shared" si="38"/>
        <v>0</v>
      </c>
    </row>
    <row r="466" spans="1:20" x14ac:dyDescent="0.2">
      <c r="A466" s="153">
        <v>2039</v>
      </c>
      <c r="B466" s="153">
        <v>9</v>
      </c>
      <c r="D466" s="281">
        <f t="shared" si="35"/>
        <v>16.4927050831771</v>
      </c>
      <c r="E466" s="279">
        <f t="shared" si="36"/>
        <v>16.327778032345329</v>
      </c>
      <c r="F466" s="173"/>
      <c r="G466" s="174">
        <v>30.71</v>
      </c>
      <c r="H466" s="154">
        <v>4334.1573494746081</v>
      </c>
      <c r="I466" s="190">
        <f>VLOOKUP($A466&amp;$B466,'KU Inputs'!$C$2:$I$505,MATCH('KU UtilityData'!I$1,'KU Inputs'!$C$1:$I$1,0),0)*1000</f>
        <v>5221097</v>
      </c>
      <c r="J466" s="190">
        <f>VLOOKUP($A466&amp;$B466,'KU Inputs'!$C$2:$I$505,MATCH('KU UtilityData'!J$1,'KU Inputs'!$C$1:$I$1,0),0)*1000</f>
        <v>2106587</v>
      </c>
      <c r="K466" s="265">
        <v>529802.82318806706</v>
      </c>
      <c r="L466" s="248">
        <v>503352.81</v>
      </c>
      <c r="M466" s="167">
        <v>152910.57265332772</v>
      </c>
      <c r="N466" s="190">
        <f>VLOOKUP($A466&amp;$B466,'KU Inputs'!$C$2:$I$505,MATCH('KU UtilityData'!N$1,'KU Inputs'!$C$1:$I$1,0),0)</f>
        <v>242952.587</v>
      </c>
      <c r="O466" s="190" t="e">
        <f>VLOOKUP($A466&amp;$B466,'KU Inputs'!$C$2:$I$505,MATCH('KU UtilityData'!O$1,'KU Inputs'!$C$1:$I$1,0),0)</f>
        <v>#N/A</v>
      </c>
      <c r="P466" s="264">
        <f t="shared" si="37"/>
        <v>12</v>
      </c>
      <c r="Q466" s="264">
        <f t="shared" si="37"/>
        <v>261</v>
      </c>
      <c r="R466" s="166">
        <v>4512</v>
      </c>
      <c r="S466" s="166">
        <v>1455</v>
      </c>
      <c r="T466" s="182">
        <f t="shared" si="38"/>
        <v>0</v>
      </c>
    </row>
    <row r="467" spans="1:20" x14ac:dyDescent="0.2">
      <c r="A467" s="153">
        <v>2039</v>
      </c>
      <c r="B467" s="153">
        <v>10</v>
      </c>
      <c r="D467" s="281">
        <f t="shared" si="35"/>
        <v>16.4927050831771</v>
      </c>
      <c r="E467" s="279">
        <f t="shared" si="36"/>
        <v>16.327778032345329</v>
      </c>
      <c r="F467" s="173"/>
      <c r="G467" s="174">
        <v>29.52</v>
      </c>
      <c r="H467" s="154">
        <v>4335.815450318828</v>
      </c>
      <c r="I467" s="190">
        <f>VLOOKUP($A467&amp;$B467,'KU Inputs'!$C$2:$I$505,MATCH('KU UtilityData'!I$1,'KU Inputs'!$C$1:$I$1,0),0)*1000</f>
        <v>5227756</v>
      </c>
      <c r="J467" s="190">
        <f>VLOOKUP($A467&amp;$B467,'KU Inputs'!$C$2:$I$505,MATCH('KU UtilityData'!J$1,'KU Inputs'!$C$1:$I$1,0),0)*1000</f>
        <v>2109660</v>
      </c>
      <c r="K467" s="265">
        <v>530156.02507019241</v>
      </c>
      <c r="L467" s="248">
        <v>504024.8</v>
      </c>
      <c r="M467" s="167">
        <v>153543.4824154065</v>
      </c>
      <c r="N467" s="190">
        <f>VLOOKUP($A467&amp;$B467,'KU Inputs'!$C$2:$I$505,MATCH('KU UtilityData'!N$1,'KU Inputs'!$C$1:$I$1,0),0)</f>
        <v>243706.79399999999</v>
      </c>
      <c r="O467" s="190" t="e">
        <f>VLOOKUP($A467&amp;$B467,'KU Inputs'!$C$2:$I$505,MATCH('KU UtilityData'!O$1,'KU Inputs'!$C$1:$I$1,0),0)</f>
        <v>#N/A</v>
      </c>
      <c r="P467" s="264">
        <f t="shared" si="37"/>
        <v>136</v>
      </c>
      <c r="Q467" s="264">
        <f t="shared" si="37"/>
        <v>73</v>
      </c>
      <c r="R467" s="166">
        <v>4512</v>
      </c>
      <c r="S467" s="166">
        <v>1455</v>
      </c>
      <c r="T467" s="182">
        <f t="shared" si="38"/>
        <v>0</v>
      </c>
    </row>
    <row r="468" spans="1:20" x14ac:dyDescent="0.2">
      <c r="A468" s="153">
        <v>2039</v>
      </c>
      <c r="B468" s="153">
        <v>11</v>
      </c>
      <c r="D468" s="281">
        <f t="shared" si="35"/>
        <v>16.4927050831771</v>
      </c>
      <c r="E468" s="279">
        <f t="shared" si="36"/>
        <v>16.327778032345329</v>
      </c>
      <c r="F468" s="173"/>
      <c r="G468" s="174">
        <v>29.38</v>
      </c>
      <c r="H468" s="154">
        <v>4337.4735511630488</v>
      </c>
      <c r="I468" s="190">
        <f>VLOOKUP($A468&amp;$B468,'KU Inputs'!$C$2:$I$505,MATCH('KU UtilityData'!I$1,'KU Inputs'!$C$1:$I$1,0),0)*1000</f>
        <v>5227756</v>
      </c>
      <c r="J468" s="190">
        <f>VLOOKUP($A468&amp;$B468,'KU Inputs'!$C$2:$I$505,MATCH('KU UtilityData'!J$1,'KU Inputs'!$C$1:$I$1,0),0)*1000</f>
        <v>2109660</v>
      </c>
      <c r="K468" s="265">
        <v>530509.46242023911</v>
      </c>
      <c r="L468" s="248">
        <v>504024.8</v>
      </c>
      <c r="M468" s="167">
        <v>153543.4824154065</v>
      </c>
      <c r="N468" s="190">
        <f>VLOOKUP($A468&amp;$B468,'KU Inputs'!$C$2:$I$505,MATCH('KU UtilityData'!N$1,'KU Inputs'!$C$1:$I$1,0),0)</f>
        <v>243706.79399999999</v>
      </c>
      <c r="O468" s="190" t="e">
        <f>VLOOKUP($A468&amp;$B468,'KU Inputs'!$C$2:$I$505,MATCH('KU UtilityData'!O$1,'KU Inputs'!$C$1:$I$1,0),0)</f>
        <v>#N/A</v>
      </c>
      <c r="P468" s="264">
        <f t="shared" si="37"/>
        <v>394</v>
      </c>
      <c r="Q468" s="264">
        <f t="shared" si="37"/>
        <v>7</v>
      </c>
      <c r="R468" s="166">
        <v>4512</v>
      </c>
      <c r="S468" s="166">
        <v>1455</v>
      </c>
      <c r="T468" s="182">
        <f t="shared" si="38"/>
        <v>0</v>
      </c>
    </row>
    <row r="469" spans="1:20" x14ac:dyDescent="0.2">
      <c r="A469" s="153">
        <v>2039</v>
      </c>
      <c r="B469" s="153">
        <v>12</v>
      </c>
      <c r="D469" s="281">
        <f t="shared" si="35"/>
        <v>16.4927050831771</v>
      </c>
      <c r="E469" s="279">
        <f t="shared" si="36"/>
        <v>16.327778032345329</v>
      </c>
      <c r="F469" s="173"/>
      <c r="G469" s="174">
        <v>32.81</v>
      </c>
      <c r="H469" s="154">
        <v>4339.1316520072687</v>
      </c>
      <c r="I469" s="190">
        <f>VLOOKUP($A469&amp;$B469,'KU Inputs'!$C$2:$I$505,MATCH('KU UtilityData'!I$1,'KU Inputs'!$C$1:$I$1,0),0)*1000</f>
        <v>5227756</v>
      </c>
      <c r="J469" s="190">
        <f>VLOOKUP($A469&amp;$B469,'KU Inputs'!$C$2:$I$505,MATCH('KU UtilityData'!J$1,'KU Inputs'!$C$1:$I$1,0),0)*1000</f>
        <v>2109660</v>
      </c>
      <c r="K469" s="265">
        <v>530863.13539518591</v>
      </c>
      <c r="L469" s="248">
        <v>504024.8</v>
      </c>
      <c r="M469" s="167">
        <v>153543.4824154065</v>
      </c>
      <c r="N469" s="190">
        <f>VLOOKUP($A469&amp;$B469,'KU Inputs'!$C$2:$I$505,MATCH('KU UtilityData'!N$1,'KU Inputs'!$C$1:$I$1,0),0)</f>
        <v>243706.79399999999</v>
      </c>
      <c r="O469" s="190" t="e">
        <f>VLOOKUP($A469&amp;$B469,'KU Inputs'!$C$2:$I$505,MATCH('KU UtilityData'!O$1,'KU Inputs'!$C$1:$I$1,0),0)</f>
        <v>#N/A</v>
      </c>
      <c r="P469" s="264">
        <f t="shared" si="37"/>
        <v>706</v>
      </c>
      <c r="Q469" s="264">
        <f t="shared" si="37"/>
        <v>0.2</v>
      </c>
      <c r="R469" s="166">
        <v>4512</v>
      </c>
      <c r="S469" s="166">
        <v>1455</v>
      </c>
      <c r="T469" s="182">
        <f t="shared" si="38"/>
        <v>0</v>
      </c>
    </row>
    <row r="470" spans="1:20" x14ac:dyDescent="0.2">
      <c r="A470" s="153">
        <v>2040</v>
      </c>
      <c r="B470" s="153">
        <v>1</v>
      </c>
      <c r="D470" s="281">
        <f t="shared" si="35"/>
        <v>16.822559184840642</v>
      </c>
      <c r="E470" s="279">
        <f t="shared" si="36"/>
        <v>16.654333592992234</v>
      </c>
      <c r="F470" s="173"/>
      <c r="G470" s="173">
        <v>32.43</v>
      </c>
      <c r="H470" s="154">
        <v>4340.7897528514886</v>
      </c>
      <c r="I470" s="190">
        <f>VLOOKUP($A470&amp;$B470,'KU Inputs'!$C$2:$I$505,MATCH('KU UtilityData'!I$1,'KU Inputs'!$C$1:$I$1,0),0)*1000</f>
        <v>5234410</v>
      </c>
      <c r="J470" s="190">
        <f>VLOOKUP($A470&amp;$B470,'KU Inputs'!$C$2:$I$505,MATCH('KU UtilityData'!J$1,'KU Inputs'!$C$1:$I$1,0),0)*1000</f>
        <v>2112648</v>
      </c>
      <c r="K470" s="265">
        <v>531217.04415211594</v>
      </c>
      <c r="L470" s="248">
        <v>504678.2</v>
      </c>
      <c r="M470" s="164">
        <v>154157.65634506813</v>
      </c>
      <c r="N470" s="190">
        <f>VLOOKUP($A470&amp;$B470,'KU Inputs'!$C$2:$I$505,MATCH('KU UtilityData'!N$1,'KU Inputs'!$C$1:$I$1,0),0)</f>
        <v>245424.038</v>
      </c>
      <c r="O470" s="190" t="e">
        <f>VLOOKUP($A470&amp;$B470,'KU Inputs'!$C$2:$I$505,MATCH('KU UtilityData'!O$1,'KU Inputs'!$C$1:$I$1,0),0)</f>
        <v>#N/A</v>
      </c>
      <c r="P470" s="264">
        <f t="shared" si="37"/>
        <v>996</v>
      </c>
      <c r="Q470" s="264">
        <f t="shared" si="37"/>
        <v>0</v>
      </c>
      <c r="R470" s="166">
        <v>4512</v>
      </c>
      <c r="S470" s="166">
        <v>1455</v>
      </c>
      <c r="T470" s="182">
        <f t="shared" si="38"/>
        <v>0</v>
      </c>
    </row>
    <row r="471" spans="1:20" x14ac:dyDescent="0.2">
      <c r="A471" s="153">
        <v>2040</v>
      </c>
      <c r="B471" s="153">
        <v>2</v>
      </c>
      <c r="D471" s="281">
        <f t="shared" si="35"/>
        <v>16.822559184840642</v>
      </c>
      <c r="E471" s="279">
        <f t="shared" si="36"/>
        <v>16.654333592992234</v>
      </c>
      <c r="F471" s="173"/>
      <c r="G471" s="173">
        <v>29.9</v>
      </c>
      <c r="H471" s="154">
        <v>4342.4478536957095</v>
      </c>
      <c r="I471" s="190">
        <f>VLOOKUP($A471&amp;$B471,'KU Inputs'!$C$2:$I$505,MATCH('KU UtilityData'!I$1,'KU Inputs'!$C$1:$I$1,0),0)*1000</f>
        <v>5234410</v>
      </c>
      <c r="J471" s="190">
        <f>VLOOKUP($A471&amp;$B471,'KU Inputs'!$C$2:$I$505,MATCH('KU UtilityData'!J$1,'KU Inputs'!$C$1:$I$1,0),0)*1000</f>
        <v>2112648</v>
      </c>
      <c r="K471" s="265">
        <v>531571.18884821725</v>
      </c>
      <c r="L471" s="248">
        <v>504678.2</v>
      </c>
      <c r="M471" s="164">
        <v>154157.65634506813</v>
      </c>
      <c r="N471" s="190">
        <f>VLOOKUP($A471&amp;$B471,'KU Inputs'!$C$2:$I$505,MATCH('KU UtilityData'!N$1,'KU Inputs'!$C$1:$I$1,0),0)</f>
        <v>245424.038</v>
      </c>
      <c r="O471" s="190" t="e">
        <f>VLOOKUP($A471&amp;$B471,'KU Inputs'!$C$2:$I$505,MATCH('KU UtilityData'!O$1,'KU Inputs'!$C$1:$I$1,0),0)</f>
        <v>#N/A</v>
      </c>
      <c r="P471" s="264">
        <f t="shared" si="37"/>
        <v>889.8</v>
      </c>
      <c r="Q471" s="264">
        <f t="shared" si="37"/>
        <v>0</v>
      </c>
      <c r="R471" s="166">
        <v>4512</v>
      </c>
      <c r="S471" s="166">
        <v>1455</v>
      </c>
      <c r="T471" s="182">
        <f t="shared" si="38"/>
        <v>0</v>
      </c>
    </row>
    <row r="472" spans="1:20" x14ac:dyDescent="0.2">
      <c r="A472" s="153">
        <v>2040</v>
      </c>
      <c r="B472" s="153">
        <v>3</v>
      </c>
      <c r="D472" s="281">
        <f t="shared" si="35"/>
        <v>16.822559184840642</v>
      </c>
      <c r="E472" s="279">
        <f t="shared" si="36"/>
        <v>16.654333592992234</v>
      </c>
      <c r="F472" s="173"/>
      <c r="G472" s="173">
        <v>30.33</v>
      </c>
      <c r="H472" s="154">
        <v>4344.1059545399294</v>
      </c>
      <c r="I472" s="190">
        <f>VLOOKUP($A472&amp;$B472,'KU Inputs'!$C$2:$I$505,MATCH('KU UtilityData'!I$1,'KU Inputs'!$C$1:$I$1,0),0)*1000</f>
        <v>5234410</v>
      </c>
      <c r="J472" s="190">
        <f>VLOOKUP($A472&amp;$B472,'KU Inputs'!$C$2:$I$505,MATCH('KU UtilityData'!J$1,'KU Inputs'!$C$1:$I$1,0),0)*1000</f>
        <v>2112648</v>
      </c>
      <c r="K472" s="265">
        <v>531925.56964078266</v>
      </c>
      <c r="L472" s="248">
        <v>504678.2</v>
      </c>
      <c r="M472" s="164">
        <v>154157.65634506813</v>
      </c>
      <c r="N472" s="190">
        <f>VLOOKUP($A472&amp;$B472,'KU Inputs'!$C$2:$I$505,MATCH('KU UtilityData'!N$1,'KU Inputs'!$C$1:$I$1,0),0)</f>
        <v>245424.038</v>
      </c>
      <c r="O472" s="190" t="e">
        <f>VLOOKUP($A472&amp;$B472,'KU Inputs'!$C$2:$I$505,MATCH('KU UtilityData'!O$1,'KU Inputs'!$C$1:$I$1,0),0)</f>
        <v>#N/A</v>
      </c>
      <c r="P472" s="264">
        <f t="shared" si="37"/>
        <v>729</v>
      </c>
      <c r="Q472" s="264">
        <f t="shared" si="37"/>
        <v>0.45</v>
      </c>
      <c r="R472" s="166">
        <v>4512</v>
      </c>
      <c r="S472" s="166">
        <v>1455</v>
      </c>
      <c r="T472" s="182">
        <f t="shared" si="38"/>
        <v>0</v>
      </c>
    </row>
    <row r="473" spans="1:20" x14ac:dyDescent="0.2">
      <c r="A473" s="153">
        <v>2040</v>
      </c>
      <c r="B473" s="153">
        <v>4</v>
      </c>
      <c r="D473" s="281">
        <f t="shared" si="35"/>
        <v>16.822559184840642</v>
      </c>
      <c r="E473" s="279">
        <f t="shared" si="36"/>
        <v>16.654333592992234</v>
      </c>
      <c r="F473" s="173"/>
      <c r="G473" s="173">
        <v>30.29</v>
      </c>
      <c r="H473" s="154">
        <v>4345.7640553841502</v>
      </c>
      <c r="I473" s="190">
        <f>VLOOKUP($A473&amp;$B473,'KU Inputs'!$C$2:$I$505,MATCH('KU UtilityData'!I$1,'KU Inputs'!$C$1:$I$1,0),0)*1000</f>
        <v>5241061</v>
      </c>
      <c r="J473" s="190">
        <f>VLOOKUP($A473&amp;$B473,'KU Inputs'!$C$2:$I$505,MATCH('KU UtilityData'!J$1,'KU Inputs'!$C$1:$I$1,0),0)*1000</f>
        <v>2115703</v>
      </c>
      <c r="K473" s="265">
        <v>532280.18668720976</v>
      </c>
      <c r="L473" s="248">
        <v>505346.26</v>
      </c>
      <c r="M473" s="164">
        <v>154774.28697044839</v>
      </c>
      <c r="N473" s="190">
        <f>VLOOKUP($A473&amp;$B473,'KU Inputs'!$C$2:$I$505,MATCH('KU UtilityData'!N$1,'KU Inputs'!$C$1:$I$1,0),0)</f>
        <v>246375.226</v>
      </c>
      <c r="O473" s="190" t="e">
        <f>VLOOKUP($A473&amp;$B473,'KU Inputs'!$C$2:$I$505,MATCH('KU UtilityData'!O$1,'KU Inputs'!$C$1:$I$1,0),0)</f>
        <v>#N/A</v>
      </c>
      <c r="P473" s="264">
        <f t="shared" si="37"/>
        <v>440</v>
      </c>
      <c r="Q473" s="264">
        <f t="shared" si="37"/>
        <v>11.85</v>
      </c>
      <c r="R473" s="166">
        <v>4512</v>
      </c>
      <c r="S473" s="166">
        <v>1455</v>
      </c>
      <c r="T473" s="182">
        <f t="shared" si="38"/>
        <v>0</v>
      </c>
    </row>
    <row r="474" spans="1:20" x14ac:dyDescent="0.2">
      <c r="A474" s="153">
        <v>2040</v>
      </c>
      <c r="B474" s="153">
        <v>5</v>
      </c>
      <c r="D474" s="281">
        <f t="shared" si="35"/>
        <v>16.822559184840642</v>
      </c>
      <c r="E474" s="279">
        <f t="shared" si="36"/>
        <v>16.654333592992234</v>
      </c>
      <c r="F474" s="173"/>
      <c r="G474" s="173">
        <v>30.05</v>
      </c>
      <c r="H474" s="154">
        <v>4347.4221562283701</v>
      </c>
      <c r="I474" s="190">
        <f>VLOOKUP($A474&amp;$B474,'KU Inputs'!$C$2:$I$505,MATCH('KU UtilityData'!I$1,'KU Inputs'!$C$1:$I$1,0),0)*1000</f>
        <v>5241061</v>
      </c>
      <c r="J474" s="190">
        <f>VLOOKUP($A474&amp;$B474,'KU Inputs'!$C$2:$I$505,MATCH('KU UtilityData'!J$1,'KU Inputs'!$C$1:$I$1,0),0)*1000</f>
        <v>2115703</v>
      </c>
      <c r="K474" s="265">
        <v>532635.04014500114</v>
      </c>
      <c r="L474" s="248">
        <v>505346.26</v>
      </c>
      <c r="M474" s="164">
        <v>154774.28697044839</v>
      </c>
      <c r="N474" s="190">
        <f>VLOOKUP($A474&amp;$B474,'KU Inputs'!$C$2:$I$505,MATCH('KU UtilityData'!N$1,'KU Inputs'!$C$1:$I$1,0),0)</f>
        <v>246375.226</v>
      </c>
      <c r="O474" s="190" t="e">
        <f>VLOOKUP($A474&amp;$B474,'KU Inputs'!$C$2:$I$505,MATCH('KU UtilityData'!O$1,'KU Inputs'!$C$1:$I$1,0),0)</f>
        <v>#N/A</v>
      </c>
      <c r="P474" s="264">
        <f t="shared" si="37"/>
        <v>187</v>
      </c>
      <c r="Q474" s="264">
        <f t="shared" si="37"/>
        <v>47</v>
      </c>
      <c r="R474" s="166">
        <v>4512</v>
      </c>
      <c r="S474" s="166">
        <v>1455</v>
      </c>
      <c r="T474" s="182">
        <f t="shared" si="38"/>
        <v>0</v>
      </c>
    </row>
    <row r="475" spans="1:20" x14ac:dyDescent="0.2">
      <c r="A475" s="153">
        <v>2040</v>
      </c>
      <c r="B475" s="153">
        <v>6</v>
      </c>
      <c r="D475" s="281">
        <f t="shared" si="35"/>
        <v>16.822559184840642</v>
      </c>
      <c r="E475" s="279">
        <f t="shared" si="36"/>
        <v>16.654333592992234</v>
      </c>
      <c r="F475" s="173"/>
      <c r="G475" s="173">
        <v>30.67</v>
      </c>
      <c r="H475" s="154">
        <v>4349.0802570725937</v>
      </c>
      <c r="I475" s="190">
        <f>VLOOKUP($A475&amp;$B475,'KU Inputs'!$C$2:$I$505,MATCH('KU UtilityData'!I$1,'KU Inputs'!$C$1:$I$1,0),0)*1000</f>
        <v>5241061</v>
      </c>
      <c r="J475" s="190">
        <f>VLOOKUP($A475&amp;$B475,'KU Inputs'!$C$2:$I$505,MATCH('KU UtilityData'!J$1,'KU Inputs'!$C$1:$I$1,0),0)*1000</f>
        <v>2115703</v>
      </c>
      <c r="K475" s="265">
        <v>532990.13017176441</v>
      </c>
      <c r="L475" s="248">
        <v>505346.26</v>
      </c>
      <c r="M475" s="164">
        <v>154774.28697044839</v>
      </c>
      <c r="N475" s="190">
        <f>VLOOKUP($A475&amp;$B475,'KU Inputs'!$C$2:$I$505,MATCH('KU UtilityData'!N$1,'KU Inputs'!$C$1:$I$1,0),0)</f>
        <v>246375.226</v>
      </c>
      <c r="O475" s="190" t="e">
        <f>VLOOKUP($A475&amp;$B475,'KU Inputs'!$C$2:$I$505,MATCH('KU UtilityData'!O$1,'KU Inputs'!$C$1:$I$1,0),0)</f>
        <v>#N/A</v>
      </c>
      <c r="P475" s="264">
        <f t="shared" si="37"/>
        <v>49</v>
      </c>
      <c r="Q475" s="264">
        <f t="shared" si="37"/>
        <v>171</v>
      </c>
      <c r="R475" s="166">
        <v>4512</v>
      </c>
      <c r="S475" s="166">
        <v>1455</v>
      </c>
      <c r="T475" s="182">
        <f t="shared" si="38"/>
        <v>0</v>
      </c>
    </row>
    <row r="476" spans="1:20" x14ac:dyDescent="0.2">
      <c r="A476" s="153">
        <v>2040</v>
      </c>
      <c r="B476" s="153">
        <v>7</v>
      </c>
      <c r="D476" s="281">
        <f t="shared" si="35"/>
        <v>16.822559184840642</v>
      </c>
      <c r="E476" s="279">
        <f t="shared" si="36"/>
        <v>16.654333592992234</v>
      </c>
      <c r="F476" s="173"/>
      <c r="G476" s="173">
        <v>30.62</v>
      </c>
      <c r="H476" s="154">
        <v>4350.7459786573927</v>
      </c>
      <c r="I476" s="190">
        <f>VLOOKUP($A476&amp;$B476,'KU Inputs'!$C$2:$I$505,MATCH('KU UtilityData'!I$1,'KU Inputs'!$C$1:$I$1,0),0)*1000</f>
        <v>5247709</v>
      </c>
      <c r="J476" s="190">
        <f>VLOOKUP($A476&amp;$B476,'KU Inputs'!$C$2:$I$505,MATCH('KU UtilityData'!J$1,'KU Inputs'!$C$1:$I$1,0),0)*1000</f>
        <v>2118744</v>
      </c>
      <c r="K476" s="265">
        <v>533345.45692521217</v>
      </c>
      <c r="L476" s="248">
        <v>506011.26</v>
      </c>
      <c r="M476" s="164">
        <v>155393.38411833017</v>
      </c>
      <c r="N476" s="190">
        <f>VLOOKUP($A476&amp;$B476,'KU Inputs'!$C$2:$I$505,MATCH('KU UtilityData'!N$1,'KU Inputs'!$C$1:$I$1,0),0)</f>
        <v>247249.16699999999</v>
      </c>
      <c r="O476" s="190" t="e">
        <f>VLOOKUP($A476&amp;$B476,'KU Inputs'!$C$2:$I$505,MATCH('KU UtilityData'!O$1,'KU Inputs'!$C$1:$I$1,0),0)</f>
        <v>#N/A</v>
      </c>
      <c r="P476" s="264">
        <f t="shared" si="37"/>
        <v>1</v>
      </c>
      <c r="Q476" s="264">
        <f t="shared" si="37"/>
        <v>325</v>
      </c>
      <c r="R476" s="166">
        <v>4512</v>
      </c>
      <c r="S476" s="166">
        <v>1455</v>
      </c>
      <c r="T476" s="182">
        <f t="shared" si="38"/>
        <v>0</v>
      </c>
    </row>
    <row r="477" spans="1:20" x14ac:dyDescent="0.2">
      <c r="A477" s="153">
        <v>2040</v>
      </c>
      <c r="B477" s="153">
        <v>8</v>
      </c>
      <c r="D477" s="281">
        <f t="shared" si="35"/>
        <v>16.822559184840642</v>
      </c>
      <c r="E477" s="279">
        <f t="shared" si="36"/>
        <v>16.654333592992234</v>
      </c>
      <c r="F477" s="173"/>
      <c r="G477" s="173">
        <v>29.52</v>
      </c>
      <c r="H477" s="154">
        <v>4352.4117002421917</v>
      </c>
      <c r="I477" s="190">
        <f>VLOOKUP($A477&amp;$B477,'KU Inputs'!$C$2:$I$505,MATCH('KU UtilityData'!I$1,'KU Inputs'!$C$1:$I$1,0),0)*1000</f>
        <v>5247709</v>
      </c>
      <c r="J477" s="190">
        <f>VLOOKUP($A477&amp;$B477,'KU Inputs'!$C$2:$I$505,MATCH('KU UtilityData'!J$1,'KU Inputs'!$C$1:$I$1,0),0)*1000</f>
        <v>2118744</v>
      </c>
      <c r="K477" s="265">
        <v>533701.02056316228</v>
      </c>
      <c r="L477" s="248">
        <v>506011.26</v>
      </c>
      <c r="M477" s="164">
        <v>155393.38411833017</v>
      </c>
      <c r="N477" s="190">
        <f>VLOOKUP($A477&amp;$B477,'KU Inputs'!$C$2:$I$505,MATCH('KU UtilityData'!N$1,'KU Inputs'!$C$1:$I$1,0),0)</f>
        <v>247249.16699999999</v>
      </c>
      <c r="O477" s="190" t="e">
        <f>VLOOKUP($A477&amp;$B477,'KU Inputs'!$C$2:$I$505,MATCH('KU UtilityData'!O$1,'KU Inputs'!$C$1:$I$1,0),0)</f>
        <v>#N/A</v>
      </c>
      <c r="P477" s="264">
        <f t="shared" si="37"/>
        <v>0</v>
      </c>
      <c r="Q477" s="264">
        <f t="shared" si="37"/>
        <v>341</v>
      </c>
      <c r="R477" s="166">
        <v>4512</v>
      </c>
      <c r="S477" s="166">
        <v>1455</v>
      </c>
      <c r="T477" s="182">
        <f t="shared" si="38"/>
        <v>0</v>
      </c>
    </row>
    <row r="478" spans="1:20" x14ac:dyDescent="0.2">
      <c r="A478" s="153">
        <v>2040</v>
      </c>
      <c r="B478" s="153">
        <v>9</v>
      </c>
      <c r="D478" s="281">
        <f t="shared" si="35"/>
        <v>16.822559184840642</v>
      </c>
      <c r="E478" s="279">
        <f t="shared" si="36"/>
        <v>16.654333592992234</v>
      </c>
      <c r="F478" s="173"/>
      <c r="G478" s="173">
        <v>30.71</v>
      </c>
      <c r="H478" s="154">
        <v>4354.0774218269908</v>
      </c>
      <c r="I478" s="190">
        <f>VLOOKUP($A478&amp;$B478,'KU Inputs'!$C$2:$I$505,MATCH('KU UtilityData'!I$1,'KU Inputs'!$C$1:$I$1,0),0)*1000</f>
        <v>5247709</v>
      </c>
      <c r="J478" s="190">
        <f>VLOOKUP($A478&amp;$B478,'KU Inputs'!$C$2:$I$505,MATCH('KU UtilityData'!J$1,'KU Inputs'!$C$1:$I$1,0),0)*1000</f>
        <v>2118744</v>
      </c>
      <c r="K478" s="265">
        <v>534056.82124353771</v>
      </c>
      <c r="L478" s="248">
        <v>506011.26</v>
      </c>
      <c r="M478" s="164">
        <v>155393.38411833017</v>
      </c>
      <c r="N478" s="190">
        <f>VLOOKUP($A478&amp;$B478,'KU Inputs'!$C$2:$I$505,MATCH('KU UtilityData'!N$1,'KU Inputs'!$C$1:$I$1,0),0)</f>
        <v>247249.16699999999</v>
      </c>
      <c r="O478" s="190" t="e">
        <f>VLOOKUP($A478&amp;$B478,'KU Inputs'!$C$2:$I$505,MATCH('KU UtilityData'!O$1,'KU Inputs'!$C$1:$I$1,0),0)</f>
        <v>#N/A</v>
      </c>
      <c r="P478" s="264">
        <f t="shared" ref="P478:Q497" si="39">P466</f>
        <v>12</v>
      </c>
      <c r="Q478" s="264">
        <f t="shared" si="39"/>
        <v>261</v>
      </c>
      <c r="R478" s="166">
        <v>4512</v>
      </c>
      <c r="S478" s="166">
        <v>1455</v>
      </c>
      <c r="T478" s="182">
        <f t="shared" si="38"/>
        <v>0</v>
      </c>
    </row>
    <row r="479" spans="1:20" x14ac:dyDescent="0.2">
      <c r="A479" s="153">
        <v>2040</v>
      </c>
      <c r="B479" s="153">
        <v>10</v>
      </c>
      <c r="D479" s="281">
        <f t="shared" si="35"/>
        <v>16.822559184840642</v>
      </c>
      <c r="E479" s="279">
        <f t="shared" si="36"/>
        <v>16.654333592992234</v>
      </c>
      <c r="F479" s="173"/>
      <c r="G479" s="173">
        <v>29.52</v>
      </c>
      <c r="H479" s="154">
        <v>4355.7431434117889</v>
      </c>
      <c r="I479" s="190">
        <f>VLOOKUP($A479&amp;$B479,'KU Inputs'!$C$2:$I$505,MATCH('KU UtilityData'!I$1,'KU Inputs'!$C$1:$I$1,0),0)*1000</f>
        <v>5254354</v>
      </c>
      <c r="J479" s="190">
        <f>VLOOKUP($A479&amp;$B479,'KU Inputs'!$C$2:$I$505,MATCH('KU UtilityData'!J$1,'KU Inputs'!$C$1:$I$1,0),0)*1000</f>
        <v>2121819</v>
      </c>
      <c r="K479" s="265">
        <v>534412.85912436666</v>
      </c>
      <c r="L479" s="248">
        <v>506683.69</v>
      </c>
      <c r="M479" s="164">
        <v>156014.9576548035</v>
      </c>
      <c r="N479" s="190">
        <f>VLOOKUP($A479&amp;$B479,'KU Inputs'!$C$2:$I$505,MATCH('KU UtilityData'!N$1,'KU Inputs'!$C$1:$I$1,0),0)</f>
        <v>247944.00599999999</v>
      </c>
      <c r="O479" s="190" t="e">
        <f>VLOOKUP($A479&amp;$B479,'KU Inputs'!$C$2:$I$505,MATCH('KU UtilityData'!O$1,'KU Inputs'!$C$1:$I$1,0),0)</f>
        <v>#N/A</v>
      </c>
      <c r="P479" s="264">
        <f t="shared" si="39"/>
        <v>136</v>
      </c>
      <c r="Q479" s="264">
        <f t="shared" si="39"/>
        <v>73</v>
      </c>
      <c r="R479" s="166">
        <v>4512</v>
      </c>
      <c r="S479" s="166">
        <v>1455</v>
      </c>
      <c r="T479" s="182">
        <f t="shared" si="38"/>
        <v>0</v>
      </c>
    </row>
    <row r="480" spans="1:20" x14ac:dyDescent="0.2">
      <c r="A480" s="153">
        <v>2040</v>
      </c>
      <c r="B480" s="153">
        <v>11</v>
      </c>
      <c r="D480" s="281">
        <f t="shared" si="35"/>
        <v>16.822559184840642</v>
      </c>
      <c r="E480" s="279">
        <f t="shared" si="36"/>
        <v>16.654333592992234</v>
      </c>
      <c r="F480" s="173"/>
      <c r="G480" s="173">
        <v>29.38</v>
      </c>
      <c r="H480" s="154">
        <v>4357.4088649965879</v>
      </c>
      <c r="I480" s="190">
        <f>VLOOKUP($A480&amp;$B480,'KU Inputs'!$C$2:$I$505,MATCH('KU UtilityData'!I$1,'KU Inputs'!$C$1:$I$1,0),0)*1000</f>
        <v>5254354</v>
      </c>
      <c r="J480" s="190">
        <f>VLOOKUP($A480&amp;$B480,'KU Inputs'!$C$2:$I$505,MATCH('KU UtilityData'!J$1,'KU Inputs'!$C$1:$I$1,0),0)*1000</f>
        <v>2121819</v>
      </c>
      <c r="K480" s="265">
        <v>534769.13436378282</v>
      </c>
      <c r="L480" s="248">
        <v>506683.69</v>
      </c>
      <c r="M480" s="164">
        <v>156014.9576548035</v>
      </c>
      <c r="N480" s="190">
        <f>VLOOKUP($A480&amp;$B480,'KU Inputs'!$C$2:$I$505,MATCH('KU UtilityData'!N$1,'KU Inputs'!$C$1:$I$1,0),0)</f>
        <v>247944.00599999999</v>
      </c>
      <c r="O480" s="190" t="e">
        <f>VLOOKUP($A480&amp;$B480,'KU Inputs'!$C$2:$I$505,MATCH('KU UtilityData'!O$1,'KU Inputs'!$C$1:$I$1,0),0)</f>
        <v>#N/A</v>
      </c>
      <c r="P480" s="264">
        <f t="shared" si="39"/>
        <v>394</v>
      </c>
      <c r="Q480" s="264">
        <f t="shared" si="39"/>
        <v>7</v>
      </c>
      <c r="R480" s="166">
        <v>4512</v>
      </c>
      <c r="S480" s="166">
        <v>1455</v>
      </c>
      <c r="T480" s="182">
        <f t="shared" si="38"/>
        <v>0</v>
      </c>
    </row>
    <row r="481" spans="1:20" x14ac:dyDescent="0.2">
      <c r="A481" s="153">
        <v>2040</v>
      </c>
      <c r="B481" s="153">
        <v>12</v>
      </c>
      <c r="D481" s="281">
        <f t="shared" si="35"/>
        <v>16.822559184840642</v>
      </c>
      <c r="E481" s="279">
        <f t="shared" si="36"/>
        <v>16.654333592992234</v>
      </c>
      <c r="F481" s="173"/>
      <c r="G481" s="173">
        <v>32.81</v>
      </c>
      <c r="H481" s="154">
        <v>4359.0745865813869</v>
      </c>
      <c r="I481" s="190">
        <f>VLOOKUP($A481&amp;$B481,'KU Inputs'!$C$2:$I$505,MATCH('KU UtilityData'!I$1,'KU Inputs'!$C$1:$I$1,0),0)*1000</f>
        <v>5254354</v>
      </c>
      <c r="J481" s="190">
        <f>VLOOKUP($A481&amp;$B481,'KU Inputs'!$C$2:$I$505,MATCH('KU UtilityData'!J$1,'KU Inputs'!$C$1:$I$1,0),0)*1000</f>
        <v>2121819</v>
      </c>
      <c r="K481" s="265">
        <v>535125.64712002536</v>
      </c>
      <c r="L481" s="248">
        <v>506683.69</v>
      </c>
      <c r="M481" s="164">
        <v>156014.9576548035</v>
      </c>
      <c r="N481" s="190">
        <f>VLOOKUP($A481&amp;$B481,'KU Inputs'!$C$2:$I$505,MATCH('KU UtilityData'!N$1,'KU Inputs'!$C$1:$I$1,0),0)</f>
        <v>247944.00599999999</v>
      </c>
      <c r="O481" s="190" t="e">
        <f>VLOOKUP($A481&amp;$B481,'KU Inputs'!$C$2:$I$505,MATCH('KU UtilityData'!O$1,'KU Inputs'!$C$1:$I$1,0),0)</f>
        <v>#N/A</v>
      </c>
      <c r="P481" s="264">
        <f t="shared" si="39"/>
        <v>706</v>
      </c>
      <c r="Q481" s="264">
        <f t="shared" si="39"/>
        <v>0.2</v>
      </c>
      <c r="R481" s="166">
        <v>4512</v>
      </c>
      <c r="S481" s="166">
        <v>1455</v>
      </c>
      <c r="T481" s="182">
        <f t="shared" si="38"/>
        <v>0</v>
      </c>
    </row>
    <row r="482" spans="1:20" x14ac:dyDescent="0.2">
      <c r="A482" s="153">
        <v>2041</v>
      </c>
      <c r="B482" s="153">
        <v>1</v>
      </c>
      <c r="D482" s="281">
        <f t="shared" si="35"/>
        <v>17.159010368537455</v>
      </c>
      <c r="E482" s="279">
        <f t="shared" si="36"/>
        <v>16.98742026485208</v>
      </c>
      <c r="F482" s="173"/>
      <c r="G482" s="173">
        <f t="shared" ref="G482:G505" si="40">G470</f>
        <v>32.43</v>
      </c>
      <c r="H482" s="154">
        <v>4360.7403081661851</v>
      </c>
      <c r="I482" s="190">
        <f>VLOOKUP($A482&amp;$B482,'KU Inputs'!$C$2:$I$505,MATCH('KU UtilityData'!I$1,'KU Inputs'!$C$1:$I$1,0),0)*1000</f>
        <v>5261000</v>
      </c>
      <c r="J482" s="190">
        <f>VLOOKUP($A482&amp;$B482,'KU Inputs'!$C$2:$I$505,MATCH('KU UtilityData'!J$1,'KU Inputs'!$C$1:$I$1,0),0)*1000</f>
        <v>2125296</v>
      </c>
      <c r="K482" s="265">
        <v>535482.39755143865</v>
      </c>
      <c r="L482" s="248">
        <v>507444.02</v>
      </c>
      <c r="M482" s="164">
        <v>156639.01748542272</v>
      </c>
      <c r="N482" s="190">
        <f>VLOOKUP($A482&amp;$B482,'KU Inputs'!$C$2:$I$505,MATCH('KU UtilityData'!N$1,'KU Inputs'!$C$1:$I$1,0),0)</f>
        <v>249612.27900000001</v>
      </c>
      <c r="O482" s="190" t="e">
        <f>VLOOKUP($A482&amp;$B482,'KU Inputs'!$C$2:$I$505,MATCH('KU UtilityData'!O$1,'KU Inputs'!$C$1:$I$1,0),0)</f>
        <v>#N/A</v>
      </c>
      <c r="P482" s="264">
        <f t="shared" si="39"/>
        <v>996</v>
      </c>
      <c r="Q482" s="264">
        <f t="shared" si="39"/>
        <v>0</v>
      </c>
      <c r="R482" s="166">
        <v>4512</v>
      </c>
      <c r="S482" s="166">
        <v>1455</v>
      </c>
      <c r="T482" s="182">
        <f t="shared" si="38"/>
        <v>0</v>
      </c>
    </row>
    <row r="483" spans="1:20" x14ac:dyDescent="0.2">
      <c r="A483" s="153">
        <v>2041</v>
      </c>
      <c r="B483" s="153">
        <v>2</v>
      </c>
      <c r="D483" s="281">
        <f t="shared" si="35"/>
        <v>17.159010368537455</v>
      </c>
      <c r="E483" s="279">
        <f t="shared" si="36"/>
        <v>16.98742026485208</v>
      </c>
      <c r="F483" s="173"/>
      <c r="G483" s="173">
        <f t="shared" si="40"/>
        <v>29.9</v>
      </c>
      <c r="H483" s="154">
        <v>4362.4060297509841</v>
      </c>
      <c r="I483" s="190">
        <f>VLOOKUP($A483&amp;$B483,'KU Inputs'!$C$2:$I$505,MATCH('KU UtilityData'!I$1,'KU Inputs'!$C$1:$I$1,0),0)*1000</f>
        <v>5261000</v>
      </c>
      <c r="J483" s="190">
        <f>VLOOKUP($A483&amp;$B483,'KU Inputs'!$C$2:$I$505,MATCH('KU UtilityData'!J$1,'KU Inputs'!$C$1:$I$1,0),0)*1000</f>
        <v>2125296</v>
      </c>
      <c r="K483" s="265">
        <v>535839.38581647293</v>
      </c>
      <c r="L483" s="248">
        <v>507444.02</v>
      </c>
      <c r="M483" s="164">
        <v>156639.01748542272</v>
      </c>
      <c r="N483" s="190">
        <f>VLOOKUP($A483&amp;$B483,'KU Inputs'!$C$2:$I$505,MATCH('KU UtilityData'!N$1,'KU Inputs'!$C$1:$I$1,0),0)</f>
        <v>249612.27900000001</v>
      </c>
      <c r="O483" s="190" t="e">
        <f>VLOOKUP($A483&amp;$B483,'KU Inputs'!$C$2:$I$505,MATCH('KU UtilityData'!O$1,'KU Inputs'!$C$1:$I$1,0),0)</f>
        <v>#N/A</v>
      </c>
      <c r="P483" s="264">
        <f t="shared" si="39"/>
        <v>889.8</v>
      </c>
      <c r="Q483" s="264">
        <f t="shared" si="39"/>
        <v>0</v>
      </c>
      <c r="R483" s="166">
        <v>4512</v>
      </c>
      <c r="S483" s="166">
        <v>1455</v>
      </c>
      <c r="T483" s="182">
        <f t="shared" si="38"/>
        <v>0</v>
      </c>
    </row>
    <row r="484" spans="1:20" x14ac:dyDescent="0.2">
      <c r="A484" s="153">
        <v>2041</v>
      </c>
      <c r="B484" s="153">
        <v>3</v>
      </c>
      <c r="D484" s="281">
        <f t="shared" si="35"/>
        <v>17.159010368537455</v>
      </c>
      <c r="E484" s="279">
        <f t="shared" si="36"/>
        <v>16.98742026485208</v>
      </c>
      <c r="F484" s="173"/>
      <c r="G484" s="173">
        <f t="shared" si="40"/>
        <v>30.33</v>
      </c>
      <c r="H484" s="154">
        <v>4364.0717513357831</v>
      </c>
      <c r="I484" s="190">
        <f>VLOOKUP($A484&amp;$B484,'KU Inputs'!$C$2:$I$505,MATCH('KU UtilityData'!I$1,'KU Inputs'!$C$1:$I$1,0),0)*1000</f>
        <v>5261000</v>
      </c>
      <c r="J484" s="190">
        <f>VLOOKUP($A484&amp;$B484,'KU Inputs'!$C$2:$I$505,MATCH('KU UtilityData'!J$1,'KU Inputs'!$C$1:$I$1,0),0)*1000</f>
        <v>2125296</v>
      </c>
      <c r="K484" s="265">
        <v>536196.61207368388</v>
      </c>
      <c r="L484" s="248">
        <v>507444.02</v>
      </c>
      <c r="M484" s="164">
        <v>156639.01748542272</v>
      </c>
      <c r="N484" s="190">
        <f>VLOOKUP($A484&amp;$B484,'KU Inputs'!$C$2:$I$505,MATCH('KU UtilityData'!N$1,'KU Inputs'!$C$1:$I$1,0),0)</f>
        <v>249612.27900000001</v>
      </c>
      <c r="O484" s="190" t="e">
        <f>VLOOKUP($A484&amp;$B484,'KU Inputs'!$C$2:$I$505,MATCH('KU UtilityData'!O$1,'KU Inputs'!$C$1:$I$1,0),0)</f>
        <v>#N/A</v>
      </c>
      <c r="P484" s="264">
        <f t="shared" si="39"/>
        <v>729</v>
      </c>
      <c r="Q484" s="264">
        <f t="shared" si="39"/>
        <v>0.45</v>
      </c>
      <c r="R484" s="166">
        <v>4512</v>
      </c>
      <c r="S484" s="166">
        <v>1455</v>
      </c>
      <c r="T484" s="182">
        <f t="shared" si="38"/>
        <v>0</v>
      </c>
    </row>
    <row r="485" spans="1:20" x14ac:dyDescent="0.2">
      <c r="A485" s="153">
        <v>2041</v>
      </c>
      <c r="B485" s="153">
        <v>4</v>
      </c>
      <c r="D485" s="281">
        <f t="shared" si="35"/>
        <v>17.159010368537455</v>
      </c>
      <c r="E485" s="279">
        <f t="shared" si="36"/>
        <v>16.98742026485208</v>
      </c>
      <c r="F485" s="173"/>
      <c r="G485" s="173">
        <f t="shared" si="40"/>
        <v>30.29</v>
      </c>
      <c r="H485" s="154">
        <v>4365.7374729205821</v>
      </c>
      <c r="I485" s="190">
        <f>VLOOKUP($A485&amp;$B485,'KU Inputs'!$C$2:$I$505,MATCH('KU UtilityData'!I$1,'KU Inputs'!$C$1:$I$1,0),0)*1000</f>
        <v>5267646</v>
      </c>
      <c r="J485" s="190">
        <f>VLOOKUP($A485&amp;$B485,'KU Inputs'!$C$2:$I$505,MATCH('KU UtilityData'!J$1,'KU Inputs'!$C$1:$I$1,0),0)*1000</f>
        <v>2128549</v>
      </c>
      <c r="K485" s="265">
        <v>536554.07648173301</v>
      </c>
      <c r="L485" s="248">
        <v>508155.38</v>
      </c>
      <c r="M485" s="164">
        <v>157265.57355536442</v>
      </c>
      <c r="N485" s="190">
        <f>VLOOKUP($A485&amp;$B485,'KU Inputs'!$C$2:$I$505,MATCH('KU UtilityData'!N$1,'KU Inputs'!$C$1:$I$1,0),0)</f>
        <v>250429.492</v>
      </c>
      <c r="O485" s="190" t="e">
        <f>VLOOKUP($A485&amp;$B485,'KU Inputs'!$C$2:$I$505,MATCH('KU UtilityData'!O$1,'KU Inputs'!$C$1:$I$1,0),0)</f>
        <v>#N/A</v>
      </c>
      <c r="P485" s="264">
        <f t="shared" si="39"/>
        <v>440</v>
      </c>
      <c r="Q485" s="264">
        <f t="shared" si="39"/>
        <v>11.85</v>
      </c>
      <c r="R485" s="166">
        <v>4512</v>
      </c>
      <c r="S485" s="166">
        <v>1455</v>
      </c>
      <c r="T485" s="182">
        <f t="shared" si="38"/>
        <v>0</v>
      </c>
    </row>
    <row r="486" spans="1:20" x14ac:dyDescent="0.2">
      <c r="A486" s="153">
        <v>2041</v>
      </c>
      <c r="B486" s="153">
        <v>5</v>
      </c>
      <c r="D486" s="281">
        <f t="shared" si="35"/>
        <v>17.159010368537455</v>
      </c>
      <c r="E486" s="279">
        <f t="shared" si="36"/>
        <v>16.98742026485208</v>
      </c>
      <c r="F486" s="173"/>
      <c r="G486" s="173">
        <f t="shared" si="40"/>
        <v>30.05</v>
      </c>
      <c r="H486" s="154">
        <v>4367.4031945053803</v>
      </c>
      <c r="I486" s="190">
        <f>VLOOKUP($A486&amp;$B486,'KU Inputs'!$C$2:$I$505,MATCH('KU UtilityData'!I$1,'KU Inputs'!$C$1:$I$1,0),0)*1000</f>
        <v>5267646</v>
      </c>
      <c r="J486" s="190">
        <f>VLOOKUP($A486&amp;$B486,'KU Inputs'!$C$2:$I$505,MATCH('KU UtilityData'!J$1,'KU Inputs'!$C$1:$I$1,0),0)*1000</f>
        <v>2128549</v>
      </c>
      <c r="K486" s="265">
        <v>536911.77919938741</v>
      </c>
      <c r="L486" s="248">
        <v>508155.38</v>
      </c>
      <c r="M486" s="164">
        <v>157265.57355536442</v>
      </c>
      <c r="N486" s="190">
        <f>VLOOKUP($A486&amp;$B486,'KU Inputs'!$C$2:$I$505,MATCH('KU UtilityData'!N$1,'KU Inputs'!$C$1:$I$1,0),0)</f>
        <v>250429.492</v>
      </c>
      <c r="O486" s="190" t="e">
        <f>VLOOKUP($A486&amp;$B486,'KU Inputs'!$C$2:$I$505,MATCH('KU UtilityData'!O$1,'KU Inputs'!$C$1:$I$1,0),0)</f>
        <v>#N/A</v>
      </c>
      <c r="P486" s="264">
        <f t="shared" si="39"/>
        <v>187</v>
      </c>
      <c r="Q486" s="264">
        <f t="shared" si="39"/>
        <v>47</v>
      </c>
      <c r="R486" s="166">
        <v>4512</v>
      </c>
      <c r="S486" s="166">
        <v>1455</v>
      </c>
      <c r="T486" s="182">
        <f t="shared" si="38"/>
        <v>0</v>
      </c>
    </row>
    <row r="487" spans="1:20" x14ac:dyDescent="0.2">
      <c r="A487" s="153">
        <v>2041</v>
      </c>
      <c r="B487" s="153">
        <v>6</v>
      </c>
      <c r="D487" s="281">
        <f t="shared" si="35"/>
        <v>17.159010368537455</v>
      </c>
      <c r="E487" s="279">
        <f t="shared" si="36"/>
        <v>16.98742026485208</v>
      </c>
      <c r="F487" s="173"/>
      <c r="G487" s="173">
        <f t="shared" si="40"/>
        <v>30.67</v>
      </c>
      <c r="H487" s="154">
        <v>4369.0689160901757</v>
      </c>
      <c r="I487" s="190">
        <f>VLOOKUP($A487&amp;$B487,'KU Inputs'!$C$2:$I$505,MATCH('KU UtilityData'!I$1,'KU Inputs'!$C$1:$I$1,0),0)*1000</f>
        <v>5267646</v>
      </c>
      <c r="J487" s="190">
        <f>VLOOKUP($A487&amp;$B487,'KU Inputs'!$C$2:$I$505,MATCH('KU UtilityData'!J$1,'KU Inputs'!$C$1:$I$1,0),0)*1000</f>
        <v>2128549</v>
      </c>
      <c r="K487" s="265">
        <v>537269.72038552025</v>
      </c>
      <c r="L487" s="248">
        <v>508155.38</v>
      </c>
      <c r="M487" s="164">
        <v>157265.57355536442</v>
      </c>
      <c r="N487" s="190">
        <f>VLOOKUP($A487&amp;$B487,'KU Inputs'!$C$2:$I$505,MATCH('KU UtilityData'!N$1,'KU Inputs'!$C$1:$I$1,0),0)</f>
        <v>250429.492</v>
      </c>
      <c r="O487" s="190" t="e">
        <f>VLOOKUP($A487&amp;$B487,'KU Inputs'!$C$2:$I$505,MATCH('KU UtilityData'!O$1,'KU Inputs'!$C$1:$I$1,0),0)</f>
        <v>#N/A</v>
      </c>
      <c r="P487" s="264">
        <f t="shared" si="39"/>
        <v>49</v>
      </c>
      <c r="Q487" s="264">
        <f t="shared" si="39"/>
        <v>171</v>
      </c>
      <c r="R487" s="166">
        <v>4512</v>
      </c>
      <c r="S487" s="166">
        <v>1455</v>
      </c>
      <c r="T487" s="182">
        <f t="shared" si="38"/>
        <v>0</v>
      </c>
    </row>
    <row r="488" spans="1:20" x14ac:dyDescent="0.2">
      <c r="A488" s="153">
        <v>2041</v>
      </c>
      <c r="B488" s="153">
        <v>7</v>
      </c>
      <c r="D488" s="281">
        <f t="shared" si="35"/>
        <v>17.159010368537455</v>
      </c>
      <c r="E488" s="279">
        <f t="shared" si="36"/>
        <v>16.98742026485208</v>
      </c>
      <c r="F488" s="173"/>
      <c r="G488" s="173">
        <f t="shared" si="40"/>
        <v>30.62</v>
      </c>
      <c r="H488" s="154">
        <v>4370.7349160901758</v>
      </c>
      <c r="I488" s="190">
        <f>VLOOKUP($A488&amp;$B488,'KU Inputs'!$C$2:$I$505,MATCH('KU UtilityData'!I$1,'KU Inputs'!$C$1:$I$1,0),0)*1000</f>
        <v>5274295</v>
      </c>
      <c r="J488" s="190">
        <f>VLOOKUP($A488&amp;$B488,'KU Inputs'!$C$2:$I$505,MATCH('KU UtilityData'!J$1,'KU Inputs'!$C$1:$I$1,0),0)*1000</f>
        <v>2131804</v>
      </c>
      <c r="K488" s="265">
        <v>537627.9001991105</v>
      </c>
      <c r="L488" s="248">
        <v>508867.17</v>
      </c>
      <c r="M488" s="164">
        <v>157894.63584958587</v>
      </c>
      <c r="N488" s="190">
        <f>VLOOKUP($A488&amp;$B488,'KU Inputs'!$C$2:$I$505,MATCH('KU UtilityData'!N$1,'KU Inputs'!$C$1:$I$1,0),0)</f>
        <v>251394.72700000001</v>
      </c>
      <c r="O488" s="190" t="e">
        <f>VLOOKUP($A488&amp;$B488,'KU Inputs'!$C$2:$I$505,MATCH('KU UtilityData'!O$1,'KU Inputs'!$C$1:$I$1,0),0)</f>
        <v>#N/A</v>
      </c>
      <c r="P488" s="264">
        <f t="shared" si="39"/>
        <v>1</v>
      </c>
      <c r="Q488" s="264">
        <f t="shared" si="39"/>
        <v>325</v>
      </c>
      <c r="R488" s="166">
        <v>4512</v>
      </c>
      <c r="S488" s="166">
        <v>1455</v>
      </c>
      <c r="T488" s="182">
        <f t="shared" si="38"/>
        <v>0</v>
      </c>
    </row>
    <row r="489" spans="1:20" x14ac:dyDescent="0.2">
      <c r="A489" s="153">
        <v>2041</v>
      </c>
      <c r="B489" s="153">
        <v>8</v>
      </c>
      <c r="D489" s="281">
        <f t="shared" si="35"/>
        <v>17.159010368537455</v>
      </c>
      <c r="E489" s="279">
        <f t="shared" si="36"/>
        <v>16.98742026485208</v>
      </c>
      <c r="F489" s="173"/>
      <c r="G489" s="173">
        <f t="shared" si="40"/>
        <v>29.52</v>
      </c>
      <c r="H489" s="154">
        <v>4372.4009160901751</v>
      </c>
      <c r="I489" s="190">
        <f>VLOOKUP($A489&amp;$B489,'KU Inputs'!$C$2:$I$505,MATCH('KU UtilityData'!I$1,'KU Inputs'!$C$1:$I$1,0),0)*1000</f>
        <v>5274295</v>
      </c>
      <c r="J489" s="190">
        <f>VLOOKUP($A489&amp;$B489,'KU Inputs'!$C$2:$I$505,MATCH('KU UtilityData'!J$1,'KU Inputs'!$C$1:$I$1,0),0)*1000</f>
        <v>2131804</v>
      </c>
      <c r="K489" s="265">
        <v>537986.31879924319</v>
      </c>
      <c r="L489" s="248">
        <v>508867.17</v>
      </c>
      <c r="M489" s="164">
        <v>157894.63584958587</v>
      </c>
      <c r="N489" s="190">
        <f>VLOOKUP($A489&amp;$B489,'KU Inputs'!$C$2:$I$505,MATCH('KU UtilityData'!N$1,'KU Inputs'!$C$1:$I$1,0),0)</f>
        <v>251394.72700000001</v>
      </c>
      <c r="O489" s="190" t="e">
        <f>VLOOKUP($A489&amp;$B489,'KU Inputs'!$C$2:$I$505,MATCH('KU UtilityData'!O$1,'KU Inputs'!$C$1:$I$1,0),0)</f>
        <v>#N/A</v>
      </c>
      <c r="P489" s="264">
        <f t="shared" si="39"/>
        <v>0</v>
      </c>
      <c r="Q489" s="264">
        <f t="shared" si="39"/>
        <v>341</v>
      </c>
      <c r="R489" s="166">
        <v>4512</v>
      </c>
      <c r="S489" s="166">
        <v>1455</v>
      </c>
      <c r="T489" s="182">
        <f t="shared" si="38"/>
        <v>0</v>
      </c>
    </row>
    <row r="490" spans="1:20" x14ac:dyDescent="0.2">
      <c r="A490" s="153">
        <v>2041</v>
      </c>
      <c r="B490" s="153">
        <v>9</v>
      </c>
      <c r="D490" s="281">
        <f t="shared" si="35"/>
        <v>17.159010368537455</v>
      </c>
      <c r="E490" s="279">
        <f t="shared" si="36"/>
        <v>16.98742026485208</v>
      </c>
      <c r="F490" s="173"/>
      <c r="G490" s="173">
        <f t="shared" si="40"/>
        <v>30.71</v>
      </c>
      <c r="H490" s="154">
        <v>4374.0669160901753</v>
      </c>
      <c r="I490" s="190">
        <f>VLOOKUP($A490&amp;$B490,'KU Inputs'!$C$2:$I$505,MATCH('KU UtilityData'!I$1,'KU Inputs'!$C$1:$I$1,0),0)*1000</f>
        <v>5274295</v>
      </c>
      <c r="J490" s="190">
        <f>VLOOKUP($A490&amp;$B490,'KU Inputs'!$C$2:$I$505,MATCH('KU UtilityData'!J$1,'KU Inputs'!$C$1:$I$1,0),0)*1000</f>
        <v>2131804</v>
      </c>
      <c r="K490" s="265">
        <v>538344.97634510929</v>
      </c>
      <c r="L490" s="248">
        <v>508867.17</v>
      </c>
      <c r="M490" s="164">
        <v>157894.63584958587</v>
      </c>
      <c r="N490" s="190">
        <f>VLOOKUP($A490&amp;$B490,'KU Inputs'!$C$2:$I$505,MATCH('KU UtilityData'!N$1,'KU Inputs'!$C$1:$I$1,0),0)</f>
        <v>251394.72700000001</v>
      </c>
      <c r="O490" s="190" t="e">
        <f>VLOOKUP($A490&amp;$B490,'KU Inputs'!$C$2:$I$505,MATCH('KU UtilityData'!O$1,'KU Inputs'!$C$1:$I$1,0),0)</f>
        <v>#N/A</v>
      </c>
      <c r="P490" s="264">
        <f t="shared" si="39"/>
        <v>12</v>
      </c>
      <c r="Q490" s="264">
        <f t="shared" si="39"/>
        <v>261</v>
      </c>
      <c r="R490" s="166">
        <v>4512</v>
      </c>
      <c r="S490" s="166">
        <v>1455</v>
      </c>
      <c r="T490" s="182">
        <f t="shared" si="38"/>
        <v>0</v>
      </c>
    </row>
    <row r="491" spans="1:20" x14ac:dyDescent="0.2">
      <c r="A491" s="153">
        <v>2041</v>
      </c>
      <c r="B491" s="153">
        <v>10</v>
      </c>
      <c r="D491" s="281">
        <f t="shared" si="35"/>
        <v>17.159010368537455</v>
      </c>
      <c r="E491" s="279">
        <f t="shared" si="36"/>
        <v>16.98742026485208</v>
      </c>
      <c r="F491" s="173"/>
      <c r="G491" s="173">
        <f t="shared" si="40"/>
        <v>29.52</v>
      </c>
      <c r="H491" s="154">
        <v>4375.7329160901754</v>
      </c>
      <c r="I491" s="190">
        <f>VLOOKUP($A491&amp;$B491,'KU Inputs'!$C$2:$I$505,MATCH('KU UtilityData'!I$1,'KU Inputs'!$C$1:$I$1,0),0)*1000</f>
        <v>5280945</v>
      </c>
      <c r="J491" s="190">
        <f>VLOOKUP($A491&amp;$B491,'KU Inputs'!$C$2:$I$505,MATCH('KU UtilityData'!J$1,'KU Inputs'!$C$1:$I$1,0),0)*1000</f>
        <v>2135092</v>
      </c>
      <c r="K491" s="265">
        <v>538703.87299600604</v>
      </c>
      <c r="L491" s="248">
        <v>509586.18</v>
      </c>
      <c r="M491" s="164">
        <v>158526.21439298423</v>
      </c>
      <c r="N491" s="190">
        <f>VLOOKUP($A491&amp;$B491,'KU Inputs'!$C$2:$I$505,MATCH('KU UtilityData'!N$1,'KU Inputs'!$C$1:$I$1,0),0)</f>
        <v>252359.43400000001</v>
      </c>
      <c r="O491" s="190" t="e">
        <f>VLOOKUP($A491&amp;$B491,'KU Inputs'!$C$2:$I$505,MATCH('KU UtilityData'!O$1,'KU Inputs'!$C$1:$I$1,0),0)</f>
        <v>#N/A</v>
      </c>
      <c r="P491" s="264">
        <f t="shared" si="39"/>
        <v>136</v>
      </c>
      <c r="Q491" s="264">
        <f t="shared" si="39"/>
        <v>73</v>
      </c>
      <c r="R491" s="166">
        <v>4512</v>
      </c>
      <c r="S491" s="166">
        <v>1455</v>
      </c>
      <c r="T491" s="182">
        <f t="shared" si="38"/>
        <v>0</v>
      </c>
    </row>
    <row r="492" spans="1:20" x14ac:dyDescent="0.2">
      <c r="A492" s="153">
        <v>2041</v>
      </c>
      <c r="B492" s="153">
        <v>11</v>
      </c>
      <c r="D492" s="281">
        <f t="shared" si="35"/>
        <v>17.159010368537455</v>
      </c>
      <c r="E492" s="279">
        <f t="shared" si="36"/>
        <v>16.98742026485208</v>
      </c>
      <c r="F492" s="173"/>
      <c r="G492" s="173">
        <f t="shared" si="40"/>
        <v>29.38</v>
      </c>
      <c r="H492" s="154">
        <v>4377.3989160901756</v>
      </c>
      <c r="I492" s="190">
        <f>VLOOKUP($A492&amp;$B492,'KU Inputs'!$C$2:$I$505,MATCH('KU UtilityData'!I$1,'KU Inputs'!$C$1:$I$1,0),0)*1000</f>
        <v>5280945</v>
      </c>
      <c r="J492" s="190">
        <f>VLOOKUP($A492&amp;$B492,'KU Inputs'!$C$2:$I$505,MATCH('KU UtilityData'!J$1,'KU Inputs'!$C$1:$I$1,0),0)*1000</f>
        <v>2135092</v>
      </c>
      <c r="K492" s="265">
        <v>539063.00891133666</v>
      </c>
      <c r="L492" s="248">
        <v>509586.18</v>
      </c>
      <c r="M492" s="164">
        <v>158526.21439298423</v>
      </c>
      <c r="N492" s="190">
        <f>VLOOKUP($A492&amp;$B492,'KU Inputs'!$C$2:$I$505,MATCH('KU UtilityData'!N$1,'KU Inputs'!$C$1:$I$1,0),0)</f>
        <v>252359.43400000001</v>
      </c>
      <c r="O492" s="190" t="e">
        <f>VLOOKUP($A492&amp;$B492,'KU Inputs'!$C$2:$I$505,MATCH('KU UtilityData'!O$1,'KU Inputs'!$C$1:$I$1,0),0)</f>
        <v>#N/A</v>
      </c>
      <c r="P492" s="264">
        <f t="shared" si="39"/>
        <v>394</v>
      </c>
      <c r="Q492" s="264">
        <f t="shared" si="39"/>
        <v>7</v>
      </c>
      <c r="R492" s="166">
        <v>4512</v>
      </c>
      <c r="S492" s="166">
        <v>1455</v>
      </c>
      <c r="T492" s="182">
        <f t="shared" si="38"/>
        <v>0</v>
      </c>
    </row>
    <row r="493" spans="1:20" x14ac:dyDescent="0.2">
      <c r="A493" s="153">
        <v>2041</v>
      </c>
      <c r="B493" s="153">
        <v>12</v>
      </c>
      <c r="D493" s="281">
        <f t="shared" si="35"/>
        <v>17.159010368537455</v>
      </c>
      <c r="E493" s="279">
        <f t="shared" si="36"/>
        <v>16.98742026485208</v>
      </c>
      <c r="F493" s="173"/>
      <c r="G493" s="173">
        <f t="shared" si="40"/>
        <v>32.81</v>
      </c>
      <c r="H493" s="154">
        <v>4379.0649160901758</v>
      </c>
      <c r="I493" s="190">
        <f>VLOOKUP($A493&amp;$B493,'KU Inputs'!$C$2:$I$505,MATCH('KU UtilityData'!I$1,'KU Inputs'!$C$1:$I$1,0),0)*1000</f>
        <v>5280945</v>
      </c>
      <c r="J493" s="190">
        <f>VLOOKUP($A493&amp;$B493,'KU Inputs'!$C$2:$I$505,MATCH('KU UtilityData'!J$1,'KU Inputs'!$C$1:$I$1,0),0)*1000</f>
        <v>2135092</v>
      </c>
      <c r="K493" s="265">
        <v>539422.38425061083</v>
      </c>
      <c r="L493" s="248">
        <v>509586.18</v>
      </c>
      <c r="M493" s="164">
        <v>158526.21439298423</v>
      </c>
      <c r="N493" s="190">
        <f>VLOOKUP($A493&amp;$B493,'KU Inputs'!$C$2:$I$505,MATCH('KU UtilityData'!N$1,'KU Inputs'!$C$1:$I$1,0),0)</f>
        <v>252359.43400000001</v>
      </c>
      <c r="O493" s="190" t="e">
        <f>VLOOKUP($A493&amp;$B493,'KU Inputs'!$C$2:$I$505,MATCH('KU UtilityData'!O$1,'KU Inputs'!$C$1:$I$1,0),0)</f>
        <v>#N/A</v>
      </c>
      <c r="P493" s="264">
        <f t="shared" si="39"/>
        <v>706</v>
      </c>
      <c r="Q493" s="264">
        <f t="shared" si="39"/>
        <v>0.2</v>
      </c>
      <c r="R493" s="166">
        <v>4512</v>
      </c>
      <c r="S493" s="166">
        <v>1455</v>
      </c>
      <c r="T493" s="182">
        <f t="shared" si="38"/>
        <v>0</v>
      </c>
    </row>
    <row r="494" spans="1:20" x14ac:dyDescent="0.2">
      <c r="A494" s="153">
        <f>A482+1</f>
        <v>2042</v>
      </c>
      <c r="B494" s="153">
        <v>1</v>
      </c>
      <c r="D494" s="281">
        <f t="shared" si="35"/>
        <v>17.502190575908205</v>
      </c>
      <c r="E494" s="279">
        <f>D494*0.99</f>
        <v>17.327168670149124</v>
      </c>
      <c r="G494" s="173">
        <f t="shared" si="40"/>
        <v>32.43</v>
      </c>
      <c r="I494" s="190">
        <f>VLOOKUP($A494&amp;$B494,'KU Inputs'!$C$2:$I$505,MATCH('KU UtilityData'!I$1,'KU Inputs'!$C$1:$I$1,0),0)*1000</f>
        <v>5288945</v>
      </c>
      <c r="J494" s="190">
        <f>VLOOKUP($A494&amp;$B494,'KU Inputs'!$C$2:$I$505,MATCH('KU UtilityData'!J$1,'KU Inputs'!$C$1:$I$1,0),0)*1000</f>
        <v>0</v>
      </c>
      <c r="L494" s="248">
        <v>510163.7</v>
      </c>
      <c r="M494" s="183">
        <f>M482*1.02</f>
        <v>159771.79783513118</v>
      </c>
      <c r="N494" s="190">
        <f>VLOOKUP($A494&amp;$B494,'KU Inputs'!$C$2:$I$505,MATCH('KU UtilityData'!N$1,'KU Inputs'!$C$1:$I$1,0),0)</f>
        <v>253356.46318499997</v>
      </c>
      <c r="O494" s="190" t="e">
        <f>VLOOKUP($A494&amp;$B494,'KU Inputs'!$C$2:$I$505,MATCH('KU UtilityData'!O$1,'KU Inputs'!$C$1:$I$1,0),0)</f>
        <v>#N/A</v>
      </c>
      <c r="P494" s="264">
        <f t="shared" si="39"/>
        <v>996</v>
      </c>
      <c r="Q494" s="264">
        <f t="shared" si="39"/>
        <v>0</v>
      </c>
      <c r="R494" s="166">
        <v>4512</v>
      </c>
      <c r="S494" s="166">
        <v>1455</v>
      </c>
      <c r="T494" s="182">
        <f t="shared" si="38"/>
        <v>0</v>
      </c>
    </row>
    <row r="495" spans="1:20" x14ac:dyDescent="0.2">
      <c r="A495" s="153">
        <f t="shared" ref="A495:A505" si="41">A483+1</f>
        <v>2042</v>
      </c>
      <c r="B495" s="153">
        <v>2</v>
      </c>
      <c r="D495" s="281">
        <f t="shared" si="35"/>
        <v>17.502190575908205</v>
      </c>
      <c r="E495" s="279">
        <f t="shared" ref="E495:E505" si="42">D495*0.99</f>
        <v>17.327168670149124</v>
      </c>
      <c r="G495" s="173">
        <f t="shared" si="40"/>
        <v>29.9</v>
      </c>
      <c r="I495" s="190">
        <f>VLOOKUP($A495&amp;$B495,'KU Inputs'!$C$2:$I$505,MATCH('KU UtilityData'!I$1,'KU Inputs'!$C$1:$I$1,0),0)*1000</f>
        <v>5288945</v>
      </c>
      <c r="J495" s="190">
        <f>VLOOKUP($A495&amp;$B495,'KU Inputs'!$C$2:$I$505,MATCH('KU UtilityData'!J$1,'KU Inputs'!$C$1:$I$1,0),0)*1000</f>
        <v>0</v>
      </c>
      <c r="L495" s="248">
        <v>510163.7</v>
      </c>
      <c r="M495" s="183">
        <f t="shared" ref="M495:M505" si="43">M483*1.02</f>
        <v>159771.79783513118</v>
      </c>
      <c r="N495" s="190">
        <f>VLOOKUP($A495&amp;$B495,'KU Inputs'!$C$2:$I$505,MATCH('KU UtilityData'!N$1,'KU Inputs'!$C$1:$I$1,0),0)</f>
        <v>253356.46318499997</v>
      </c>
      <c r="O495" s="190" t="e">
        <f>VLOOKUP($A495&amp;$B495,'KU Inputs'!$C$2:$I$505,MATCH('KU UtilityData'!O$1,'KU Inputs'!$C$1:$I$1,0),0)</f>
        <v>#N/A</v>
      </c>
      <c r="P495" s="264">
        <f t="shared" si="39"/>
        <v>889.8</v>
      </c>
      <c r="Q495" s="264">
        <f t="shared" si="39"/>
        <v>0</v>
      </c>
      <c r="R495" s="166">
        <v>4512</v>
      </c>
      <c r="S495" s="166">
        <v>1455</v>
      </c>
      <c r="T495" s="182">
        <f t="shared" si="38"/>
        <v>0</v>
      </c>
    </row>
    <row r="496" spans="1:20" x14ac:dyDescent="0.2">
      <c r="A496" s="153">
        <f t="shared" si="41"/>
        <v>2042</v>
      </c>
      <c r="B496" s="153">
        <v>3</v>
      </c>
      <c r="D496" s="281">
        <f t="shared" si="35"/>
        <v>17.502190575908205</v>
      </c>
      <c r="E496" s="279">
        <f t="shared" si="42"/>
        <v>17.327168670149124</v>
      </c>
      <c r="G496" s="173">
        <f t="shared" si="40"/>
        <v>30.33</v>
      </c>
      <c r="I496" s="190">
        <f>VLOOKUP($A496&amp;$B496,'KU Inputs'!$C$2:$I$505,MATCH('KU UtilityData'!I$1,'KU Inputs'!$C$1:$I$1,0),0)*1000</f>
        <v>5288945</v>
      </c>
      <c r="J496" s="190">
        <f>VLOOKUP($A496&amp;$B496,'KU Inputs'!$C$2:$I$505,MATCH('KU UtilityData'!J$1,'KU Inputs'!$C$1:$I$1,0),0)*1000</f>
        <v>0</v>
      </c>
      <c r="L496" s="248">
        <v>510163.7</v>
      </c>
      <c r="M496" s="183">
        <f t="shared" si="43"/>
        <v>159771.79783513118</v>
      </c>
      <c r="N496" s="190">
        <f>VLOOKUP($A496&amp;$B496,'KU Inputs'!$C$2:$I$505,MATCH('KU UtilityData'!N$1,'KU Inputs'!$C$1:$I$1,0),0)</f>
        <v>253356.46318499997</v>
      </c>
      <c r="O496" s="190" t="e">
        <f>VLOOKUP($A496&amp;$B496,'KU Inputs'!$C$2:$I$505,MATCH('KU UtilityData'!O$1,'KU Inputs'!$C$1:$I$1,0),0)</f>
        <v>#N/A</v>
      </c>
      <c r="P496" s="264">
        <f t="shared" si="39"/>
        <v>729</v>
      </c>
      <c r="Q496" s="264">
        <f t="shared" si="39"/>
        <v>0.45</v>
      </c>
      <c r="R496" s="166">
        <v>4512</v>
      </c>
      <c r="S496" s="166">
        <v>1455</v>
      </c>
      <c r="T496" s="182">
        <f t="shared" si="38"/>
        <v>0</v>
      </c>
    </row>
    <row r="497" spans="1:20" x14ac:dyDescent="0.2">
      <c r="A497" s="153">
        <f t="shared" si="41"/>
        <v>2042</v>
      </c>
      <c r="B497" s="153">
        <v>4</v>
      </c>
      <c r="D497" s="281">
        <f t="shared" si="35"/>
        <v>17.502190575908205</v>
      </c>
      <c r="E497" s="279">
        <f t="shared" si="42"/>
        <v>17.327168670149124</v>
      </c>
      <c r="G497" s="173">
        <f t="shared" si="40"/>
        <v>30.29</v>
      </c>
      <c r="I497" s="190">
        <f>VLOOKUP($A497&amp;$B497,'KU Inputs'!$C$2:$I$505,MATCH('KU UtilityData'!I$1,'KU Inputs'!$C$1:$I$1,0),0)*1000</f>
        <v>5296945</v>
      </c>
      <c r="J497" s="190">
        <f>VLOOKUP($A497&amp;$B497,'KU Inputs'!$C$2:$I$505,MATCH('KU UtilityData'!J$1,'KU Inputs'!$C$1:$I$1,0),0)*1000</f>
        <v>0</v>
      </c>
      <c r="L497" s="248">
        <v>510929.73</v>
      </c>
      <c r="M497" s="183">
        <f t="shared" si="43"/>
        <v>160410.88502647172</v>
      </c>
      <c r="N497" s="190">
        <f>VLOOKUP($A497&amp;$B497,'KU Inputs'!$C$2:$I$505,MATCH('KU UtilityData'!N$1,'KU Inputs'!$C$1:$I$1,0),0)</f>
        <v>254185.93437999996</v>
      </c>
      <c r="O497" s="190" t="e">
        <f>VLOOKUP($A497&amp;$B497,'KU Inputs'!$C$2:$I$505,MATCH('KU UtilityData'!O$1,'KU Inputs'!$C$1:$I$1,0),0)</f>
        <v>#N/A</v>
      </c>
      <c r="P497" s="264">
        <f t="shared" si="39"/>
        <v>440</v>
      </c>
      <c r="Q497" s="264">
        <f t="shared" si="39"/>
        <v>11.85</v>
      </c>
      <c r="R497" s="166">
        <v>4512</v>
      </c>
      <c r="S497" s="166">
        <v>1455</v>
      </c>
      <c r="T497" s="182">
        <f t="shared" si="38"/>
        <v>0</v>
      </c>
    </row>
    <row r="498" spans="1:20" x14ac:dyDescent="0.2">
      <c r="A498" s="153">
        <f t="shared" si="41"/>
        <v>2042</v>
      </c>
      <c r="B498" s="153">
        <v>5</v>
      </c>
      <c r="D498" s="281">
        <f t="shared" si="35"/>
        <v>17.502190575908205</v>
      </c>
      <c r="E498" s="279">
        <f t="shared" si="42"/>
        <v>17.327168670149124</v>
      </c>
      <c r="G498" s="173">
        <f t="shared" si="40"/>
        <v>30.05</v>
      </c>
      <c r="I498" s="190">
        <f>VLOOKUP($A498&amp;$B498,'KU Inputs'!$C$2:$I$505,MATCH('KU UtilityData'!I$1,'KU Inputs'!$C$1:$I$1,0),0)*1000</f>
        <v>5296945</v>
      </c>
      <c r="J498" s="190">
        <f>VLOOKUP($A498&amp;$B498,'KU Inputs'!$C$2:$I$505,MATCH('KU UtilityData'!J$1,'KU Inputs'!$C$1:$I$1,0),0)*1000</f>
        <v>0</v>
      </c>
      <c r="L498" s="248">
        <v>510929.73</v>
      </c>
      <c r="M498" s="183">
        <f t="shared" si="43"/>
        <v>160410.88502647172</v>
      </c>
      <c r="N498" s="190">
        <f>VLOOKUP($A498&amp;$B498,'KU Inputs'!$C$2:$I$505,MATCH('KU UtilityData'!N$1,'KU Inputs'!$C$1:$I$1,0),0)</f>
        <v>254185.93437999996</v>
      </c>
      <c r="O498" s="190" t="e">
        <f>VLOOKUP($A498&amp;$B498,'KU Inputs'!$C$2:$I$505,MATCH('KU UtilityData'!O$1,'KU Inputs'!$C$1:$I$1,0),0)</f>
        <v>#N/A</v>
      </c>
      <c r="P498" s="264">
        <f t="shared" ref="P498:Q505" si="44">P486</f>
        <v>187</v>
      </c>
      <c r="Q498" s="264">
        <f t="shared" si="44"/>
        <v>47</v>
      </c>
      <c r="R498" s="166">
        <v>4512</v>
      </c>
      <c r="S498" s="166">
        <v>1455</v>
      </c>
      <c r="T498" s="182">
        <f t="shared" si="38"/>
        <v>0</v>
      </c>
    </row>
    <row r="499" spans="1:20" x14ac:dyDescent="0.2">
      <c r="A499" s="153">
        <f t="shared" si="41"/>
        <v>2042</v>
      </c>
      <c r="B499" s="153">
        <v>6</v>
      </c>
      <c r="D499" s="281">
        <f t="shared" si="35"/>
        <v>17.502190575908205</v>
      </c>
      <c r="E499" s="279">
        <f t="shared" si="42"/>
        <v>17.327168670149124</v>
      </c>
      <c r="G499" s="173">
        <f t="shared" si="40"/>
        <v>30.67</v>
      </c>
      <c r="I499" s="190">
        <f>VLOOKUP($A499&amp;$B499,'KU Inputs'!$C$2:$I$505,MATCH('KU UtilityData'!I$1,'KU Inputs'!$C$1:$I$1,0),0)*1000</f>
        <v>5296945</v>
      </c>
      <c r="J499" s="190">
        <f>VLOOKUP($A499&amp;$B499,'KU Inputs'!$C$2:$I$505,MATCH('KU UtilityData'!J$1,'KU Inputs'!$C$1:$I$1,0),0)*1000</f>
        <v>0</v>
      </c>
      <c r="L499" s="248">
        <v>510929.73</v>
      </c>
      <c r="M499" s="183">
        <f t="shared" si="43"/>
        <v>160410.88502647172</v>
      </c>
      <c r="N499" s="190">
        <f>VLOOKUP($A499&amp;$B499,'KU Inputs'!$C$2:$I$505,MATCH('KU UtilityData'!N$1,'KU Inputs'!$C$1:$I$1,0),0)</f>
        <v>254185.93437999996</v>
      </c>
      <c r="O499" s="190" t="e">
        <f>VLOOKUP($A499&amp;$B499,'KU Inputs'!$C$2:$I$505,MATCH('KU UtilityData'!O$1,'KU Inputs'!$C$1:$I$1,0),0)</f>
        <v>#N/A</v>
      </c>
      <c r="P499" s="264">
        <f t="shared" si="44"/>
        <v>49</v>
      </c>
      <c r="Q499" s="264">
        <f t="shared" si="44"/>
        <v>171</v>
      </c>
      <c r="R499" s="166">
        <v>4512</v>
      </c>
      <c r="S499" s="166">
        <v>1455</v>
      </c>
      <c r="T499" s="182">
        <f t="shared" si="38"/>
        <v>0</v>
      </c>
    </row>
    <row r="500" spans="1:20" x14ac:dyDescent="0.2">
      <c r="A500" s="153">
        <f t="shared" si="41"/>
        <v>2042</v>
      </c>
      <c r="B500" s="153">
        <v>7</v>
      </c>
      <c r="D500" s="281">
        <f t="shared" si="35"/>
        <v>17.502190575908205</v>
      </c>
      <c r="E500" s="279">
        <f t="shared" si="42"/>
        <v>17.327168670149124</v>
      </c>
      <c r="G500" s="173">
        <f t="shared" si="40"/>
        <v>30.62</v>
      </c>
      <c r="I500" s="190">
        <f>VLOOKUP($A500&amp;$B500,'KU Inputs'!$C$2:$I$505,MATCH('KU UtilityData'!I$1,'KU Inputs'!$C$1:$I$1,0),0)*1000</f>
        <v>5304945</v>
      </c>
      <c r="J500" s="190">
        <f>VLOOKUP($A500&amp;$B500,'KU Inputs'!$C$2:$I$505,MATCH('KU UtilityData'!J$1,'KU Inputs'!$C$1:$I$1,0),0)*1000</f>
        <v>0</v>
      </c>
      <c r="L500" s="248">
        <v>511646.33</v>
      </c>
      <c r="M500" s="183">
        <f t="shared" si="43"/>
        <v>161052.52856657759</v>
      </c>
      <c r="N500" s="190">
        <f>VLOOKUP($A500&amp;$B500,'KU Inputs'!$C$2:$I$505,MATCH('KU UtilityData'!N$1,'KU Inputs'!$C$1:$I$1,0),0)</f>
        <v>255165.64790499999</v>
      </c>
      <c r="O500" s="190" t="e">
        <f>VLOOKUP($A500&amp;$B500,'KU Inputs'!$C$2:$I$505,MATCH('KU UtilityData'!O$1,'KU Inputs'!$C$1:$I$1,0),0)</f>
        <v>#N/A</v>
      </c>
      <c r="P500" s="264">
        <f t="shared" si="44"/>
        <v>1</v>
      </c>
      <c r="Q500" s="264">
        <f t="shared" si="44"/>
        <v>325</v>
      </c>
      <c r="R500" s="166">
        <v>4512</v>
      </c>
      <c r="S500" s="166">
        <v>1455</v>
      </c>
      <c r="T500" s="182">
        <f t="shared" si="38"/>
        <v>0</v>
      </c>
    </row>
    <row r="501" spans="1:20" x14ac:dyDescent="0.2">
      <c r="A501" s="153">
        <f t="shared" si="41"/>
        <v>2042</v>
      </c>
      <c r="B501" s="153">
        <v>8</v>
      </c>
      <c r="D501" s="281">
        <f t="shared" si="35"/>
        <v>17.502190575908205</v>
      </c>
      <c r="E501" s="279">
        <f t="shared" si="42"/>
        <v>17.327168670149124</v>
      </c>
      <c r="G501" s="173">
        <f t="shared" si="40"/>
        <v>29.52</v>
      </c>
      <c r="I501" s="190">
        <f>VLOOKUP($A501&amp;$B501,'KU Inputs'!$C$2:$I$505,MATCH('KU UtilityData'!I$1,'KU Inputs'!$C$1:$I$1,0),0)*1000</f>
        <v>5304945</v>
      </c>
      <c r="J501" s="190">
        <f>VLOOKUP($A501&amp;$B501,'KU Inputs'!$C$2:$I$505,MATCH('KU UtilityData'!J$1,'KU Inputs'!$C$1:$I$1,0),0)*1000</f>
        <v>0</v>
      </c>
      <c r="L501" s="248">
        <v>511646.33</v>
      </c>
      <c r="M501" s="183">
        <f t="shared" si="43"/>
        <v>161052.52856657759</v>
      </c>
      <c r="N501" s="190">
        <f>VLOOKUP($A501&amp;$B501,'KU Inputs'!$C$2:$I$505,MATCH('KU UtilityData'!N$1,'KU Inputs'!$C$1:$I$1,0),0)</f>
        <v>255165.64790499999</v>
      </c>
      <c r="O501" s="190" t="e">
        <f>VLOOKUP($A501&amp;$B501,'KU Inputs'!$C$2:$I$505,MATCH('KU UtilityData'!O$1,'KU Inputs'!$C$1:$I$1,0),0)</f>
        <v>#N/A</v>
      </c>
      <c r="P501" s="264">
        <f t="shared" si="44"/>
        <v>0</v>
      </c>
      <c r="Q501" s="264">
        <f t="shared" si="44"/>
        <v>341</v>
      </c>
      <c r="R501" s="166">
        <v>4512</v>
      </c>
      <c r="S501" s="166">
        <v>1455</v>
      </c>
      <c r="T501" s="182">
        <f t="shared" si="38"/>
        <v>0</v>
      </c>
    </row>
    <row r="502" spans="1:20" x14ac:dyDescent="0.2">
      <c r="A502" s="153">
        <f t="shared" si="41"/>
        <v>2042</v>
      </c>
      <c r="B502" s="153">
        <v>9</v>
      </c>
      <c r="D502" s="281">
        <f t="shared" si="35"/>
        <v>17.502190575908205</v>
      </c>
      <c r="E502" s="279">
        <f t="shared" si="42"/>
        <v>17.327168670149124</v>
      </c>
      <c r="G502" s="173">
        <f t="shared" si="40"/>
        <v>30.71</v>
      </c>
      <c r="I502" s="190">
        <f>VLOOKUP($A502&amp;$B502,'KU Inputs'!$C$2:$I$505,MATCH('KU UtilityData'!I$1,'KU Inputs'!$C$1:$I$1,0),0)*1000</f>
        <v>5304945</v>
      </c>
      <c r="J502" s="190">
        <f>VLOOKUP($A502&amp;$B502,'KU Inputs'!$C$2:$I$505,MATCH('KU UtilityData'!J$1,'KU Inputs'!$C$1:$I$1,0),0)*1000</f>
        <v>0</v>
      </c>
      <c r="L502" s="248">
        <v>511646.33</v>
      </c>
      <c r="M502" s="183">
        <f t="shared" si="43"/>
        <v>161052.52856657759</v>
      </c>
      <c r="N502" s="190">
        <f>VLOOKUP($A502&amp;$B502,'KU Inputs'!$C$2:$I$505,MATCH('KU UtilityData'!N$1,'KU Inputs'!$C$1:$I$1,0),0)</f>
        <v>255165.64790499999</v>
      </c>
      <c r="O502" s="190" t="e">
        <f>VLOOKUP($A502&amp;$B502,'KU Inputs'!$C$2:$I$505,MATCH('KU UtilityData'!O$1,'KU Inputs'!$C$1:$I$1,0),0)</f>
        <v>#N/A</v>
      </c>
      <c r="P502" s="264">
        <f t="shared" si="44"/>
        <v>12</v>
      </c>
      <c r="Q502" s="264">
        <f t="shared" si="44"/>
        <v>261</v>
      </c>
      <c r="R502" s="166">
        <v>4512</v>
      </c>
      <c r="S502" s="166">
        <v>1455</v>
      </c>
      <c r="T502" s="182">
        <f t="shared" si="38"/>
        <v>0</v>
      </c>
    </row>
    <row r="503" spans="1:20" x14ac:dyDescent="0.2">
      <c r="A503" s="153">
        <f>A491+1</f>
        <v>2042</v>
      </c>
      <c r="B503" s="153">
        <v>10</v>
      </c>
      <c r="D503" s="281">
        <f t="shared" si="35"/>
        <v>17.502190575908205</v>
      </c>
      <c r="E503" s="279">
        <f t="shared" si="42"/>
        <v>17.327168670149124</v>
      </c>
      <c r="G503" s="173">
        <f t="shared" si="40"/>
        <v>29.52</v>
      </c>
      <c r="I503" s="190">
        <f>VLOOKUP($A503&amp;$B503,'KU Inputs'!$C$2:$I$505,MATCH('KU UtilityData'!I$1,'KU Inputs'!$C$1:$I$1,0),0)*1000</f>
        <v>5312945</v>
      </c>
      <c r="J503" s="190">
        <f>VLOOKUP($A503&amp;$B503,'KU Inputs'!$C$2:$I$505,MATCH('KU UtilityData'!J$1,'KU Inputs'!$C$1:$I$1,0),0)*1000</f>
        <v>0</v>
      </c>
      <c r="L503" s="248">
        <v>512363.59</v>
      </c>
      <c r="M503" s="183">
        <f t="shared" si="43"/>
        <v>161696.7386808439</v>
      </c>
      <c r="N503" s="190">
        <f>VLOOKUP($A503&amp;$B503,'KU Inputs'!$C$2:$I$505,MATCH('KU UtilityData'!N$1,'KU Inputs'!$C$1:$I$1,0),0)</f>
        <v>256144.82551</v>
      </c>
      <c r="O503" s="190" t="e">
        <f>VLOOKUP($A503&amp;$B503,'KU Inputs'!$C$2:$I$505,MATCH('KU UtilityData'!O$1,'KU Inputs'!$C$1:$I$1,0),0)</f>
        <v>#N/A</v>
      </c>
      <c r="P503" s="264">
        <f t="shared" si="44"/>
        <v>136</v>
      </c>
      <c r="Q503" s="264">
        <f t="shared" si="44"/>
        <v>73</v>
      </c>
      <c r="R503" s="166">
        <v>4512</v>
      </c>
      <c r="S503" s="166">
        <v>1455</v>
      </c>
      <c r="T503" s="182">
        <f t="shared" si="38"/>
        <v>0</v>
      </c>
    </row>
    <row r="504" spans="1:20" x14ac:dyDescent="0.2">
      <c r="A504" s="153">
        <f t="shared" si="41"/>
        <v>2042</v>
      </c>
      <c r="B504" s="153">
        <v>11</v>
      </c>
      <c r="D504" s="281">
        <f t="shared" si="35"/>
        <v>17.502190575908205</v>
      </c>
      <c r="E504" s="279">
        <f t="shared" si="42"/>
        <v>17.327168670149124</v>
      </c>
      <c r="G504" s="173">
        <f t="shared" si="40"/>
        <v>29.38</v>
      </c>
      <c r="I504" s="190">
        <f>VLOOKUP($A504&amp;$B504,'KU Inputs'!$C$2:$I$505,MATCH('KU UtilityData'!I$1,'KU Inputs'!$C$1:$I$1,0),0)*1000</f>
        <v>5312945</v>
      </c>
      <c r="J504" s="190">
        <f>VLOOKUP($A504&amp;$B504,'KU Inputs'!$C$2:$I$505,MATCH('KU UtilityData'!J$1,'KU Inputs'!$C$1:$I$1,0),0)*1000</f>
        <v>0</v>
      </c>
      <c r="L504" s="248">
        <v>512363.59</v>
      </c>
      <c r="M504" s="183">
        <f t="shared" si="43"/>
        <v>161696.7386808439</v>
      </c>
      <c r="N504" s="190">
        <f>VLOOKUP($A504&amp;$B504,'KU Inputs'!$C$2:$I$505,MATCH('KU UtilityData'!N$1,'KU Inputs'!$C$1:$I$1,0),0)</f>
        <v>256144.82551</v>
      </c>
      <c r="O504" s="190" t="e">
        <f>VLOOKUP($A504&amp;$B504,'KU Inputs'!$C$2:$I$505,MATCH('KU UtilityData'!O$1,'KU Inputs'!$C$1:$I$1,0),0)</f>
        <v>#N/A</v>
      </c>
      <c r="P504" s="264">
        <f t="shared" si="44"/>
        <v>394</v>
      </c>
      <c r="Q504" s="264">
        <f t="shared" si="44"/>
        <v>7</v>
      </c>
      <c r="R504" s="166">
        <v>4512</v>
      </c>
      <c r="S504" s="166">
        <v>1455</v>
      </c>
      <c r="T504" s="182">
        <f t="shared" si="38"/>
        <v>0</v>
      </c>
    </row>
    <row r="505" spans="1:20" x14ac:dyDescent="0.2">
      <c r="A505" s="153">
        <f t="shared" si="41"/>
        <v>2042</v>
      </c>
      <c r="B505" s="153">
        <v>12</v>
      </c>
      <c r="D505" s="281">
        <f t="shared" si="35"/>
        <v>17.502190575908205</v>
      </c>
      <c r="E505" s="279">
        <f t="shared" si="42"/>
        <v>17.327168670149124</v>
      </c>
      <c r="G505" s="173">
        <f t="shared" si="40"/>
        <v>32.81</v>
      </c>
      <c r="I505" s="190">
        <f>VLOOKUP($A505&amp;$B505,'KU Inputs'!$C$2:$I$505,MATCH('KU UtilityData'!I$1,'KU Inputs'!$C$1:$I$1,0),0)*1000</f>
        <v>5312945</v>
      </c>
      <c r="J505" s="190">
        <f>VLOOKUP($A505&amp;$B505,'KU Inputs'!$C$2:$I$505,MATCH('KU UtilityData'!J$1,'KU Inputs'!$C$1:$I$1,0),0)*1000</f>
        <v>0</v>
      </c>
      <c r="L505" s="248">
        <v>512363.59</v>
      </c>
      <c r="M505" s="183">
        <f t="shared" si="43"/>
        <v>161696.7386808439</v>
      </c>
      <c r="N505" s="190">
        <f>VLOOKUP($A505&amp;$B505,'KU Inputs'!$C$2:$I$505,MATCH('KU UtilityData'!N$1,'KU Inputs'!$C$1:$I$1,0),0)</f>
        <v>256144.82551</v>
      </c>
      <c r="O505" s="190" t="e">
        <f>VLOOKUP($A505&amp;$B505,'KU Inputs'!$C$2:$I$505,MATCH('KU UtilityData'!O$1,'KU Inputs'!$C$1:$I$1,0),0)</f>
        <v>#N/A</v>
      </c>
      <c r="P505" s="264">
        <f t="shared" si="44"/>
        <v>706</v>
      </c>
      <c r="Q505" s="264">
        <f t="shared" si="44"/>
        <v>0.2</v>
      </c>
      <c r="R505" s="166">
        <v>4512</v>
      </c>
      <c r="S505" s="166">
        <v>1455</v>
      </c>
      <c r="T505" s="182">
        <f t="shared" si="38"/>
        <v>0</v>
      </c>
    </row>
  </sheetData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view="pageBreakPreview" topLeftCell="A9" zoomScale="60" zoomScaleNormal="118" workbookViewId="0">
      <pane xSplit="1" topLeftCell="J1" activePane="topRight" state="frozen"/>
      <selection activeCell="P1" sqref="P1:Q15"/>
      <selection pane="topRight" activeCell="P1" sqref="P1:Q15"/>
    </sheetView>
  </sheetViews>
  <sheetFormatPr defaultColWidth="9.140625" defaultRowHeight="12.75" x14ac:dyDescent="0.2"/>
  <cols>
    <col min="1" max="1" width="6.7109375" style="177" bestFit="1" customWidth="1"/>
    <col min="2" max="2" width="9.140625" style="157" bestFit="1"/>
    <col min="3" max="3" width="7.85546875" style="177" bestFit="1" customWidth="1"/>
    <col min="4" max="4" width="9.140625" style="177"/>
    <col min="5" max="5" width="7.85546875" style="177" bestFit="1" customWidth="1"/>
    <col min="6" max="6" width="9.28515625" style="177" bestFit="1" customWidth="1"/>
    <col min="7" max="7" width="7.85546875" style="177" bestFit="1" customWidth="1"/>
    <col min="8" max="8" width="10.85546875" style="177" bestFit="1" customWidth="1"/>
    <col min="9" max="9" width="7.85546875" style="177" bestFit="1" customWidth="1"/>
    <col min="10" max="10" width="8.28515625" style="177" bestFit="1" customWidth="1"/>
    <col min="11" max="11" width="7.85546875" style="177" bestFit="1" customWidth="1"/>
    <col min="12" max="12" width="7.5703125" style="177" customWidth="1"/>
    <col min="13" max="13" width="9.140625" style="157"/>
    <col min="14" max="14" width="6.7109375" bestFit="1" customWidth="1"/>
    <col min="15" max="15" width="9.140625" style="5"/>
    <col min="16" max="16" width="7.85546875" style="177" bestFit="1" customWidth="1"/>
    <col min="17" max="17" width="8.85546875"/>
    <col min="18" max="18" width="7.85546875" style="177" bestFit="1" customWidth="1"/>
    <col min="19" max="19" width="9.28515625" bestFit="1" customWidth="1"/>
    <col min="20" max="20" width="7.85546875" style="177" bestFit="1" customWidth="1"/>
    <col min="21" max="21" width="10.85546875" bestFit="1" customWidth="1"/>
    <col min="22" max="22" width="7.85546875" style="177" bestFit="1" customWidth="1"/>
    <col min="23" max="23" width="10.85546875" customWidth="1"/>
    <col min="24" max="24" width="7.85546875" style="177" bestFit="1" customWidth="1"/>
    <col min="25" max="16384" width="9.140625" style="177"/>
  </cols>
  <sheetData>
    <row r="1" spans="1:24" s="215" customFormat="1" x14ac:dyDescent="0.2">
      <c r="A1" s="193" t="s">
        <v>15</v>
      </c>
      <c r="B1" s="214" t="s">
        <v>16</v>
      </c>
      <c r="C1" s="193" t="s">
        <v>125</v>
      </c>
      <c r="D1" s="214" t="s">
        <v>17</v>
      </c>
      <c r="E1" s="193" t="s">
        <v>125</v>
      </c>
      <c r="F1" s="214" t="s">
        <v>5</v>
      </c>
      <c r="G1" s="193" t="s">
        <v>125</v>
      </c>
      <c r="H1" s="214" t="s">
        <v>19</v>
      </c>
      <c r="I1" s="193" t="s">
        <v>125</v>
      </c>
      <c r="J1" s="193" t="s">
        <v>124</v>
      </c>
      <c r="K1" s="193" t="s">
        <v>125</v>
      </c>
      <c r="L1" s="193"/>
      <c r="M1" s="214" t="s">
        <v>209</v>
      </c>
      <c r="N1" s="22" t="s">
        <v>15</v>
      </c>
      <c r="O1" s="35" t="s">
        <v>16</v>
      </c>
      <c r="P1" s="193"/>
      <c r="Q1" s="35"/>
      <c r="R1" s="193" t="s">
        <v>125</v>
      </c>
      <c r="S1" s="35" t="s">
        <v>5</v>
      </c>
      <c r="T1" s="193" t="s">
        <v>125</v>
      </c>
      <c r="U1" s="35" t="s">
        <v>19</v>
      </c>
      <c r="V1" s="193" t="s">
        <v>125</v>
      </c>
      <c r="W1" s="35" t="s">
        <v>210</v>
      </c>
      <c r="X1" s="193" t="s">
        <v>125</v>
      </c>
    </row>
    <row r="2" spans="1:24" x14ac:dyDescent="0.2">
      <c r="A2" s="192">
        <v>1995</v>
      </c>
      <c r="B2" s="216" t="e">
        <f>SUM('KU ShareUEC'!$D2:$G2,'KU ShareUEC'!$U2)</f>
        <v>#DIV/0!</v>
      </c>
      <c r="C2" s="198"/>
      <c r="D2" s="216" t="e">
        <f>SUM('KU ShareUEC'!$H2:$K2)</f>
        <v>#DIV/0!</v>
      </c>
      <c r="E2" s="198"/>
      <c r="F2" s="216" t="e">
        <f>'KU ShareUEC'!$L2</f>
        <v>#DIV/0!</v>
      </c>
      <c r="G2" s="198"/>
      <c r="H2" s="216" t="e">
        <f>SUM('KU ShareUEC'!$M2:$T2,'KU ShareUEC'!$V2:$W2)</f>
        <v>#DIV/0!</v>
      </c>
      <c r="I2" s="198"/>
      <c r="J2" s="216" t="e">
        <f t="shared" ref="J2:J49" si="0">AnnHeat1995+AnnCool1995+F2+H2</f>
        <v>#DIV/0!</v>
      </c>
      <c r="K2" s="198"/>
      <c r="L2" s="217"/>
      <c r="M2" s="216"/>
      <c r="N2" s="24">
        <v>1995</v>
      </c>
      <c r="O2" s="36">
        <v>2002.9223597788509</v>
      </c>
      <c r="P2" s="198"/>
      <c r="Q2" s="36"/>
      <c r="R2" s="198"/>
      <c r="S2" s="36">
        <v>1528.5730680480369</v>
      </c>
      <c r="T2" s="198"/>
      <c r="U2" s="36">
        <v>6916.523153421088</v>
      </c>
      <c r="V2" s="198"/>
      <c r="W2" s="36">
        <f>SUM(O2:U2)</f>
        <v>10448.018581247976</v>
      </c>
      <c r="X2" s="198"/>
    </row>
    <row r="3" spans="1:24" x14ac:dyDescent="0.2">
      <c r="A3" s="192">
        <f t="shared" ref="A3:A49" si="1">A2+1</f>
        <v>1996</v>
      </c>
      <c r="B3" s="216" t="e">
        <f>SUM('KU ShareUEC'!$D3:$G3,'KU ShareUEC'!$U3)</f>
        <v>#DIV/0!</v>
      </c>
      <c r="C3" s="198" t="e">
        <f t="shared" ref="C3:I49" si="2">B3/B2-1</f>
        <v>#DIV/0!</v>
      </c>
      <c r="D3" s="216" t="e">
        <f>SUM('KU ShareUEC'!$H3:$K3)</f>
        <v>#DIV/0!</v>
      </c>
      <c r="E3" s="198" t="e">
        <f t="shared" si="2"/>
        <v>#DIV/0!</v>
      </c>
      <c r="F3" s="216" t="e">
        <f>'KU ShareUEC'!$L3</f>
        <v>#DIV/0!</v>
      </c>
      <c r="G3" s="198" t="e">
        <f t="shared" si="2"/>
        <v>#DIV/0!</v>
      </c>
      <c r="H3" s="216" t="e">
        <f>SUM('KU ShareUEC'!$M3:$T3,'KU ShareUEC'!$V3:$W3)</f>
        <v>#DIV/0!</v>
      </c>
      <c r="I3" s="198" t="e">
        <f t="shared" si="2"/>
        <v>#DIV/0!</v>
      </c>
      <c r="J3" s="216" t="e">
        <f t="shared" si="0"/>
        <v>#DIV/0!</v>
      </c>
      <c r="K3" s="198" t="e">
        <f t="shared" ref="K3:K32" si="3">J3/J2-1</f>
        <v>#DIV/0!</v>
      </c>
      <c r="L3" s="217"/>
      <c r="M3" s="216"/>
      <c r="N3" s="24">
        <f t="shared" ref="N3:N27" si="4">N2+1</f>
        <v>1996</v>
      </c>
      <c r="O3" s="36">
        <v>2009.3100473403258</v>
      </c>
      <c r="P3" s="198"/>
      <c r="Q3" s="36"/>
      <c r="R3" s="198" t="e">
        <f t="shared" ref="P3:X48" si="5">Q3/Q2-1</f>
        <v>#DIV/0!</v>
      </c>
      <c r="S3" s="36">
        <v>1535.2434773907739</v>
      </c>
      <c r="T3" s="198">
        <f t="shared" si="5"/>
        <v>4.3638145157529618E-3</v>
      </c>
      <c r="U3" s="36">
        <v>6994.8559845185046</v>
      </c>
      <c r="V3" s="198">
        <f t="shared" si="5"/>
        <v>1.1325463583342632E-2</v>
      </c>
      <c r="W3" s="36" t="e">
        <f t="shared" ref="W3:W48" si="6">SUM(O3:U3)</f>
        <v>#DIV/0!</v>
      </c>
      <c r="X3" s="198" t="e">
        <f t="shared" si="5"/>
        <v>#DIV/0!</v>
      </c>
    </row>
    <row r="4" spans="1:24" x14ac:dyDescent="0.2">
      <c r="A4" s="192">
        <f t="shared" si="1"/>
        <v>1997</v>
      </c>
      <c r="B4" s="216" t="e">
        <f>SUM('KU ShareUEC'!$D4:$G4,'KU ShareUEC'!$U4)</f>
        <v>#DIV/0!</v>
      </c>
      <c r="C4" s="198" t="e">
        <f t="shared" si="2"/>
        <v>#DIV/0!</v>
      </c>
      <c r="D4" s="216" t="e">
        <f>SUM('KU ShareUEC'!$H4:$K4)</f>
        <v>#DIV/0!</v>
      </c>
      <c r="E4" s="198" t="e">
        <f t="shared" si="2"/>
        <v>#DIV/0!</v>
      </c>
      <c r="F4" s="216" t="e">
        <f>'KU ShareUEC'!$L4</f>
        <v>#DIV/0!</v>
      </c>
      <c r="G4" s="198" t="e">
        <f t="shared" si="2"/>
        <v>#DIV/0!</v>
      </c>
      <c r="H4" s="216" t="e">
        <f>SUM('KU ShareUEC'!$M4:$T4,'KU ShareUEC'!$V4:$W4)</f>
        <v>#DIV/0!</v>
      </c>
      <c r="I4" s="198" t="e">
        <f t="shared" si="2"/>
        <v>#DIV/0!</v>
      </c>
      <c r="J4" s="216" t="e">
        <f t="shared" si="0"/>
        <v>#DIV/0!</v>
      </c>
      <c r="K4" s="198" t="e">
        <f t="shared" si="3"/>
        <v>#DIV/0!</v>
      </c>
      <c r="L4" s="217"/>
      <c r="M4" s="216"/>
      <c r="N4" s="24">
        <f t="shared" si="4"/>
        <v>1997</v>
      </c>
      <c r="O4" s="36">
        <v>2014.7040561624535</v>
      </c>
      <c r="P4" s="198"/>
      <c r="Q4" s="36"/>
      <c r="R4" s="198" t="e">
        <f t="shared" si="5"/>
        <v>#DIV/0!</v>
      </c>
      <c r="S4" s="36">
        <v>1541.8781711453696</v>
      </c>
      <c r="T4" s="198">
        <f t="shared" si="5"/>
        <v>4.3215905830595869E-3</v>
      </c>
      <c r="U4" s="36">
        <v>7070.6929409578588</v>
      </c>
      <c r="V4" s="198">
        <f t="shared" si="5"/>
        <v>1.0841818131381409E-2</v>
      </c>
      <c r="W4" s="36" t="e">
        <f t="shared" si="6"/>
        <v>#DIV/0!</v>
      </c>
      <c r="X4" s="198" t="e">
        <f t="shared" si="5"/>
        <v>#DIV/0!</v>
      </c>
    </row>
    <row r="5" spans="1:24" x14ac:dyDescent="0.2">
      <c r="A5" s="192">
        <f t="shared" si="1"/>
        <v>1998</v>
      </c>
      <c r="B5" s="216" t="e">
        <f>SUM('KU ShareUEC'!$D5:$G5,'KU ShareUEC'!$U5)</f>
        <v>#DIV/0!</v>
      </c>
      <c r="C5" s="198" t="e">
        <f t="shared" si="2"/>
        <v>#DIV/0!</v>
      </c>
      <c r="D5" s="216" t="e">
        <f>SUM('KU ShareUEC'!$H5:$K5)</f>
        <v>#DIV/0!</v>
      </c>
      <c r="E5" s="198" t="e">
        <f t="shared" si="2"/>
        <v>#DIV/0!</v>
      </c>
      <c r="F5" s="216" t="e">
        <f>'KU ShareUEC'!$L5</f>
        <v>#DIV/0!</v>
      </c>
      <c r="G5" s="198" t="e">
        <f t="shared" si="2"/>
        <v>#DIV/0!</v>
      </c>
      <c r="H5" s="216" t="e">
        <f>SUM('KU ShareUEC'!$M5:$T5,'KU ShareUEC'!$V5:$W5)</f>
        <v>#DIV/0!</v>
      </c>
      <c r="I5" s="198" t="e">
        <f t="shared" si="2"/>
        <v>#DIV/0!</v>
      </c>
      <c r="J5" s="216" t="e">
        <f t="shared" si="0"/>
        <v>#DIV/0!</v>
      </c>
      <c r="K5" s="198" t="e">
        <f t="shared" si="3"/>
        <v>#DIV/0!</v>
      </c>
      <c r="L5" s="217"/>
      <c r="M5" s="216"/>
      <c r="N5" s="24">
        <f t="shared" si="4"/>
        <v>1998</v>
      </c>
      <c r="O5" s="36">
        <v>2019.1274255478602</v>
      </c>
      <c r="P5" s="198"/>
      <c r="Q5" s="36"/>
      <c r="R5" s="198" t="e">
        <f t="shared" si="5"/>
        <v>#DIV/0!</v>
      </c>
      <c r="S5" s="36">
        <v>1548.4774353956204</v>
      </c>
      <c r="T5" s="198">
        <f t="shared" si="5"/>
        <v>4.2800166535521544E-3</v>
      </c>
      <c r="U5" s="36">
        <v>7146.7746997861159</v>
      </c>
      <c r="V5" s="198">
        <f t="shared" si="5"/>
        <v>1.0760155965413798E-2</v>
      </c>
      <c r="W5" s="36" t="e">
        <f t="shared" si="6"/>
        <v>#DIV/0!</v>
      </c>
      <c r="X5" s="198" t="e">
        <f t="shared" si="5"/>
        <v>#DIV/0!</v>
      </c>
    </row>
    <row r="6" spans="1:24" x14ac:dyDescent="0.2">
      <c r="A6" s="192">
        <f t="shared" si="1"/>
        <v>1999</v>
      </c>
      <c r="B6" s="216" t="e">
        <f>SUM('KU ShareUEC'!$D6:$G6,'KU ShareUEC'!$U6)</f>
        <v>#DIV/0!</v>
      </c>
      <c r="C6" s="198" t="e">
        <f t="shared" si="2"/>
        <v>#DIV/0!</v>
      </c>
      <c r="D6" s="216" t="e">
        <f>SUM('KU ShareUEC'!$H6:$K6)</f>
        <v>#DIV/0!</v>
      </c>
      <c r="E6" s="198" t="e">
        <f t="shared" si="2"/>
        <v>#DIV/0!</v>
      </c>
      <c r="F6" s="216" t="e">
        <f>'KU ShareUEC'!$L6</f>
        <v>#DIV/0!</v>
      </c>
      <c r="G6" s="198" t="e">
        <f t="shared" si="2"/>
        <v>#DIV/0!</v>
      </c>
      <c r="H6" s="216" t="e">
        <f>SUM('KU ShareUEC'!$M6:$T6,'KU ShareUEC'!$V6:$W6)</f>
        <v>#DIV/0!</v>
      </c>
      <c r="I6" s="198" t="e">
        <f t="shared" si="2"/>
        <v>#DIV/0!</v>
      </c>
      <c r="J6" s="216" t="e">
        <f t="shared" si="0"/>
        <v>#DIV/0!</v>
      </c>
      <c r="K6" s="198" t="e">
        <f t="shared" si="3"/>
        <v>#DIV/0!</v>
      </c>
      <c r="L6" s="217"/>
      <c r="M6" s="216"/>
      <c r="N6" s="24">
        <f t="shared" si="4"/>
        <v>1999</v>
      </c>
      <c r="O6" s="36">
        <v>2022.6226422935026</v>
      </c>
      <c r="P6" s="198"/>
      <c r="Q6" s="36"/>
      <c r="R6" s="198" t="e">
        <f t="shared" si="5"/>
        <v>#DIV/0!</v>
      </c>
      <c r="S6" s="36">
        <v>1555.0415531780639</v>
      </c>
      <c r="T6" s="198">
        <f t="shared" si="5"/>
        <v>4.2390787443191691E-3</v>
      </c>
      <c r="U6" s="36">
        <v>7223.101261003274</v>
      </c>
      <c r="V6" s="198">
        <f t="shared" si="5"/>
        <v>1.0679861115454159E-2</v>
      </c>
      <c r="W6" s="36" t="e">
        <f t="shared" si="6"/>
        <v>#DIV/0!</v>
      </c>
      <c r="X6" s="198" t="e">
        <f t="shared" si="5"/>
        <v>#DIV/0!</v>
      </c>
    </row>
    <row r="7" spans="1:24" x14ac:dyDescent="0.2">
      <c r="A7" s="192">
        <f t="shared" si="1"/>
        <v>2000</v>
      </c>
      <c r="B7" s="216" t="e">
        <f>SUM('KU ShareUEC'!$D7:$G7,'KU ShareUEC'!$U7)</f>
        <v>#DIV/0!</v>
      </c>
      <c r="C7" s="202" t="e">
        <f t="shared" si="2"/>
        <v>#DIV/0!</v>
      </c>
      <c r="D7" s="216" t="e">
        <f>SUM('KU ShareUEC'!$H7:$K7)</f>
        <v>#DIV/0!</v>
      </c>
      <c r="E7" s="202" t="e">
        <f t="shared" si="2"/>
        <v>#DIV/0!</v>
      </c>
      <c r="F7" s="216" t="e">
        <f>'KU ShareUEC'!$L7</f>
        <v>#DIV/0!</v>
      </c>
      <c r="G7" s="202" t="e">
        <f t="shared" si="2"/>
        <v>#DIV/0!</v>
      </c>
      <c r="H7" s="216" t="e">
        <f>SUM('KU ShareUEC'!$M7:$T7,'KU ShareUEC'!$V7:$W7)</f>
        <v>#DIV/0!</v>
      </c>
      <c r="I7" s="202" t="e">
        <f t="shared" si="2"/>
        <v>#DIV/0!</v>
      </c>
      <c r="J7" s="216" t="e">
        <f t="shared" si="0"/>
        <v>#DIV/0!</v>
      </c>
      <c r="K7" s="202" t="e">
        <f t="shared" si="3"/>
        <v>#DIV/0!</v>
      </c>
      <c r="L7" s="217"/>
      <c r="M7" s="216"/>
      <c r="N7" s="24">
        <f t="shared" si="4"/>
        <v>2000</v>
      </c>
      <c r="O7" s="36">
        <v>2025.2524074293528</v>
      </c>
      <c r="P7" s="202"/>
      <c r="Q7" s="36"/>
      <c r="R7" s="202" t="e">
        <f t="shared" si="5"/>
        <v>#DIV/0!</v>
      </c>
      <c r="S7" s="36">
        <v>1561.5708045224426</v>
      </c>
      <c r="T7" s="202">
        <f t="shared" si="5"/>
        <v>4.198763262007299E-3</v>
      </c>
      <c r="U7" s="36">
        <v>7299.672624609334</v>
      </c>
      <c r="V7" s="202">
        <f t="shared" si="5"/>
        <v>1.0600898539171899E-2</v>
      </c>
      <c r="W7" s="36" t="e">
        <f t="shared" si="6"/>
        <v>#DIV/0!</v>
      </c>
      <c r="X7" s="202" t="e">
        <f t="shared" si="5"/>
        <v>#DIV/0!</v>
      </c>
    </row>
    <row r="8" spans="1:24" x14ac:dyDescent="0.2">
      <c r="A8" s="192">
        <f t="shared" si="1"/>
        <v>2001</v>
      </c>
      <c r="B8" s="216" t="e">
        <f>SUM('KU ShareUEC'!$D8:$G8,'KU ShareUEC'!$U8)</f>
        <v>#DIV/0!</v>
      </c>
      <c r="C8" s="202" t="e">
        <f t="shared" si="2"/>
        <v>#DIV/0!</v>
      </c>
      <c r="D8" s="216" t="e">
        <f>SUM('KU ShareUEC'!$H8:$K8)</f>
        <v>#DIV/0!</v>
      </c>
      <c r="E8" s="202" t="e">
        <f t="shared" si="2"/>
        <v>#DIV/0!</v>
      </c>
      <c r="F8" s="216" t="e">
        <f>'KU ShareUEC'!$L8</f>
        <v>#DIV/0!</v>
      </c>
      <c r="G8" s="202" t="e">
        <f t="shared" si="2"/>
        <v>#DIV/0!</v>
      </c>
      <c r="H8" s="216" t="e">
        <f>SUM('KU ShareUEC'!$M8:$T8,'KU ShareUEC'!$V8:$W8)</f>
        <v>#DIV/0!</v>
      </c>
      <c r="I8" s="202" t="e">
        <f t="shared" si="2"/>
        <v>#DIV/0!</v>
      </c>
      <c r="J8" s="216" t="e">
        <f t="shared" si="0"/>
        <v>#DIV/0!</v>
      </c>
      <c r="K8" s="202" t="e">
        <f t="shared" si="3"/>
        <v>#DIV/0!</v>
      </c>
      <c r="L8" s="217"/>
      <c r="M8" s="216"/>
      <c r="N8" s="24">
        <f t="shared" si="4"/>
        <v>2001</v>
      </c>
      <c r="O8" s="36">
        <v>2027.0994789800723</v>
      </c>
      <c r="P8" s="202"/>
      <c r="Q8" s="36"/>
      <c r="R8" s="202" t="e">
        <f t="shared" si="5"/>
        <v>#DIV/0!</v>
      </c>
      <c r="S8" s="36">
        <v>1568.0654664915266</v>
      </c>
      <c r="T8" s="202">
        <f t="shared" si="5"/>
        <v>4.1590569894589535E-3</v>
      </c>
      <c r="U8" s="36">
        <v>7376.4887906042968</v>
      </c>
      <c r="V8" s="202">
        <f t="shared" si="5"/>
        <v>1.0523234389442804E-2</v>
      </c>
      <c r="W8" s="36" t="e">
        <f t="shared" si="6"/>
        <v>#DIV/0!</v>
      </c>
      <c r="X8" s="202" t="e">
        <f t="shared" si="5"/>
        <v>#DIV/0!</v>
      </c>
    </row>
    <row r="9" spans="1:24" x14ac:dyDescent="0.2">
      <c r="A9" s="192">
        <f t="shared" si="1"/>
        <v>2002</v>
      </c>
      <c r="B9" s="216" t="e">
        <f>SUM('KU ShareUEC'!$D9:$G9,'KU ShareUEC'!$U9)</f>
        <v>#DIV/0!</v>
      </c>
      <c r="C9" s="202" t="e">
        <f t="shared" si="2"/>
        <v>#DIV/0!</v>
      </c>
      <c r="D9" s="216" t="e">
        <f>SUM('KU ShareUEC'!$H9:$K9)</f>
        <v>#DIV/0!</v>
      </c>
      <c r="E9" s="202" t="e">
        <f t="shared" si="2"/>
        <v>#DIV/0!</v>
      </c>
      <c r="F9" s="216" t="e">
        <f>'KU ShareUEC'!$L9</f>
        <v>#DIV/0!</v>
      </c>
      <c r="G9" s="202" t="e">
        <f t="shared" si="2"/>
        <v>#DIV/0!</v>
      </c>
      <c r="H9" s="216" t="e">
        <f>SUM('KU ShareUEC'!$M9:$T9,'KU ShareUEC'!$V9:$W9)</f>
        <v>#DIV/0!</v>
      </c>
      <c r="I9" s="202" t="e">
        <f t="shared" si="2"/>
        <v>#DIV/0!</v>
      </c>
      <c r="J9" s="216" t="e">
        <f t="shared" si="0"/>
        <v>#DIV/0!</v>
      </c>
      <c r="K9" s="202" t="e">
        <f t="shared" si="3"/>
        <v>#DIV/0!</v>
      </c>
      <c r="L9" s="217"/>
      <c r="M9" s="216"/>
      <c r="N9" s="24">
        <f t="shared" si="4"/>
        <v>2002</v>
      </c>
      <c r="O9" s="36">
        <v>2028.9886442315426</v>
      </c>
      <c r="P9" s="202"/>
      <c r="Q9" s="36"/>
      <c r="R9" s="202" t="e">
        <f t="shared" si="5"/>
        <v>#DIV/0!</v>
      </c>
      <c r="S9" s="36">
        <v>1574.5258132203057</v>
      </c>
      <c r="T9" s="202">
        <f t="shared" si="5"/>
        <v>4.1199470728947585E-3</v>
      </c>
      <c r="U9" s="36">
        <v>7456.8181079545348</v>
      </c>
      <c r="V9" s="202">
        <f t="shared" si="5"/>
        <v>1.0889912481471642E-2</v>
      </c>
      <c r="W9" s="36" t="e">
        <f t="shared" si="6"/>
        <v>#DIV/0!</v>
      </c>
      <c r="X9" s="202" t="e">
        <f t="shared" si="5"/>
        <v>#DIV/0!</v>
      </c>
    </row>
    <row r="10" spans="1:24" x14ac:dyDescent="0.2">
      <c r="A10" s="192">
        <f t="shared" si="1"/>
        <v>2003</v>
      </c>
      <c r="B10" s="216" t="e">
        <f>SUM('KU ShareUEC'!$D10:$G10,'KU ShareUEC'!$U10)</f>
        <v>#DIV/0!</v>
      </c>
      <c r="C10" s="202" t="e">
        <f t="shared" si="2"/>
        <v>#DIV/0!</v>
      </c>
      <c r="D10" s="216" t="e">
        <f>SUM('KU ShareUEC'!$H10:$K10)</f>
        <v>#DIV/0!</v>
      </c>
      <c r="E10" s="202" t="e">
        <f t="shared" si="2"/>
        <v>#DIV/0!</v>
      </c>
      <c r="F10" s="216" t="e">
        <f>'KU ShareUEC'!$L10</f>
        <v>#DIV/0!</v>
      </c>
      <c r="G10" s="202" t="e">
        <f t="shared" si="2"/>
        <v>#DIV/0!</v>
      </c>
      <c r="H10" s="216" t="e">
        <f>SUM('KU ShareUEC'!$M10:$T10,'KU ShareUEC'!$V10:$W10)</f>
        <v>#DIV/0!</v>
      </c>
      <c r="I10" s="202" t="e">
        <f t="shared" si="2"/>
        <v>#DIV/0!</v>
      </c>
      <c r="J10" s="216" t="e">
        <f t="shared" si="0"/>
        <v>#DIV/0!</v>
      </c>
      <c r="K10" s="202" t="e">
        <f t="shared" si="3"/>
        <v>#DIV/0!</v>
      </c>
      <c r="L10" s="217"/>
      <c r="M10" s="216"/>
      <c r="N10" s="24">
        <f t="shared" si="4"/>
        <v>2003</v>
      </c>
      <c r="O10" s="36">
        <v>2028.0258283578421</v>
      </c>
      <c r="P10" s="202"/>
      <c r="Q10" s="36"/>
      <c r="R10" s="202" t="e">
        <f t="shared" si="5"/>
        <v>#DIV/0!</v>
      </c>
      <c r="S10" s="36">
        <v>1580.9521159545584</v>
      </c>
      <c r="T10" s="202">
        <f t="shared" si="5"/>
        <v>4.0814210096113968E-3</v>
      </c>
      <c r="U10" s="36">
        <v>7540.197496197974</v>
      </c>
      <c r="V10" s="202">
        <f t="shared" si="5"/>
        <v>1.1181630963278399E-2</v>
      </c>
      <c r="W10" s="36" t="e">
        <f t="shared" si="6"/>
        <v>#DIV/0!</v>
      </c>
      <c r="X10" s="202" t="e">
        <f t="shared" si="5"/>
        <v>#DIV/0!</v>
      </c>
    </row>
    <row r="11" spans="1:24" x14ac:dyDescent="0.2">
      <c r="A11" s="192">
        <f t="shared" si="1"/>
        <v>2004</v>
      </c>
      <c r="B11" s="216" t="e">
        <f>SUM('KU ShareUEC'!$D11:$G11,'KU ShareUEC'!$U11)</f>
        <v>#DIV/0!</v>
      </c>
      <c r="C11" s="202" t="e">
        <f t="shared" si="2"/>
        <v>#DIV/0!</v>
      </c>
      <c r="D11" s="216" t="e">
        <f>SUM('KU ShareUEC'!$H11:$K11)</f>
        <v>#DIV/0!</v>
      </c>
      <c r="E11" s="202" t="e">
        <f t="shared" si="2"/>
        <v>#DIV/0!</v>
      </c>
      <c r="F11" s="216" t="e">
        <f>'KU ShareUEC'!$L11</f>
        <v>#DIV/0!</v>
      </c>
      <c r="G11" s="202" t="e">
        <f t="shared" si="2"/>
        <v>#DIV/0!</v>
      </c>
      <c r="H11" s="216" t="e">
        <f>SUM('KU ShareUEC'!$M11:$T11,'KU ShareUEC'!$V11:$W11)</f>
        <v>#DIV/0!</v>
      </c>
      <c r="I11" s="202" t="e">
        <f t="shared" si="2"/>
        <v>#DIV/0!</v>
      </c>
      <c r="J11" s="216" t="e">
        <f t="shared" si="0"/>
        <v>#DIV/0!</v>
      </c>
      <c r="K11" s="202" t="e">
        <f t="shared" si="3"/>
        <v>#DIV/0!</v>
      </c>
      <c r="L11" s="217"/>
      <c r="M11" s="216"/>
      <c r="N11" s="24">
        <f t="shared" si="4"/>
        <v>2004</v>
      </c>
      <c r="O11" s="36">
        <v>2026.6343969204711</v>
      </c>
      <c r="P11" s="202"/>
      <c r="Q11" s="36"/>
      <c r="R11" s="202" t="e">
        <f t="shared" si="5"/>
        <v>#DIV/0!</v>
      </c>
      <c r="S11" s="36">
        <v>1584.707857967406</v>
      </c>
      <c r="T11" s="202">
        <f t="shared" si="5"/>
        <v>2.3756203460849612E-3</v>
      </c>
      <c r="U11" s="36">
        <v>7624.3929269274004</v>
      </c>
      <c r="V11" s="202">
        <f t="shared" si="5"/>
        <v>1.1166210271266852E-2</v>
      </c>
      <c r="W11" s="36" t="e">
        <f t="shared" si="6"/>
        <v>#DIV/0!</v>
      </c>
      <c r="X11" s="202" t="e">
        <f t="shared" si="5"/>
        <v>#DIV/0!</v>
      </c>
    </row>
    <row r="12" spans="1:24" x14ac:dyDescent="0.2">
      <c r="A12" s="192">
        <f t="shared" si="1"/>
        <v>2005</v>
      </c>
      <c r="B12" s="216" t="e">
        <f>SUM('KU ShareUEC'!$D12:$G12,'KU ShareUEC'!$U12)</f>
        <v>#DIV/0!</v>
      </c>
      <c r="C12" s="202" t="e">
        <f t="shared" si="2"/>
        <v>#DIV/0!</v>
      </c>
      <c r="D12" s="216" t="e">
        <f>SUM('KU ShareUEC'!$H12:$K12)</f>
        <v>#DIV/0!</v>
      </c>
      <c r="E12" s="202" t="e">
        <f t="shared" si="2"/>
        <v>#DIV/0!</v>
      </c>
      <c r="F12" s="216" t="e">
        <f>'KU ShareUEC'!$L12</f>
        <v>#DIV/0!</v>
      </c>
      <c r="G12" s="202" t="e">
        <f t="shared" si="2"/>
        <v>#DIV/0!</v>
      </c>
      <c r="H12" s="216" t="e">
        <f>SUM('KU ShareUEC'!$M12:$T12,'KU ShareUEC'!$V12:$W12)</f>
        <v>#DIV/0!</v>
      </c>
      <c r="I12" s="202" t="e">
        <f t="shared" si="2"/>
        <v>#DIV/0!</v>
      </c>
      <c r="J12" s="216" t="e">
        <f t="shared" si="0"/>
        <v>#DIV/0!</v>
      </c>
      <c r="K12" s="202" t="e">
        <f t="shared" si="3"/>
        <v>#DIV/0!</v>
      </c>
      <c r="L12" s="217"/>
      <c r="M12" s="216"/>
      <c r="N12" s="24">
        <f t="shared" si="4"/>
        <v>2005</v>
      </c>
      <c r="O12" s="36">
        <v>2025.026994301161</v>
      </c>
      <c r="P12" s="202"/>
      <c r="Q12" s="36"/>
      <c r="R12" s="202" t="e">
        <f t="shared" si="5"/>
        <v>#DIV/0!</v>
      </c>
      <c r="S12" s="36">
        <v>1588.4439121502512</v>
      </c>
      <c r="T12" s="202">
        <f t="shared" si="5"/>
        <v>2.3575665155324277E-3</v>
      </c>
      <c r="U12" s="36">
        <v>7709.3717418777042</v>
      </c>
      <c r="V12" s="202">
        <f t="shared" si="5"/>
        <v>1.1145649990070838E-2</v>
      </c>
      <c r="W12" s="36" t="e">
        <f t="shared" si="6"/>
        <v>#DIV/0!</v>
      </c>
      <c r="X12" s="202" t="e">
        <f t="shared" si="5"/>
        <v>#DIV/0!</v>
      </c>
    </row>
    <row r="13" spans="1:24" x14ac:dyDescent="0.2">
      <c r="A13" s="192">
        <f t="shared" si="1"/>
        <v>2006</v>
      </c>
      <c r="B13" s="216" t="e">
        <f>SUM('KU ShareUEC'!$D13:$G13,'KU ShareUEC'!$U13)</f>
        <v>#DIV/0!</v>
      </c>
      <c r="C13" s="202" t="e">
        <f t="shared" si="2"/>
        <v>#DIV/0!</v>
      </c>
      <c r="D13" s="216" t="e">
        <f>SUM('KU ShareUEC'!$H13:$K13)</f>
        <v>#DIV/0!</v>
      </c>
      <c r="E13" s="202" t="e">
        <f t="shared" si="2"/>
        <v>#DIV/0!</v>
      </c>
      <c r="F13" s="216" t="e">
        <f>'KU ShareUEC'!$L13</f>
        <v>#DIV/0!</v>
      </c>
      <c r="G13" s="202" t="e">
        <f t="shared" si="2"/>
        <v>#DIV/0!</v>
      </c>
      <c r="H13" s="216" t="e">
        <f>SUM('KU ShareUEC'!$M13:$T13,'KU ShareUEC'!$V13:$W13)</f>
        <v>#DIV/0!</v>
      </c>
      <c r="I13" s="202" t="e">
        <f t="shared" si="2"/>
        <v>#DIV/0!</v>
      </c>
      <c r="J13" s="216" t="e">
        <f t="shared" si="0"/>
        <v>#DIV/0!</v>
      </c>
      <c r="K13" s="202" t="e">
        <f t="shared" si="3"/>
        <v>#DIV/0!</v>
      </c>
      <c r="L13" s="217"/>
      <c r="M13" s="216"/>
      <c r="N13" s="24">
        <f t="shared" si="4"/>
        <v>2006</v>
      </c>
      <c r="O13" s="36">
        <v>1956.8318133735866</v>
      </c>
      <c r="P13" s="202"/>
      <c r="Q13" s="36"/>
      <c r="R13" s="202" t="e">
        <f t="shared" si="5"/>
        <v>#DIV/0!</v>
      </c>
      <c r="S13" s="36">
        <v>1590.659197344738</v>
      </c>
      <c r="T13" s="202">
        <f t="shared" si="5"/>
        <v>1.394626009481259E-3</v>
      </c>
      <c r="U13" s="36">
        <v>7972.8076985169009</v>
      </c>
      <c r="V13" s="202">
        <f t="shared" si="5"/>
        <v>3.4170872213646009E-2</v>
      </c>
      <c r="W13" s="36" t="e">
        <f t="shared" si="6"/>
        <v>#DIV/0!</v>
      </c>
      <c r="X13" s="202" t="e">
        <f t="shared" si="5"/>
        <v>#DIV/0!</v>
      </c>
    </row>
    <row r="14" spans="1:24" x14ac:dyDescent="0.2">
      <c r="A14" s="192">
        <f t="shared" si="1"/>
        <v>2007</v>
      </c>
      <c r="B14" s="216" t="e">
        <f>SUM('KU ShareUEC'!$D14:$G14,'KU ShareUEC'!$U14)</f>
        <v>#DIV/0!</v>
      </c>
      <c r="C14" s="202" t="e">
        <f t="shared" si="2"/>
        <v>#DIV/0!</v>
      </c>
      <c r="D14" s="216" t="e">
        <f>SUM('KU ShareUEC'!$H14:$K14)</f>
        <v>#DIV/0!</v>
      </c>
      <c r="E14" s="202" t="e">
        <f t="shared" si="2"/>
        <v>#DIV/0!</v>
      </c>
      <c r="F14" s="216" t="e">
        <f>'KU ShareUEC'!$L14</f>
        <v>#DIV/0!</v>
      </c>
      <c r="G14" s="202" t="e">
        <f t="shared" si="2"/>
        <v>#DIV/0!</v>
      </c>
      <c r="H14" s="216" t="e">
        <f>SUM('KU ShareUEC'!$M14:$T14,'KU ShareUEC'!$V14:$W14)</f>
        <v>#DIV/0!</v>
      </c>
      <c r="I14" s="202" t="e">
        <f t="shared" si="2"/>
        <v>#DIV/0!</v>
      </c>
      <c r="J14" s="216" t="e">
        <f t="shared" si="0"/>
        <v>#DIV/0!</v>
      </c>
      <c r="K14" s="202" t="e">
        <f t="shared" si="3"/>
        <v>#DIV/0!</v>
      </c>
      <c r="L14" s="217"/>
      <c r="M14" s="216"/>
      <c r="N14" s="24">
        <f t="shared" si="4"/>
        <v>2007</v>
      </c>
      <c r="O14" s="36">
        <v>1964.5326816710487</v>
      </c>
      <c r="P14" s="202"/>
      <c r="Q14" s="36"/>
      <c r="R14" s="202" t="e">
        <f t="shared" si="5"/>
        <v>#DIV/0!</v>
      </c>
      <c r="S14" s="36">
        <v>1593.6191858058853</v>
      </c>
      <c r="T14" s="202">
        <f t="shared" si="5"/>
        <v>1.8608564713851194E-3</v>
      </c>
      <c r="U14" s="36">
        <v>7983.1130168144773</v>
      </c>
      <c r="V14" s="202">
        <f t="shared" si="5"/>
        <v>1.2925582413700898E-3</v>
      </c>
      <c r="W14" s="36" t="e">
        <f t="shared" si="6"/>
        <v>#DIV/0!</v>
      </c>
      <c r="X14" s="202" t="e">
        <f t="shared" si="5"/>
        <v>#DIV/0!</v>
      </c>
    </row>
    <row r="15" spans="1:24" x14ac:dyDescent="0.2">
      <c r="A15" s="192">
        <f t="shared" si="1"/>
        <v>2008</v>
      </c>
      <c r="B15" s="216" t="e">
        <f>SUM('KU ShareUEC'!$D15:$G15,'KU ShareUEC'!$U15)</f>
        <v>#DIV/0!</v>
      </c>
      <c r="C15" s="202" t="e">
        <f t="shared" si="2"/>
        <v>#DIV/0!</v>
      </c>
      <c r="D15" s="216" t="e">
        <f>SUM('KU ShareUEC'!$H15:$K15)</f>
        <v>#DIV/0!</v>
      </c>
      <c r="E15" s="202" t="e">
        <f t="shared" si="2"/>
        <v>#DIV/0!</v>
      </c>
      <c r="F15" s="216" t="e">
        <f>'KU ShareUEC'!$L15</f>
        <v>#DIV/0!</v>
      </c>
      <c r="G15" s="202" t="e">
        <f t="shared" si="2"/>
        <v>#DIV/0!</v>
      </c>
      <c r="H15" s="216" t="e">
        <f>SUM('KU ShareUEC'!$M15:$T15,'KU ShareUEC'!$V15:$W15)</f>
        <v>#DIV/0!</v>
      </c>
      <c r="I15" s="202" t="e">
        <f t="shared" si="2"/>
        <v>#DIV/0!</v>
      </c>
      <c r="J15" s="216" t="e">
        <f t="shared" si="0"/>
        <v>#DIV/0!</v>
      </c>
      <c r="K15" s="202" t="e">
        <f t="shared" si="3"/>
        <v>#DIV/0!</v>
      </c>
      <c r="L15" s="217"/>
      <c r="M15" s="216"/>
      <c r="N15" s="24">
        <f t="shared" si="4"/>
        <v>2008</v>
      </c>
      <c r="O15" s="36">
        <v>1973.017177478926</v>
      </c>
      <c r="P15" s="202"/>
      <c r="Q15" s="36"/>
      <c r="R15" s="202" t="e">
        <f t="shared" si="5"/>
        <v>#DIV/0!</v>
      </c>
      <c r="S15" s="36">
        <v>1597.8228397149139</v>
      </c>
      <c r="T15" s="202">
        <f t="shared" si="5"/>
        <v>2.6378032760083769E-3</v>
      </c>
      <c r="U15" s="36">
        <v>8001.4011454258853</v>
      </c>
      <c r="V15" s="202">
        <f t="shared" si="5"/>
        <v>2.2908517733482014E-3</v>
      </c>
      <c r="W15" s="36" t="e">
        <f t="shared" si="6"/>
        <v>#DIV/0!</v>
      </c>
      <c r="X15" s="202" t="e">
        <f t="shared" si="5"/>
        <v>#DIV/0!</v>
      </c>
    </row>
    <row r="16" spans="1:24" x14ac:dyDescent="0.2">
      <c r="A16" s="192">
        <f t="shared" si="1"/>
        <v>2009</v>
      </c>
      <c r="B16" s="216" t="e">
        <f>SUM('KU ShareUEC'!$D16:$G16,'KU ShareUEC'!$U16)</f>
        <v>#DIV/0!</v>
      </c>
      <c r="C16" s="202" t="e">
        <f t="shared" si="2"/>
        <v>#DIV/0!</v>
      </c>
      <c r="D16" s="216" t="e">
        <f>SUM('KU ShareUEC'!$H16:$K16)</f>
        <v>#DIV/0!</v>
      </c>
      <c r="E16" s="202" t="e">
        <f t="shared" si="2"/>
        <v>#DIV/0!</v>
      </c>
      <c r="F16" s="216" t="e">
        <f>'KU ShareUEC'!$L16</f>
        <v>#DIV/0!</v>
      </c>
      <c r="G16" s="202" t="e">
        <f t="shared" si="2"/>
        <v>#DIV/0!</v>
      </c>
      <c r="H16" s="216" t="e">
        <f>SUM('KU ShareUEC'!$M16:$T16,'KU ShareUEC'!$V16:$W16)</f>
        <v>#DIV/0!</v>
      </c>
      <c r="I16" s="202" t="e">
        <f t="shared" si="2"/>
        <v>#DIV/0!</v>
      </c>
      <c r="J16" s="216" t="e">
        <f t="shared" si="0"/>
        <v>#DIV/0!</v>
      </c>
      <c r="K16" s="202" t="e">
        <f t="shared" si="3"/>
        <v>#DIV/0!</v>
      </c>
      <c r="L16" s="217"/>
      <c r="M16" s="216"/>
      <c r="N16" s="24">
        <f t="shared" si="4"/>
        <v>2009</v>
      </c>
      <c r="O16" s="36">
        <v>1983.3114814237804</v>
      </c>
      <c r="P16" s="202">
        <f t="shared" si="5"/>
        <v>5.2175440043600307E-3</v>
      </c>
      <c r="Q16" s="36">
        <v>5081.2974308779067</v>
      </c>
      <c r="R16" s="202" t="e">
        <f t="shared" si="5"/>
        <v>#DIV/0!</v>
      </c>
      <c r="S16" s="36">
        <v>1602.3545379590519</v>
      </c>
      <c r="T16" s="202">
        <f t="shared" si="5"/>
        <v>2.836170651401293E-3</v>
      </c>
      <c r="U16" s="36">
        <v>8004.4367384083744</v>
      </c>
      <c r="V16" s="202">
        <f t="shared" si="5"/>
        <v>3.7938267652348756E-4</v>
      </c>
      <c r="W16" s="36" t="e">
        <f t="shared" si="6"/>
        <v>#DIV/0!</v>
      </c>
      <c r="X16" s="202" t="e">
        <f t="shared" si="5"/>
        <v>#DIV/0!</v>
      </c>
    </row>
    <row r="17" spans="1:24" x14ac:dyDescent="0.2">
      <c r="A17" s="192">
        <f t="shared" si="1"/>
        <v>2010</v>
      </c>
      <c r="B17" s="216" t="e">
        <f>SUM('KU ShareUEC'!$D17:$G17,'KU ShareUEC'!$U17)</f>
        <v>#DIV/0!</v>
      </c>
      <c r="C17" s="202" t="e">
        <f t="shared" si="2"/>
        <v>#DIV/0!</v>
      </c>
      <c r="D17" s="216" t="e">
        <f>SUM('KU ShareUEC'!$H17:$K17)</f>
        <v>#DIV/0!</v>
      </c>
      <c r="E17" s="202" t="e">
        <f t="shared" si="2"/>
        <v>#DIV/0!</v>
      </c>
      <c r="F17" s="216" t="e">
        <f>'KU ShareUEC'!$L17</f>
        <v>#DIV/0!</v>
      </c>
      <c r="G17" s="202" t="e">
        <f t="shared" si="2"/>
        <v>#DIV/0!</v>
      </c>
      <c r="H17" s="216" t="e">
        <f>SUM('KU ShareUEC'!$M17:$W17)</f>
        <v>#DIV/0!</v>
      </c>
      <c r="I17" s="202" t="e">
        <f t="shared" si="2"/>
        <v>#DIV/0!</v>
      </c>
      <c r="J17" s="216" t="e">
        <f t="shared" si="0"/>
        <v>#DIV/0!</v>
      </c>
      <c r="K17" s="202" t="e">
        <f t="shared" si="3"/>
        <v>#DIV/0!</v>
      </c>
      <c r="L17" s="217"/>
      <c r="M17" s="216"/>
      <c r="N17" s="24">
        <f t="shared" si="4"/>
        <v>2010</v>
      </c>
      <c r="O17" s="36">
        <v>1994.5232862409969</v>
      </c>
      <c r="P17" s="202">
        <f t="shared" si="5"/>
        <v>5.6530731164667891E-3</v>
      </c>
      <c r="Q17" s="36">
        <v>5028.805615165169</v>
      </c>
      <c r="R17" s="202">
        <f t="shared" si="5"/>
        <v>-1.0330396208211856E-2</v>
      </c>
      <c r="S17" s="36">
        <v>1606.4191958898102</v>
      </c>
      <c r="T17" s="202">
        <f t="shared" si="5"/>
        <v>2.5366782659321796E-3</v>
      </c>
      <c r="U17" s="36">
        <v>7981.4136028054099</v>
      </c>
      <c r="V17" s="202">
        <f t="shared" si="5"/>
        <v>-2.8762967783217963E-3</v>
      </c>
      <c r="W17" s="36">
        <f t="shared" si="6"/>
        <v>16611.159559456562</v>
      </c>
      <c r="X17" s="202" t="e">
        <f t="shared" si="5"/>
        <v>#DIV/0!</v>
      </c>
    </row>
    <row r="18" spans="1:24" x14ac:dyDescent="0.2">
      <c r="A18" s="192">
        <f t="shared" si="1"/>
        <v>2011</v>
      </c>
      <c r="B18" s="216" t="e">
        <f>SUM('KU ShareUEC'!$D18:$G18,'KU ShareUEC'!$U18)</f>
        <v>#DIV/0!</v>
      </c>
      <c r="C18" s="202" t="e">
        <f t="shared" si="2"/>
        <v>#DIV/0!</v>
      </c>
      <c r="D18" s="216" t="e">
        <f>SUM('KU ShareUEC'!$H18:$K18)</f>
        <v>#DIV/0!</v>
      </c>
      <c r="E18" s="202" t="e">
        <f t="shared" si="2"/>
        <v>#DIV/0!</v>
      </c>
      <c r="F18" s="216" t="e">
        <f>'KU ShareUEC'!$L18</f>
        <v>#DIV/0!</v>
      </c>
      <c r="G18" s="202" t="e">
        <f t="shared" si="2"/>
        <v>#DIV/0!</v>
      </c>
      <c r="H18" s="216" t="e">
        <f>SUM('KU ShareUEC'!$M18:$W18)</f>
        <v>#DIV/0!</v>
      </c>
      <c r="I18" s="202" t="e">
        <f t="shared" si="2"/>
        <v>#DIV/0!</v>
      </c>
      <c r="J18" s="216" t="e">
        <f t="shared" si="0"/>
        <v>#DIV/0!</v>
      </c>
      <c r="K18" s="202" t="e">
        <f t="shared" si="3"/>
        <v>#DIV/0!</v>
      </c>
      <c r="L18" s="217"/>
      <c r="M18" s="216"/>
      <c r="N18" s="24">
        <f t="shared" si="4"/>
        <v>2011</v>
      </c>
      <c r="O18" s="36">
        <v>2006.4102091370355</v>
      </c>
      <c r="P18" s="202">
        <f t="shared" si="5"/>
        <v>5.9597814565712781E-3</v>
      </c>
      <c r="Q18" s="36">
        <v>4984.7265885924271</v>
      </c>
      <c r="R18" s="202">
        <f t="shared" si="5"/>
        <v>-8.7653073007663007E-3</v>
      </c>
      <c r="S18" s="36">
        <v>1610.7787520253896</v>
      </c>
      <c r="T18" s="202">
        <f t="shared" si="5"/>
        <v>2.7138346869446384E-3</v>
      </c>
      <c r="U18" s="36">
        <v>7985.3501830083014</v>
      </c>
      <c r="V18" s="202">
        <f t="shared" si="5"/>
        <v>4.9321841954252932E-4</v>
      </c>
      <c r="W18" s="36">
        <f t="shared" si="6"/>
        <v>16587.265641071997</v>
      </c>
      <c r="X18" s="202">
        <f t="shared" si="5"/>
        <v>-1.4384256739597978E-3</v>
      </c>
    </row>
    <row r="19" spans="1:24" x14ac:dyDescent="0.2">
      <c r="A19" s="192">
        <f t="shared" si="1"/>
        <v>2012</v>
      </c>
      <c r="B19" s="216" t="e">
        <f>SUM('KU ShareUEC'!$D19:$G19,'KU ShareUEC'!$U19)</f>
        <v>#DIV/0!</v>
      </c>
      <c r="C19" s="198" t="e">
        <f t="shared" si="2"/>
        <v>#DIV/0!</v>
      </c>
      <c r="D19" s="216" t="e">
        <f>SUM('KU ShareUEC'!$H19:$K19)</f>
        <v>#DIV/0!</v>
      </c>
      <c r="E19" s="198" t="e">
        <f t="shared" si="2"/>
        <v>#DIV/0!</v>
      </c>
      <c r="F19" s="216" t="e">
        <f>'KU ShareUEC'!$L19</f>
        <v>#DIV/0!</v>
      </c>
      <c r="G19" s="198" t="e">
        <f t="shared" si="2"/>
        <v>#DIV/0!</v>
      </c>
      <c r="H19" s="216" t="e">
        <f>SUM('KU ShareUEC'!$M19:$W19)</f>
        <v>#DIV/0!</v>
      </c>
      <c r="I19" s="198" t="e">
        <f t="shared" si="2"/>
        <v>#DIV/0!</v>
      </c>
      <c r="J19" s="216" t="e">
        <f t="shared" si="0"/>
        <v>#DIV/0!</v>
      </c>
      <c r="K19" s="198" t="e">
        <f t="shared" si="3"/>
        <v>#DIV/0!</v>
      </c>
      <c r="L19" s="217"/>
      <c r="M19" s="216" t="e">
        <f>H19-U19</f>
        <v>#DIV/0!</v>
      </c>
      <c r="N19" s="24">
        <f t="shared" si="4"/>
        <v>2012</v>
      </c>
      <c r="O19" s="36">
        <v>2018.5426973510087</v>
      </c>
      <c r="P19" s="198">
        <f t="shared" si="5"/>
        <v>6.0468632778694076E-3</v>
      </c>
      <c r="Q19" s="36">
        <v>4946.3972958268778</v>
      </c>
      <c r="R19" s="198">
        <f t="shared" si="5"/>
        <v>-7.6893470653467411E-3</v>
      </c>
      <c r="S19" s="36">
        <v>1615.5010013175936</v>
      </c>
      <c r="T19" s="198">
        <f t="shared" si="5"/>
        <v>2.9316560615579856E-3</v>
      </c>
      <c r="U19" s="36">
        <v>7998.3617184118884</v>
      </c>
      <c r="V19" s="198">
        <f t="shared" si="5"/>
        <v>1.629425774122506E-3</v>
      </c>
      <c r="W19" s="36">
        <f t="shared" si="6"/>
        <v>16578.804002079643</v>
      </c>
      <c r="X19" s="198">
        <f t="shared" si="5"/>
        <v>-5.1012862369559375E-4</v>
      </c>
    </row>
    <row r="20" spans="1:24" x14ac:dyDescent="0.2">
      <c r="A20" s="192">
        <f t="shared" si="1"/>
        <v>2013</v>
      </c>
      <c r="B20" s="216" t="e">
        <f>SUM('KU ShareUEC'!$D20:$G20,'KU ShareUEC'!$U20)</f>
        <v>#DIV/0!</v>
      </c>
      <c r="C20" s="198" t="e">
        <f t="shared" si="2"/>
        <v>#DIV/0!</v>
      </c>
      <c r="D20" s="216" t="e">
        <f>SUM('KU ShareUEC'!$H20:$K20)</f>
        <v>#DIV/0!</v>
      </c>
      <c r="E20" s="198" t="e">
        <f t="shared" si="2"/>
        <v>#DIV/0!</v>
      </c>
      <c r="F20" s="216" t="e">
        <f>'KU ShareUEC'!$L20</f>
        <v>#DIV/0!</v>
      </c>
      <c r="G20" s="198" t="e">
        <f t="shared" si="2"/>
        <v>#DIV/0!</v>
      </c>
      <c r="H20" s="216" t="e">
        <f>SUM('KU ShareUEC'!$M20:$W20)</f>
        <v>#DIV/0!</v>
      </c>
      <c r="I20" s="198" t="e">
        <f t="shared" si="2"/>
        <v>#DIV/0!</v>
      </c>
      <c r="J20" s="216" t="e">
        <f t="shared" si="0"/>
        <v>#DIV/0!</v>
      </c>
      <c r="K20" s="198" t="e">
        <f t="shared" si="3"/>
        <v>#DIV/0!</v>
      </c>
      <c r="L20" s="225" t="s">
        <v>32</v>
      </c>
      <c r="M20" s="216" t="e">
        <f t="shared" ref="M20:M48" si="7">H20-U20</f>
        <v>#DIV/0!</v>
      </c>
      <c r="N20" s="24">
        <f t="shared" si="4"/>
        <v>2013</v>
      </c>
      <c r="O20" s="36">
        <v>2030.5553179634626</v>
      </c>
      <c r="P20" s="198">
        <f t="shared" si="5"/>
        <v>5.9511352562511277E-3</v>
      </c>
      <c r="Q20" s="36">
        <v>4913.1880537329907</v>
      </c>
      <c r="R20" s="198">
        <f t="shared" si="5"/>
        <v>-6.7138242457606134E-3</v>
      </c>
      <c r="S20" s="36">
        <v>1620.5499945204726</v>
      </c>
      <c r="T20" s="198">
        <f t="shared" si="5"/>
        <v>3.125342044827617E-3</v>
      </c>
      <c r="U20" s="36">
        <v>8042.5220382627995</v>
      </c>
      <c r="V20" s="198">
        <f t="shared" si="5"/>
        <v>5.5211706353883727E-3</v>
      </c>
      <c r="W20" s="36">
        <f t="shared" si="6"/>
        <v>16606.817767132779</v>
      </c>
      <c r="X20" s="198">
        <f t="shared" si="5"/>
        <v>1.6897337738972507E-3</v>
      </c>
    </row>
    <row r="21" spans="1:24" x14ac:dyDescent="0.2">
      <c r="A21" s="192">
        <f t="shared" si="1"/>
        <v>2014</v>
      </c>
      <c r="B21" s="216" t="e">
        <f>SUM('KU ShareUEC'!$D21:$G21,'KU ShareUEC'!$U21)</f>
        <v>#DIV/0!</v>
      </c>
      <c r="C21" s="198" t="e">
        <f t="shared" si="2"/>
        <v>#DIV/0!</v>
      </c>
      <c r="D21" s="216" t="e">
        <f>SUM('KU ShareUEC'!$H21:$K21)</f>
        <v>#DIV/0!</v>
      </c>
      <c r="E21" s="198" t="e">
        <f t="shared" si="2"/>
        <v>#DIV/0!</v>
      </c>
      <c r="F21" s="216" t="e">
        <f>'KU ShareUEC'!$L21</f>
        <v>#DIV/0!</v>
      </c>
      <c r="G21" s="198" t="e">
        <f t="shared" si="2"/>
        <v>#DIV/0!</v>
      </c>
      <c r="H21" s="216" t="e">
        <f>SUM('KU ShareUEC'!$M21:$W21)</f>
        <v>#DIV/0!</v>
      </c>
      <c r="I21" s="198" t="e">
        <f t="shared" si="2"/>
        <v>#DIV/0!</v>
      </c>
      <c r="J21" s="216" t="e">
        <f t="shared" si="0"/>
        <v>#DIV/0!</v>
      </c>
      <c r="K21" s="198" t="e">
        <f t="shared" si="3"/>
        <v>#DIV/0!</v>
      </c>
      <c r="L21" s="217"/>
      <c r="M21" s="216" t="e">
        <f t="shared" si="7"/>
        <v>#DIV/0!</v>
      </c>
      <c r="N21" s="24">
        <f t="shared" si="4"/>
        <v>2014</v>
      </c>
      <c r="O21" s="36">
        <v>2042.2289374516122</v>
      </c>
      <c r="P21" s="198">
        <f t="shared" si="5"/>
        <v>5.7489788063778136E-3</v>
      </c>
      <c r="Q21" s="36">
        <v>4885.2406830944792</v>
      </c>
      <c r="R21" s="198">
        <f t="shared" si="5"/>
        <v>-5.6882354863818652E-3</v>
      </c>
      <c r="S21" s="36">
        <v>1625.8606087704291</v>
      </c>
      <c r="T21" s="198">
        <f t="shared" si="5"/>
        <v>3.2770443787066839E-3</v>
      </c>
      <c r="U21" s="36">
        <v>8091.2953700315511</v>
      </c>
      <c r="V21" s="198">
        <f t="shared" si="5"/>
        <v>6.0644324674161698E-3</v>
      </c>
      <c r="W21" s="36">
        <f t="shared" si="6"/>
        <v>16644.628937135771</v>
      </c>
      <c r="X21" s="198">
        <f t="shared" si="5"/>
        <v>2.2768462045645865E-3</v>
      </c>
    </row>
    <row r="22" spans="1:24" x14ac:dyDescent="0.2">
      <c r="A22" s="192">
        <f t="shared" si="1"/>
        <v>2015</v>
      </c>
      <c r="B22" s="216" t="e">
        <f>SUM('KU ShareUEC'!$D22:$G22,'KU ShareUEC'!$U22)</f>
        <v>#DIV/0!</v>
      </c>
      <c r="C22" s="198" t="e">
        <f t="shared" si="2"/>
        <v>#DIV/0!</v>
      </c>
      <c r="D22" s="216" t="e">
        <f>SUM('KU ShareUEC'!$H22:$K22)</f>
        <v>#DIV/0!</v>
      </c>
      <c r="E22" s="198" t="e">
        <f t="shared" si="2"/>
        <v>#DIV/0!</v>
      </c>
      <c r="F22" s="216" t="e">
        <f>'KU ShareUEC'!$L22</f>
        <v>#DIV/0!</v>
      </c>
      <c r="G22" s="198" t="e">
        <f t="shared" si="2"/>
        <v>#DIV/0!</v>
      </c>
      <c r="H22" s="216" t="e">
        <f>SUM('KU ShareUEC'!$M22:$W22)</f>
        <v>#DIV/0!</v>
      </c>
      <c r="I22" s="198" t="e">
        <f t="shared" si="2"/>
        <v>#DIV/0!</v>
      </c>
      <c r="J22" s="216" t="e">
        <f t="shared" si="0"/>
        <v>#DIV/0!</v>
      </c>
      <c r="K22" s="198" t="e">
        <f t="shared" si="3"/>
        <v>#DIV/0!</v>
      </c>
      <c r="L22" s="217"/>
      <c r="M22" s="216" t="e">
        <f t="shared" si="7"/>
        <v>#DIV/0!</v>
      </c>
      <c r="N22" s="24">
        <f t="shared" si="4"/>
        <v>2015</v>
      </c>
      <c r="O22" s="36">
        <v>2053.6118182007085</v>
      </c>
      <c r="P22" s="198">
        <f t="shared" si="5"/>
        <v>5.5737535299544838E-3</v>
      </c>
      <c r="Q22" s="36">
        <v>4862.5739598788841</v>
      </c>
      <c r="R22" s="198">
        <f t="shared" si="5"/>
        <v>-4.6398375609278952E-3</v>
      </c>
      <c r="S22" s="36">
        <v>1631.3536319856737</v>
      </c>
      <c r="T22" s="198">
        <f t="shared" si="5"/>
        <v>3.3785326894650858E-3</v>
      </c>
      <c r="U22" s="36">
        <v>8142.9312866834844</v>
      </c>
      <c r="V22" s="198">
        <f t="shared" si="5"/>
        <v>6.3816625509904856E-3</v>
      </c>
      <c r="W22" s="36">
        <f t="shared" si="6"/>
        <v>16690.475009197406</v>
      </c>
      <c r="X22" s="198">
        <f t="shared" si="5"/>
        <v>2.7544063754614267E-3</v>
      </c>
    </row>
    <row r="23" spans="1:24" x14ac:dyDescent="0.2">
      <c r="A23" s="192">
        <f t="shared" si="1"/>
        <v>2016</v>
      </c>
      <c r="B23" s="216" t="e">
        <f>SUM('KU ShareUEC'!$D23:$G23,'KU ShareUEC'!$U23)</f>
        <v>#DIV/0!</v>
      </c>
      <c r="C23" s="198" t="e">
        <f t="shared" si="2"/>
        <v>#DIV/0!</v>
      </c>
      <c r="D23" s="216" t="e">
        <f>SUM('KU ShareUEC'!$H23:$K23)</f>
        <v>#DIV/0!</v>
      </c>
      <c r="E23" s="198" t="e">
        <f t="shared" si="2"/>
        <v>#DIV/0!</v>
      </c>
      <c r="F23" s="216" t="e">
        <f>'KU ShareUEC'!$L23</f>
        <v>#DIV/0!</v>
      </c>
      <c r="G23" s="198" t="e">
        <f t="shared" si="2"/>
        <v>#DIV/0!</v>
      </c>
      <c r="H23" s="216" t="e">
        <f>SUM('KU ShareUEC'!$M23:$W23)</f>
        <v>#DIV/0!</v>
      </c>
      <c r="I23" s="198" t="e">
        <f t="shared" si="2"/>
        <v>#DIV/0!</v>
      </c>
      <c r="J23" s="216" t="e">
        <f t="shared" si="0"/>
        <v>#DIV/0!</v>
      </c>
      <c r="K23" s="198" t="e">
        <f t="shared" si="3"/>
        <v>#DIV/0!</v>
      </c>
      <c r="L23" s="217"/>
      <c r="M23" s="216" t="e">
        <f t="shared" si="7"/>
        <v>#DIV/0!</v>
      </c>
      <c r="N23" s="24">
        <f t="shared" si="4"/>
        <v>2016</v>
      </c>
      <c r="O23" s="36">
        <v>2063.9105758149603</v>
      </c>
      <c r="P23" s="198">
        <f t="shared" si="5"/>
        <v>5.0149485520953885E-3</v>
      </c>
      <c r="Q23" s="36">
        <v>4846.8142897610051</v>
      </c>
      <c r="R23" s="198">
        <f t="shared" si="5"/>
        <v>-3.2410139666588789E-3</v>
      </c>
      <c r="S23" s="36">
        <v>1637.1192079822022</v>
      </c>
      <c r="T23" s="198">
        <f t="shared" si="5"/>
        <v>3.5342281915360374E-3</v>
      </c>
      <c r="U23" s="36">
        <v>8195.0053435104201</v>
      </c>
      <c r="V23" s="198">
        <f t="shared" si="5"/>
        <v>6.3950013813938167E-3</v>
      </c>
      <c r="W23" s="36">
        <f t="shared" si="6"/>
        <v>16742.854725231366</v>
      </c>
      <c r="X23" s="198">
        <f t="shared" si="5"/>
        <v>3.1382998989002431E-3</v>
      </c>
    </row>
    <row r="24" spans="1:24" x14ac:dyDescent="0.2">
      <c r="A24" s="192">
        <f t="shared" si="1"/>
        <v>2017</v>
      </c>
      <c r="B24" s="216" t="e">
        <f>SUM('KU ShareUEC'!$D24:$G24,'KU ShareUEC'!$U24)</f>
        <v>#DIV/0!</v>
      </c>
      <c r="C24" s="198" t="e">
        <f t="shared" si="2"/>
        <v>#DIV/0!</v>
      </c>
      <c r="D24" s="216" t="e">
        <f>SUM('KU ShareUEC'!$H24:$K24)</f>
        <v>#DIV/0!</v>
      </c>
      <c r="E24" s="198" t="e">
        <f t="shared" si="2"/>
        <v>#DIV/0!</v>
      </c>
      <c r="F24" s="216" t="e">
        <f>'KU ShareUEC'!$L24</f>
        <v>#DIV/0!</v>
      </c>
      <c r="G24" s="198" t="e">
        <f t="shared" si="2"/>
        <v>#DIV/0!</v>
      </c>
      <c r="H24" s="216" t="e">
        <f>SUM('KU ShareUEC'!$M24:$W24)</f>
        <v>#DIV/0!</v>
      </c>
      <c r="I24" s="198" t="e">
        <f t="shared" si="2"/>
        <v>#DIV/0!</v>
      </c>
      <c r="J24" s="216" t="e">
        <f t="shared" si="0"/>
        <v>#DIV/0!</v>
      </c>
      <c r="K24" s="198" t="e">
        <f t="shared" si="3"/>
        <v>#DIV/0!</v>
      </c>
      <c r="L24" s="217"/>
      <c r="M24" s="216" t="e">
        <f t="shared" si="7"/>
        <v>#DIV/0!</v>
      </c>
      <c r="N24" s="24">
        <f t="shared" si="4"/>
        <v>2017</v>
      </c>
      <c r="O24" s="36">
        <v>2071.5106181357182</v>
      </c>
      <c r="P24" s="198">
        <f t="shared" si="5"/>
        <v>3.6823505871890205E-3</v>
      </c>
      <c r="Q24" s="36">
        <v>4833.8738099989214</v>
      </c>
      <c r="R24" s="198">
        <f t="shared" si="5"/>
        <v>-2.6698938701696928E-3</v>
      </c>
      <c r="S24" s="36">
        <v>1643.1292574584711</v>
      </c>
      <c r="T24" s="198">
        <f t="shared" si="5"/>
        <v>3.6711129201620896E-3</v>
      </c>
      <c r="U24" s="36">
        <v>8243.1269889182749</v>
      </c>
      <c r="V24" s="198">
        <f t="shared" si="5"/>
        <v>5.8720700464169884E-3</v>
      </c>
      <c r="W24" s="36">
        <f t="shared" si="6"/>
        <v>16791.645358081019</v>
      </c>
      <c r="X24" s="198">
        <f t="shared" si="5"/>
        <v>2.9141167172719307E-3</v>
      </c>
    </row>
    <row r="25" spans="1:24" x14ac:dyDescent="0.2">
      <c r="A25" s="192">
        <f t="shared" si="1"/>
        <v>2018</v>
      </c>
      <c r="B25" s="216" t="e">
        <f>SUM('KU ShareUEC'!$D25:$G25,'KU ShareUEC'!$U25)</f>
        <v>#DIV/0!</v>
      </c>
      <c r="C25" s="198" t="e">
        <f t="shared" si="2"/>
        <v>#DIV/0!</v>
      </c>
      <c r="D25" s="216" t="e">
        <f>SUM('KU ShareUEC'!$H25:$K25)</f>
        <v>#DIV/0!</v>
      </c>
      <c r="E25" s="198" t="e">
        <f t="shared" si="2"/>
        <v>#DIV/0!</v>
      </c>
      <c r="F25" s="216" t="e">
        <f>'KU ShareUEC'!$L25</f>
        <v>#DIV/0!</v>
      </c>
      <c r="G25" s="198" t="e">
        <f t="shared" si="2"/>
        <v>#DIV/0!</v>
      </c>
      <c r="H25" s="216" t="e">
        <f>SUM('KU ShareUEC'!$M25:$W25)</f>
        <v>#DIV/0!</v>
      </c>
      <c r="I25" s="198" t="e">
        <f t="shared" si="2"/>
        <v>#DIV/0!</v>
      </c>
      <c r="J25" s="216" t="e">
        <f t="shared" si="0"/>
        <v>#DIV/0!</v>
      </c>
      <c r="K25" s="198" t="e">
        <f t="shared" si="3"/>
        <v>#DIV/0!</v>
      </c>
      <c r="L25" s="217"/>
      <c r="M25" s="216" t="e">
        <f t="shared" si="7"/>
        <v>#DIV/0!</v>
      </c>
      <c r="N25" s="24">
        <f t="shared" si="4"/>
        <v>2018</v>
      </c>
      <c r="O25" s="36">
        <v>2079.3717030417456</v>
      </c>
      <c r="P25" s="198">
        <f t="shared" si="5"/>
        <v>3.7948561968279559E-3</v>
      </c>
      <c r="Q25" s="36">
        <v>4825.9741515284395</v>
      </c>
      <c r="R25" s="198">
        <f t="shared" si="5"/>
        <v>-1.6342293533069263E-3</v>
      </c>
      <c r="S25" s="36">
        <v>1649.3716034853178</v>
      </c>
      <c r="T25" s="198">
        <f t="shared" si="5"/>
        <v>3.7990596287611478E-3</v>
      </c>
      <c r="U25" s="36">
        <v>8296.0994213262493</v>
      </c>
      <c r="V25" s="198">
        <f t="shared" si="5"/>
        <v>6.4262545608224642E-3</v>
      </c>
      <c r="W25" s="36">
        <f t="shared" si="6"/>
        <v>16850.822839068223</v>
      </c>
      <c r="X25" s="198">
        <f t="shared" si="5"/>
        <v>3.5242217022362077E-3</v>
      </c>
    </row>
    <row r="26" spans="1:24" x14ac:dyDescent="0.2">
      <c r="A26" s="192">
        <f t="shared" si="1"/>
        <v>2019</v>
      </c>
      <c r="B26" s="216" t="e">
        <f>SUM('KU ShareUEC'!$D26:$G26,'KU ShareUEC'!$U26)</f>
        <v>#DIV/0!</v>
      </c>
      <c r="C26" s="198" t="e">
        <f t="shared" si="2"/>
        <v>#DIV/0!</v>
      </c>
      <c r="D26" s="216" t="e">
        <f>SUM('KU ShareUEC'!$H26:$K26)</f>
        <v>#DIV/0!</v>
      </c>
      <c r="E26" s="198" t="e">
        <f t="shared" si="2"/>
        <v>#DIV/0!</v>
      </c>
      <c r="F26" s="216" t="e">
        <f>'KU ShareUEC'!$L26</f>
        <v>#DIV/0!</v>
      </c>
      <c r="G26" s="198" t="e">
        <f t="shared" si="2"/>
        <v>#DIV/0!</v>
      </c>
      <c r="H26" s="216" t="e">
        <f>SUM('KU ShareUEC'!$M26:$W26)</f>
        <v>#DIV/0!</v>
      </c>
      <c r="I26" s="198" t="e">
        <f t="shared" si="2"/>
        <v>#DIV/0!</v>
      </c>
      <c r="J26" s="216" t="e">
        <f t="shared" si="0"/>
        <v>#DIV/0!</v>
      </c>
      <c r="K26" s="198" t="e">
        <f t="shared" si="3"/>
        <v>#DIV/0!</v>
      </c>
      <c r="L26" s="217"/>
      <c r="M26" s="216" t="e">
        <f t="shared" si="7"/>
        <v>#DIV/0!</v>
      </c>
      <c r="N26" s="24">
        <f t="shared" si="4"/>
        <v>2019</v>
      </c>
      <c r="O26" s="36">
        <v>2087.2243925248708</v>
      </c>
      <c r="P26" s="198">
        <f t="shared" si="5"/>
        <v>3.7764722255468897E-3</v>
      </c>
      <c r="Q26" s="36">
        <v>4821.5577278621549</v>
      </c>
      <c r="R26" s="198">
        <f t="shared" si="5"/>
        <v>-9.1513620413530283E-4</v>
      </c>
      <c r="S26" s="36">
        <v>1655.8269632081497</v>
      </c>
      <c r="T26" s="198">
        <f t="shared" si="5"/>
        <v>3.9138297938383637E-3</v>
      </c>
      <c r="U26" s="36">
        <v>8352.8880195276652</v>
      </c>
      <c r="V26" s="198">
        <f t="shared" si="5"/>
        <v>6.8452166876680209E-3</v>
      </c>
      <c r="W26" s="36">
        <f t="shared" si="6"/>
        <v>16917.503878288655</v>
      </c>
      <c r="X26" s="198">
        <f t="shared" si="5"/>
        <v>3.9571384648251495E-3</v>
      </c>
    </row>
    <row r="27" spans="1:24" x14ac:dyDescent="0.2">
      <c r="A27" s="192">
        <f t="shared" si="1"/>
        <v>2020</v>
      </c>
      <c r="B27" s="216" t="e">
        <f>SUM('KU ShareUEC'!$D27:$G27,'KU ShareUEC'!$U27)</f>
        <v>#DIV/0!</v>
      </c>
      <c r="C27" s="198" t="e">
        <f t="shared" si="2"/>
        <v>#DIV/0!</v>
      </c>
      <c r="D27" s="216" t="e">
        <f>SUM('KU ShareUEC'!$H27:$K27)</f>
        <v>#DIV/0!</v>
      </c>
      <c r="E27" s="198" t="e">
        <f t="shared" si="2"/>
        <v>#DIV/0!</v>
      </c>
      <c r="F27" s="216" t="e">
        <f>'KU ShareUEC'!$L27</f>
        <v>#DIV/0!</v>
      </c>
      <c r="G27" s="198" t="e">
        <f t="shared" si="2"/>
        <v>#DIV/0!</v>
      </c>
      <c r="H27" s="216" t="e">
        <f>SUM('KU ShareUEC'!$M27:$W27)</f>
        <v>#DIV/0!</v>
      </c>
      <c r="I27" s="198" t="e">
        <f t="shared" si="2"/>
        <v>#DIV/0!</v>
      </c>
      <c r="J27" s="216" t="e">
        <f t="shared" si="0"/>
        <v>#DIV/0!</v>
      </c>
      <c r="K27" s="198" t="e">
        <f t="shared" si="3"/>
        <v>#DIV/0!</v>
      </c>
      <c r="L27" s="217"/>
      <c r="M27" s="216" t="e">
        <f t="shared" si="7"/>
        <v>#DIV/0!</v>
      </c>
      <c r="N27" s="24">
        <f t="shared" si="4"/>
        <v>2020</v>
      </c>
      <c r="O27" s="36">
        <v>2095.4493507898892</v>
      </c>
      <c r="P27" s="198">
        <f t="shared" si="5"/>
        <v>3.940620038015652E-3</v>
      </c>
      <c r="Q27" s="36">
        <v>4814.4727622953169</v>
      </c>
      <c r="R27" s="198">
        <f t="shared" si="5"/>
        <v>-1.4694349765629333E-3</v>
      </c>
      <c r="S27" s="36">
        <v>1659.8086524619637</v>
      </c>
      <c r="T27" s="198">
        <f t="shared" si="5"/>
        <v>2.4046529874712785E-3</v>
      </c>
      <c r="U27" s="36">
        <v>8414.0365703083553</v>
      </c>
      <c r="V27" s="198">
        <f t="shared" si="5"/>
        <v>7.320647737373509E-3</v>
      </c>
      <c r="W27" s="36">
        <f t="shared" si="6"/>
        <v>16983.772211693573</v>
      </c>
      <c r="X27" s="198">
        <f t="shared" si="5"/>
        <v>3.9171460448113038E-3</v>
      </c>
    </row>
    <row r="28" spans="1:24" x14ac:dyDescent="0.2">
      <c r="A28" s="192">
        <f t="shared" si="1"/>
        <v>2021</v>
      </c>
      <c r="B28" s="216" t="e">
        <f>SUM('KU ShareUEC'!$D28:$G28,'KU ShareUEC'!$U28)</f>
        <v>#DIV/0!</v>
      </c>
      <c r="C28" s="198" t="e">
        <f t="shared" si="2"/>
        <v>#DIV/0!</v>
      </c>
      <c r="D28" s="216" t="e">
        <f>SUM('KU ShareUEC'!$H28:$K28)</f>
        <v>#DIV/0!</v>
      </c>
      <c r="E28" s="198" t="e">
        <f t="shared" si="2"/>
        <v>#DIV/0!</v>
      </c>
      <c r="F28" s="216" t="e">
        <f>'KU ShareUEC'!$L28</f>
        <v>#DIV/0!</v>
      </c>
      <c r="G28" s="198" t="e">
        <f t="shared" si="2"/>
        <v>#DIV/0!</v>
      </c>
      <c r="H28" s="216" t="e">
        <f>SUM('KU ShareUEC'!$M28:$W28)</f>
        <v>#DIV/0!</v>
      </c>
      <c r="I28" s="198" t="e">
        <f t="shared" si="2"/>
        <v>#DIV/0!</v>
      </c>
      <c r="J28" s="216" t="e">
        <f t="shared" si="0"/>
        <v>#DIV/0!</v>
      </c>
      <c r="K28" s="198" t="e">
        <f t="shared" si="3"/>
        <v>#DIV/0!</v>
      </c>
      <c r="L28" s="217"/>
      <c r="M28" s="216" t="e">
        <f t="shared" si="7"/>
        <v>#DIV/0!</v>
      </c>
      <c r="N28" s="25">
        <v>2021</v>
      </c>
      <c r="O28" s="36">
        <v>2104.1032872329761</v>
      </c>
      <c r="P28" s="198">
        <f t="shared" si="5"/>
        <v>4.1298714472983722E-3</v>
      </c>
      <c r="Q28" s="36">
        <v>4811.6185759646742</v>
      </c>
      <c r="R28" s="198">
        <f t="shared" si="5"/>
        <v>-5.9283466156367925E-4</v>
      </c>
      <c r="S28" s="36">
        <v>1664.2664670616505</v>
      </c>
      <c r="T28" s="198">
        <f t="shared" si="5"/>
        <v>2.6857400659254793E-3</v>
      </c>
      <c r="U28" s="36">
        <v>8472.8477108339721</v>
      </c>
      <c r="V28" s="198">
        <f t="shared" si="5"/>
        <v>6.9896464121812496E-3</v>
      </c>
      <c r="W28" s="36">
        <f t="shared" si="6"/>
        <v>17052.842263870123</v>
      </c>
      <c r="X28" s="198">
        <f t="shared" si="5"/>
        <v>4.0668263396157478E-3</v>
      </c>
    </row>
    <row r="29" spans="1:24" x14ac:dyDescent="0.2">
      <c r="A29" s="192">
        <f t="shared" si="1"/>
        <v>2022</v>
      </c>
      <c r="B29" s="216" t="e">
        <f>SUM('KU ShareUEC'!$D29:$G29,'KU ShareUEC'!$U29)</f>
        <v>#DIV/0!</v>
      </c>
      <c r="C29" s="198" t="e">
        <f t="shared" si="2"/>
        <v>#DIV/0!</v>
      </c>
      <c r="D29" s="216" t="e">
        <f>SUM('KU ShareUEC'!$H29:$K29)</f>
        <v>#DIV/0!</v>
      </c>
      <c r="E29" s="198" t="e">
        <f t="shared" si="2"/>
        <v>#DIV/0!</v>
      </c>
      <c r="F29" s="216" t="e">
        <f>'KU ShareUEC'!$L29</f>
        <v>#DIV/0!</v>
      </c>
      <c r="G29" s="198" t="e">
        <f t="shared" si="2"/>
        <v>#DIV/0!</v>
      </c>
      <c r="H29" s="216" t="e">
        <f>SUM('KU ShareUEC'!$M29:$W29)</f>
        <v>#DIV/0!</v>
      </c>
      <c r="I29" s="198" t="e">
        <f t="shared" si="2"/>
        <v>#DIV/0!</v>
      </c>
      <c r="J29" s="216" t="e">
        <f t="shared" si="0"/>
        <v>#DIV/0!</v>
      </c>
      <c r="K29" s="198" t="e">
        <f t="shared" si="3"/>
        <v>#DIV/0!</v>
      </c>
      <c r="L29" s="217"/>
      <c r="M29" s="216" t="e">
        <f t="shared" si="7"/>
        <v>#DIV/0!</v>
      </c>
      <c r="N29" s="25">
        <v>2022</v>
      </c>
      <c r="O29" s="36">
        <v>2112.3443140567929</v>
      </c>
      <c r="P29" s="198">
        <f t="shared" si="5"/>
        <v>3.916645572401567E-3</v>
      </c>
      <c r="Q29" s="36">
        <v>4812.0993723315169</v>
      </c>
      <c r="R29" s="198">
        <f t="shared" si="5"/>
        <v>9.9924039957066668E-5</v>
      </c>
      <c r="S29" s="36">
        <v>1668.8110579743147</v>
      </c>
      <c r="T29" s="198">
        <f t="shared" si="5"/>
        <v>2.7306870640060321E-3</v>
      </c>
      <c r="U29" s="36">
        <v>8536.7629654148404</v>
      </c>
      <c r="V29" s="198">
        <f t="shared" si="5"/>
        <v>7.5435386970477136E-3</v>
      </c>
      <c r="W29" s="36">
        <f t="shared" si="6"/>
        <v>17130.024457034138</v>
      </c>
      <c r="X29" s="198">
        <f t="shared" si="5"/>
        <v>4.5260603464056803E-3</v>
      </c>
    </row>
    <row r="30" spans="1:24" x14ac:dyDescent="0.2">
      <c r="A30" s="192">
        <f t="shared" si="1"/>
        <v>2023</v>
      </c>
      <c r="B30" s="216" t="e">
        <f>SUM('KU ShareUEC'!$D30:$G30,'KU ShareUEC'!$U30)</f>
        <v>#DIV/0!</v>
      </c>
      <c r="C30" s="198" t="e">
        <f t="shared" si="2"/>
        <v>#DIV/0!</v>
      </c>
      <c r="D30" s="216" t="e">
        <f>SUM('KU ShareUEC'!$H30:$K30)</f>
        <v>#DIV/0!</v>
      </c>
      <c r="E30" s="198" t="e">
        <f t="shared" si="2"/>
        <v>#DIV/0!</v>
      </c>
      <c r="F30" s="216" t="e">
        <f>'KU ShareUEC'!$L30</f>
        <v>#DIV/0!</v>
      </c>
      <c r="G30" s="198" t="e">
        <f t="shared" si="2"/>
        <v>#DIV/0!</v>
      </c>
      <c r="H30" s="216" t="e">
        <f>SUM('KU ShareUEC'!$M30:$W30)</f>
        <v>#DIV/0!</v>
      </c>
      <c r="I30" s="198" t="e">
        <f t="shared" si="2"/>
        <v>#DIV/0!</v>
      </c>
      <c r="J30" s="216" t="e">
        <f t="shared" si="0"/>
        <v>#DIV/0!</v>
      </c>
      <c r="K30" s="198" t="e">
        <f t="shared" si="3"/>
        <v>#DIV/0!</v>
      </c>
      <c r="L30" s="217"/>
      <c r="M30" s="216" t="e">
        <f t="shared" si="7"/>
        <v>#DIV/0!</v>
      </c>
      <c r="N30" s="25">
        <v>2023</v>
      </c>
      <c r="O30" s="36">
        <v>2120.0261220470361</v>
      </c>
      <c r="P30" s="198">
        <f t="shared" si="5"/>
        <v>3.6366268222107756E-3</v>
      </c>
      <c r="Q30" s="36">
        <v>4814.6688601366941</v>
      </c>
      <c r="R30" s="198">
        <f t="shared" si="5"/>
        <v>5.3396399499794356E-4</v>
      </c>
      <c r="S30" s="36">
        <v>1673.4981768512027</v>
      </c>
      <c r="T30" s="198">
        <f t="shared" si="5"/>
        <v>2.8086576095542881E-3</v>
      </c>
      <c r="U30" s="36">
        <v>8603.7849763653212</v>
      </c>
      <c r="V30" s="198">
        <f t="shared" si="5"/>
        <v>7.8509865181930483E-3</v>
      </c>
      <c r="W30" s="36">
        <f t="shared" si="6"/>
        <v>17211.985114648684</v>
      </c>
      <c r="X30" s="198">
        <f t="shared" si="5"/>
        <v>4.7846199998207162E-3</v>
      </c>
    </row>
    <row r="31" spans="1:24" x14ac:dyDescent="0.2">
      <c r="A31" s="192">
        <f t="shared" si="1"/>
        <v>2024</v>
      </c>
      <c r="B31" s="216" t="e">
        <f>SUM('KU ShareUEC'!$D31:$G31,'KU ShareUEC'!$U31)</f>
        <v>#DIV/0!</v>
      </c>
      <c r="C31" s="198" t="e">
        <f t="shared" si="2"/>
        <v>#DIV/0!</v>
      </c>
      <c r="D31" s="216" t="e">
        <f>SUM('KU ShareUEC'!$H31:$K31)</f>
        <v>#DIV/0!</v>
      </c>
      <c r="E31" s="198" t="e">
        <f t="shared" si="2"/>
        <v>#DIV/0!</v>
      </c>
      <c r="F31" s="216" t="e">
        <f>'KU ShareUEC'!$L31</f>
        <v>#DIV/0!</v>
      </c>
      <c r="G31" s="198" t="e">
        <f t="shared" si="2"/>
        <v>#DIV/0!</v>
      </c>
      <c r="H31" s="216" t="e">
        <f>SUM('KU ShareUEC'!$M31:$W31)</f>
        <v>#DIV/0!</v>
      </c>
      <c r="I31" s="198" t="e">
        <f t="shared" si="2"/>
        <v>#DIV/0!</v>
      </c>
      <c r="J31" s="216" t="e">
        <f t="shared" si="0"/>
        <v>#DIV/0!</v>
      </c>
      <c r="K31" s="198" t="e">
        <f t="shared" si="3"/>
        <v>#DIV/0!</v>
      </c>
      <c r="L31" s="217"/>
      <c r="M31" s="216" t="e">
        <f t="shared" si="7"/>
        <v>#DIV/0!</v>
      </c>
      <c r="N31" s="25">
        <v>2024</v>
      </c>
      <c r="O31" s="36">
        <v>2127.4872628817329</v>
      </c>
      <c r="P31" s="198">
        <f t="shared" si="5"/>
        <v>3.5193626894995944E-3</v>
      </c>
      <c r="Q31" s="36">
        <v>4819.7270221422068</v>
      </c>
      <c r="R31" s="198">
        <f t="shared" si="5"/>
        <v>1.0505731863290624E-3</v>
      </c>
      <c r="S31" s="36">
        <v>1678.2740404186516</v>
      </c>
      <c r="T31" s="198">
        <f t="shared" si="5"/>
        <v>2.853820597782164E-3</v>
      </c>
      <c r="U31" s="36">
        <v>8675.4421242752251</v>
      </c>
      <c r="V31" s="198">
        <f t="shared" si="5"/>
        <v>8.3285609887679968E-3</v>
      </c>
      <c r="W31" s="36">
        <f t="shared" si="6"/>
        <v>17300.93787347429</v>
      </c>
      <c r="X31" s="198">
        <f t="shared" si="5"/>
        <v>5.1680708664976205E-3</v>
      </c>
    </row>
    <row r="32" spans="1:24" x14ac:dyDescent="0.2">
      <c r="A32" s="192">
        <f t="shared" si="1"/>
        <v>2025</v>
      </c>
      <c r="B32" s="216" t="e">
        <f>SUM('KU ShareUEC'!$D32:$G32,'KU ShareUEC'!$U32)</f>
        <v>#DIV/0!</v>
      </c>
      <c r="C32" s="198" t="e">
        <f t="shared" si="2"/>
        <v>#DIV/0!</v>
      </c>
      <c r="D32" s="216" t="e">
        <f>SUM('KU ShareUEC'!$H32:$K32)</f>
        <v>#DIV/0!</v>
      </c>
      <c r="E32" s="198" t="e">
        <f t="shared" si="2"/>
        <v>#DIV/0!</v>
      </c>
      <c r="F32" s="216" t="e">
        <f>'KU ShareUEC'!$L32</f>
        <v>#DIV/0!</v>
      </c>
      <c r="G32" s="198" t="e">
        <f t="shared" si="2"/>
        <v>#DIV/0!</v>
      </c>
      <c r="H32" s="216" t="e">
        <f>SUM('KU ShareUEC'!$M32:$W32)</f>
        <v>#DIV/0!</v>
      </c>
      <c r="I32" s="198" t="e">
        <f t="shared" si="2"/>
        <v>#DIV/0!</v>
      </c>
      <c r="J32" s="216" t="e">
        <f t="shared" si="0"/>
        <v>#DIV/0!</v>
      </c>
      <c r="K32" s="198" t="e">
        <f t="shared" si="3"/>
        <v>#DIV/0!</v>
      </c>
      <c r="L32" s="217"/>
      <c r="M32" s="216" t="e">
        <f t="shared" si="7"/>
        <v>#DIV/0!</v>
      </c>
      <c r="N32" s="25">
        <v>2025</v>
      </c>
      <c r="O32" s="36">
        <v>2134.8752394853454</v>
      </c>
      <c r="P32" s="198">
        <f t="shared" si="5"/>
        <v>3.4726302396779207E-3</v>
      </c>
      <c r="Q32" s="36">
        <v>4826.8123475138527</v>
      </c>
      <c r="R32" s="198">
        <f t="shared" si="5"/>
        <v>1.4700677733605616E-3</v>
      </c>
      <c r="S32" s="36">
        <v>1683.1222199065442</v>
      </c>
      <c r="T32" s="198">
        <f t="shared" si="5"/>
        <v>2.8887889409783263E-3</v>
      </c>
      <c r="U32" s="36">
        <v>8744.4062131115952</v>
      </c>
      <c r="V32" s="198">
        <f t="shared" si="5"/>
        <v>7.9493457334465223E-3</v>
      </c>
      <c r="W32" s="36">
        <f t="shared" si="6"/>
        <v>17389.223851504292</v>
      </c>
      <c r="X32" s="198">
        <f t="shared" si="5"/>
        <v>5.1029590809270609E-3</v>
      </c>
    </row>
    <row r="33" spans="1:24" x14ac:dyDescent="0.2">
      <c r="A33" s="192">
        <f t="shared" si="1"/>
        <v>2026</v>
      </c>
      <c r="B33" s="216" t="e">
        <f>SUM('KU ShareUEC'!$D33:$G33,'KU ShareUEC'!$U33)</f>
        <v>#DIV/0!</v>
      </c>
      <c r="C33" s="198" t="e">
        <f t="shared" si="2"/>
        <v>#DIV/0!</v>
      </c>
      <c r="D33" s="216" t="e">
        <f>SUM('KU ShareUEC'!$H33:$K33)</f>
        <v>#DIV/0!</v>
      </c>
      <c r="E33" s="198" t="e">
        <f t="shared" si="2"/>
        <v>#DIV/0!</v>
      </c>
      <c r="F33" s="216" t="e">
        <f>'KU ShareUEC'!$L33</f>
        <v>#DIV/0!</v>
      </c>
      <c r="G33" s="198" t="e">
        <f t="shared" si="2"/>
        <v>#DIV/0!</v>
      </c>
      <c r="H33" s="216" t="e">
        <f>SUM('KU ShareUEC'!$M33:$W33)</f>
        <v>#DIV/0!</v>
      </c>
      <c r="I33" s="198" t="e">
        <f t="shared" si="2"/>
        <v>#DIV/0!</v>
      </c>
      <c r="J33" s="216" t="e">
        <f t="shared" si="0"/>
        <v>#DIV/0!</v>
      </c>
      <c r="K33" s="198" t="e">
        <f t="shared" ref="K33:K42" si="8">J33/J32-1</f>
        <v>#DIV/0!</v>
      </c>
      <c r="M33" s="216" t="e">
        <f t="shared" si="7"/>
        <v>#DIV/0!</v>
      </c>
      <c r="N33" s="25">
        <v>2026</v>
      </c>
      <c r="O33" s="36">
        <v>2142.2831302331006</v>
      </c>
      <c r="P33" s="198">
        <f t="shared" si="5"/>
        <v>3.4699408240552732E-3</v>
      </c>
      <c r="Q33" s="36">
        <v>4835.5790687535446</v>
      </c>
      <c r="R33" s="198">
        <f t="shared" si="5"/>
        <v>1.816254830003361E-3</v>
      </c>
      <c r="S33" s="36">
        <v>1688.180053806497</v>
      </c>
      <c r="T33" s="198">
        <f t="shared" si="5"/>
        <v>3.0050306746194355E-3</v>
      </c>
      <c r="U33" s="36">
        <v>8814.4517091792804</v>
      </c>
      <c r="V33" s="198">
        <f t="shared" si="5"/>
        <v>8.0103204678045881E-3</v>
      </c>
      <c r="W33" s="36">
        <f t="shared" si="6"/>
        <v>17480.502253198749</v>
      </c>
      <c r="X33" s="198">
        <f t="shared" si="5"/>
        <v>5.2491360439046453E-3</v>
      </c>
    </row>
    <row r="34" spans="1:24" x14ac:dyDescent="0.2">
      <c r="A34" s="192">
        <f t="shared" si="1"/>
        <v>2027</v>
      </c>
      <c r="B34" s="216" t="e">
        <f>SUM('KU ShareUEC'!$D34:$G34,'KU ShareUEC'!$U34)</f>
        <v>#DIV/0!</v>
      </c>
      <c r="C34" s="198" t="e">
        <f t="shared" si="2"/>
        <v>#DIV/0!</v>
      </c>
      <c r="D34" s="216" t="e">
        <f>SUM('KU ShareUEC'!$H34:$K34)</f>
        <v>#DIV/0!</v>
      </c>
      <c r="E34" s="198" t="e">
        <f t="shared" si="2"/>
        <v>#DIV/0!</v>
      </c>
      <c r="F34" s="216" t="e">
        <f>'KU ShareUEC'!$L34</f>
        <v>#DIV/0!</v>
      </c>
      <c r="G34" s="198" t="e">
        <f t="shared" si="2"/>
        <v>#DIV/0!</v>
      </c>
      <c r="H34" s="216" t="e">
        <f>SUM('KU ShareUEC'!$M34:$W34)</f>
        <v>#DIV/0!</v>
      </c>
      <c r="I34" s="198" t="e">
        <f t="shared" si="2"/>
        <v>#DIV/0!</v>
      </c>
      <c r="J34" s="216" t="e">
        <f t="shared" si="0"/>
        <v>#DIV/0!</v>
      </c>
      <c r="K34" s="198" t="e">
        <f t="shared" si="8"/>
        <v>#DIV/0!</v>
      </c>
      <c r="M34" s="216" t="e">
        <f t="shared" si="7"/>
        <v>#DIV/0!</v>
      </c>
      <c r="N34" s="25">
        <v>2027</v>
      </c>
      <c r="O34" s="36">
        <v>2149.6589622453212</v>
      </c>
      <c r="P34" s="198">
        <f t="shared" si="5"/>
        <v>3.4429772181503449E-3</v>
      </c>
      <c r="Q34" s="36">
        <v>4845.5957853870977</v>
      </c>
      <c r="R34" s="198">
        <f t="shared" si="5"/>
        <v>2.0714616576698042E-3</v>
      </c>
      <c r="S34" s="36">
        <v>1693.5115341005226</v>
      </c>
      <c r="T34" s="198">
        <f t="shared" si="5"/>
        <v>3.1581230224846379E-3</v>
      </c>
      <c r="U34" s="36">
        <v>8885.426277726674</v>
      </c>
      <c r="V34" s="198">
        <f t="shared" si="5"/>
        <v>8.0520684540685838E-3</v>
      </c>
      <c r="W34" s="36">
        <f t="shared" si="6"/>
        <v>17574.201232021514</v>
      </c>
      <c r="X34" s="198">
        <f t="shared" si="5"/>
        <v>5.3601994648420082E-3</v>
      </c>
    </row>
    <row r="35" spans="1:24" x14ac:dyDescent="0.2">
      <c r="A35" s="192">
        <f t="shared" si="1"/>
        <v>2028</v>
      </c>
      <c r="B35" s="216" t="e">
        <f>SUM('KU ShareUEC'!$D35:$G35,'KU ShareUEC'!$U35)</f>
        <v>#DIV/0!</v>
      </c>
      <c r="C35" s="198" t="e">
        <f t="shared" si="2"/>
        <v>#DIV/0!</v>
      </c>
      <c r="D35" s="216" t="e">
        <f>SUM('KU ShareUEC'!$H35:$K35)</f>
        <v>#DIV/0!</v>
      </c>
      <c r="E35" s="198" t="e">
        <f t="shared" si="2"/>
        <v>#DIV/0!</v>
      </c>
      <c r="F35" s="216" t="e">
        <f>'KU ShareUEC'!$L35</f>
        <v>#DIV/0!</v>
      </c>
      <c r="G35" s="198" t="e">
        <f t="shared" si="2"/>
        <v>#DIV/0!</v>
      </c>
      <c r="H35" s="216" t="e">
        <f>SUM('KU ShareUEC'!$M35:$W35)</f>
        <v>#DIV/0!</v>
      </c>
      <c r="I35" s="198" t="e">
        <f t="shared" si="2"/>
        <v>#DIV/0!</v>
      </c>
      <c r="J35" s="216" t="e">
        <f t="shared" si="0"/>
        <v>#DIV/0!</v>
      </c>
      <c r="K35" s="198" t="e">
        <f t="shared" si="8"/>
        <v>#DIV/0!</v>
      </c>
      <c r="M35" s="216" t="e">
        <f t="shared" si="7"/>
        <v>#DIV/0!</v>
      </c>
      <c r="N35" s="25">
        <v>2028</v>
      </c>
      <c r="O35" s="36">
        <v>2156.7322818829894</v>
      </c>
      <c r="P35" s="198">
        <f t="shared" si="5"/>
        <v>3.2904380471030503E-3</v>
      </c>
      <c r="Q35" s="36">
        <v>4855.1961034463548</v>
      </c>
      <c r="R35" s="198">
        <f t="shared" si="5"/>
        <v>1.9812461634147738E-3</v>
      </c>
      <c r="S35" s="36">
        <v>1698.9303658335457</v>
      </c>
      <c r="T35" s="198">
        <f t="shared" si="5"/>
        <v>3.1997607479545831E-3</v>
      </c>
      <c r="U35" s="36">
        <v>8959.2394996598996</v>
      </c>
      <c r="V35" s="198">
        <f t="shared" si="5"/>
        <v>8.3072234945278378E-3</v>
      </c>
      <c r="W35" s="36">
        <f t="shared" si="6"/>
        <v>17670.106722267748</v>
      </c>
      <c r="X35" s="198">
        <f t="shared" si="5"/>
        <v>5.45717492249298E-3</v>
      </c>
    </row>
    <row r="36" spans="1:24" x14ac:dyDescent="0.2">
      <c r="A36" s="192">
        <f t="shared" si="1"/>
        <v>2029</v>
      </c>
      <c r="B36" s="216" t="e">
        <f>SUM('KU ShareUEC'!$D36:$G36,'KU ShareUEC'!$U36)</f>
        <v>#DIV/0!</v>
      </c>
      <c r="C36" s="198" t="e">
        <f t="shared" si="2"/>
        <v>#DIV/0!</v>
      </c>
      <c r="D36" s="216" t="e">
        <f>SUM('KU ShareUEC'!$H36:$K36)</f>
        <v>#DIV/0!</v>
      </c>
      <c r="E36" s="198" t="e">
        <f t="shared" si="2"/>
        <v>#DIV/0!</v>
      </c>
      <c r="F36" s="216" t="e">
        <f>'KU ShareUEC'!$L36</f>
        <v>#DIV/0!</v>
      </c>
      <c r="G36" s="198" t="e">
        <f t="shared" si="2"/>
        <v>#DIV/0!</v>
      </c>
      <c r="H36" s="216" t="e">
        <f>SUM('KU ShareUEC'!$M36:$W36)</f>
        <v>#DIV/0!</v>
      </c>
      <c r="I36" s="198" t="e">
        <f t="shared" si="2"/>
        <v>#DIV/0!</v>
      </c>
      <c r="J36" s="216" t="e">
        <f t="shared" si="0"/>
        <v>#DIV/0!</v>
      </c>
      <c r="K36" s="198" t="e">
        <f t="shared" si="8"/>
        <v>#DIV/0!</v>
      </c>
      <c r="M36" s="216" t="e">
        <f t="shared" si="7"/>
        <v>#DIV/0!</v>
      </c>
      <c r="N36" s="25">
        <v>2029</v>
      </c>
      <c r="O36" s="36">
        <v>2163.5942287014377</v>
      </c>
      <c r="P36" s="198">
        <f t="shared" si="5"/>
        <v>3.181640519822615E-3</v>
      </c>
      <c r="Q36" s="36">
        <v>4864.6001030096613</v>
      </c>
      <c r="R36" s="198">
        <f t="shared" si="5"/>
        <v>1.936893868536238E-3</v>
      </c>
      <c r="S36" s="36">
        <v>1704.4279752217444</v>
      </c>
      <c r="T36" s="198">
        <f t="shared" si="5"/>
        <v>3.235923907629612E-3</v>
      </c>
      <c r="U36" s="36">
        <v>9028.9295212705911</v>
      </c>
      <c r="V36" s="198">
        <f t="shared" si="5"/>
        <v>7.7785644209351634E-3</v>
      </c>
      <c r="W36" s="36">
        <f t="shared" si="6"/>
        <v>17761.560182661731</v>
      </c>
      <c r="X36" s="198">
        <f t="shared" si="5"/>
        <v>5.1756031715832762E-3</v>
      </c>
    </row>
    <row r="37" spans="1:24" x14ac:dyDescent="0.2">
      <c r="A37" s="192">
        <f t="shared" si="1"/>
        <v>2030</v>
      </c>
      <c r="B37" s="216" t="e">
        <f>SUM('KU ShareUEC'!$D37:$G37,'KU ShareUEC'!$U37)</f>
        <v>#DIV/0!</v>
      </c>
      <c r="C37" s="198" t="e">
        <f t="shared" si="2"/>
        <v>#DIV/0!</v>
      </c>
      <c r="D37" s="216" t="e">
        <f>SUM('KU ShareUEC'!$H37:$K37)</f>
        <v>#DIV/0!</v>
      </c>
      <c r="E37" s="198" t="e">
        <f t="shared" si="2"/>
        <v>#DIV/0!</v>
      </c>
      <c r="F37" s="216" t="e">
        <f>'KU ShareUEC'!$L37</f>
        <v>#DIV/0!</v>
      </c>
      <c r="G37" s="198" t="e">
        <f t="shared" si="2"/>
        <v>#DIV/0!</v>
      </c>
      <c r="H37" s="216" t="e">
        <f>SUM('KU ShareUEC'!$M37:$W37)</f>
        <v>#DIV/0!</v>
      </c>
      <c r="I37" s="198" t="e">
        <f t="shared" si="2"/>
        <v>#DIV/0!</v>
      </c>
      <c r="J37" s="216" t="e">
        <f t="shared" si="0"/>
        <v>#DIV/0!</v>
      </c>
      <c r="K37" s="198" t="e">
        <f t="shared" si="8"/>
        <v>#DIV/0!</v>
      </c>
      <c r="M37" s="216" t="e">
        <f t="shared" si="7"/>
        <v>#DIV/0!</v>
      </c>
      <c r="N37" s="25">
        <f>N36+1</f>
        <v>2030</v>
      </c>
      <c r="O37" s="36">
        <v>2205.8377453837747</v>
      </c>
      <c r="P37" s="198">
        <f t="shared" si="5"/>
        <v>1.9524694659446951E-2</v>
      </c>
      <c r="Q37" s="36">
        <v>4874.0534759805805</v>
      </c>
      <c r="R37" s="198">
        <f t="shared" si="5"/>
        <v>1.9432990936028016E-3</v>
      </c>
      <c r="S37" s="36">
        <v>1710.0198050045292</v>
      </c>
      <c r="T37" s="198">
        <f t="shared" si="5"/>
        <v>3.2807662535914162E-3</v>
      </c>
      <c r="U37" s="36">
        <v>8600.8745930905789</v>
      </c>
      <c r="V37" s="198">
        <f t="shared" si="5"/>
        <v>-4.7409266754335544E-2</v>
      </c>
      <c r="W37" s="36">
        <f t="shared" si="6"/>
        <v>17390.810368219471</v>
      </c>
      <c r="X37" s="286">
        <f t="shared" si="5"/>
        <v>-2.0873718897970184E-2</v>
      </c>
    </row>
    <row r="38" spans="1:24" x14ac:dyDescent="0.2">
      <c r="A38" s="192">
        <f t="shared" si="1"/>
        <v>2031</v>
      </c>
      <c r="B38" s="216" t="e">
        <f>SUM('KU ShareUEC'!$D38:$G38,'KU ShareUEC'!$U38)</f>
        <v>#DIV/0!</v>
      </c>
      <c r="C38" s="198" t="e">
        <f t="shared" si="2"/>
        <v>#DIV/0!</v>
      </c>
      <c r="D38" s="216" t="e">
        <f>SUM('KU ShareUEC'!$H38:$K38)</f>
        <v>#DIV/0!</v>
      </c>
      <c r="E38" s="198" t="e">
        <f t="shared" si="2"/>
        <v>#DIV/0!</v>
      </c>
      <c r="F38" s="216" t="e">
        <f>'KU ShareUEC'!$L38</f>
        <v>#DIV/0!</v>
      </c>
      <c r="G38" s="198" t="e">
        <f t="shared" si="2"/>
        <v>#DIV/0!</v>
      </c>
      <c r="H38" s="216" t="e">
        <f>SUM('KU ShareUEC'!$M38:$W38)</f>
        <v>#DIV/0!</v>
      </c>
      <c r="I38" s="198" t="e">
        <f t="shared" si="2"/>
        <v>#DIV/0!</v>
      </c>
      <c r="J38" s="216" t="e">
        <f t="shared" si="0"/>
        <v>#DIV/0!</v>
      </c>
      <c r="K38" s="198" t="e">
        <f t="shared" si="8"/>
        <v>#DIV/0!</v>
      </c>
      <c r="M38" s="216" t="e">
        <f t="shared" si="7"/>
        <v>#DIV/0!</v>
      </c>
      <c r="N38" s="25">
        <f t="shared" ref="N38:N45" si="9">N37+1</f>
        <v>2031</v>
      </c>
      <c r="O38" s="36">
        <v>2212.7544453569626</v>
      </c>
      <c r="P38" s="198">
        <f t="shared" si="5"/>
        <v>3.1356340635944058E-3</v>
      </c>
      <c r="Q38" s="36">
        <v>4883.305459795557</v>
      </c>
      <c r="R38" s="198">
        <f t="shared" si="5"/>
        <v>1.8982113882357599E-3</v>
      </c>
      <c r="S38" s="36">
        <v>1715.5987661346862</v>
      </c>
      <c r="T38" s="198">
        <f t="shared" si="5"/>
        <v>3.2625125825032075E-3</v>
      </c>
      <c r="U38" s="36">
        <v>8667.9631741314224</v>
      </c>
      <c r="V38" s="198">
        <f t="shared" si="5"/>
        <v>7.800204539052169E-3</v>
      </c>
      <c r="W38" s="36">
        <f t="shared" si="6"/>
        <v>17479.630141776663</v>
      </c>
      <c r="X38" s="198">
        <f t="shared" si="5"/>
        <v>5.1072820458961665E-3</v>
      </c>
    </row>
    <row r="39" spans="1:24" x14ac:dyDescent="0.2">
      <c r="A39" s="192">
        <f t="shared" si="1"/>
        <v>2032</v>
      </c>
      <c r="B39" s="216" t="e">
        <f>SUM('KU ShareUEC'!$D39:$G39,'KU ShareUEC'!$U39)</f>
        <v>#DIV/0!</v>
      </c>
      <c r="C39" s="198" t="e">
        <f t="shared" si="2"/>
        <v>#DIV/0!</v>
      </c>
      <c r="D39" s="216" t="e">
        <f>SUM('KU ShareUEC'!$H39:$K39)</f>
        <v>#DIV/0!</v>
      </c>
      <c r="E39" s="198" t="e">
        <f t="shared" si="2"/>
        <v>#DIV/0!</v>
      </c>
      <c r="F39" s="216" t="e">
        <f>'KU ShareUEC'!$L39</f>
        <v>#DIV/0!</v>
      </c>
      <c r="G39" s="198" t="e">
        <f t="shared" si="2"/>
        <v>#DIV/0!</v>
      </c>
      <c r="H39" s="216" t="e">
        <f>SUM('KU ShareUEC'!$M39:$W39)</f>
        <v>#DIV/0!</v>
      </c>
      <c r="I39" s="198" t="e">
        <f t="shared" si="2"/>
        <v>#DIV/0!</v>
      </c>
      <c r="J39" s="216" t="e">
        <f t="shared" si="0"/>
        <v>#DIV/0!</v>
      </c>
      <c r="K39" s="198" t="e">
        <f t="shared" si="8"/>
        <v>#DIV/0!</v>
      </c>
      <c r="M39" s="216" t="e">
        <f t="shared" si="7"/>
        <v>#DIV/0!</v>
      </c>
      <c r="N39" s="25">
        <f t="shared" si="9"/>
        <v>2032</v>
      </c>
      <c r="O39" s="36">
        <v>2219.4933062016048</v>
      </c>
      <c r="P39" s="198">
        <f t="shared" si="5"/>
        <v>3.0454625721270112E-3</v>
      </c>
      <c r="Q39" s="36">
        <v>4892.3603084447268</v>
      </c>
      <c r="R39" s="198">
        <f t="shared" si="5"/>
        <v>1.8542458020942565E-3</v>
      </c>
      <c r="S39" s="36">
        <v>1721.1649029837079</v>
      </c>
      <c r="T39" s="198">
        <f t="shared" si="5"/>
        <v>3.2444281022434573E-3</v>
      </c>
      <c r="U39" s="36">
        <v>8735.9194352274681</v>
      </c>
      <c r="V39" s="198">
        <f t="shared" si="5"/>
        <v>7.8399342187855936E-3</v>
      </c>
      <c r="W39" s="36">
        <f t="shared" si="6"/>
        <v>17568.946096993983</v>
      </c>
      <c r="X39" s="198">
        <f t="shared" si="5"/>
        <v>5.1097165382152365E-3</v>
      </c>
    </row>
    <row r="40" spans="1:24" x14ac:dyDescent="0.2">
      <c r="A40" s="192">
        <f t="shared" si="1"/>
        <v>2033</v>
      </c>
      <c r="B40" s="216" t="e">
        <f>SUM('KU ShareUEC'!$D40:$G40,'KU ShareUEC'!$U40)</f>
        <v>#DIV/0!</v>
      </c>
      <c r="C40" s="198" t="e">
        <f t="shared" si="2"/>
        <v>#DIV/0!</v>
      </c>
      <c r="D40" s="216" t="e">
        <f>SUM('KU ShareUEC'!$H40:$K40)</f>
        <v>#DIV/0!</v>
      </c>
      <c r="E40" s="198" t="e">
        <f t="shared" si="2"/>
        <v>#DIV/0!</v>
      </c>
      <c r="F40" s="216" t="e">
        <f>'KU ShareUEC'!$L40</f>
        <v>#DIV/0!</v>
      </c>
      <c r="G40" s="198" t="e">
        <f t="shared" si="2"/>
        <v>#DIV/0!</v>
      </c>
      <c r="H40" s="216" t="e">
        <f>SUM('KU ShareUEC'!$M40:$W40)</f>
        <v>#DIV/0!</v>
      </c>
      <c r="I40" s="198" t="e">
        <f t="shared" si="2"/>
        <v>#DIV/0!</v>
      </c>
      <c r="J40" s="216" t="e">
        <f t="shared" si="0"/>
        <v>#DIV/0!</v>
      </c>
      <c r="K40" s="198" t="e">
        <f t="shared" si="8"/>
        <v>#DIV/0!</v>
      </c>
      <c r="M40" s="216" t="e">
        <f t="shared" si="7"/>
        <v>#DIV/0!</v>
      </c>
      <c r="N40" s="25">
        <f t="shared" si="9"/>
        <v>2033</v>
      </c>
      <c r="O40" s="36">
        <v>2226.0550257651657</v>
      </c>
      <c r="P40" s="198">
        <f t="shared" si="5"/>
        <v>2.9564043041834243E-3</v>
      </c>
      <c r="Q40" s="36">
        <v>4901.2221568203904</v>
      </c>
      <c r="R40" s="198">
        <f t="shared" si="5"/>
        <v>1.8113646209514389E-3</v>
      </c>
      <c r="S40" s="36">
        <v>1726.7182597193275</v>
      </c>
      <c r="T40" s="198">
        <f t="shared" si="5"/>
        <v>3.2265105603725974E-3</v>
      </c>
      <c r="U40" s="36">
        <v>8804.754590855784</v>
      </c>
      <c r="V40" s="198">
        <f t="shared" si="5"/>
        <v>7.8795547668102373E-3</v>
      </c>
      <c r="W40" s="36">
        <f t="shared" si="6"/>
        <v>17658.758027440155</v>
      </c>
      <c r="X40" s="198">
        <f t="shared" si="5"/>
        <v>5.1119702883908325E-3</v>
      </c>
    </row>
    <row r="41" spans="1:24" x14ac:dyDescent="0.2">
      <c r="A41" s="192">
        <f t="shared" si="1"/>
        <v>2034</v>
      </c>
      <c r="B41" s="216" t="e">
        <f>SUM('KU ShareUEC'!$D41:$G41,'KU ShareUEC'!$U41)</f>
        <v>#DIV/0!</v>
      </c>
      <c r="C41" s="198" t="e">
        <f t="shared" si="2"/>
        <v>#DIV/0!</v>
      </c>
      <c r="D41" s="216" t="e">
        <f>SUM('KU ShareUEC'!$H41:$K41)</f>
        <v>#DIV/0!</v>
      </c>
      <c r="E41" s="198" t="e">
        <f t="shared" si="2"/>
        <v>#DIV/0!</v>
      </c>
      <c r="F41" s="216" t="e">
        <f>'KU ShareUEC'!$L41</f>
        <v>#DIV/0!</v>
      </c>
      <c r="G41" s="198" t="e">
        <f t="shared" si="2"/>
        <v>#DIV/0!</v>
      </c>
      <c r="H41" s="216" t="e">
        <f>SUM('KU ShareUEC'!$M41:$W41)</f>
        <v>#DIV/0!</v>
      </c>
      <c r="I41" s="198" t="e">
        <f t="shared" si="2"/>
        <v>#DIV/0!</v>
      </c>
      <c r="J41" s="216" t="e">
        <f t="shared" si="0"/>
        <v>#DIV/0!</v>
      </c>
      <c r="K41" s="198" t="e">
        <f t="shared" si="8"/>
        <v>#DIV/0!</v>
      </c>
      <c r="M41" s="216" t="e">
        <f t="shared" si="7"/>
        <v>#DIV/0!</v>
      </c>
      <c r="N41" s="25">
        <f t="shared" si="9"/>
        <v>2034</v>
      </c>
      <c r="O41" s="36">
        <v>2232.4402793782801</v>
      </c>
      <c r="P41" s="198">
        <f t="shared" si="5"/>
        <v>2.8684167907842006E-3</v>
      </c>
      <c r="Q41" s="36">
        <v>4909.8950248772444</v>
      </c>
      <c r="R41" s="198">
        <f t="shared" si="5"/>
        <v>1.769531716652617E-3</v>
      </c>
      <c r="S41" s="36">
        <v>1732.2588803066894</v>
      </c>
      <c r="T41" s="198">
        <f t="shared" si="5"/>
        <v>3.2087577438733028E-3</v>
      </c>
      <c r="U41" s="36">
        <v>8874.4800004742501</v>
      </c>
      <c r="V41" s="198">
        <f t="shared" si="5"/>
        <v>7.9190633763808194E-3</v>
      </c>
      <c r="W41" s="36">
        <f t="shared" si="6"/>
        <v>17749.082031742713</v>
      </c>
      <c r="X41" s="198">
        <f t="shared" si="5"/>
        <v>5.1149692499439237E-3</v>
      </c>
    </row>
    <row r="42" spans="1:24" x14ac:dyDescent="0.2">
      <c r="A42" s="192">
        <f t="shared" si="1"/>
        <v>2035</v>
      </c>
      <c r="B42" s="216" t="e">
        <f>SUM('KU ShareUEC'!$D42:$G42,'KU ShareUEC'!$U42)</f>
        <v>#DIV/0!</v>
      </c>
      <c r="C42" s="198" t="e">
        <f t="shared" si="2"/>
        <v>#DIV/0!</v>
      </c>
      <c r="D42" s="216" t="e">
        <f>SUM('KU ShareUEC'!$H42:$K42)</f>
        <v>#DIV/0!</v>
      </c>
      <c r="E42" s="198" t="e">
        <f t="shared" si="2"/>
        <v>#DIV/0!</v>
      </c>
      <c r="F42" s="216" t="e">
        <f>'KU ShareUEC'!$L42</f>
        <v>#DIV/0!</v>
      </c>
      <c r="G42" s="198" t="e">
        <f t="shared" si="2"/>
        <v>#DIV/0!</v>
      </c>
      <c r="H42" s="216" t="e">
        <f>SUM('KU ShareUEC'!$M42:$W42)</f>
        <v>#DIV/0!</v>
      </c>
      <c r="I42" s="198" t="e">
        <f t="shared" si="2"/>
        <v>#DIV/0!</v>
      </c>
      <c r="J42" s="216" t="e">
        <f t="shared" si="0"/>
        <v>#DIV/0!</v>
      </c>
      <c r="K42" s="198" t="e">
        <f t="shared" si="8"/>
        <v>#DIV/0!</v>
      </c>
      <c r="M42" s="216" t="e">
        <f t="shared" si="7"/>
        <v>#DIV/0!</v>
      </c>
      <c r="N42" s="25">
        <f t="shared" si="9"/>
        <v>2035</v>
      </c>
      <c r="O42" s="36">
        <v>2238.6497206736299</v>
      </c>
      <c r="P42" s="198">
        <f t="shared" si="5"/>
        <v>2.7814590843517895E-3</v>
      </c>
      <c r="Q42" s="36">
        <v>4918.3828216192433</v>
      </c>
      <c r="R42" s="198">
        <f t="shared" si="5"/>
        <v>1.7287124671694354E-3</v>
      </c>
      <c r="S42" s="36">
        <v>1737.7868085095079</v>
      </c>
      <c r="T42" s="198">
        <f t="shared" si="5"/>
        <v>3.1911674782927335E-3</v>
      </c>
      <c r="U42" s="36">
        <v>8945.1071703998896</v>
      </c>
      <c r="V42" s="198">
        <f t="shared" si="5"/>
        <v>7.9584572754534122E-3</v>
      </c>
      <c r="W42" s="36">
        <f t="shared" si="6"/>
        <v>17839.934222541298</v>
      </c>
      <c r="X42" s="198">
        <f t="shared" si="5"/>
        <v>5.1186980056829867E-3</v>
      </c>
    </row>
    <row r="43" spans="1:24" x14ac:dyDescent="0.2">
      <c r="A43" s="192">
        <f t="shared" si="1"/>
        <v>2036</v>
      </c>
      <c r="B43" s="216" t="e">
        <f>SUM('KU ShareUEC'!$D43:$G43,'KU ShareUEC'!$U43)</f>
        <v>#DIV/0!</v>
      </c>
      <c r="C43" s="198" t="e">
        <f t="shared" si="2"/>
        <v>#DIV/0!</v>
      </c>
      <c r="D43" s="216" t="e">
        <f>SUM('KU ShareUEC'!$H43:$K43)</f>
        <v>#DIV/0!</v>
      </c>
      <c r="E43" s="198" t="e">
        <f t="shared" si="2"/>
        <v>#DIV/0!</v>
      </c>
      <c r="F43" s="216" t="e">
        <f>'KU ShareUEC'!$L43</f>
        <v>#DIV/0!</v>
      </c>
      <c r="G43" s="198" t="e">
        <f t="shared" si="2"/>
        <v>#DIV/0!</v>
      </c>
      <c r="H43" s="216" t="e">
        <f>SUM('KU ShareUEC'!$M43:$W43)</f>
        <v>#DIV/0!</v>
      </c>
      <c r="I43" s="198" t="e">
        <f t="shared" si="2"/>
        <v>#DIV/0!</v>
      </c>
      <c r="J43" s="216" t="e">
        <f t="shared" si="0"/>
        <v>#DIV/0!</v>
      </c>
      <c r="K43" s="198" t="e">
        <f t="shared" ref="K43:K49" si="10">J43/J42-1</f>
        <v>#DIV/0!</v>
      </c>
      <c r="M43" s="216" t="e">
        <f t="shared" si="7"/>
        <v>#DIV/0!</v>
      </c>
      <c r="N43" s="25">
        <f t="shared" si="9"/>
        <v>2036</v>
      </c>
      <c r="O43" s="36">
        <v>2244.6839823706168</v>
      </c>
      <c r="P43" s="198">
        <f t="shared" si="5"/>
        <v>2.6954916802131024E-3</v>
      </c>
      <c r="Q43" s="36">
        <v>4926.6893489214817</v>
      </c>
      <c r="R43" s="198">
        <f t="shared" si="5"/>
        <v>1.6888736813502891E-3</v>
      </c>
      <c r="S43" s="36">
        <v>1743.30208789122</v>
      </c>
      <c r="T43" s="198">
        <f t="shared" si="5"/>
        <v>3.1737376269087569E-3</v>
      </c>
      <c r="U43" s="36">
        <v>9016.6477557115486</v>
      </c>
      <c r="V43" s="198">
        <f t="shared" si="5"/>
        <v>7.9977337273713367E-3</v>
      </c>
      <c r="W43" s="36">
        <f t="shared" si="6"/>
        <v>17931.330732997856</v>
      </c>
      <c r="X43" s="198">
        <f t="shared" si="5"/>
        <v>5.1231416728585444E-3</v>
      </c>
    </row>
    <row r="44" spans="1:24" x14ac:dyDescent="0.2">
      <c r="A44" s="192">
        <f t="shared" si="1"/>
        <v>2037</v>
      </c>
      <c r="B44" s="216" t="e">
        <f>SUM('KU ShareUEC'!$D44:$G44,'KU ShareUEC'!$U44)</f>
        <v>#DIV/0!</v>
      </c>
      <c r="C44" s="198" t="e">
        <f t="shared" si="2"/>
        <v>#DIV/0!</v>
      </c>
      <c r="D44" s="216" t="e">
        <f>SUM('KU ShareUEC'!$H44:$K44)</f>
        <v>#DIV/0!</v>
      </c>
      <c r="E44" s="198" t="e">
        <f t="shared" si="2"/>
        <v>#DIV/0!</v>
      </c>
      <c r="F44" s="216" t="e">
        <f>'KU ShareUEC'!$L44</f>
        <v>#DIV/0!</v>
      </c>
      <c r="G44" s="198" t="e">
        <f t="shared" si="2"/>
        <v>#DIV/0!</v>
      </c>
      <c r="H44" s="216" t="e">
        <f>SUM('KU ShareUEC'!$M44:$W44)</f>
        <v>#DIV/0!</v>
      </c>
      <c r="I44" s="198" t="e">
        <f t="shared" si="2"/>
        <v>#DIV/0!</v>
      </c>
      <c r="J44" s="216" t="e">
        <f t="shared" si="0"/>
        <v>#DIV/0!</v>
      </c>
      <c r="K44" s="198" t="e">
        <f t="shared" si="10"/>
        <v>#DIV/0!</v>
      </c>
      <c r="M44" s="216" t="e">
        <f t="shared" si="7"/>
        <v>#DIV/0!</v>
      </c>
      <c r="N44" s="25">
        <f t="shared" si="9"/>
        <v>2037</v>
      </c>
      <c r="O44" s="36">
        <v>2250.5436770274673</v>
      </c>
      <c r="P44" s="198">
        <f t="shared" si="5"/>
        <v>2.6104764425065596E-3</v>
      </c>
      <c r="Q44" s="36">
        <v>4934.81830519499</v>
      </c>
      <c r="R44" s="198">
        <f t="shared" si="5"/>
        <v>1.6499835280436859E-3</v>
      </c>
      <c r="S44" s="36">
        <v>1748.8047618161293</v>
      </c>
      <c r="T44" s="198">
        <f t="shared" si="5"/>
        <v>3.1564660899163766E-3</v>
      </c>
      <c r="U44" s="36">
        <v>9089.1135621772628</v>
      </c>
      <c r="V44" s="198">
        <f t="shared" si="5"/>
        <v>8.0368900315321845E-3</v>
      </c>
      <c r="W44" s="36">
        <f t="shared" si="6"/>
        <v>18023.287723141912</v>
      </c>
      <c r="X44" s="198">
        <f t="shared" si="5"/>
        <v>5.1282858764538641E-3</v>
      </c>
    </row>
    <row r="45" spans="1:24" x14ac:dyDescent="0.2">
      <c r="A45" s="192">
        <f t="shared" si="1"/>
        <v>2038</v>
      </c>
      <c r="B45" s="216" t="e">
        <f>SUM('KU ShareUEC'!$D45:$G45,'KU ShareUEC'!$U45)</f>
        <v>#DIV/0!</v>
      </c>
      <c r="C45" s="198" t="e">
        <f t="shared" si="2"/>
        <v>#DIV/0!</v>
      </c>
      <c r="D45" s="216" t="e">
        <f>SUM('KU ShareUEC'!$H45:$K45)</f>
        <v>#DIV/0!</v>
      </c>
      <c r="E45" s="198" t="e">
        <f t="shared" si="2"/>
        <v>#DIV/0!</v>
      </c>
      <c r="F45" s="216" t="e">
        <f>'KU ShareUEC'!$L45</f>
        <v>#DIV/0!</v>
      </c>
      <c r="G45" s="198" t="e">
        <f t="shared" si="2"/>
        <v>#DIV/0!</v>
      </c>
      <c r="H45" s="216" t="e">
        <f>SUM('KU ShareUEC'!$M45:$W45)</f>
        <v>#DIV/0!</v>
      </c>
      <c r="I45" s="198" t="e">
        <f t="shared" si="2"/>
        <v>#DIV/0!</v>
      </c>
      <c r="J45" s="216" t="e">
        <f t="shared" si="0"/>
        <v>#DIV/0!</v>
      </c>
      <c r="K45" s="198" t="e">
        <f t="shared" si="10"/>
        <v>#DIV/0!</v>
      </c>
      <c r="M45" s="216" t="e">
        <f t="shared" si="7"/>
        <v>#DIV/0!</v>
      </c>
      <c r="N45" s="25">
        <f t="shared" si="9"/>
        <v>2038</v>
      </c>
      <c r="O45" s="36">
        <v>2256.734116993533</v>
      </c>
      <c r="P45" s="198">
        <f t="shared" si="5"/>
        <v>2.7506420023102329E-3</v>
      </c>
      <c r="Q45" s="36">
        <v>4937.7500300293177</v>
      </c>
      <c r="R45" s="198">
        <f t="shared" si="5"/>
        <v>5.9408972185281961E-4</v>
      </c>
      <c r="S45" s="36">
        <v>1746.8085510887352</v>
      </c>
      <c r="T45" s="198">
        <f t="shared" si="5"/>
        <v>-1.1414714615261001E-3</v>
      </c>
      <c r="U45" s="36">
        <v>9161.4165406675893</v>
      </c>
      <c r="V45" s="198">
        <f t="shared" si="5"/>
        <v>7.9548987913631297E-3</v>
      </c>
      <c r="W45" s="36">
        <f t="shared" si="6"/>
        <v>18102.711442039439</v>
      </c>
      <c r="X45" s="198">
        <f t="shared" si="5"/>
        <v>4.4067275692185603E-3</v>
      </c>
    </row>
    <row r="46" spans="1:24" x14ac:dyDescent="0.2">
      <c r="A46" s="192">
        <f t="shared" si="1"/>
        <v>2039</v>
      </c>
      <c r="B46" s="216" t="e">
        <f>SUM('KU ShareUEC'!$D46:$G46,'KU ShareUEC'!$U46)</f>
        <v>#DIV/0!</v>
      </c>
      <c r="C46" s="198" t="e">
        <f t="shared" si="2"/>
        <v>#DIV/0!</v>
      </c>
      <c r="D46" s="216" t="e">
        <f>SUM('KU ShareUEC'!$H46:$K46)</f>
        <v>#DIV/0!</v>
      </c>
      <c r="E46" s="198" t="e">
        <f t="shared" si="2"/>
        <v>#DIV/0!</v>
      </c>
      <c r="F46" s="216" t="e">
        <f>'KU ShareUEC'!$L46</f>
        <v>#DIV/0!</v>
      </c>
      <c r="G46" s="198" t="e">
        <f t="shared" si="2"/>
        <v>#DIV/0!</v>
      </c>
      <c r="H46" s="216" t="e">
        <f>SUM('KU ShareUEC'!$M46:$W46)</f>
        <v>#DIV/0!</v>
      </c>
      <c r="I46" s="198" t="e">
        <f t="shared" si="2"/>
        <v>#DIV/0!</v>
      </c>
      <c r="J46" s="216" t="e">
        <f t="shared" si="0"/>
        <v>#DIV/0!</v>
      </c>
      <c r="K46" s="198" t="e">
        <f t="shared" si="10"/>
        <v>#DIV/0!</v>
      </c>
      <c r="M46" s="216" t="e">
        <f t="shared" si="7"/>
        <v>#DIV/0!</v>
      </c>
      <c r="N46" s="25">
        <f>N45+1</f>
        <v>2039</v>
      </c>
      <c r="O46" s="36">
        <v>2262.7440846272293</v>
      </c>
      <c r="P46" s="198">
        <f t="shared" si="5"/>
        <v>2.6631261469574063E-3</v>
      </c>
      <c r="Q46" s="36">
        <v>4940.5145587152483</v>
      </c>
      <c r="R46" s="198">
        <f t="shared" si="5"/>
        <v>5.598761924192619E-4</v>
      </c>
      <c r="S46" s="36">
        <v>1744.8168924004717</v>
      </c>
      <c r="T46" s="198">
        <f t="shared" si="5"/>
        <v>-1.1401699900209783E-3</v>
      </c>
      <c r="U46" s="36">
        <v>9234.6721256673263</v>
      </c>
      <c r="V46" s="198">
        <f t="shared" si="5"/>
        <v>7.9960980569495632E-3</v>
      </c>
      <c r="W46" s="36">
        <f t="shared" si="6"/>
        <v>18182.749744242625</v>
      </c>
      <c r="X46" s="198">
        <f t="shared" si="5"/>
        <v>4.4213433142017422E-3</v>
      </c>
    </row>
    <row r="47" spans="1:24" x14ac:dyDescent="0.2">
      <c r="A47" s="192">
        <f t="shared" si="1"/>
        <v>2040</v>
      </c>
      <c r="B47" s="216" t="e">
        <f>SUM('KU ShareUEC'!$D47:$G47,'KU ShareUEC'!$U47)</f>
        <v>#DIV/0!</v>
      </c>
      <c r="C47" s="198" t="e">
        <f t="shared" si="2"/>
        <v>#DIV/0!</v>
      </c>
      <c r="D47" s="216" t="e">
        <f>SUM('KU ShareUEC'!$H47:$K47)</f>
        <v>#DIV/0!</v>
      </c>
      <c r="E47" s="198" t="e">
        <f t="shared" si="2"/>
        <v>#DIV/0!</v>
      </c>
      <c r="F47" s="216" t="e">
        <f>'KU ShareUEC'!$L47</f>
        <v>#DIV/0!</v>
      </c>
      <c r="G47" s="198" t="e">
        <f t="shared" si="2"/>
        <v>#DIV/0!</v>
      </c>
      <c r="H47" s="216" t="e">
        <f>SUM('KU ShareUEC'!$M47:$W47)</f>
        <v>#DIV/0!</v>
      </c>
      <c r="I47" s="198" t="e">
        <f t="shared" si="2"/>
        <v>#DIV/0!</v>
      </c>
      <c r="J47" s="216" t="e">
        <f t="shared" si="0"/>
        <v>#DIV/0!</v>
      </c>
      <c r="K47" s="198" t="e">
        <f t="shared" si="10"/>
        <v>#DIV/0!</v>
      </c>
      <c r="M47" s="216" t="e">
        <f t="shared" si="7"/>
        <v>#DIV/0!</v>
      </c>
      <c r="N47" s="25">
        <f>N46+1</f>
        <v>2040</v>
      </c>
      <c r="O47" s="36">
        <v>2268.5741225436423</v>
      </c>
      <c r="P47" s="198">
        <f t="shared" si="5"/>
        <v>2.5765343752399694E-3</v>
      </c>
      <c r="Q47" s="36">
        <v>4943.1158020154162</v>
      </c>
      <c r="R47" s="198">
        <f t="shared" si="5"/>
        <v>5.2651262722802628E-4</v>
      </c>
      <c r="S47" s="36">
        <v>1742.8297701987753</v>
      </c>
      <c r="T47" s="198">
        <f t="shared" si="5"/>
        <v>-1.1388714829340119E-3</v>
      </c>
      <c r="U47" s="36">
        <v>9308.8925786454402</v>
      </c>
      <c r="V47" s="198">
        <f t="shared" si="5"/>
        <v>8.0371508558296778E-3</v>
      </c>
      <c r="W47" s="36">
        <f t="shared" si="6"/>
        <v>18263.414237578792</v>
      </c>
      <c r="X47" s="198">
        <f t="shared" si="5"/>
        <v>4.4363198345018784E-3</v>
      </c>
    </row>
    <row r="48" spans="1:24" x14ac:dyDescent="0.2">
      <c r="A48" s="192">
        <f t="shared" si="1"/>
        <v>2041</v>
      </c>
      <c r="B48" s="216" t="e">
        <f>SUM('KU ShareUEC'!$D48:$G48,'KU ShareUEC'!$U48)</f>
        <v>#DIV/0!</v>
      </c>
      <c r="C48" s="198" t="e">
        <f t="shared" si="2"/>
        <v>#DIV/0!</v>
      </c>
      <c r="D48" s="216" t="e">
        <f>SUM('KU ShareUEC'!$H48:$K48)</f>
        <v>#DIV/0!</v>
      </c>
      <c r="E48" s="198" t="e">
        <f t="shared" si="2"/>
        <v>#DIV/0!</v>
      </c>
      <c r="F48" s="216" t="e">
        <f>'KU ShareUEC'!$L48</f>
        <v>#DIV/0!</v>
      </c>
      <c r="G48" s="198" t="e">
        <f t="shared" si="2"/>
        <v>#DIV/0!</v>
      </c>
      <c r="H48" s="216" t="e">
        <f>SUM('KU ShareUEC'!$M48:$W48)</f>
        <v>#DIV/0!</v>
      </c>
      <c r="I48" s="198" t="e">
        <f t="shared" si="2"/>
        <v>#DIV/0!</v>
      </c>
      <c r="J48" s="216" t="e">
        <f t="shared" si="0"/>
        <v>#DIV/0!</v>
      </c>
      <c r="K48" s="198" t="e">
        <f t="shared" si="10"/>
        <v>#DIV/0!</v>
      </c>
      <c r="M48" s="216" t="e">
        <f t="shared" si="7"/>
        <v>#DIV/0!</v>
      </c>
      <c r="N48" s="25">
        <f>N47+1</f>
        <v>2041</v>
      </c>
      <c r="O48" s="36">
        <v>2274.2247588816294</v>
      </c>
      <c r="P48" s="198">
        <f t="shared" si="5"/>
        <v>2.4908316998923929E-3</v>
      </c>
      <c r="Q48" s="36">
        <v>4945.5575632255868</v>
      </c>
      <c r="R48" s="198">
        <f t="shared" si="5"/>
        <v>4.9397208319001962E-4</v>
      </c>
      <c r="S48" s="36">
        <v>1740.8471690018534</v>
      </c>
      <c r="T48" s="198">
        <f t="shared" si="5"/>
        <v>-1.1375759301470723E-3</v>
      </c>
      <c r="U48" s="36">
        <v>9384.0903197415864</v>
      </c>
      <c r="V48" s="198">
        <f t="shared" si="5"/>
        <v>8.078054447491434E-3</v>
      </c>
      <c r="W48" s="36">
        <f t="shared" si="6"/>
        <v>18344.72165807851</v>
      </c>
      <c r="X48" s="198">
        <f t="shared" si="5"/>
        <v>4.4519288366366983E-3</v>
      </c>
    </row>
    <row r="49" spans="1:11" x14ac:dyDescent="0.2">
      <c r="A49" s="192">
        <f t="shared" si="1"/>
        <v>2042</v>
      </c>
      <c r="B49" s="216" t="e">
        <f>SUM('KU ShareUEC'!$D49:$G49,'KU ShareUEC'!$U49)</f>
        <v>#DIV/0!</v>
      </c>
      <c r="D49" s="216" t="e">
        <f>SUM('KU ShareUEC'!$H49:$K49)</f>
        <v>#DIV/0!</v>
      </c>
      <c r="F49" s="216" t="e">
        <f>'KU ShareUEC'!$L49</f>
        <v>#DIV/0!</v>
      </c>
      <c r="H49" s="216" t="e">
        <f>SUM('KU ShareUEC'!$M49:$W49)</f>
        <v>#DIV/0!</v>
      </c>
      <c r="I49" s="198" t="e">
        <f t="shared" si="2"/>
        <v>#DIV/0!</v>
      </c>
      <c r="J49" s="216" t="e">
        <f t="shared" si="0"/>
        <v>#DIV/0!</v>
      </c>
      <c r="K49" s="198" t="e">
        <f t="shared" si="10"/>
        <v>#DIV/0!</v>
      </c>
    </row>
    <row r="50" spans="1:11" x14ac:dyDescent="0.2">
      <c r="A50" s="192"/>
    </row>
  </sheetData>
  <phoneticPr fontId="0" type="noConversion"/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9"/>
  <sheetViews>
    <sheetView view="pageBreakPreview" zoomScale="60" zoomScaleNormal="100" workbookViewId="0">
      <pane xSplit="1" ySplit="1" topLeftCell="B8" activePane="bottomRight" state="frozenSplit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9.140625" defaultRowHeight="12.75" x14ac:dyDescent="0.2"/>
  <cols>
    <col min="1" max="1" width="5.85546875" style="239" bestFit="1" customWidth="1"/>
    <col min="2" max="2" width="7.140625" style="239" customWidth="1"/>
    <col min="3" max="3" width="8.28515625" style="239" customWidth="1"/>
    <col min="4" max="4" width="9.140625" style="159" bestFit="1" customWidth="1"/>
    <col min="5" max="5" width="7.5703125" style="159" bestFit="1" customWidth="1"/>
    <col min="6" max="6" width="9.28515625" style="159" bestFit="1" customWidth="1"/>
    <col min="7" max="7" width="7.42578125" style="159" customWidth="1"/>
    <col min="8" max="9" width="8.7109375" style="159" bestFit="1" customWidth="1"/>
    <col min="10" max="10" width="9.28515625" style="159" bestFit="1" customWidth="1"/>
    <col min="11" max="12" width="8.7109375" style="159" bestFit="1" customWidth="1"/>
    <col min="13" max="13" width="6.7109375" style="159" bestFit="1" customWidth="1"/>
    <col min="14" max="14" width="8.28515625" style="159" bestFit="1" customWidth="1"/>
    <col min="15" max="16" width="6.7109375" style="159" bestFit="1" customWidth="1"/>
    <col min="17" max="17" width="5.7109375" style="159" bestFit="1" customWidth="1"/>
    <col min="18" max="21" width="8.7109375" style="159" bestFit="1" customWidth="1"/>
    <col min="22" max="23" width="8.28515625" style="159" bestFit="1" customWidth="1"/>
    <col min="24" max="27" width="9.28515625" style="239" bestFit="1" customWidth="1"/>
    <col min="28" max="16384" width="9.140625" style="239"/>
  </cols>
  <sheetData>
    <row r="1" spans="1:45" x14ac:dyDescent="0.2">
      <c r="A1" s="194" t="s">
        <v>15</v>
      </c>
      <c r="B1" s="194" t="s">
        <v>16</v>
      </c>
      <c r="C1" s="194" t="s">
        <v>17</v>
      </c>
      <c r="D1" s="238" t="s">
        <v>0</v>
      </c>
      <c r="E1" s="238" t="s">
        <v>1</v>
      </c>
      <c r="F1" s="238" t="s">
        <v>163</v>
      </c>
      <c r="G1" s="238" t="s">
        <v>145</v>
      </c>
      <c r="H1" s="238" t="s">
        <v>2</v>
      </c>
      <c r="I1" s="238" t="s">
        <v>3</v>
      </c>
      <c r="J1" s="238" t="s">
        <v>165</v>
      </c>
      <c r="K1" s="238" t="s">
        <v>4</v>
      </c>
      <c r="L1" s="238" t="s">
        <v>5</v>
      </c>
      <c r="M1" s="238" t="s">
        <v>6</v>
      </c>
      <c r="N1" s="238" t="s">
        <v>7</v>
      </c>
      <c r="O1" s="238" t="s">
        <v>8</v>
      </c>
      <c r="P1" s="238"/>
      <c r="Q1" s="238"/>
      <c r="R1" s="238" t="s">
        <v>11</v>
      </c>
      <c r="S1" s="238" t="s">
        <v>12</v>
      </c>
      <c r="T1" s="238" t="s">
        <v>100</v>
      </c>
      <c r="U1" s="238" t="s">
        <v>173</v>
      </c>
      <c r="V1" s="238" t="s">
        <v>13</v>
      </c>
      <c r="W1" s="238" t="s">
        <v>14</v>
      </c>
      <c r="Z1" s="238" t="s">
        <v>0</v>
      </c>
      <c r="AA1" s="238" t="s">
        <v>1</v>
      </c>
      <c r="AB1" s="238" t="s">
        <v>163</v>
      </c>
      <c r="AC1" s="238" t="s">
        <v>145</v>
      </c>
      <c r="AD1" s="238" t="s">
        <v>2</v>
      </c>
      <c r="AE1" s="238" t="s">
        <v>3</v>
      </c>
      <c r="AF1" s="238" t="s">
        <v>165</v>
      </c>
      <c r="AG1" s="238" t="s">
        <v>4</v>
      </c>
      <c r="AH1" s="238" t="s">
        <v>5</v>
      </c>
      <c r="AI1" s="238" t="s">
        <v>6</v>
      </c>
      <c r="AJ1" s="238" t="s">
        <v>7</v>
      </c>
      <c r="AK1" s="238" t="s">
        <v>8</v>
      </c>
      <c r="AL1" s="238" t="s">
        <v>9</v>
      </c>
      <c r="AM1" s="238" t="s">
        <v>10</v>
      </c>
      <c r="AN1" s="238" t="s">
        <v>11</v>
      </c>
      <c r="AO1" s="238" t="s">
        <v>12</v>
      </c>
      <c r="AP1" s="238" t="s">
        <v>100</v>
      </c>
      <c r="AQ1" s="238" t="s">
        <v>173</v>
      </c>
      <c r="AR1" s="238" t="s">
        <v>13</v>
      </c>
      <c r="AS1" s="238" t="s">
        <v>14</v>
      </c>
    </row>
    <row r="2" spans="1:45" hidden="1" x14ac:dyDescent="0.2">
      <c r="A2" s="240">
        <v>1995</v>
      </c>
      <c r="B2" s="241">
        <f>D2+E2+F2</f>
        <v>0</v>
      </c>
      <c r="C2" s="241" t="e">
        <f t="shared" ref="C2:C7" si="0">SUM(G2:I2)</f>
        <v>#DIV/0!</v>
      </c>
      <c r="D2" s="242">
        <f>'KU Efficiencies'!B$54*'KU StructuralVars'!$Q2*('KU Shares'!B2/'KU Efficiencies'!B2)/('KU Shares'!B$12/'KU Efficiencies'!B$12)</f>
        <v>0</v>
      </c>
      <c r="E2" s="242">
        <f>'KU Efficiencies'!C$54*'KU StructuralVars'!$Q2*('KU Shares'!D2/'KU Efficiencies'!C2)/('KU Shares'!D$12/'KU Efficiencies'!C$12)</f>
        <v>0</v>
      </c>
      <c r="F2" s="242">
        <f>'KU Efficiencies'!D$54*'KU StructuralVars'!$Q2*('KU Shares'!F2/'KU Efficiencies'!D2)/('KU Shares'!F$12/'KU Efficiencies'!D$12)</f>
        <v>0</v>
      </c>
      <c r="G2" s="242">
        <f>'KU Efficiencies'!E$54*'KU StructuralVars'!$Q2*('KU Shares'!H2/(1/'KU Efficiencies'!E2))/('KU Shares'!H$12/(1/'KU Efficiencies'!E$12))</f>
        <v>0</v>
      </c>
      <c r="H2" s="242" t="e">
        <f>'KU Efficiencies'!F$54*'KU StructuralVars'!$R2*('KU Shares'!J2/'KU Efficiencies'!F2)/('KU Shares'!J$12/'KU Efficiencies'!F$12)</f>
        <v>#DIV/0!</v>
      </c>
      <c r="I2" s="242" t="e">
        <f>'KU Efficiencies'!G$54*'KU StructuralVars'!$R2*('KU Shares'!L2/'KU Efficiencies'!G2)/('KU Shares'!L$12/'KU Efficiencies'!G$12)</f>
        <v>#DIV/0!</v>
      </c>
      <c r="J2" s="242" t="e">
        <f>'KU Efficiencies'!H$54*'KU StructuralVars'!$R2*('KU Shares'!N2/'KU Efficiencies'!H2)/('KU Shares'!N$12/'KU Efficiencies'!H$12)</f>
        <v>#DIV/0!</v>
      </c>
      <c r="K2" s="242" t="e">
        <f>'KU Efficiencies'!I$54*'KU StructuralVars'!$R2*('KU Shares'!P2/'KU Efficiencies'!I2)/('KU Shares'!P$12/'KU Efficiencies'!I$12)</f>
        <v>#DIV/0!</v>
      </c>
      <c r="L2" s="242" t="e">
        <f>'KU Efficiencies'!J$54*('KU Shares'!R2/'KU Efficiencies'!J2)/('KU Shares'!R$12/'KU Efficiencies'!J$12)</f>
        <v>#DIV/0!</v>
      </c>
      <c r="M2" s="242">
        <f>'KU Efficiencies'!K$54*('KU Shares'!T2/(1/'KU Efficiencies'!K2))/('KU Shares'!T$12/(1/'KU Efficiencies'!K$12))</f>
        <v>565.3282570374638</v>
      </c>
      <c r="N2" s="242">
        <f>'KU Efficiencies'!L$54*('KU Shares'!U2/(1/'KU Efficiencies'!L2))/('KU Shares'!U$12/(1/'KU Efficiencies'!L$12))</f>
        <v>878.46433442682826</v>
      </c>
      <c r="O2" s="242">
        <f>'KU Efficiencies'!M$54*('KU Shares'!W2/(1/'KU Efficiencies'!M2))/('KU Shares'!W$12/(1/'KU Efficiencies'!M$12))</f>
        <v>158.12358019682895</v>
      </c>
      <c r="P2" s="242"/>
      <c r="Q2" s="242"/>
      <c r="R2" s="242" t="e">
        <f>'KU Efficiencies'!P$54*('KU Shares'!AC2/(1/'KU Efficiencies'!P2))/('KU Shares'!AC$12/(1/'KU Efficiencies'!P$12))</f>
        <v>#DIV/0!</v>
      </c>
      <c r="S2" s="242" t="e">
        <f>'KU Efficiencies'!Q$54*('KU Shares'!AE2/(1/'KU Efficiencies'!Q2))/('KU Shares'!AE$12/(1/'KU Efficiencies'!Q$12))</f>
        <v>#DIV/0!</v>
      </c>
      <c r="T2" s="242" t="e">
        <f>'KU Efficiencies'!R$54*('KU Shares'!AG2/(1/'KU Efficiencies'!R2))/('KU Shares'!AG$12/(1/'KU Efficiencies'!R$12))</f>
        <v>#DIV/0!</v>
      </c>
      <c r="U2" s="242" t="e">
        <f>'KU Efficiencies'!S$54*('KU Shares'!AH2/(1/'KU Efficiencies'!S2))/('KU Shares'!AH$12/(1/'KU Efficiencies'!S$12))</f>
        <v>#DIV/0!</v>
      </c>
      <c r="V2" s="242">
        <f>'KU Efficiencies'!T$54*('KU Shares'!AI2/(1/'KU Efficiencies'!T2))/('KU Shares'!AI$12/(1/'KU Efficiencies'!T$12))</f>
        <v>2230.7006069480672</v>
      </c>
      <c r="W2" s="242">
        <f>'KU Efficiencies'!V$54*('KU Shares'!AJ2/(1/'KU Efficiencies'!X2))/('KU Shares'!AJ$12/(1/'KU Efficiencies'!X$12))</f>
        <v>2318.3842277207636</v>
      </c>
    </row>
    <row r="3" spans="1:45" hidden="1" x14ac:dyDescent="0.2">
      <c r="A3" s="240">
        <v>1996</v>
      </c>
      <c r="B3" s="241">
        <f>D3+E3+F3</f>
        <v>0</v>
      </c>
      <c r="C3" s="241" t="e">
        <f t="shared" si="0"/>
        <v>#DIV/0!</v>
      </c>
      <c r="D3" s="242">
        <f>'KU Efficiencies'!B$54*'KU StructuralVars'!$Q3*('KU Shares'!B3/'KU Efficiencies'!B3)/('KU Shares'!B$12/'KU Efficiencies'!B$12)</f>
        <v>0</v>
      </c>
      <c r="E3" s="242">
        <f>'KU Efficiencies'!C$54*'KU StructuralVars'!$Q3*('KU Shares'!D3/'KU Efficiencies'!C3)/('KU Shares'!D$12/'KU Efficiencies'!C$12)</f>
        <v>0</v>
      </c>
      <c r="F3" s="242">
        <f>'KU Efficiencies'!D$54*'KU StructuralVars'!$Q3*('KU Shares'!F3/'KU Efficiencies'!D3)/('KU Shares'!F$12/'KU Efficiencies'!D$12)</f>
        <v>0</v>
      </c>
      <c r="G3" s="242">
        <f>'KU Efficiencies'!E$54*'KU StructuralVars'!$Q3*('KU Shares'!H3/(1/'KU Efficiencies'!E3))/('KU Shares'!H$12/(1/'KU Efficiencies'!E$12))</f>
        <v>0</v>
      </c>
      <c r="H3" s="242" t="e">
        <f>'KU Efficiencies'!F$54*'KU StructuralVars'!$R3*('KU Shares'!J3/'KU Efficiencies'!F3)/('KU Shares'!J$12/'KU Efficiencies'!F$12)</f>
        <v>#DIV/0!</v>
      </c>
      <c r="I3" s="242" t="e">
        <f>'KU Efficiencies'!G$54*'KU StructuralVars'!$R3*('KU Shares'!L3/'KU Efficiencies'!G3)/('KU Shares'!L$12/'KU Efficiencies'!G$12)</f>
        <v>#DIV/0!</v>
      </c>
      <c r="J3" s="242" t="e">
        <f>'KU Efficiencies'!H$54*'KU StructuralVars'!$R3*('KU Shares'!N3/'KU Efficiencies'!H3)/('KU Shares'!N$12/'KU Efficiencies'!H$12)</f>
        <v>#DIV/0!</v>
      </c>
      <c r="K3" s="242" t="e">
        <f>'KU Efficiencies'!I$54*'KU StructuralVars'!$R3*('KU Shares'!P3/'KU Efficiencies'!I3)/('KU Shares'!P$12/'KU Efficiencies'!I$12)</f>
        <v>#DIV/0!</v>
      </c>
      <c r="L3" s="242" t="e">
        <f>'KU Efficiencies'!J$54*('KU Shares'!R3/'KU Efficiencies'!J3)/('KU Shares'!R$12/'KU Efficiencies'!J$12)</f>
        <v>#DIV/0!</v>
      </c>
      <c r="M3" s="242">
        <f>'KU Efficiencies'!K$54*('KU Shares'!T3/(1/'KU Efficiencies'!K3))/('KU Shares'!T$12/(1/'KU Efficiencies'!K$12))</f>
        <v>570.01258890611609</v>
      </c>
      <c r="N3" s="242">
        <f>'KU Efficiencies'!L$54*('KU Shares'!U3/(1/'KU Efficiencies'!L3))/('KU Shares'!U$12/(1/'KU Efficiencies'!L$12))</f>
        <v>864.84765095310615</v>
      </c>
      <c r="O3" s="242">
        <f>'KU Efficiencies'!M$54*('KU Shares'!W3/(1/'KU Efficiencies'!M3))/('KU Shares'!W$12/(1/'KU Efficiencies'!M$12))</f>
        <v>155.672577171559</v>
      </c>
      <c r="P3" s="242"/>
      <c r="Q3" s="242"/>
      <c r="R3" s="242" t="e">
        <f>'KU Efficiencies'!P$54*('KU Shares'!AC3/(1/'KU Efficiencies'!P3))/('KU Shares'!AC$12/(1/'KU Efficiencies'!P$12))</f>
        <v>#DIV/0!</v>
      </c>
      <c r="S3" s="242" t="e">
        <f>'KU Efficiencies'!Q$54*('KU Shares'!AE3/(1/'KU Efficiencies'!Q3))/('KU Shares'!AE$12/(1/'KU Efficiencies'!Q$12))</f>
        <v>#DIV/0!</v>
      </c>
      <c r="T3" s="242" t="e">
        <f>'KU Efficiencies'!R$54*('KU Shares'!AG3/(1/'KU Efficiencies'!R3))/('KU Shares'!AG$12/(1/'KU Efficiencies'!R$12))</f>
        <v>#DIV/0!</v>
      </c>
      <c r="U3" s="242" t="e">
        <f>'KU Efficiencies'!S$54*('KU Shares'!AH3/(1/'KU Efficiencies'!S3))/('KU Shares'!AH$12/(1/'KU Efficiencies'!S$12))</f>
        <v>#DIV/0!</v>
      </c>
      <c r="V3" s="242">
        <f>'KU Efficiencies'!T$54*('KU Shares'!AI3/(1/'KU Efficiencies'!T3))/('KU Shares'!AI$12/(1/'KU Efficiencies'!T$12))</f>
        <v>2232.3739067744209</v>
      </c>
      <c r="W3" s="242">
        <f>'KU Efficiencies'!V$54*('KU Shares'!AJ3/(1/'KU Efficiencies'!X3))/('KU Shares'!AJ$12/(1/'KU Efficiencies'!X$12))</f>
        <v>2399.5335849702178</v>
      </c>
    </row>
    <row r="4" spans="1:45" hidden="1" x14ac:dyDescent="0.2">
      <c r="A4" s="240">
        <v>1997</v>
      </c>
      <c r="B4" s="241">
        <f t="shared" ref="B4:B19" si="1">D4+E4+F4+G4</f>
        <v>0</v>
      </c>
      <c r="C4" s="241" t="e">
        <f t="shared" si="0"/>
        <v>#DIV/0!</v>
      </c>
      <c r="D4" s="242">
        <f>'KU Efficiencies'!B$54*'KU StructuralVars'!$Q4*('KU Shares'!B4/'KU Efficiencies'!B4)/('KU Shares'!B$12/'KU Efficiencies'!B$12)</f>
        <v>0</v>
      </c>
      <c r="E4" s="242">
        <f>'KU Efficiencies'!C$54*'KU StructuralVars'!$Q4*('KU Shares'!D4/'KU Efficiencies'!C4)/('KU Shares'!D$12/'KU Efficiencies'!C$12)</f>
        <v>0</v>
      </c>
      <c r="F4" s="242">
        <f>'KU Efficiencies'!D$54*'KU StructuralVars'!$Q4*('KU Shares'!F4/'KU Efficiencies'!D4)/('KU Shares'!F$12/'KU Efficiencies'!D$12)</f>
        <v>0</v>
      </c>
      <c r="G4" s="242">
        <f>'KU Efficiencies'!E$54*'KU StructuralVars'!$Q4*('KU Shares'!H4/(1/'KU Efficiencies'!E4))/('KU Shares'!H$12/(1/'KU Efficiencies'!E$12))</f>
        <v>0</v>
      </c>
      <c r="H4" s="242" t="e">
        <f>'KU Efficiencies'!F$54*'KU StructuralVars'!$R4*('KU Shares'!J4/'KU Efficiencies'!F4)/('KU Shares'!J$12/'KU Efficiencies'!F$12)</f>
        <v>#DIV/0!</v>
      </c>
      <c r="I4" s="242" t="e">
        <f>'KU Efficiencies'!G$54*'KU StructuralVars'!$R4*('KU Shares'!L4/'KU Efficiencies'!G4)/('KU Shares'!L$12/'KU Efficiencies'!G$12)</f>
        <v>#DIV/0!</v>
      </c>
      <c r="J4" s="242" t="e">
        <f>'KU Efficiencies'!H$54*'KU StructuralVars'!$R4*('KU Shares'!N4/'KU Efficiencies'!H4)/('KU Shares'!N$12/'KU Efficiencies'!H$12)</f>
        <v>#DIV/0!</v>
      </c>
      <c r="K4" s="242" t="e">
        <f>'KU Efficiencies'!I$54*'KU StructuralVars'!$R4*('KU Shares'!P4/'KU Efficiencies'!I4)/('KU Shares'!P$12/'KU Efficiencies'!I$12)</f>
        <v>#DIV/0!</v>
      </c>
      <c r="L4" s="242" t="e">
        <f>'KU Efficiencies'!J$54*('KU Shares'!R4/'KU Efficiencies'!J4)/('KU Shares'!R$12/'KU Efficiencies'!J$12)</f>
        <v>#DIV/0!</v>
      </c>
      <c r="M4" s="242">
        <f>'KU Efficiencies'!K$54*('KU Shares'!T4/(1/'KU Efficiencies'!K4))/('KU Shares'!T$12/(1/'KU Efficiencies'!K$12))</f>
        <v>574.69436863268618</v>
      </c>
      <c r="N4" s="242">
        <f>'KU Efficiencies'!L$54*('KU Shares'!U4/(1/'KU Efficiencies'!L4))/('KU Shares'!U$12/(1/'KU Efficiencies'!L$12))</f>
        <v>851.23096747938359</v>
      </c>
      <c r="O4" s="242">
        <f>'KU Efficiencies'!M$54*('KU Shares'!W4/(1/'KU Efficiencies'!M4))/('KU Shares'!W$12/(1/'KU Efficiencies'!M$12))</f>
        <v>153.22157414628902</v>
      </c>
      <c r="P4" s="242"/>
      <c r="Q4" s="242"/>
      <c r="R4" s="242" t="e">
        <f>'KU Efficiencies'!P$54*('KU Shares'!AC4/(1/'KU Efficiencies'!P4))/('KU Shares'!AC$12/(1/'KU Efficiencies'!P$12))</f>
        <v>#DIV/0!</v>
      </c>
      <c r="S4" s="242" t="e">
        <f>'KU Efficiencies'!Q$54*('KU Shares'!AE4/(1/'KU Efficiencies'!Q4))/('KU Shares'!AE$12/(1/'KU Efficiencies'!Q$12))</f>
        <v>#DIV/0!</v>
      </c>
      <c r="T4" s="242" t="e">
        <f>'KU Efficiencies'!R$54*('KU Shares'!AG4/(1/'KU Efficiencies'!R4))/('KU Shares'!AG$12/(1/'KU Efficiencies'!R$12))</f>
        <v>#DIV/0!</v>
      </c>
      <c r="U4" s="242" t="e">
        <f>'KU Efficiencies'!S$54*('KU Shares'!AH4/(1/'KU Efficiencies'!S4))/('KU Shares'!AH$12/(1/'KU Efficiencies'!S$12))</f>
        <v>#DIV/0!</v>
      </c>
      <c r="V4" s="242">
        <f>'KU Efficiencies'!T$54*('KU Shares'!AI4/(1/'KU Efficiencies'!T4))/('KU Shares'!AI$12/(1/'KU Efficiencies'!T$12))</f>
        <v>2234.0472066007742</v>
      </c>
      <c r="W4" s="242">
        <f>'KU Efficiencies'!V$54*('KU Shares'!AJ4/(1/'KU Efficiencies'!X4))/('KU Shares'!AJ$12/(1/'KU Efficiencies'!X$12))</f>
        <v>2480.6829422196715</v>
      </c>
    </row>
    <row r="5" spans="1:45" hidden="1" x14ac:dyDescent="0.2">
      <c r="A5" s="240">
        <v>1998</v>
      </c>
      <c r="B5" s="241">
        <f t="shared" si="1"/>
        <v>0</v>
      </c>
      <c r="C5" s="241" t="e">
        <f t="shared" si="0"/>
        <v>#DIV/0!</v>
      </c>
      <c r="D5" s="242">
        <f>'KU Efficiencies'!B$54*'KU StructuralVars'!$Q5*('KU Shares'!B5/'KU Efficiencies'!B5)/('KU Shares'!B$12/'KU Efficiencies'!B$12)</f>
        <v>0</v>
      </c>
      <c r="E5" s="242">
        <f>'KU Efficiencies'!C$54*'KU StructuralVars'!$Q5*('KU Shares'!D5/'KU Efficiencies'!C5)/('KU Shares'!D$12/'KU Efficiencies'!C$12)</f>
        <v>0</v>
      </c>
      <c r="F5" s="242">
        <f>'KU Efficiencies'!D$54*'KU StructuralVars'!$Q5*('KU Shares'!F5/'KU Efficiencies'!D5)/('KU Shares'!F$12/'KU Efficiencies'!D$12)</f>
        <v>0</v>
      </c>
      <c r="G5" s="242">
        <f>'KU Efficiencies'!E$54*'KU StructuralVars'!$Q5*('KU Shares'!H5/(1/'KU Efficiencies'!E5))/('KU Shares'!H$12/(1/'KU Efficiencies'!E$12))</f>
        <v>0</v>
      </c>
      <c r="H5" s="242" t="e">
        <f>'KU Efficiencies'!F$54*'KU StructuralVars'!$R5*('KU Shares'!J5/'KU Efficiencies'!F5)/('KU Shares'!J$12/'KU Efficiencies'!F$12)</f>
        <v>#DIV/0!</v>
      </c>
      <c r="I5" s="242" t="e">
        <f>'KU Efficiencies'!G$54*'KU StructuralVars'!$R5*('KU Shares'!L5/'KU Efficiencies'!G5)/('KU Shares'!L$12/'KU Efficiencies'!G$12)</f>
        <v>#DIV/0!</v>
      </c>
      <c r="J5" s="242" t="e">
        <f>'KU Efficiencies'!H$54*'KU StructuralVars'!$R5*('KU Shares'!N5/'KU Efficiencies'!H5)/('KU Shares'!N$12/'KU Efficiencies'!H$12)</f>
        <v>#DIV/0!</v>
      </c>
      <c r="K5" s="242" t="e">
        <f>'KU Efficiencies'!I$54*'KU StructuralVars'!$R5*('KU Shares'!P5/'KU Efficiencies'!I5)/('KU Shares'!P$12/'KU Efficiencies'!I$12)</f>
        <v>#DIV/0!</v>
      </c>
      <c r="L5" s="242" t="e">
        <f>'KU Efficiencies'!J$54*('KU Shares'!R5/'KU Efficiencies'!J5)/('KU Shares'!R$12/'KU Efficiencies'!J$12)</f>
        <v>#DIV/0!</v>
      </c>
      <c r="M5" s="242">
        <f>'KU Efficiencies'!K$54*('KU Shares'!T5/(1/'KU Efficiencies'!K5))/('KU Shares'!T$12/(1/'KU Efficiencies'!K$12))</f>
        <v>579.37359621717451</v>
      </c>
      <c r="N5" s="242">
        <f>'KU Efficiencies'!L$54*('KU Shares'!U5/(1/'KU Efficiencies'!L5))/('KU Shares'!U$12/(1/'KU Efficiencies'!L$12))</f>
        <v>837.61428400566149</v>
      </c>
      <c r="O5" s="242">
        <f>'KU Efficiencies'!M$54*('KU Shares'!W5/(1/'KU Efficiencies'!M5))/('KU Shares'!W$12/(1/'KU Efficiencies'!M$12))</f>
        <v>150.770571121019</v>
      </c>
      <c r="P5" s="242"/>
      <c r="Q5" s="242"/>
      <c r="R5" s="242" t="e">
        <f>'KU Efficiencies'!P$54*('KU Shares'!AC5/(1/'KU Efficiencies'!P5))/('KU Shares'!AC$12/(1/'KU Efficiencies'!P$12))</f>
        <v>#DIV/0!</v>
      </c>
      <c r="S5" s="242" t="e">
        <f>'KU Efficiencies'!Q$54*('KU Shares'!AE5/(1/'KU Efficiencies'!Q5))/('KU Shares'!AE$12/(1/'KU Efficiencies'!Q$12))</f>
        <v>#DIV/0!</v>
      </c>
      <c r="T5" s="242" t="e">
        <f>'KU Efficiencies'!R$54*('KU Shares'!AG5/(1/'KU Efficiencies'!R5))/('KU Shares'!AG$12/(1/'KU Efficiencies'!R$12))</f>
        <v>#DIV/0!</v>
      </c>
      <c r="U5" s="242" t="e">
        <f>'KU Efficiencies'!S$54*('KU Shares'!AH5/(1/'KU Efficiencies'!S5))/('KU Shares'!AH$12/(1/'KU Efficiencies'!S$12))</f>
        <v>#DIV/0!</v>
      </c>
      <c r="V5" s="242">
        <f>'KU Efficiencies'!T$54*('KU Shares'!AI5/(1/'KU Efficiencies'!T5))/('KU Shares'!AI$12/(1/'KU Efficiencies'!T$12))</f>
        <v>2235.7205064271275</v>
      </c>
      <c r="W5" s="242">
        <f>'KU Efficiencies'!V$54*('KU Shares'!AJ5/(1/'KU Efficiencies'!X5))/('KU Shares'!AJ$12/(1/'KU Efficiencies'!X$12))</f>
        <v>2561.8322994691248</v>
      </c>
    </row>
    <row r="6" spans="1:45" hidden="1" x14ac:dyDescent="0.2">
      <c r="A6" s="240">
        <v>1999</v>
      </c>
      <c r="B6" s="241">
        <f t="shared" si="1"/>
        <v>0</v>
      </c>
      <c r="C6" s="241" t="e">
        <f t="shared" si="0"/>
        <v>#DIV/0!</v>
      </c>
      <c r="D6" s="242">
        <f>'KU Efficiencies'!B$54*'KU StructuralVars'!$Q6*('KU Shares'!B6/'KU Efficiencies'!B6)/('KU Shares'!B$12/'KU Efficiencies'!B$12)</f>
        <v>0</v>
      </c>
      <c r="E6" s="242">
        <f>'KU Efficiencies'!C$54*'KU StructuralVars'!$Q6*('KU Shares'!D6/'KU Efficiencies'!C6)/('KU Shares'!D$12/'KU Efficiencies'!C$12)</f>
        <v>0</v>
      </c>
      <c r="F6" s="242">
        <f>'KU Efficiencies'!D$54*'KU StructuralVars'!$Q6*('KU Shares'!F6/'KU Efficiencies'!D6)/('KU Shares'!F$12/'KU Efficiencies'!D$12)</f>
        <v>0</v>
      </c>
      <c r="G6" s="242">
        <f>'KU Efficiencies'!E$54*'KU StructuralVars'!$Q6*('KU Shares'!H6/(1/'KU Efficiencies'!E6))/('KU Shares'!H$12/(1/'KU Efficiencies'!E$12))</f>
        <v>0</v>
      </c>
      <c r="H6" s="242" t="e">
        <f>'KU Efficiencies'!F$54*'KU StructuralVars'!$R6*('KU Shares'!J6/'KU Efficiencies'!F6)/('KU Shares'!J$12/'KU Efficiencies'!F$12)</f>
        <v>#DIV/0!</v>
      </c>
      <c r="I6" s="242" t="e">
        <f>'KU Efficiencies'!G$54*'KU StructuralVars'!$R6*('KU Shares'!L6/'KU Efficiencies'!G6)/('KU Shares'!L$12/'KU Efficiencies'!G$12)</f>
        <v>#DIV/0!</v>
      </c>
      <c r="J6" s="242" t="e">
        <f>'KU Efficiencies'!H$54*'KU StructuralVars'!$R6*('KU Shares'!N6/'KU Efficiencies'!H6)/('KU Shares'!N$12/'KU Efficiencies'!H$12)</f>
        <v>#DIV/0!</v>
      </c>
      <c r="K6" s="242" t="e">
        <f>'KU Efficiencies'!I$54*'KU StructuralVars'!$R6*('KU Shares'!P6/'KU Efficiencies'!I6)/('KU Shares'!P$12/'KU Efficiencies'!I$12)</f>
        <v>#DIV/0!</v>
      </c>
      <c r="L6" s="242" t="e">
        <f>'KU Efficiencies'!J$54*('KU Shares'!R6/'KU Efficiencies'!J6)/('KU Shares'!R$12/'KU Efficiencies'!J$12)</f>
        <v>#DIV/0!</v>
      </c>
      <c r="M6" s="242">
        <f>'KU Efficiencies'!K$54*('KU Shares'!T6/(1/'KU Efficiencies'!K6))/('KU Shares'!T$12/(1/'KU Efficiencies'!K$12))</f>
        <v>584.05027165958086</v>
      </c>
      <c r="N6" s="242">
        <f>'KU Efficiencies'!L$54*('KU Shares'!U6/(1/'KU Efficiencies'!L6))/('KU Shares'!U$12/(1/'KU Efficiencies'!L$12))</f>
        <v>823.99760053193916</v>
      </c>
      <c r="O6" s="242">
        <f>'KU Efficiencies'!M$54*('KU Shares'!W6/(1/'KU Efficiencies'!M6))/('KU Shares'!W$12/(1/'KU Efficiencies'!M$12))</f>
        <v>148.31956809574896</v>
      </c>
      <c r="P6" s="242"/>
      <c r="Q6" s="242"/>
      <c r="R6" s="242" t="e">
        <f>'KU Efficiencies'!P$54*('KU Shares'!AC6/(1/'KU Efficiencies'!P6))/('KU Shares'!AC$12/(1/'KU Efficiencies'!P$12))</f>
        <v>#DIV/0!</v>
      </c>
      <c r="S6" s="242" t="e">
        <f>'KU Efficiencies'!Q$54*('KU Shares'!AE6/(1/'KU Efficiencies'!Q6))/('KU Shares'!AE$12/(1/'KU Efficiencies'!Q$12))</f>
        <v>#DIV/0!</v>
      </c>
      <c r="T6" s="242" t="e">
        <f>'KU Efficiencies'!R$54*('KU Shares'!AG6/(1/'KU Efficiencies'!R6))/('KU Shares'!AG$12/(1/'KU Efficiencies'!R$12))</f>
        <v>#DIV/0!</v>
      </c>
      <c r="U6" s="242" t="e">
        <f>'KU Efficiencies'!S$54*('KU Shares'!AH6/(1/'KU Efficiencies'!S6))/('KU Shares'!AH$12/(1/'KU Efficiencies'!S$12))</f>
        <v>#DIV/0!</v>
      </c>
      <c r="V6" s="242">
        <f>'KU Efficiencies'!T$54*('KU Shares'!AI6/(1/'KU Efficiencies'!T6))/('KU Shares'!AI$12/(1/'KU Efficiencies'!T$12))</f>
        <v>2237.3938062534808</v>
      </c>
      <c r="W6" s="242">
        <f>'KU Efficiencies'!V$54*('KU Shares'!AJ6/(1/'KU Efficiencies'!X6))/('KU Shares'!AJ$12/(1/'KU Efficiencies'!X$12))</f>
        <v>2642.9816567185785</v>
      </c>
    </row>
    <row r="7" spans="1:45" hidden="1" x14ac:dyDescent="0.2">
      <c r="A7" s="240">
        <v>2000</v>
      </c>
      <c r="B7" s="241">
        <f t="shared" si="1"/>
        <v>0</v>
      </c>
      <c r="C7" s="241" t="e">
        <f t="shared" si="0"/>
        <v>#DIV/0!</v>
      </c>
      <c r="D7" s="242">
        <f>'KU Efficiencies'!B$54*'KU StructuralVars'!$Q7*('KU Shares'!B7/'KU Efficiencies'!B7)/('KU Shares'!B$12/'KU Efficiencies'!B$12)</f>
        <v>0</v>
      </c>
      <c r="E7" s="242">
        <f>'KU Efficiencies'!C$54*'KU StructuralVars'!$Q7*('KU Shares'!D7/'KU Efficiencies'!C7)/('KU Shares'!D$12/'KU Efficiencies'!C$12)</f>
        <v>0</v>
      </c>
      <c r="F7" s="242">
        <f>'KU Efficiencies'!D$54*'KU StructuralVars'!$Q7*('KU Shares'!F7/'KU Efficiencies'!D7)/('KU Shares'!F$12/'KU Efficiencies'!D$12)</f>
        <v>0</v>
      </c>
      <c r="G7" s="242">
        <f>'KU Efficiencies'!E$54*'KU StructuralVars'!$Q7*('KU Shares'!H7/(1/'KU Efficiencies'!E7))/('KU Shares'!H$12/(1/'KU Efficiencies'!E$12))</f>
        <v>0</v>
      </c>
      <c r="H7" s="242" t="e">
        <f>'KU Efficiencies'!F$54*'KU StructuralVars'!$R7*('KU Shares'!J7/'KU Efficiencies'!F7)/('KU Shares'!J$12/'KU Efficiencies'!F$12)</f>
        <v>#DIV/0!</v>
      </c>
      <c r="I7" s="242" t="e">
        <f>'KU Efficiencies'!G$54*'KU StructuralVars'!$R7*('KU Shares'!L7/'KU Efficiencies'!G7)/('KU Shares'!L$12/'KU Efficiencies'!G$12)</f>
        <v>#DIV/0!</v>
      </c>
      <c r="J7" s="242" t="e">
        <f>'KU Efficiencies'!H$54*'KU StructuralVars'!$R7*('KU Shares'!N7/'KU Efficiencies'!H7)/('KU Shares'!N$12/'KU Efficiencies'!H$12)</f>
        <v>#DIV/0!</v>
      </c>
      <c r="K7" s="242" t="e">
        <f>'KU Efficiencies'!I$54*'KU StructuralVars'!$R7*('KU Shares'!P7/'KU Efficiencies'!I7)/('KU Shares'!P$12/'KU Efficiencies'!I$12)</f>
        <v>#DIV/0!</v>
      </c>
      <c r="L7" s="242" t="e">
        <f>'KU Efficiencies'!J$54*('KU Shares'!R7/'KU Efficiencies'!J7)/('KU Shares'!R$12/'KU Efficiencies'!J$12)</f>
        <v>#DIV/0!</v>
      </c>
      <c r="M7" s="242">
        <f>'KU Efficiencies'!K$54*('KU Shares'!T7/(1/'KU Efficiencies'!K7))/('KU Shares'!T$12/(1/'KU Efficiencies'!K$12))</f>
        <v>588.72439495990523</v>
      </c>
      <c r="N7" s="242">
        <f>'KU Efficiencies'!L$54*('KU Shares'!U7/(1/'KU Efficiencies'!L7))/('KU Shares'!U$12/(1/'KU Efficiencies'!L$12))</f>
        <v>810.38091705821682</v>
      </c>
      <c r="O7" s="242">
        <f>'KU Efficiencies'!M$54*('KU Shares'!W7/(1/'KU Efficiencies'!M7))/('KU Shares'!W$12/(1/'KU Efficiencies'!M$12))</f>
        <v>145.86856507047898</v>
      </c>
      <c r="P7" s="242"/>
      <c r="Q7" s="242"/>
      <c r="R7" s="242" t="e">
        <f>'KU Efficiencies'!P$54*('KU Shares'!AC7/(1/'KU Efficiencies'!P7))/('KU Shares'!AC$12/(1/'KU Efficiencies'!P$12))</f>
        <v>#DIV/0!</v>
      </c>
      <c r="S7" s="242" t="e">
        <f>'KU Efficiencies'!Q$54*('KU Shares'!AE7/(1/'KU Efficiencies'!Q7))/('KU Shares'!AE$12/(1/'KU Efficiencies'!Q$12))</f>
        <v>#DIV/0!</v>
      </c>
      <c r="T7" s="242" t="e">
        <f>'KU Efficiencies'!R$54*('KU Shares'!AG7/(1/'KU Efficiencies'!R7))/('KU Shares'!AG$12/(1/'KU Efficiencies'!R$12))</f>
        <v>#DIV/0!</v>
      </c>
      <c r="U7" s="242" t="e">
        <f>'KU Efficiencies'!S$54*('KU Shares'!AH7/(1/'KU Efficiencies'!S7))/('KU Shares'!AH$12/(1/'KU Efficiencies'!S$12))</f>
        <v>#DIV/0!</v>
      </c>
      <c r="V7" s="242">
        <f>'KU Efficiencies'!T$54*('KU Shares'!AI7/(1/'KU Efficiencies'!T7))/('KU Shares'!AI$12/(1/'KU Efficiencies'!T$12))</f>
        <v>2239.0671060798345</v>
      </c>
      <c r="W7" s="242">
        <f>'KU Efficiencies'!V$54*('KU Shares'!AJ7/(1/'KU Efficiencies'!X7))/('KU Shares'!AJ$12/(1/'KU Efficiencies'!X$12))</f>
        <v>2724.1310139680322</v>
      </c>
    </row>
    <row r="8" spans="1:45" x14ac:dyDescent="0.2">
      <c r="A8" s="240">
        <v>2001</v>
      </c>
      <c r="B8" s="241">
        <f t="shared" si="1"/>
        <v>0</v>
      </c>
      <c r="C8" s="241" t="e">
        <f>SUM(H8:K8)</f>
        <v>#DIV/0!</v>
      </c>
      <c r="D8" s="242">
        <f>'KU Efficiencies'!B$54*'KU StructuralVars'!$Q8*('KU Shares'!B8/'KU Efficiencies'!B8)/('KU Shares'!B$12/'KU Efficiencies'!B$12)</f>
        <v>0</v>
      </c>
      <c r="E8" s="242">
        <f>'KU Efficiencies'!C$54*'KU StructuralVars'!$Q8*('KU Shares'!D8/'KU Efficiencies'!C8)/('KU Shares'!D$12/'KU Efficiencies'!C$12)</f>
        <v>0</v>
      </c>
      <c r="F8" s="242">
        <f>'KU Efficiencies'!D$54*'KU StructuralVars'!$Q8*('KU Shares'!F8/'KU Efficiencies'!D8)/('KU Shares'!F$12/'KU Efficiencies'!D$12)</f>
        <v>0</v>
      </c>
      <c r="G8" s="242">
        <f>'KU Efficiencies'!E$54*'KU StructuralVars'!$Q8*('KU Shares'!H8/(1/'KU Efficiencies'!E8))/('KU Shares'!H$12/(1/'KU Efficiencies'!E$12))</f>
        <v>0</v>
      </c>
      <c r="H8" s="242" t="e">
        <f>'KU Efficiencies'!F$54*'KU StructuralVars'!$R8*('KU Shares'!J8/'KU Efficiencies'!F8)/('KU Shares'!J$12/'KU Efficiencies'!F$12)</f>
        <v>#DIV/0!</v>
      </c>
      <c r="I8" s="242" t="e">
        <f>'KU Efficiencies'!G$54*'KU StructuralVars'!$R8*('KU Shares'!L8/'KU Efficiencies'!G8)/('KU Shares'!L$12/'KU Efficiencies'!G$12)</f>
        <v>#DIV/0!</v>
      </c>
      <c r="J8" s="242" t="e">
        <f>'KU Efficiencies'!H$54*'KU StructuralVars'!$R8*('KU Shares'!N8/'KU Efficiencies'!H8)/('KU Shares'!N$12/'KU Efficiencies'!H$12)</f>
        <v>#DIV/0!</v>
      </c>
      <c r="K8" s="242" t="e">
        <f>'KU Efficiencies'!I$54*'KU StructuralVars'!$R8*('KU Shares'!P8/'KU Efficiencies'!I8)/('KU Shares'!P$12/'KU Efficiencies'!I$12)</f>
        <v>#DIV/0!</v>
      </c>
      <c r="L8" s="242" t="e">
        <f>'KU Efficiencies'!J$54*('KU Shares'!R8/'KU Efficiencies'!J8)/('KU Shares'!R$12/'KU Efficiencies'!J$12)</f>
        <v>#DIV/0!</v>
      </c>
      <c r="M8" s="242">
        <f>'KU Efficiencies'!K$54*('KU Shares'!T8/(1/'KU Efficiencies'!K8))/('KU Shares'!T$12/(1/'KU Efficiencies'!K$12))</f>
        <v>593.3959661181475</v>
      </c>
      <c r="N8" s="242">
        <f>'KU Efficiencies'!L$54*('KU Shares'!U8/(1/'KU Efficiencies'!L8))/('KU Shares'!U$12/(1/'KU Efficiencies'!L$12))</f>
        <v>796.7642335844946</v>
      </c>
      <c r="O8" s="242">
        <f>'KU Efficiencies'!M$54*('KU Shares'!W8/(1/'KU Efficiencies'!M8))/('KU Shares'!W$12/(1/'KU Efficiencies'!M$12))</f>
        <v>143.417562045209</v>
      </c>
      <c r="P8" s="242"/>
      <c r="Q8" s="242"/>
      <c r="R8" s="242" t="e">
        <f>'KU Efficiencies'!P$54*('KU Shares'!AC8/(1/'KU Efficiencies'!P8))/('KU Shares'!AC$12/(1/'KU Efficiencies'!P$12))</f>
        <v>#DIV/0!</v>
      </c>
      <c r="S8" s="242" t="e">
        <f>'KU Efficiencies'!Q$54*('KU Shares'!AE8/(1/'KU Efficiencies'!Q8))/('KU Shares'!AE$12/(1/'KU Efficiencies'!Q$12))</f>
        <v>#DIV/0!</v>
      </c>
      <c r="T8" s="242" t="e">
        <f>'KU Efficiencies'!R$54*('KU Shares'!AG8/(1/'KU Efficiencies'!R8))/('KU Shares'!AG$12/(1/'KU Efficiencies'!R$12))</f>
        <v>#DIV/0!</v>
      </c>
      <c r="U8" s="242" t="e">
        <f>'KU Efficiencies'!S$54*('KU Shares'!AH8/(1/'KU Efficiencies'!S8))/('KU Shares'!AH$12/(1/'KU Efficiencies'!S$12))</f>
        <v>#DIV/0!</v>
      </c>
      <c r="V8" s="242">
        <f>'KU Efficiencies'!T$54*('KU Shares'!AI8/(1/'KU Efficiencies'!T8))/('KU Shares'!AI$12/(1/'KU Efficiencies'!T$12))</f>
        <v>2240.7404059061878</v>
      </c>
      <c r="W8" s="242">
        <f>'KU Efficiencies'!V$54*('KU Shares'!AJ8/(1/'KU Efficiencies'!X8))/('KU Shares'!AJ$12/(1/'KU Efficiencies'!X$12))</f>
        <v>2805.2803712174864</v>
      </c>
      <c r="X8" s="159" t="e">
        <f>SUM(D8:W8)</f>
        <v>#DIV/0!</v>
      </c>
    </row>
    <row r="9" spans="1:45" x14ac:dyDescent="0.2">
      <c r="A9" s="240">
        <v>2002</v>
      </c>
      <c r="B9" s="241">
        <f t="shared" si="1"/>
        <v>0</v>
      </c>
      <c r="C9" s="241" t="e">
        <f t="shared" ref="C9:C49" si="2">SUM(H9:K9)</f>
        <v>#DIV/0!</v>
      </c>
      <c r="D9" s="242">
        <f>'KU Efficiencies'!B$54*'KU StructuralVars'!$Q9*('KU Shares'!B9/'KU Efficiencies'!B9)/('KU Shares'!B$12/'KU Efficiencies'!B$12)</f>
        <v>0</v>
      </c>
      <c r="E9" s="242">
        <f>'KU Efficiencies'!C$54*'KU StructuralVars'!$Q9*('KU Shares'!D9/'KU Efficiencies'!C9)/('KU Shares'!D$12/'KU Efficiencies'!C$12)</f>
        <v>0</v>
      </c>
      <c r="F9" s="242">
        <f>'KU Efficiencies'!D$54*'KU StructuralVars'!$Q9*('KU Shares'!F9/'KU Efficiencies'!D9)/('KU Shares'!F$12/'KU Efficiencies'!D$12)</f>
        <v>0</v>
      </c>
      <c r="G9" s="242">
        <f>'KU Efficiencies'!E$54*'KU StructuralVars'!$Q9*('KU Shares'!H9/(1/'KU Efficiencies'!E9))/('KU Shares'!H$12/(1/'KU Efficiencies'!E$12))</f>
        <v>0</v>
      </c>
      <c r="H9" s="242" t="e">
        <f>'KU Efficiencies'!F$54*'KU StructuralVars'!$R9*('KU Shares'!J9/'KU Efficiencies'!F9)/('KU Shares'!J$12/'KU Efficiencies'!F$12)</f>
        <v>#DIV/0!</v>
      </c>
      <c r="I9" s="242" t="e">
        <f>'KU Efficiencies'!G$54*'KU StructuralVars'!$R9*('KU Shares'!L9/'KU Efficiencies'!G9)/('KU Shares'!L$12/'KU Efficiencies'!G$12)</f>
        <v>#DIV/0!</v>
      </c>
      <c r="J9" s="242" t="e">
        <f>'KU Efficiencies'!H$54*'KU StructuralVars'!$R9*('KU Shares'!N9/'KU Efficiencies'!H9)/('KU Shares'!N$12/'KU Efficiencies'!H$12)</f>
        <v>#DIV/0!</v>
      </c>
      <c r="K9" s="242" t="e">
        <f>'KU Efficiencies'!I$54*'KU StructuralVars'!$R9*('KU Shares'!P9/'KU Efficiencies'!I9)/('KU Shares'!P$12/'KU Efficiencies'!I$12)</f>
        <v>#DIV/0!</v>
      </c>
      <c r="L9" s="242" t="e">
        <f>'KU Efficiencies'!J$54*('KU Shares'!R9/'KU Efficiencies'!J9)/('KU Shares'!R$12/'KU Efficiencies'!J$12)</f>
        <v>#DIV/0!</v>
      </c>
      <c r="M9" s="242">
        <f>'KU Efficiencies'!K$54*('KU Shares'!T9/(1/'KU Efficiencies'!K9))/('KU Shares'!T$12/(1/'KU Efficiencies'!K$12))</f>
        <v>598.0649851343079</v>
      </c>
      <c r="N9" s="242">
        <f>'KU Efficiencies'!L$54*('KU Shares'!U9/(1/'KU Efficiencies'!L9))/('KU Shares'!U$12/(1/'KU Efficiencies'!L$12))</f>
        <v>783.14755011077227</v>
      </c>
      <c r="O9" s="242">
        <f>'KU Efficiencies'!M$54*('KU Shares'!W9/(1/'KU Efficiencies'!M9))/('KU Shares'!W$12/(1/'KU Efficiencies'!M$12))</f>
        <v>140.96655901993898</v>
      </c>
      <c r="P9" s="242"/>
      <c r="Q9" s="242"/>
      <c r="R9" s="242" t="e">
        <f>'KU Efficiencies'!P$54*('KU Shares'!AC9/(1/'KU Efficiencies'!P9))/('KU Shares'!AC$12/(1/'KU Efficiencies'!P$12))</f>
        <v>#DIV/0!</v>
      </c>
      <c r="S9" s="242" t="e">
        <f>'KU Efficiencies'!Q$54*('KU Shares'!AE9/(1/'KU Efficiencies'!Q9))/('KU Shares'!AE$12/(1/'KU Efficiencies'!Q$12))</f>
        <v>#DIV/0!</v>
      </c>
      <c r="T9" s="242" t="e">
        <f>'KU Efficiencies'!R$54*('KU Shares'!AG9/(1/'KU Efficiencies'!R9))/('KU Shares'!AG$12/(1/'KU Efficiencies'!R$12))</f>
        <v>#DIV/0!</v>
      </c>
      <c r="U9" s="242" t="e">
        <f>'KU Efficiencies'!S$54*('KU Shares'!AH9/(1/'KU Efficiencies'!S9))/('KU Shares'!AH$12/(1/'KU Efficiencies'!S$12))</f>
        <v>#DIV/0!</v>
      </c>
      <c r="V9" s="242">
        <f>'KU Efficiencies'!T$54*('KU Shares'!AI9/(1/'KU Efficiencies'!T9))/('KU Shares'!AI$12/(1/'KU Efficiencies'!T$12))</f>
        <v>2242.4137057325415</v>
      </c>
      <c r="W9" s="242">
        <f>'KU Efficiencies'!V$54*('KU Shares'!AJ9/(1/'KU Efficiencies'!X9))/('KU Shares'!AJ$12/(1/'KU Efficiencies'!X$12))</f>
        <v>2886.4297284669401</v>
      </c>
      <c r="X9" s="159" t="e">
        <f t="shared" ref="X9:X19" si="3">SUM(D9:W9)</f>
        <v>#DIV/0!</v>
      </c>
    </row>
    <row r="10" spans="1:45" x14ac:dyDescent="0.2">
      <c r="A10" s="240">
        <v>2003</v>
      </c>
      <c r="B10" s="241">
        <f t="shared" si="1"/>
        <v>0</v>
      </c>
      <c r="C10" s="241" t="e">
        <f t="shared" si="2"/>
        <v>#DIV/0!</v>
      </c>
      <c r="D10" s="242">
        <f>'KU Efficiencies'!B$54*'KU StructuralVars'!$Q10*('KU Shares'!B10/'KU Efficiencies'!B10)/('KU Shares'!B$12/'KU Efficiencies'!B$12)</f>
        <v>0</v>
      </c>
      <c r="E10" s="242">
        <f>'KU Efficiencies'!C$54*'KU StructuralVars'!$Q10*('KU Shares'!D10/'KU Efficiencies'!C10)/('KU Shares'!D$12/'KU Efficiencies'!C$12)</f>
        <v>0</v>
      </c>
      <c r="F10" s="242">
        <f>'KU Efficiencies'!D$54*'KU StructuralVars'!$Q10*('KU Shares'!F10/'KU Efficiencies'!D10)/('KU Shares'!F$12/'KU Efficiencies'!D$12)</f>
        <v>0</v>
      </c>
      <c r="G10" s="242">
        <f>'KU Efficiencies'!E$54*'KU StructuralVars'!$Q10*('KU Shares'!H10/(1/'KU Efficiencies'!E10))/('KU Shares'!H$12/(1/'KU Efficiencies'!E$12))</f>
        <v>0</v>
      </c>
      <c r="H10" s="242" t="e">
        <f>'KU Efficiencies'!F$54*'KU StructuralVars'!$R10*('KU Shares'!J10/'KU Efficiencies'!F10)/('KU Shares'!J$12/'KU Efficiencies'!F$12)</f>
        <v>#DIV/0!</v>
      </c>
      <c r="I10" s="242" t="e">
        <f>'KU Efficiencies'!G$54*'KU StructuralVars'!$R10*('KU Shares'!L10/'KU Efficiencies'!G10)/('KU Shares'!L$12/'KU Efficiencies'!G$12)</f>
        <v>#DIV/0!</v>
      </c>
      <c r="J10" s="242" t="e">
        <f>'KU Efficiencies'!H$54*'KU StructuralVars'!$R10*('KU Shares'!N10/'KU Efficiencies'!H10)/('KU Shares'!N$12/'KU Efficiencies'!H$12)</f>
        <v>#DIV/0!</v>
      </c>
      <c r="K10" s="242" t="e">
        <f>'KU Efficiencies'!I$54*'KU StructuralVars'!$R10*('KU Shares'!P10/'KU Efficiencies'!I10)/('KU Shares'!P$12/'KU Efficiencies'!I$12)</f>
        <v>#DIV/0!</v>
      </c>
      <c r="L10" s="242" t="e">
        <f>'KU Efficiencies'!J$54*('KU Shares'!R10/'KU Efficiencies'!J10)/('KU Shares'!R$12/'KU Efficiencies'!J$12)</f>
        <v>#DIV/0!</v>
      </c>
      <c r="M10" s="242">
        <f>'KU Efficiencies'!K$54*('KU Shares'!T10/(1/'KU Efficiencies'!K10))/('KU Shares'!T$12/(1/'KU Efficiencies'!K$12))</f>
        <v>602.73145200838621</v>
      </c>
      <c r="N10" s="242">
        <f>'KU Efficiencies'!L$54*('KU Shares'!U10/(1/'KU Efficiencies'!L10))/('KU Shares'!U$12/(1/'KU Efficiencies'!L$12))</f>
        <v>769.53086663704994</v>
      </c>
      <c r="O10" s="242">
        <f>'KU Efficiencies'!M$54*('KU Shares'!W10/(1/'KU Efficiencies'!M10))/('KU Shares'!W$12/(1/'KU Efficiencies'!M$12))</f>
        <v>138.51555599466903</v>
      </c>
      <c r="P10" s="242"/>
      <c r="Q10" s="242"/>
      <c r="R10" s="242" t="e">
        <f>'KU Efficiencies'!P$54*('KU Shares'!AC10/(1/'KU Efficiencies'!P10))/('KU Shares'!AC$12/(1/'KU Efficiencies'!P$12))</f>
        <v>#DIV/0!</v>
      </c>
      <c r="S10" s="242" t="e">
        <f>'KU Efficiencies'!Q$54*('KU Shares'!AE10/(1/'KU Efficiencies'!Q10))/('KU Shares'!AE$12/(1/'KU Efficiencies'!Q$12))</f>
        <v>#DIV/0!</v>
      </c>
      <c r="T10" s="242" t="e">
        <f>'KU Efficiencies'!R$54*('KU Shares'!AG10/(1/'KU Efficiencies'!R10))/('KU Shares'!AG$12/(1/'KU Efficiencies'!R$12))</f>
        <v>#DIV/0!</v>
      </c>
      <c r="U10" s="242" t="e">
        <f>'KU Efficiencies'!S$54*('KU Shares'!AH10/(1/'KU Efficiencies'!S10))/('KU Shares'!AH$12/(1/'KU Efficiencies'!S$12))</f>
        <v>#DIV/0!</v>
      </c>
      <c r="V10" s="242">
        <f>'KU Efficiencies'!T$54*('KU Shares'!AI10/(1/'KU Efficiencies'!T10))/('KU Shares'!AI$12/(1/'KU Efficiencies'!T$12))</f>
        <v>2244.0870055588948</v>
      </c>
      <c r="W10" s="242">
        <f>'KU Efficiencies'!V$54*('KU Shares'!AJ10/(1/'KU Efficiencies'!X10))/('KU Shares'!AJ$12/(1/'KU Efficiencies'!X$12))</f>
        <v>2967.5790857163943</v>
      </c>
      <c r="X10" s="159" t="e">
        <f t="shared" si="3"/>
        <v>#DIV/0!</v>
      </c>
    </row>
    <row r="11" spans="1:45" x14ac:dyDescent="0.2">
      <c r="A11" s="240">
        <v>2004</v>
      </c>
      <c r="B11" s="241">
        <f t="shared" si="1"/>
        <v>0</v>
      </c>
      <c r="C11" s="241" t="e">
        <f t="shared" si="2"/>
        <v>#DIV/0!</v>
      </c>
      <c r="D11" s="242">
        <f>'KU Efficiencies'!B$54*'KU StructuralVars'!$Q11*('KU Shares'!B11/'KU Efficiencies'!B11)/('KU Shares'!B$12/'KU Efficiencies'!B$12)</f>
        <v>0</v>
      </c>
      <c r="E11" s="242">
        <f>'KU Efficiencies'!C$54*'KU StructuralVars'!$Q11*('KU Shares'!D11/'KU Efficiencies'!C11)/('KU Shares'!D$12/'KU Efficiencies'!C$12)</f>
        <v>0</v>
      </c>
      <c r="F11" s="242">
        <f>'KU Efficiencies'!D$54*'KU StructuralVars'!$Q11*('KU Shares'!F11/'KU Efficiencies'!D11)/('KU Shares'!F$12/'KU Efficiencies'!D$12)</f>
        <v>0</v>
      </c>
      <c r="G11" s="242">
        <f>'KU Efficiencies'!E$54*'KU StructuralVars'!$Q11*('KU Shares'!H11/(1/'KU Efficiencies'!E11))/('KU Shares'!H$12/(1/'KU Efficiencies'!E$12))</f>
        <v>0</v>
      </c>
      <c r="H11" s="242" t="e">
        <f>'KU Efficiencies'!F$54*'KU StructuralVars'!$R11*('KU Shares'!J11/'KU Efficiencies'!F11)/('KU Shares'!J$12/'KU Efficiencies'!F$12)</f>
        <v>#DIV/0!</v>
      </c>
      <c r="I11" s="242" t="e">
        <f>'KU Efficiencies'!G$54*'KU StructuralVars'!$R11*('KU Shares'!L11/'KU Efficiencies'!G11)/('KU Shares'!L$12/'KU Efficiencies'!G$12)</f>
        <v>#DIV/0!</v>
      </c>
      <c r="J11" s="242" t="e">
        <f>'KU Efficiencies'!H$54*'KU StructuralVars'!$R11*('KU Shares'!N11/'KU Efficiencies'!H11)/('KU Shares'!N$12/'KU Efficiencies'!H$12)</f>
        <v>#DIV/0!</v>
      </c>
      <c r="K11" s="242" t="e">
        <f>'KU Efficiencies'!I$54*'KU StructuralVars'!$R11*('KU Shares'!P11/'KU Efficiencies'!I11)/('KU Shares'!P$12/'KU Efficiencies'!I$12)</f>
        <v>#DIV/0!</v>
      </c>
      <c r="L11" s="242" t="e">
        <f>'KU Efficiencies'!J$54*('KU Shares'!R11/'KU Efficiencies'!J11)/('KU Shares'!R$12/'KU Efficiencies'!J$12)</f>
        <v>#DIV/0!</v>
      </c>
      <c r="M11" s="242">
        <f>'KU Efficiencies'!K$54*('KU Shares'!T11/(1/'KU Efficiencies'!K11))/('KU Shares'!T$12/(1/'KU Efficiencies'!K$12))</f>
        <v>607.39536674038254</v>
      </c>
      <c r="N11" s="242">
        <f>'KU Efficiencies'!L$54*('KU Shares'!U11/(1/'KU Efficiencies'!L11))/('KU Shares'!U$12/(1/'KU Efficiencies'!L$12))</f>
        <v>755.91418316332761</v>
      </c>
      <c r="O11" s="242">
        <f>'KU Efficiencies'!M$54*('KU Shares'!W11/(1/'KU Efficiencies'!M11))/('KU Shares'!W$12/(1/'KU Efficiencies'!M$12))</f>
        <v>136.06455296939902</v>
      </c>
      <c r="P11" s="242"/>
      <c r="Q11" s="242"/>
      <c r="R11" s="242" t="e">
        <f>'KU Efficiencies'!P$54*('KU Shares'!AC11/(1/'KU Efficiencies'!P11))/('KU Shares'!AC$12/(1/'KU Efficiencies'!P$12))</f>
        <v>#DIV/0!</v>
      </c>
      <c r="S11" s="242" t="e">
        <f>'KU Efficiencies'!Q$54*('KU Shares'!AE11/(1/'KU Efficiencies'!Q11))/('KU Shares'!AE$12/(1/'KU Efficiencies'!Q$12))</f>
        <v>#DIV/0!</v>
      </c>
      <c r="T11" s="242" t="e">
        <f>'KU Efficiencies'!R$54*('KU Shares'!AG11/(1/'KU Efficiencies'!R11))/('KU Shares'!AG$12/(1/'KU Efficiencies'!R$12))</f>
        <v>#DIV/0!</v>
      </c>
      <c r="U11" s="242" t="e">
        <f>'KU Efficiencies'!S$54*('KU Shares'!AH11/(1/'KU Efficiencies'!S11))/('KU Shares'!AH$12/(1/'KU Efficiencies'!S$12))</f>
        <v>#DIV/0!</v>
      </c>
      <c r="V11" s="242">
        <f>'KU Efficiencies'!T$54*('KU Shares'!AI11/(1/'KU Efficiencies'!T11))/('KU Shares'!AI$12/(1/'KU Efficiencies'!T$12))</f>
        <v>2245.7603053852486</v>
      </c>
      <c r="W11" s="242">
        <f>'KU Efficiencies'!V$54*('KU Shares'!AJ11/(1/'KU Efficiencies'!X11))/('KU Shares'!AJ$12/(1/'KU Efficiencies'!X$12))</f>
        <v>3048.7284429658471</v>
      </c>
      <c r="X11" s="159" t="e">
        <f t="shared" si="3"/>
        <v>#DIV/0!</v>
      </c>
    </row>
    <row r="12" spans="1:45" x14ac:dyDescent="0.2">
      <c r="A12" s="240">
        <v>2005</v>
      </c>
      <c r="B12" s="241">
        <f t="shared" si="1"/>
        <v>0</v>
      </c>
      <c r="C12" s="241" t="e">
        <f t="shared" si="2"/>
        <v>#DIV/0!</v>
      </c>
      <c r="D12" s="242">
        <f>'KU Efficiencies'!B$54*'KU StructuralVars'!$Q12*('KU Shares'!B12/'KU Efficiencies'!B12)/('KU Shares'!B$12/'KU Efficiencies'!B$12)</f>
        <v>0</v>
      </c>
      <c r="E12" s="242">
        <f>'KU Efficiencies'!C$54*'KU StructuralVars'!$Q12*('KU Shares'!D12/'KU Efficiencies'!C12)/('KU Shares'!D$12/'KU Efficiencies'!C$12)</f>
        <v>0</v>
      </c>
      <c r="F12" s="242">
        <f>'KU Efficiencies'!D$54*'KU StructuralVars'!$Q12*('KU Shares'!F12/'KU Efficiencies'!D12)/('KU Shares'!F$12/'KU Efficiencies'!D$12)</f>
        <v>0</v>
      </c>
      <c r="G12" s="242">
        <f>'KU Efficiencies'!E$54*'KU StructuralVars'!$Q12*('KU Shares'!H12/(1/'KU Efficiencies'!E12))/('KU Shares'!H$12/(1/'KU Efficiencies'!E$12))</f>
        <v>0</v>
      </c>
      <c r="H12" s="242" t="e">
        <f>'KU Efficiencies'!F$54*'KU StructuralVars'!$R12*('KU Shares'!J12/'KU Efficiencies'!F12)/('KU Shares'!J$12/'KU Efficiencies'!F$12)</f>
        <v>#DIV/0!</v>
      </c>
      <c r="I12" s="242" t="e">
        <f>'KU Efficiencies'!G$54*'KU StructuralVars'!$R12*('KU Shares'!L12/'KU Efficiencies'!G12)/('KU Shares'!L$12/'KU Efficiencies'!G$12)</f>
        <v>#DIV/0!</v>
      </c>
      <c r="J12" s="242" t="e">
        <f>'KU Efficiencies'!H$54*'KU StructuralVars'!$R12*('KU Shares'!N12/'KU Efficiencies'!H12)/('KU Shares'!N$12/'KU Efficiencies'!H$12)</f>
        <v>#DIV/0!</v>
      </c>
      <c r="K12" s="242" t="e">
        <f>'KU Efficiencies'!I$54*'KU StructuralVars'!$R12*('KU Shares'!P12/'KU Efficiencies'!I12)/('KU Shares'!P$12/'KU Efficiencies'!I$12)</f>
        <v>#DIV/0!</v>
      </c>
      <c r="L12" s="242" t="e">
        <f>'KU Efficiencies'!J$54*('KU Shares'!R12/'KU Efficiencies'!J12)/('KU Shares'!R$12/'KU Efficiencies'!J$12)</f>
        <v>#DIV/0!</v>
      </c>
      <c r="M12" s="242">
        <f>'KU Efficiencies'!K$54*('KU Shares'!T12/(1/'KU Efficiencies'!K12))/('KU Shares'!T$12/(1/'KU Efficiencies'!K$12))</f>
        <v>612.05672933029723</v>
      </c>
      <c r="N12" s="242">
        <f>'KU Efficiencies'!L$54*('KU Shares'!U12/(1/'KU Efficiencies'!L12))/('KU Shares'!U$12/(1/'KU Efficiencies'!L$12))</f>
        <v>742.29749968960505</v>
      </c>
      <c r="O12" s="242">
        <f>'KU Efficiencies'!M$54*('KU Shares'!W12/(1/'KU Efficiencies'!M12))/('KU Shares'!W$12/(1/'KU Efficiencies'!M$12))</f>
        <v>134.5559535674243</v>
      </c>
      <c r="P12" s="242"/>
      <c r="Q12" s="242"/>
      <c r="R12" s="242" t="e">
        <f>'KU Efficiencies'!P$54*('KU Shares'!AC12/(1/'KU Efficiencies'!P12))/('KU Shares'!AC$12/(1/'KU Efficiencies'!P$12))</f>
        <v>#DIV/0!</v>
      </c>
      <c r="S12" s="242" t="e">
        <f>'KU Efficiencies'!Q$54*('KU Shares'!AE12/(1/'KU Efficiencies'!Q12))/('KU Shares'!AE$12/(1/'KU Efficiencies'!Q$12))</f>
        <v>#DIV/0!</v>
      </c>
      <c r="T12" s="242" t="e">
        <f>'KU Efficiencies'!R$54*('KU Shares'!AG12/(1/'KU Efficiencies'!R12))/('KU Shares'!AG$12/(1/'KU Efficiencies'!R$12))</f>
        <v>#DIV/0!</v>
      </c>
      <c r="U12" s="242" t="e">
        <f>'KU Efficiencies'!S$54*('KU Shares'!AH12/(1/'KU Efficiencies'!S12))/('KU Shares'!AH$12/(1/'KU Efficiencies'!S$12))</f>
        <v>#DIV/0!</v>
      </c>
      <c r="V12" s="242">
        <f>'KU Efficiencies'!T$54*('KU Shares'!AI12/(1/'KU Efficiencies'!T12))/('KU Shares'!AI$12/(1/'KU Efficiencies'!T$12))</f>
        <v>2247.4336052116014</v>
      </c>
      <c r="W12" s="242">
        <f>'KU Efficiencies'!V$54*('KU Shares'!AJ12/(1/'KU Efficiencies'!X12))/('KU Shares'!AJ$12/(1/'KU Efficiencies'!X$12))</f>
        <v>3129.8778002153022</v>
      </c>
      <c r="X12" s="159" t="e">
        <f t="shared" si="3"/>
        <v>#DIV/0!</v>
      </c>
      <c r="Y12" s="243"/>
    </row>
    <row r="13" spans="1:45" x14ac:dyDescent="0.2">
      <c r="A13" s="240">
        <v>2006</v>
      </c>
      <c r="B13" s="241">
        <f t="shared" si="1"/>
        <v>0</v>
      </c>
      <c r="C13" s="241" t="e">
        <f t="shared" si="2"/>
        <v>#DIV/0!</v>
      </c>
      <c r="D13" s="242">
        <f>'KU Efficiencies'!B$54*'KU StructuralVars'!$Q13*('KU Shares'!B13/'KU Efficiencies'!B13)/('KU Shares'!B$12/'KU Efficiencies'!B$12)</f>
        <v>0</v>
      </c>
      <c r="E13" s="242">
        <f>'KU Efficiencies'!C$54*'KU StructuralVars'!$Q13*('KU Shares'!D13/'KU Efficiencies'!C13)/('KU Shares'!D$12/'KU Efficiencies'!C$12)</f>
        <v>0</v>
      </c>
      <c r="F13" s="242">
        <f>'KU Efficiencies'!D$54*'KU StructuralVars'!$Q13*('KU Shares'!F13/'KU Efficiencies'!D13)/('KU Shares'!F$12/'KU Efficiencies'!D$12)</f>
        <v>0</v>
      </c>
      <c r="G13" s="242">
        <f>'KU Efficiencies'!E$54*'KU StructuralVars'!$Q13*('KU Shares'!H13/(1/'KU Efficiencies'!E13))/('KU Shares'!H$12/(1/'KU Efficiencies'!E$12))</f>
        <v>0</v>
      </c>
      <c r="H13" s="242" t="e">
        <f>'KU Efficiencies'!F$54*'KU StructuralVars'!$R13*('KU Shares'!J13/'KU Efficiencies'!F13)/('KU Shares'!J$12/'KU Efficiencies'!F$12)</f>
        <v>#DIV/0!</v>
      </c>
      <c r="I13" s="242" t="e">
        <f>'KU Efficiencies'!G$54*'KU StructuralVars'!$R13*('KU Shares'!L13/'KU Efficiencies'!G13)/('KU Shares'!L$12/'KU Efficiencies'!G$12)</f>
        <v>#DIV/0!</v>
      </c>
      <c r="J13" s="242" t="e">
        <f>'KU Efficiencies'!H$54*'KU StructuralVars'!$R13*('KU Shares'!N13/'KU Efficiencies'!H13)/('KU Shares'!N$12/'KU Efficiencies'!H$12)</f>
        <v>#DIV/0!</v>
      </c>
      <c r="K13" s="242" t="e">
        <f>'KU Efficiencies'!I$54*'KU StructuralVars'!$R13*('KU Shares'!P13/'KU Efficiencies'!I13)/('KU Shares'!P$12/'KU Efficiencies'!I$12)</f>
        <v>#DIV/0!</v>
      </c>
      <c r="L13" s="242" t="e">
        <f>'KU Efficiencies'!J$54*('KU Shares'!R13/'KU Efficiencies'!J13)/('KU Shares'!R$12/'KU Efficiencies'!J$12)</f>
        <v>#DIV/0!</v>
      </c>
      <c r="M13" s="242">
        <f>'KU Efficiencies'!K$54*('KU Shares'!T13/(1/'KU Efficiencies'!K13))/('KU Shares'!T$12/(1/'KU Efficiencies'!K$12))</f>
        <v>616.33671281062504</v>
      </c>
      <c r="N13" s="242">
        <f>'KU Efficiencies'!L$54*('KU Shares'!U13/(1/'KU Efficiencies'!L13))/('KU Shares'!U$12/(1/'KU Efficiencies'!L$12))</f>
        <v>724.16582599559592</v>
      </c>
      <c r="O13" s="242">
        <f>'KU Efficiencies'!M$54*('KU Shares'!W13/(1/'KU Efficiencies'!M13))/('KU Shares'!W$12/(1/'KU Efficiencies'!M$12))</f>
        <v>130.26756532889024</v>
      </c>
      <c r="P13" s="242"/>
      <c r="Q13" s="242"/>
      <c r="R13" s="242" t="e">
        <f>'KU Efficiencies'!P$54*('KU Shares'!AC13/(1/'KU Efficiencies'!P13))/('KU Shares'!AC$12/(1/'KU Efficiencies'!P$12))</f>
        <v>#DIV/0!</v>
      </c>
      <c r="S13" s="242" t="e">
        <f>'KU Efficiencies'!Q$54*('KU Shares'!AE13/(1/'KU Efficiencies'!Q13))/('KU Shares'!AE$12/(1/'KU Efficiencies'!Q$12))</f>
        <v>#DIV/0!</v>
      </c>
      <c r="T13" s="242" t="e">
        <f>'KU Efficiencies'!R$54*('KU Shares'!AG13/(1/'KU Efficiencies'!R13))/('KU Shares'!AG$12/(1/'KU Efficiencies'!R$12))</f>
        <v>#DIV/0!</v>
      </c>
      <c r="U13" s="242" t="e">
        <f>'KU Efficiencies'!S$54*('KU Shares'!AH13/(1/'KU Efficiencies'!S13))/('KU Shares'!AH$12/(1/'KU Efficiencies'!S$12))</f>
        <v>#DIV/0!</v>
      </c>
      <c r="V13" s="242">
        <f>'KU Efficiencies'!T$54*('KU Shares'!AI13/(1/'KU Efficiencies'!T13))/('KU Shares'!AI$12/(1/'KU Efficiencies'!T$12))</f>
        <v>2230.4376152611585</v>
      </c>
      <c r="W13" s="242">
        <f>'KU Efficiencies'!V$54*('KU Shares'!AJ13/(1/'KU Efficiencies'!X13))/('KU Shares'!AJ$12/(1/'KU Efficiencies'!X$12))</f>
        <v>3343.2870308110641</v>
      </c>
      <c r="X13" s="159" t="e">
        <f t="shared" si="3"/>
        <v>#DIV/0!</v>
      </c>
      <c r="Y13" s="243"/>
    </row>
    <row r="14" spans="1:45" x14ac:dyDescent="0.2">
      <c r="A14" s="240">
        <v>2007</v>
      </c>
      <c r="B14" s="241">
        <f t="shared" si="1"/>
        <v>0</v>
      </c>
      <c r="C14" s="241" t="e">
        <f t="shared" si="2"/>
        <v>#DIV/0!</v>
      </c>
      <c r="D14" s="242">
        <f>'KU Efficiencies'!B$54*'KU StructuralVars'!$Q14*('KU Shares'!B14/'KU Efficiencies'!B14)/('KU Shares'!B$12/'KU Efficiencies'!B$12)</f>
        <v>0</v>
      </c>
      <c r="E14" s="242">
        <f>'KU Efficiencies'!C$54*'KU StructuralVars'!$Q14*('KU Shares'!D14/'KU Efficiencies'!C14)/('KU Shares'!D$12/'KU Efficiencies'!C$12)</f>
        <v>0</v>
      </c>
      <c r="F14" s="242">
        <f>'KU Efficiencies'!D$54*'KU StructuralVars'!$Q14*('KU Shares'!F14/'KU Efficiencies'!D14)/('KU Shares'!F$12/'KU Efficiencies'!D$12)</f>
        <v>0</v>
      </c>
      <c r="G14" s="242">
        <f>'KU Efficiencies'!E$54*'KU StructuralVars'!$Q14*('KU Shares'!H14/(1/'KU Efficiencies'!E14))/('KU Shares'!H$12/(1/'KU Efficiencies'!E$12))</f>
        <v>0</v>
      </c>
      <c r="H14" s="242" t="e">
        <f>'KU Efficiencies'!F$54*'KU StructuralVars'!$R14*('KU Shares'!J14/'KU Efficiencies'!F14)/('KU Shares'!J$12/'KU Efficiencies'!F$12)</f>
        <v>#DIV/0!</v>
      </c>
      <c r="I14" s="242" t="e">
        <f>'KU Efficiencies'!G$54*'KU StructuralVars'!$R14*('KU Shares'!L14/'KU Efficiencies'!G14)/('KU Shares'!L$12/'KU Efficiencies'!G$12)</f>
        <v>#DIV/0!</v>
      </c>
      <c r="J14" s="242" t="e">
        <f>'KU Efficiencies'!H$54*'KU StructuralVars'!$R14*('KU Shares'!N14/'KU Efficiencies'!H14)/('KU Shares'!N$12/'KU Efficiencies'!H$12)</f>
        <v>#DIV/0!</v>
      </c>
      <c r="K14" s="242" t="e">
        <f>'KU Efficiencies'!I$54*'KU StructuralVars'!$R14*('KU Shares'!P14/'KU Efficiencies'!I14)/('KU Shares'!P$12/'KU Efficiencies'!I$12)</f>
        <v>#DIV/0!</v>
      </c>
      <c r="L14" s="242" t="e">
        <f>'KU Efficiencies'!J$54*('KU Shares'!R14/'KU Efficiencies'!J14)/('KU Shares'!R$12/'KU Efficiencies'!J$12)</f>
        <v>#DIV/0!</v>
      </c>
      <c r="M14" s="242">
        <f>'KU Efficiencies'!K$54*('KU Shares'!T14/(1/'KU Efficiencies'!K14))/('KU Shares'!T$12/(1/'KU Efficiencies'!K$12))</f>
        <v>620.79717095438616</v>
      </c>
      <c r="N14" s="242">
        <f>'KU Efficiencies'!L$54*('KU Shares'!U14/(1/'KU Efficiencies'!L14))/('KU Shares'!U$12/(1/'KU Efficiencies'!L$12))</f>
        <v>706.47704425674408</v>
      </c>
      <c r="O14" s="242">
        <f>'KU Efficiencies'!M$54*('KU Shares'!W14/(1/'KU Efficiencies'!M14))/('KU Shares'!W$12/(1/'KU Efficiencies'!M$12))</f>
        <v>127.17245923085713</v>
      </c>
      <c r="P14" s="242"/>
      <c r="Q14" s="242"/>
      <c r="R14" s="242" t="e">
        <f>'KU Efficiencies'!P$54*('KU Shares'!AC14/(1/'KU Efficiencies'!P14))/('KU Shares'!AC$12/(1/'KU Efficiencies'!P$12))</f>
        <v>#DIV/0!</v>
      </c>
      <c r="S14" s="242" t="e">
        <f>'KU Efficiencies'!Q$54*('KU Shares'!AE14/(1/'KU Efficiencies'!Q14))/('KU Shares'!AE$12/(1/'KU Efficiencies'!Q$12))</f>
        <v>#DIV/0!</v>
      </c>
      <c r="T14" s="242" t="e">
        <f>'KU Efficiencies'!R$54*('KU Shares'!AG14/(1/'KU Efficiencies'!R14))/('KU Shares'!AG$12/(1/'KU Efficiencies'!R$12))</f>
        <v>#DIV/0!</v>
      </c>
      <c r="U14" s="242" t="e">
        <f>'KU Efficiencies'!S$54*('KU Shares'!AH14/(1/'KU Efficiencies'!S14))/('KU Shares'!AH$12/(1/'KU Efficiencies'!S$12))</f>
        <v>#DIV/0!</v>
      </c>
      <c r="V14" s="242">
        <f>'KU Efficiencies'!T$54*('KU Shares'!AI14/(1/'KU Efficiencies'!T14))/('KU Shares'!AI$12/(1/'KU Efficiencies'!T$12))</f>
        <v>2194.5467243056833</v>
      </c>
      <c r="W14" s="242">
        <f>'KU Efficiencies'!V$54*('KU Shares'!AJ14/(1/'KU Efficiencies'!X14))/('KU Shares'!AJ$12/(1/'KU Efficiencies'!X$12))</f>
        <v>3600.4007843526201</v>
      </c>
      <c r="X14" s="159" t="e">
        <f t="shared" si="3"/>
        <v>#DIV/0!</v>
      </c>
      <c r="Y14" s="243"/>
    </row>
    <row r="15" spans="1:45" x14ac:dyDescent="0.2">
      <c r="A15" s="240">
        <v>2008</v>
      </c>
      <c r="B15" s="241">
        <f t="shared" si="1"/>
        <v>0</v>
      </c>
      <c r="C15" s="241" t="e">
        <f t="shared" si="2"/>
        <v>#DIV/0!</v>
      </c>
      <c r="D15" s="242">
        <f>'KU Efficiencies'!B$54*'KU StructuralVars'!$Q15*('KU Shares'!B15/'KU Efficiencies'!B15)/('KU Shares'!B$12/'KU Efficiencies'!B$12)</f>
        <v>0</v>
      </c>
      <c r="E15" s="242">
        <f>'KU Efficiencies'!C$54*'KU StructuralVars'!$Q15*('KU Shares'!D15/'KU Efficiencies'!C15)/('KU Shares'!D$12/'KU Efficiencies'!C$12)</f>
        <v>0</v>
      </c>
      <c r="F15" s="242">
        <f>'KU Efficiencies'!D$54*'KU StructuralVars'!$Q15*('KU Shares'!F15/'KU Efficiencies'!D15)/('KU Shares'!F$12/'KU Efficiencies'!D$12)</f>
        <v>0</v>
      </c>
      <c r="G15" s="242">
        <f>'KU Efficiencies'!E$54*'KU StructuralVars'!$Q15*('KU Shares'!H15/(1/'KU Efficiencies'!E15))/('KU Shares'!H$12/(1/'KU Efficiencies'!E$12))</f>
        <v>0</v>
      </c>
      <c r="H15" s="242" t="e">
        <f>'KU Efficiencies'!F$54*'KU StructuralVars'!$R15*('KU Shares'!J15/'KU Efficiencies'!F15)/('KU Shares'!J$12/'KU Efficiencies'!F$12)</f>
        <v>#DIV/0!</v>
      </c>
      <c r="I15" s="242" t="e">
        <f>'KU Efficiencies'!G$54*'KU StructuralVars'!$R15*('KU Shares'!L15/'KU Efficiencies'!G15)/('KU Shares'!L$12/'KU Efficiencies'!G$12)</f>
        <v>#DIV/0!</v>
      </c>
      <c r="J15" s="242" t="e">
        <f>'KU Efficiencies'!H$54*'KU StructuralVars'!$R15*('KU Shares'!N15/'KU Efficiencies'!H15)/('KU Shares'!N$12/'KU Efficiencies'!H$12)</f>
        <v>#DIV/0!</v>
      </c>
      <c r="K15" s="242" t="e">
        <f>'KU Efficiencies'!I$54*'KU StructuralVars'!$R15*('KU Shares'!P15/'KU Efficiencies'!I15)/('KU Shares'!P$12/'KU Efficiencies'!I$12)</f>
        <v>#DIV/0!</v>
      </c>
      <c r="L15" s="242" t="e">
        <f>'KU Efficiencies'!J$54*('KU Shares'!R15/'KU Efficiencies'!J15)/('KU Shares'!R$12/'KU Efficiencies'!J$12)</f>
        <v>#DIV/0!</v>
      </c>
      <c r="M15" s="242">
        <f>'KU Efficiencies'!K$54*('KU Shares'!T15/(1/'KU Efficiencies'!K15))/('KU Shares'!T$12/(1/'KU Efficiencies'!K$12))</f>
        <v>630.79793793118642</v>
      </c>
      <c r="N15" s="242">
        <f>'KU Efficiencies'!L$54*('KU Shares'!U15/(1/'KU Efficiencies'!L15))/('KU Shares'!U$12/(1/'KU Efficiencies'!L$12))</f>
        <v>691.10908601202959</v>
      </c>
      <c r="O15" s="242">
        <f>'KU Efficiencies'!M$54*('KU Shares'!W15/(1/'KU Efficiencies'!M15))/('KU Shares'!W$12/(1/'KU Efficiencies'!M$12))</f>
        <v>124.33006083089313</v>
      </c>
      <c r="P15" s="242"/>
      <c r="Q15" s="242"/>
      <c r="R15" s="242" t="e">
        <f>'KU Efficiencies'!P$54*('KU Shares'!AC15/(1/'KU Efficiencies'!P15))/('KU Shares'!AC$12/(1/'KU Efficiencies'!P$12))</f>
        <v>#DIV/0!</v>
      </c>
      <c r="S15" s="242" t="e">
        <f>'KU Efficiencies'!Q$54*('KU Shares'!AE15/(1/'KU Efficiencies'!Q15))/('KU Shares'!AE$12/(1/'KU Efficiencies'!Q$12))</f>
        <v>#DIV/0!</v>
      </c>
      <c r="T15" s="242" t="e">
        <f>'KU Efficiencies'!R$54*('KU Shares'!AG15/(1/'KU Efficiencies'!R15))/('KU Shares'!AG$12/(1/'KU Efficiencies'!R$12))</f>
        <v>#DIV/0!</v>
      </c>
      <c r="U15" s="242" t="e">
        <f>'KU Efficiencies'!S$54*('KU Shares'!AH15/(1/'KU Efficiencies'!S15))/('KU Shares'!AH$12/(1/'KU Efficiencies'!S$12))</f>
        <v>#DIV/0!</v>
      </c>
      <c r="V15" s="242">
        <f>'KU Efficiencies'!T$54*('KU Shares'!AI15/(1/'KU Efficiencies'!T15))/('KU Shares'!AI$12/(1/'KU Efficiencies'!T$12))</f>
        <v>2161.8452064310331</v>
      </c>
      <c r="W15" s="242">
        <f>'KU Efficiencies'!V$54*('KU Shares'!AJ15/(1/'KU Efficiencies'!X15))/('KU Shares'!AJ$12/(1/'KU Efficiencies'!X$12))</f>
        <v>3778.4797999284915</v>
      </c>
      <c r="X15" s="159" t="e">
        <f t="shared" si="3"/>
        <v>#DIV/0!</v>
      </c>
      <c r="Y15" s="243"/>
    </row>
    <row r="16" spans="1:45" x14ac:dyDescent="0.2">
      <c r="A16" s="240">
        <v>2009</v>
      </c>
      <c r="B16" s="241">
        <f t="shared" si="1"/>
        <v>1642.7386334579278</v>
      </c>
      <c r="C16" s="241" t="e">
        <f t="shared" si="2"/>
        <v>#DIV/0!</v>
      </c>
      <c r="D16" s="242">
        <f>'KU Efficiencies'!B$54*'KU StructuralVars'!$Q16*('KU Shares'!B16/'KU Efficiencies'!B16)/('KU Shares'!B$12/'KU Efficiencies'!B$12)</f>
        <v>1079.5693139329182</v>
      </c>
      <c r="E16" s="242">
        <f>'KU Efficiencies'!C$54*'KU StructuralVars'!$Q16*('KU Shares'!D16/'KU Efficiencies'!C16)/('KU Shares'!D$12/'KU Efficiencies'!C$12)</f>
        <v>466.70572774005393</v>
      </c>
      <c r="F16" s="242">
        <f>'KU Efficiencies'!D$54*'KU StructuralVars'!$Q16*('KU Shares'!F16/'KU Efficiencies'!D16)/('KU Shares'!F$12/'KU Efficiencies'!D$12)</f>
        <v>17.733409700820463</v>
      </c>
      <c r="G16" s="242">
        <f>'KU Efficiencies'!E$54*'KU StructuralVars'!$Q16*('KU Shares'!H16/(1/'KU Efficiencies'!E16))/('KU Shares'!H$12/(1/'KU Efficiencies'!E$12))</f>
        <v>78.730182084135095</v>
      </c>
      <c r="H16" s="242" t="e">
        <f>'KU Efficiencies'!F$54*'KU StructuralVars'!$R16*('KU Shares'!J16/'KU Efficiencies'!F16)/('KU Shares'!J$12/'KU Efficiencies'!F$12)</f>
        <v>#DIV/0!</v>
      </c>
      <c r="I16" s="242" t="e">
        <f>'KU Efficiencies'!G$54*'KU StructuralVars'!$R16*('KU Shares'!L16/'KU Efficiencies'!G16)/('KU Shares'!L$12/'KU Efficiencies'!G$12)</f>
        <v>#DIV/0!</v>
      </c>
      <c r="J16" s="242" t="e">
        <f>'KU Efficiencies'!H$54*'KU StructuralVars'!$R16*('KU Shares'!N16/'KU Efficiencies'!H16)/('KU Shares'!N$12/'KU Efficiencies'!H$12)</f>
        <v>#DIV/0!</v>
      </c>
      <c r="K16" s="242" t="e">
        <f>'KU Efficiencies'!I$54*'KU StructuralVars'!$R16*('KU Shares'!P16/'KU Efficiencies'!I16)/('KU Shares'!P$12/'KU Efficiencies'!I$12)</f>
        <v>#DIV/0!</v>
      </c>
      <c r="L16" s="242" t="e">
        <f>'KU Efficiencies'!J$54*('KU Shares'!R16/'KU Efficiencies'!J16)/('KU Shares'!R$12/'KU Efficiencies'!J$12)</f>
        <v>#DIV/0!</v>
      </c>
      <c r="M16" s="242">
        <f>'KU Efficiencies'!K$54*('KU Shares'!T16/(1/'KU Efficiencies'!K16))/('KU Shares'!T$12/(1/'KU Efficiencies'!K$12))</f>
        <v>637.73069394933827</v>
      </c>
      <c r="N16" s="242">
        <f>'KU Efficiencies'!L$54*('KU Shares'!U16/(1/'KU Efficiencies'!L16))/('KU Shares'!U$12/(1/'KU Efficiencies'!L$12))</f>
        <v>676.11283932882964</v>
      </c>
      <c r="O16" s="242">
        <f>'KU Efficiencies'!M$54*('KU Shares'!W16/(1/'KU Efficiencies'!M16))/('KU Shares'!W$12/(1/'KU Efficiencies'!M$12))</f>
        <v>121.70477635154471</v>
      </c>
      <c r="P16" s="242">
        <f>'KU Efficiencies'!N$54*('KU Shares'!Y16/(1/'KU Efficiencies'!N16))/('KU Shares'!Y$12/(1/'KU Efficiencies'!N$12))</f>
        <v>305.02353536315002</v>
      </c>
      <c r="Q16" s="242">
        <f>'KU Efficiencies'!O$54*('KU Shares'!AA16/(1/'KU Efficiencies'!O16))/('KU Shares'!AA$12/(1/'KU Efficiencies'!O$12))</f>
        <v>249.60906425491848</v>
      </c>
      <c r="R16" s="242" t="e">
        <f>'KU Efficiencies'!P$54*('KU Shares'!AC16/(1/'KU Efficiencies'!P16))/('KU Shares'!AC$12/(1/'KU Efficiencies'!P$12))</f>
        <v>#DIV/0!</v>
      </c>
      <c r="S16" s="242" t="e">
        <f>'KU Efficiencies'!Q$54*('KU Shares'!AE16/(1/'KU Efficiencies'!Q16))/('KU Shares'!AE$12/(1/'KU Efficiencies'!Q$12))</f>
        <v>#DIV/0!</v>
      </c>
      <c r="T16" s="242" t="e">
        <f>'KU Efficiencies'!R$54*('KU Shares'!AG16/(1/'KU Efficiencies'!R16))/('KU Shares'!AG$12/(1/'KU Efficiencies'!R$12))</f>
        <v>#DIV/0!</v>
      </c>
      <c r="U16" s="242" t="e">
        <f>'KU Efficiencies'!S$54*('KU Shares'!AH16/(1/'KU Efficiencies'!S16))/('KU Shares'!AH$12/(1/'KU Efficiencies'!S$12))</f>
        <v>#DIV/0!</v>
      </c>
      <c r="V16" s="242">
        <f>'KU Efficiencies'!T$54*('KU Shares'!AI16/(1/'KU Efficiencies'!T16))/('KU Shares'!AI$12/(1/'KU Efficiencies'!T$12))</f>
        <v>2113.0082728942984</v>
      </c>
      <c r="W16" s="242">
        <f>'KU Efficiencies'!V$54*('KU Shares'!AJ16/(1/'KU Efficiencies'!X16))/('KU Shares'!AJ$12/(1/'KU Efficiencies'!X$12))</f>
        <v>3745.1521927746835</v>
      </c>
      <c r="X16" s="159" t="e">
        <f t="shared" si="3"/>
        <v>#DIV/0!</v>
      </c>
      <c r="Y16" s="243"/>
    </row>
    <row r="17" spans="1:45" x14ac:dyDescent="0.2">
      <c r="A17" s="240">
        <v>2010</v>
      </c>
      <c r="B17" s="241">
        <f t="shared" si="1"/>
        <v>1684.2983818822922</v>
      </c>
      <c r="C17" s="241" t="e">
        <f t="shared" si="2"/>
        <v>#DIV/0!</v>
      </c>
      <c r="D17" s="242">
        <f>'KU Efficiencies'!B$54*'KU StructuralVars'!$Q17*('KU Shares'!B17/'KU Efficiencies'!B17)/('KU Shares'!B$12/'KU Efficiencies'!B$12)</f>
        <v>1115.4005018193352</v>
      </c>
      <c r="E17" s="242">
        <f>'KU Efficiencies'!C$54*'KU StructuralVars'!$Q17*('KU Shares'!D17/'KU Efficiencies'!C17)/('KU Shares'!D$12/'KU Efficiencies'!C$12)</f>
        <v>475.11485958450248</v>
      </c>
      <c r="F17" s="242">
        <f>'KU Efficiencies'!D$54*'KU StructuralVars'!$Q17*('KU Shares'!F17/'KU Efficiencies'!D17)/('KU Shares'!F$12/'KU Efficiencies'!D$12)</f>
        <v>21.164826440977752</v>
      </c>
      <c r="G17" s="242">
        <f>'KU Efficiencies'!E$54*'KU StructuralVars'!$Q17*('KU Shares'!H17/(1/'KU Efficiencies'!E17))/('KU Shares'!H$12/(1/'KU Efficiencies'!E$12))</f>
        <v>72.618194037476655</v>
      </c>
      <c r="H17" s="242" t="e">
        <f>'KU Efficiencies'!F$54*'KU StructuralVars'!$R17*('KU Shares'!J17/'KU Efficiencies'!F17)/('KU Shares'!J$12/'KU Efficiencies'!F$12)</f>
        <v>#DIV/0!</v>
      </c>
      <c r="I17" s="242" t="e">
        <f>'KU Efficiencies'!G$54*'KU StructuralVars'!$R17*('KU Shares'!L17/'KU Efficiencies'!G17)/('KU Shares'!L$12/'KU Efficiencies'!G$12)</f>
        <v>#DIV/0!</v>
      </c>
      <c r="J17" s="242" t="e">
        <f>'KU Efficiencies'!H$54*'KU StructuralVars'!$R17*('KU Shares'!N17/'KU Efficiencies'!H17)/('KU Shares'!N$12/'KU Efficiencies'!H$12)</f>
        <v>#DIV/0!</v>
      </c>
      <c r="K17" s="242" t="e">
        <f>'KU Efficiencies'!I$54*'KU StructuralVars'!$R17*('KU Shares'!P17/'KU Efficiencies'!I17)/('KU Shares'!P$12/'KU Efficiencies'!I$12)</f>
        <v>#DIV/0!</v>
      </c>
      <c r="L17" s="242" t="e">
        <f>'KU Efficiencies'!J$54*('KU Shares'!R17/'KU Efficiencies'!J17)/('KU Shares'!R$12/'KU Efficiencies'!J$12)</f>
        <v>#DIV/0!</v>
      </c>
      <c r="M17" s="242">
        <f>'KU Efficiencies'!K$54*('KU Shares'!T17/(1/'KU Efficiencies'!K17))/('KU Shares'!T$12/(1/'KU Efficiencies'!K$12))</f>
        <v>647.35184148658198</v>
      </c>
      <c r="N17" s="242">
        <f>'KU Efficiencies'!L$54*('KU Shares'!U17/(1/'KU Efficiencies'!L17))/('KU Shares'!U$12/(1/'KU Efficiencies'!L$12))</f>
        <v>661.96273202872919</v>
      </c>
      <c r="O17" s="242">
        <f>'KU Efficiencies'!M$54*('KU Shares'!W17/(1/'KU Efficiencies'!M17))/('KU Shares'!W$12/(1/'KU Efficiencies'!M$12))</f>
        <v>119.33204420475319</v>
      </c>
      <c r="P17" s="242">
        <f>'KU Efficiencies'!N$54*('KU Shares'!Y17/(1/'KU Efficiencies'!N17))/('KU Shares'!Y$12/(1/'KU Efficiencies'!N$12))</f>
        <v>302.11077505439749</v>
      </c>
      <c r="Q17" s="242">
        <f>'KU Efficiencies'!O$54*('KU Shares'!AA17/(1/'KU Efficiencies'!O17))/('KU Shares'!AA$12/(1/'KU Efficiencies'!O$12))</f>
        <v>256.98473262043694</v>
      </c>
      <c r="R17" s="242" t="e">
        <f>'KU Efficiencies'!P$54*('KU Shares'!AC17/(1/'KU Efficiencies'!P17))/('KU Shares'!AC$12/(1/'KU Efficiencies'!P$12))</f>
        <v>#DIV/0!</v>
      </c>
      <c r="S17" s="242" t="e">
        <f>'KU Efficiencies'!Q$54*('KU Shares'!AE17/(1/'KU Efficiencies'!Q17))/('KU Shares'!AE$12/(1/'KU Efficiencies'!Q$12))</f>
        <v>#DIV/0!</v>
      </c>
      <c r="T17" s="242" t="e">
        <f>'KU Efficiencies'!R$54*('KU Shares'!AG17/(1/'KU Efficiencies'!R17))/('KU Shares'!AG$12/(1/'KU Efficiencies'!R$12))</f>
        <v>#DIV/0!</v>
      </c>
      <c r="U17" s="242" t="e">
        <f>'KU Efficiencies'!S$54*('KU Shares'!AH17/(1/'KU Efficiencies'!S17))/('KU Shares'!AH$12/(1/'KU Efficiencies'!S$12))</f>
        <v>#DIV/0!</v>
      </c>
      <c r="V17" s="242">
        <f>'KU Efficiencies'!T$54*('KU Shares'!AI17/(1/'KU Efficiencies'!T17))/('KU Shares'!AI$12/(1/'KU Efficiencies'!T$12))</f>
        <v>2086.6852320912608</v>
      </c>
      <c r="W17" s="242">
        <f>'KU Efficiencies'!V$54*('KU Shares'!AJ17/(1/'KU Efficiencies'!X17))/('KU Shares'!AJ$12/(1/'KU Efficiencies'!X$12))</f>
        <v>3855.3260867928261</v>
      </c>
      <c r="X17" s="159" t="e">
        <f t="shared" si="3"/>
        <v>#DIV/0!</v>
      </c>
      <c r="Y17" s="243"/>
    </row>
    <row r="18" spans="1:45" x14ac:dyDescent="0.2">
      <c r="A18" s="240">
        <v>2011</v>
      </c>
      <c r="B18" s="241">
        <f t="shared" si="1"/>
        <v>1687.8969295665177</v>
      </c>
      <c r="C18" s="241" t="e">
        <f t="shared" si="2"/>
        <v>#DIV/0!</v>
      </c>
      <c r="D18" s="242">
        <f>'KU Efficiencies'!B$54*'KU StructuralVars'!$Q18*('KU Shares'!B18/'KU Efficiencies'!B18)/('KU Shares'!B$12/'KU Efficiencies'!B$12)</f>
        <v>1099.9888722975058</v>
      </c>
      <c r="E18" s="242">
        <f>'KU Efficiencies'!C$54*'KU StructuralVars'!$Q18*('KU Shares'!D18/'KU Efficiencies'!C18)/('KU Shares'!D$12/'KU Efficiencies'!C$12)</f>
        <v>493.86766359807382</v>
      </c>
      <c r="F18" s="242">
        <f>'KU Efficiencies'!D$54*'KU StructuralVars'!$Q18*('KU Shares'!F18/'KU Efficiencies'!D18)/('KU Shares'!F$12/'KU Efficiencies'!D$12)</f>
        <v>24.888402955558185</v>
      </c>
      <c r="G18" s="242">
        <f>'KU Efficiencies'!E$54*'KU StructuralVars'!$Q18*('KU Shares'!H18/(1/'KU Efficiencies'!E18))/('KU Shares'!H$12/(1/'KU Efficiencies'!E$12))</f>
        <v>69.151990715379711</v>
      </c>
      <c r="H18" s="242" t="e">
        <f>'KU Efficiencies'!F$54*'KU StructuralVars'!$R18*('KU Shares'!J18/'KU Efficiencies'!F18)/('KU Shares'!J$12/'KU Efficiencies'!F$12)</f>
        <v>#DIV/0!</v>
      </c>
      <c r="I18" s="242" t="e">
        <f>'KU Efficiencies'!G$54*'KU StructuralVars'!$R18*('KU Shares'!L18/'KU Efficiencies'!G18)/('KU Shares'!L$12/'KU Efficiencies'!G$12)</f>
        <v>#DIV/0!</v>
      </c>
      <c r="J18" s="242" t="e">
        <f>'KU Efficiencies'!H$54*'KU StructuralVars'!$R18*('KU Shares'!N18/'KU Efficiencies'!H18)/('KU Shares'!N$12/'KU Efficiencies'!H$12)</f>
        <v>#DIV/0!</v>
      </c>
      <c r="K18" s="242" t="e">
        <f>'KU Efficiencies'!I$54*'KU StructuralVars'!$R18*('KU Shares'!P18/'KU Efficiencies'!I18)/('KU Shares'!P$12/'KU Efficiencies'!I$12)</f>
        <v>#DIV/0!</v>
      </c>
      <c r="L18" s="242" t="e">
        <f>'KU Efficiencies'!J$54*('KU Shares'!R18/'KU Efficiencies'!J18)/('KU Shares'!R$12/'KU Efficiencies'!J$12)</f>
        <v>#DIV/0!</v>
      </c>
      <c r="M18" s="242">
        <f>'KU Efficiencies'!K$54*('KU Shares'!T18/(1/'KU Efficiencies'!K18))/('KU Shares'!T$12/(1/'KU Efficiencies'!K$12))</f>
        <v>647.17485427949066</v>
      </c>
      <c r="N18" s="242">
        <f>'KU Efficiencies'!L$54*('KU Shares'!U18/(1/'KU Efficiencies'!L18))/('KU Shares'!U$12/(1/'KU Efficiencies'!L$12))</f>
        <v>649.95518920270786</v>
      </c>
      <c r="O18" s="242">
        <f>'KU Efficiencies'!M$54*('KU Shares'!W18/(1/'KU Efficiencies'!M18))/('KU Shares'!W$12/(1/'KU Efficiencies'!M$12))</f>
        <v>117.4017283516603</v>
      </c>
      <c r="P18" s="242">
        <f>'KU Efficiencies'!N$54*('KU Shares'!Y18/(1/'KU Efficiencies'!N18))/('KU Shares'!Y$12/(1/'KU Efficiencies'!N$12))</f>
        <v>298.39331896348949</v>
      </c>
      <c r="Q18" s="242">
        <f>'KU Efficiencies'!O$54*('KU Shares'!AA18/(1/'KU Efficiencies'!O18))/('KU Shares'!AA$12/(1/'KU Efficiencies'!O$12))</f>
        <v>254.64430509616651</v>
      </c>
      <c r="R18" s="242" t="e">
        <f>'KU Efficiencies'!P$54*('KU Shares'!AC18/(1/'KU Efficiencies'!P18))/('KU Shares'!AC$12/(1/'KU Efficiencies'!P$12))</f>
        <v>#DIV/0!</v>
      </c>
      <c r="S18" s="242" t="e">
        <f>'KU Efficiencies'!Q$54*('KU Shares'!AE18/(1/'KU Efficiencies'!Q18))/('KU Shares'!AE$12/(1/'KU Efficiencies'!Q$12))</f>
        <v>#DIV/0!</v>
      </c>
      <c r="T18" s="242" t="e">
        <f>'KU Efficiencies'!R$54*('KU Shares'!AG18/(1/'KU Efficiencies'!R18))/('KU Shares'!AG$12/(1/'KU Efficiencies'!R$12))</f>
        <v>#DIV/0!</v>
      </c>
      <c r="U18" s="242" t="e">
        <f>'KU Efficiencies'!S$54*('KU Shares'!AH18/(1/'KU Efficiencies'!S18))/('KU Shares'!AH$12/(1/'KU Efficiencies'!S$12))</f>
        <v>#DIV/0!</v>
      </c>
      <c r="V18" s="242">
        <f>'KU Efficiencies'!T$54*('KU Shares'!AI18/(1/'KU Efficiencies'!T18))/('KU Shares'!AI$12/(1/'KU Efficiencies'!T$12))</f>
        <v>2034.3229976017826</v>
      </c>
      <c r="W18" s="242">
        <f>'KU Efficiencies'!V$54*('KU Shares'!AJ18/(1/'KU Efficiencies'!X18))/('KU Shares'!AJ$12/(1/'KU Efficiencies'!X$12))</f>
        <v>3772.43681889153</v>
      </c>
      <c r="X18" s="159" t="e">
        <f t="shared" si="3"/>
        <v>#DIV/0!</v>
      </c>
      <c r="Y18" s="243"/>
    </row>
    <row r="19" spans="1:45" x14ac:dyDescent="0.2">
      <c r="A19" s="240">
        <v>2012</v>
      </c>
      <c r="B19" s="241">
        <f t="shared" si="1"/>
        <v>1684.6151978457337</v>
      </c>
      <c r="C19" s="241" t="e">
        <f t="shared" si="2"/>
        <v>#DIV/0!</v>
      </c>
      <c r="D19" s="242">
        <f>'KU Efficiencies'!B$54*'KU StructuralVars'!$Q19*('KU Shares'!B19/'KU Efficiencies'!B19)/('KU Shares'!B$12/'KU Efficiencies'!B$12)</f>
        <v>1087.9293687354966</v>
      </c>
      <c r="E19" s="242">
        <f>'KU Efficiencies'!C$54*'KU StructuralVars'!$Q19*('KU Shares'!D19/'KU Efficiencies'!C19)/('KU Shares'!D$12/'KU Efficiencies'!C$12)</f>
        <v>503.807766135664</v>
      </c>
      <c r="F19" s="242">
        <f>'KU Efficiencies'!D$54*'KU StructuralVars'!$Q19*('KU Shares'!F19/'KU Efficiencies'!D19)/('KU Shares'!F$12/'KU Efficiencies'!D$12)</f>
        <v>27.518466367235305</v>
      </c>
      <c r="G19" s="242">
        <f>'KU Efficiencies'!E$54*'KU StructuralVars'!$Q19*('KU Shares'!H19/(1/'KU Efficiencies'!E19))/('KU Shares'!H$12/(1/'KU Efficiencies'!E$12))</f>
        <v>65.359596607337949</v>
      </c>
      <c r="H19" s="242" t="e">
        <f>'KU Efficiencies'!F$54*'KU StructuralVars'!$R19*('KU Shares'!J19/'KU Efficiencies'!F19)/('KU Shares'!J$12/'KU Efficiencies'!F$12)</f>
        <v>#DIV/0!</v>
      </c>
      <c r="I19" s="242" t="e">
        <f>'KU Efficiencies'!G$54*'KU StructuralVars'!$R19*('KU Shares'!L19/'KU Efficiencies'!G19)/('KU Shares'!L$12/'KU Efficiencies'!G$12)</f>
        <v>#DIV/0!</v>
      </c>
      <c r="J19" s="242" t="e">
        <f>'KU Efficiencies'!H$54*'KU StructuralVars'!$R19*('KU Shares'!N19/'KU Efficiencies'!H19)/('KU Shares'!N$12/'KU Efficiencies'!H$12)</f>
        <v>#DIV/0!</v>
      </c>
      <c r="K19" s="242" t="e">
        <f>'KU Efficiencies'!I$54*'KU StructuralVars'!$R19*('KU Shares'!P19/'KU Efficiencies'!I19)/('KU Shares'!P$12/'KU Efficiencies'!I$12)</f>
        <v>#DIV/0!</v>
      </c>
      <c r="L19" s="242" t="e">
        <f>'KU Efficiencies'!J$54*('KU Shares'!R19/'KU Efficiencies'!J19)/('KU Shares'!R$12/'KU Efficiencies'!J$12)</f>
        <v>#DIV/0!</v>
      </c>
      <c r="M19" s="242">
        <f>'KU Efficiencies'!K$54*('KU Shares'!T19/(1/'KU Efficiencies'!K19))/('KU Shares'!T$12/(1/'KU Efficiencies'!K$12))</f>
        <v>650.69005206638553</v>
      </c>
      <c r="N19" s="242">
        <f>'KU Efficiencies'!L$54*('KU Shares'!U19/(1/'KU Efficiencies'!L19))/('KU Shares'!U$12/(1/'KU Efficiencies'!L$12))</f>
        <v>639.76564380780144</v>
      </c>
      <c r="O19" s="242">
        <f>'KU Efficiencies'!M$54*('KU Shares'!W19/(1/'KU Efficiencies'!M19))/('KU Shares'!W$12/(1/'KU Efficiencies'!M$12))</f>
        <v>115.72388715087861</v>
      </c>
      <c r="P19" s="242">
        <f>'KU Efficiencies'!N$54*('KU Shares'!Y19/(1/'KU Efficiencies'!N19))/('KU Shares'!Y$12/(1/'KU Efficiencies'!N$12))</f>
        <v>295.34358076651102</v>
      </c>
      <c r="Q19" s="242">
        <f>'KU Efficiencies'!O$54*('KU Shares'!AA19/(1/'KU Efficiencies'!O19))/('KU Shares'!AA$12/(1/'KU Efficiencies'!O$12))</f>
        <v>252.97024756672576</v>
      </c>
      <c r="R19" s="242" t="e">
        <f>'KU Efficiencies'!P$54*('KU Shares'!AC19/(1/'KU Efficiencies'!P19))/('KU Shares'!AC$12/(1/'KU Efficiencies'!P$12))</f>
        <v>#DIV/0!</v>
      </c>
      <c r="S19" s="242" t="e">
        <f>'KU Efficiencies'!Q$54*('KU Shares'!AE19/(1/'KU Efficiencies'!Q19))/('KU Shares'!AE$12/(1/'KU Efficiencies'!Q$12))</f>
        <v>#DIV/0!</v>
      </c>
      <c r="T19" s="242" t="e">
        <f>'KU Efficiencies'!R$54*('KU Shares'!AG19/(1/'KU Efficiencies'!R19))/('KU Shares'!AG$12/(1/'KU Efficiencies'!R$12))</f>
        <v>#DIV/0!</v>
      </c>
      <c r="U19" s="242" t="e">
        <f>'KU Efficiencies'!S$54*('KU Shares'!AH19/(1/'KU Efficiencies'!S19))/('KU Shares'!AH$12/(1/'KU Efficiencies'!S$12))</f>
        <v>#DIV/0!</v>
      </c>
      <c r="V19" s="242">
        <f>'KU Efficiencies'!T$54*('KU Shares'!AI19/(1/'KU Efficiencies'!T19))/('KU Shares'!AI$12/(1/'KU Efficiencies'!T$12))</f>
        <v>2010.1792009962799</v>
      </c>
      <c r="W19" s="242">
        <f>'KU Efficiencies'!V$54*('KU Shares'!AJ19/(1/'KU Efficiencies'!X19))/('KU Shares'!AJ$12/(1/'KU Efficiencies'!X$12))</f>
        <v>3873.4411263283569</v>
      </c>
      <c r="X19" s="159" t="e">
        <f t="shared" si="3"/>
        <v>#DIV/0!</v>
      </c>
      <c r="Y19" s="240">
        <v>2012</v>
      </c>
      <c r="Z19" s="202" t="e">
        <f>D19/$X$19</f>
        <v>#DIV/0!</v>
      </c>
      <c r="AA19" s="202" t="e">
        <f t="shared" ref="AA19:AS19" si="4">E19/$X$19</f>
        <v>#DIV/0!</v>
      </c>
      <c r="AB19" s="202" t="e">
        <f t="shared" si="4"/>
        <v>#DIV/0!</v>
      </c>
      <c r="AC19" s="202" t="e">
        <f t="shared" si="4"/>
        <v>#DIV/0!</v>
      </c>
      <c r="AD19" s="202" t="e">
        <f t="shared" si="4"/>
        <v>#DIV/0!</v>
      </c>
      <c r="AE19" s="202" t="e">
        <f t="shared" si="4"/>
        <v>#DIV/0!</v>
      </c>
      <c r="AF19" s="202" t="e">
        <f t="shared" si="4"/>
        <v>#DIV/0!</v>
      </c>
      <c r="AG19" s="202" t="e">
        <f t="shared" si="4"/>
        <v>#DIV/0!</v>
      </c>
      <c r="AH19" s="202" t="e">
        <f t="shared" si="4"/>
        <v>#DIV/0!</v>
      </c>
      <c r="AI19" s="202" t="e">
        <f t="shared" si="4"/>
        <v>#DIV/0!</v>
      </c>
      <c r="AJ19" s="202" t="e">
        <f t="shared" si="4"/>
        <v>#DIV/0!</v>
      </c>
      <c r="AK19" s="202" t="e">
        <f t="shared" si="4"/>
        <v>#DIV/0!</v>
      </c>
      <c r="AL19" s="202" t="e">
        <f t="shared" si="4"/>
        <v>#DIV/0!</v>
      </c>
      <c r="AM19" s="202" t="e">
        <f t="shared" si="4"/>
        <v>#DIV/0!</v>
      </c>
      <c r="AN19" s="202" t="e">
        <f t="shared" si="4"/>
        <v>#DIV/0!</v>
      </c>
      <c r="AO19" s="202" t="e">
        <f t="shared" si="4"/>
        <v>#DIV/0!</v>
      </c>
      <c r="AP19" s="202" t="e">
        <f t="shared" si="4"/>
        <v>#DIV/0!</v>
      </c>
      <c r="AQ19" s="202" t="e">
        <f t="shared" si="4"/>
        <v>#DIV/0!</v>
      </c>
      <c r="AR19" s="202" t="e">
        <f t="shared" si="4"/>
        <v>#DIV/0!</v>
      </c>
      <c r="AS19" s="202" t="e">
        <f t="shared" si="4"/>
        <v>#DIV/0!</v>
      </c>
    </row>
    <row r="20" spans="1:45" x14ac:dyDescent="0.2">
      <c r="A20" s="240">
        <v>2013</v>
      </c>
      <c r="B20" s="241">
        <f>D20+E20+F20+G20</f>
        <v>1683.1196880567836</v>
      </c>
      <c r="C20" s="241" t="e">
        <f t="shared" si="2"/>
        <v>#DIV/0!</v>
      </c>
      <c r="D20" s="242">
        <f>'KU Efficiencies'!B$54*'KU StructuralVars'!$Q20*('KU Shares'!B20/'KU Efficiencies'!B20)/('KU Shares'!B$12/'KU Efficiencies'!B$12)</f>
        <v>1075.7321974793845</v>
      </c>
      <c r="E20" s="242">
        <f>'KU Efficiencies'!C$54*'KU StructuralVars'!$Q20*('KU Shares'!D20/'KU Efficiencies'!C20)/('KU Shares'!D$12/'KU Efficiencies'!C$12)</f>
        <v>514.07436050183082</v>
      </c>
      <c r="F20" s="242">
        <f>'KU Efficiencies'!D$54*'KU StructuralVars'!$Q20*('KU Shares'!F20/'KU Efficiencies'!D20)/('KU Shares'!F$12/'KU Efficiencies'!D$12)</f>
        <v>30.261562345749464</v>
      </c>
      <c r="G20" s="242">
        <f>'KU Efficiencies'!E$54*'KU StructuralVars'!$Q20*('KU Shares'!H20/(1/'KU Efficiencies'!E20))/('KU Shares'!H$12/(1/'KU Efficiencies'!E$12))</f>
        <v>63.051567729818871</v>
      </c>
      <c r="H20" s="242" t="e">
        <f>'KU Efficiencies'!F$54*'KU StructuralVars'!$R20*('KU Shares'!J20/'KU Efficiencies'!F20)/('KU Shares'!J$12/'KU Efficiencies'!F$12)</f>
        <v>#DIV/0!</v>
      </c>
      <c r="I20" s="242" t="e">
        <f>'KU Efficiencies'!G$54*'KU StructuralVars'!$R20*('KU Shares'!L20/'KU Efficiencies'!G20)/('KU Shares'!L$12/'KU Efficiencies'!G$12)</f>
        <v>#DIV/0!</v>
      </c>
      <c r="J20" s="242" t="e">
        <f>'KU Efficiencies'!H$54*'KU StructuralVars'!$R20*('KU Shares'!N20/'KU Efficiencies'!H20)/('KU Shares'!N$12/'KU Efficiencies'!H$12)</f>
        <v>#DIV/0!</v>
      </c>
      <c r="K20" s="242" t="e">
        <f>'KU Efficiencies'!I$54*'KU StructuralVars'!$R20*('KU Shares'!P20/'KU Efficiencies'!I20)/('KU Shares'!P$12/'KU Efficiencies'!I$12)</f>
        <v>#DIV/0!</v>
      </c>
      <c r="L20" s="242" t="e">
        <f>'KU Efficiencies'!J$54*('KU Shares'!R20/'KU Efficiencies'!J20)/('KU Shares'!R$12/'KU Efficiencies'!J$12)</f>
        <v>#DIV/0!</v>
      </c>
      <c r="M20" s="242">
        <f>'KU Efficiencies'!K$54*('KU Shares'!T20/(1/'KU Efficiencies'!K20))/('KU Shares'!T$12/(1/'KU Efficiencies'!K$12))</f>
        <v>649.84677834773925</v>
      </c>
      <c r="N20" s="242">
        <f>'KU Efficiencies'!L$54*('KU Shares'!U20/(1/'KU Efficiencies'!L20))/('KU Shares'!U$12/(1/'KU Efficiencies'!L$12))</f>
        <v>630.71585938294584</v>
      </c>
      <c r="O20" s="242">
        <f>'KU Efficiencies'!M$54*('KU Shares'!W20/(1/'KU Efficiencies'!M20))/('KU Shares'!W$12/(1/'KU Efficiencies'!M$12))</f>
        <v>114.23465702598067</v>
      </c>
      <c r="P20" s="242">
        <f>'KU Efficiencies'!N$54*('KU Shares'!Y20/(1/'KU Efficiencies'!N20))/('KU Shares'!Y$12/(1/'KU Efficiencies'!N$12))</f>
        <v>292.51369340573183</v>
      </c>
      <c r="Q20" s="242">
        <f>'KU Efficiencies'!O$54*('KU Shares'!AA20/(1/'KU Efficiencies'!O20))/('KU Shares'!AA$12/(1/'KU Efficiencies'!O$12))</f>
        <v>249.30649323870188</v>
      </c>
      <c r="R20" s="242" t="e">
        <f>'KU Efficiencies'!P$54*('KU Shares'!AC20/(1/'KU Efficiencies'!P20))/('KU Shares'!AC$12/(1/'KU Efficiencies'!P$12))</f>
        <v>#DIV/0!</v>
      </c>
      <c r="S20" s="242" t="e">
        <f>'KU Efficiencies'!Q$54*('KU Shares'!AE20/(1/'KU Efficiencies'!Q20))/('KU Shares'!AE$12/(1/'KU Efficiencies'!Q$12))</f>
        <v>#DIV/0!</v>
      </c>
      <c r="T20" s="242" t="e">
        <f>'KU Efficiencies'!R$54*('KU Shares'!AG20/(1/'KU Efficiencies'!R20))/('KU Shares'!AG$12/(1/'KU Efficiencies'!R$12))</f>
        <v>#DIV/0!</v>
      </c>
      <c r="U20" s="242" t="e">
        <f>'KU Efficiencies'!S$54*('KU Shares'!AH20/(1/'KU Efficiencies'!S20))/('KU Shares'!AH$12/(1/'KU Efficiencies'!S$12))</f>
        <v>#DIV/0!</v>
      </c>
      <c r="V20" s="244">
        <f>'KU Efficiencies'!T$54*('KU Shares'!AI20/(1/'KU Efficiencies'!T20))/('KU Shares'!AI$12/(1/'KU Efficiencies'!T$12))</f>
        <v>1760.3964496546332</v>
      </c>
      <c r="W20" s="242">
        <f>'KU Efficiencies'!V$54*('KU Shares'!AJ20/(1/'KU Efficiencies'!X20))/('KU Shares'!AJ$12/(1/'KU Efficiencies'!X$12))</f>
        <v>3884.8273243078092</v>
      </c>
      <c r="X20" s="159" t="e">
        <f>SUM(D20:W20)</f>
        <v>#DIV/0!</v>
      </c>
      <c r="Y20" s="240">
        <v>2013</v>
      </c>
      <c r="Z20" s="202" t="e">
        <f t="shared" ref="Z20:Z49" si="5">D20/$X$19</f>
        <v>#DIV/0!</v>
      </c>
      <c r="AA20" s="202" t="e">
        <f t="shared" ref="AA20:AA49" si="6">E20/$X$19</f>
        <v>#DIV/0!</v>
      </c>
      <c r="AB20" s="202" t="e">
        <f t="shared" ref="AB20:AB49" si="7">F20/$X$19</f>
        <v>#DIV/0!</v>
      </c>
      <c r="AC20" s="202" t="e">
        <f t="shared" ref="AC20:AC49" si="8">G20/$X$19</f>
        <v>#DIV/0!</v>
      </c>
      <c r="AD20" s="202" t="e">
        <f t="shared" ref="AD20:AD49" si="9">H20/$X$19</f>
        <v>#DIV/0!</v>
      </c>
      <c r="AE20" s="202" t="e">
        <f t="shared" ref="AE20:AE49" si="10">I20/$X$19</f>
        <v>#DIV/0!</v>
      </c>
      <c r="AF20" s="202" t="e">
        <f t="shared" ref="AF20:AF49" si="11">J20/$X$19</f>
        <v>#DIV/0!</v>
      </c>
      <c r="AG20" s="202" t="e">
        <f t="shared" ref="AG20:AG49" si="12">K20/$X$19</f>
        <v>#DIV/0!</v>
      </c>
      <c r="AH20" s="202" t="e">
        <f t="shared" ref="AH20:AH49" si="13">L20/$X$19</f>
        <v>#DIV/0!</v>
      </c>
      <c r="AI20" s="202" t="e">
        <f t="shared" ref="AI20:AI49" si="14">M20/$X$19</f>
        <v>#DIV/0!</v>
      </c>
      <c r="AJ20" s="202" t="e">
        <f t="shared" ref="AJ20:AJ49" si="15">N20/$X$19</f>
        <v>#DIV/0!</v>
      </c>
      <c r="AK20" s="202" t="e">
        <f t="shared" ref="AK20:AK49" si="16">O20/$X$19</f>
        <v>#DIV/0!</v>
      </c>
      <c r="AL20" s="202" t="e">
        <f t="shared" ref="AL20:AL49" si="17">P20/$X$19</f>
        <v>#DIV/0!</v>
      </c>
      <c r="AM20" s="202" t="e">
        <f t="shared" ref="AM20:AM49" si="18">Q20/$X$19</f>
        <v>#DIV/0!</v>
      </c>
      <c r="AN20" s="202" t="e">
        <f t="shared" ref="AN20:AN49" si="19">R20/$X$19</f>
        <v>#DIV/0!</v>
      </c>
      <c r="AO20" s="202" t="e">
        <f t="shared" ref="AO20:AO49" si="20">S20/$X$19</f>
        <v>#DIV/0!</v>
      </c>
      <c r="AP20" s="202" t="e">
        <f t="shared" ref="AP20:AP49" si="21">T20/$X$19</f>
        <v>#DIV/0!</v>
      </c>
      <c r="AQ20" s="202" t="e">
        <f t="shared" ref="AQ20:AQ49" si="22">U20/$X$19</f>
        <v>#DIV/0!</v>
      </c>
      <c r="AR20" s="202" t="e">
        <f t="shared" ref="AR20:AR49" si="23">V20/$X$19</f>
        <v>#DIV/0!</v>
      </c>
      <c r="AS20" s="202" t="e">
        <f t="shared" ref="AS20:AS49" si="24">W20/$X$19</f>
        <v>#DIV/0!</v>
      </c>
    </row>
    <row r="21" spans="1:45" x14ac:dyDescent="0.2">
      <c r="A21" s="240">
        <v>2014</v>
      </c>
      <c r="B21" s="241">
        <f t="shared" ref="B21:B49" si="25">D21+E21+F21+G21</f>
        <v>1681.0890729264763</v>
      </c>
      <c r="C21" s="241" t="e">
        <f t="shared" si="2"/>
        <v>#DIV/0!</v>
      </c>
      <c r="D21" s="242">
        <f>'KU Efficiencies'!B$54*'KU StructuralVars'!$Q21*('KU Shares'!B21/'KU Efficiencies'!B21)/('KU Shares'!B$12/'KU Efficiencies'!B$12)</f>
        <v>1064.3117606606506</v>
      </c>
      <c r="E21" s="242">
        <f>'KU Efficiencies'!C$54*'KU StructuralVars'!$Q21*('KU Shares'!D21/'KU Efficiencies'!C21)/('KU Shares'!D$12/'KU Efficiencies'!C$12)</f>
        <v>523.0858223340723</v>
      </c>
      <c r="F21" s="242">
        <f>'KU Efficiencies'!D$54*'KU StructuralVars'!$Q21*('KU Shares'!F21/'KU Efficiencies'!D21)/('KU Shares'!F$12/'KU Efficiencies'!D$12)</f>
        <v>32.731098658043003</v>
      </c>
      <c r="G21" s="242">
        <f>'KU Efficiencies'!E$54*'KU StructuralVars'!$Q21*('KU Shares'!H21/(1/'KU Efficiencies'!E21))/('KU Shares'!H$12/(1/'KU Efficiencies'!E$12))</f>
        <v>60.96039127371025</v>
      </c>
      <c r="H21" s="242" t="e">
        <f>'KU Efficiencies'!F$54*'KU StructuralVars'!$R21*('KU Shares'!J21/'KU Efficiencies'!F21)/('KU Shares'!J$12/'KU Efficiencies'!F$12)</f>
        <v>#DIV/0!</v>
      </c>
      <c r="I21" s="242" t="e">
        <f>'KU Efficiencies'!G$54*'KU StructuralVars'!$R21*('KU Shares'!L21/'KU Efficiencies'!G21)/('KU Shares'!L$12/'KU Efficiencies'!G$12)</f>
        <v>#DIV/0!</v>
      </c>
      <c r="J21" s="242" t="e">
        <f>'KU Efficiencies'!H$54*'KU StructuralVars'!$R21*('KU Shares'!N21/'KU Efficiencies'!H21)/('KU Shares'!N$12/'KU Efficiencies'!H$12)</f>
        <v>#DIV/0!</v>
      </c>
      <c r="K21" s="242" t="e">
        <f>'KU Efficiencies'!I$54*'KU StructuralVars'!$R21*('KU Shares'!P21/'KU Efficiencies'!I21)/('KU Shares'!P$12/'KU Efficiencies'!I$12)</f>
        <v>#DIV/0!</v>
      </c>
      <c r="L21" s="242" t="e">
        <f>'KU Efficiencies'!J$54*('KU Shares'!R21/'KU Efficiencies'!J21)/('KU Shares'!R$12/'KU Efficiencies'!J$12)</f>
        <v>#DIV/0!</v>
      </c>
      <c r="M21" s="242">
        <f>'KU Efficiencies'!K$54*('KU Shares'!T21/(1/'KU Efficiencies'!K21))/('KU Shares'!T$12/(1/'KU Efficiencies'!K$12))</f>
        <v>650.44053917553185</v>
      </c>
      <c r="N21" s="242">
        <f>'KU Efficiencies'!L$54*('KU Shares'!U21/(1/'KU Efficiencies'!L21))/('KU Shares'!U$12/(1/'KU Efficiencies'!L$12))</f>
        <v>610.31361349796543</v>
      </c>
      <c r="O21" s="242">
        <f>'KU Efficiencies'!M$54*('KU Shares'!W21/(1/'KU Efficiencies'!M21))/('KU Shares'!W$12/(1/'KU Efficiencies'!M$12))</f>
        <v>110.64165820941437</v>
      </c>
      <c r="P21" s="242">
        <f>'KU Efficiencies'!N$54*('KU Shares'!Y21/(1/'KU Efficiencies'!N21))/('KU Shares'!Y$12/(1/'KU Efficiencies'!N$12))</f>
        <v>287.80917905063637</v>
      </c>
      <c r="Q21" s="242">
        <f>'KU Efficiencies'!O$54*('KU Shares'!AA21/(1/'KU Efficiencies'!O21))/('KU Shares'!AA$12/(1/'KU Efficiencies'!O$12))</f>
        <v>246.4534594129909</v>
      </c>
      <c r="R21" s="242" t="e">
        <f>'KU Efficiencies'!P$54*('KU Shares'!AC21/(1/'KU Efficiencies'!P21))/('KU Shares'!AC$12/(1/'KU Efficiencies'!P$12))</f>
        <v>#DIV/0!</v>
      </c>
      <c r="S21" s="242" t="e">
        <f>'KU Efficiencies'!Q$54*('KU Shares'!AE21/(1/'KU Efficiencies'!Q21))/('KU Shares'!AE$12/(1/'KU Efficiencies'!Q$12))</f>
        <v>#DIV/0!</v>
      </c>
      <c r="T21" s="242" t="e">
        <f>'KU Efficiencies'!R$54*('KU Shares'!AG21/(1/'KU Efficiencies'!R21))/('KU Shares'!AG$12/(1/'KU Efficiencies'!R$12))</f>
        <v>#DIV/0!</v>
      </c>
      <c r="U21" s="242" t="e">
        <f>'KU Efficiencies'!S$54*('KU Shares'!AH21/(1/'KU Efficiencies'!S21))/('KU Shares'!AH$12/(1/'KU Efficiencies'!S$12))</f>
        <v>#DIV/0!</v>
      </c>
      <c r="V21" s="242">
        <f>'KU Efficiencies'!T$54*('KU Shares'!AI21/(1/'KU Efficiencies'!T21))/('KU Shares'!AI$12/(1/'KU Efficiencies'!T$12))</f>
        <v>1659.9533950651862</v>
      </c>
      <c r="W21" s="242">
        <f>'KU Efficiencies'!V$54*('KU Shares'!AJ21/(1/'KU Efficiencies'!X21))/('KU Shares'!AJ$12/(1/'KU Efficiencies'!X$12))</f>
        <v>3960.3374473516642</v>
      </c>
      <c r="X21" s="159" t="e">
        <f>SUM(D21:W21)</f>
        <v>#DIV/0!</v>
      </c>
      <c r="Y21" s="240">
        <v>2014</v>
      </c>
      <c r="Z21" s="202" t="e">
        <f t="shared" si="5"/>
        <v>#DIV/0!</v>
      </c>
      <c r="AA21" s="202" t="e">
        <f t="shared" si="6"/>
        <v>#DIV/0!</v>
      </c>
      <c r="AB21" s="202" t="e">
        <f t="shared" si="7"/>
        <v>#DIV/0!</v>
      </c>
      <c r="AC21" s="202" t="e">
        <f t="shared" si="8"/>
        <v>#DIV/0!</v>
      </c>
      <c r="AD21" s="202" t="e">
        <f t="shared" si="9"/>
        <v>#DIV/0!</v>
      </c>
      <c r="AE21" s="202" t="e">
        <f t="shared" si="10"/>
        <v>#DIV/0!</v>
      </c>
      <c r="AF21" s="202" t="e">
        <f t="shared" si="11"/>
        <v>#DIV/0!</v>
      </c>
      <c r="AG21" s="202" t="e">
        <f t="shared" si="12"/>
        <v>#DIV/0!</v>
      </c>
      <c r="AH21" s="202" t="e">
        <f t="shared" si="13"/>
        <v>#DIV/0!</v>
      </c>
      <c r="AI21" s="202" t="e">
        <f t="shared" si="14"/>
        <v>#DIV/0!</v>
      </c>
      <c r="AJ21" s="202" t="e">
        <f t="shared" si="15"/>
        <v>#DIV/0!</v>
      </c>
      <c r="AK21" s="202" t="e">
        <f t="shared" si="16"/>
        <v>#DIV/0!</v>
      </c>
      <c r="AL21" s="202" t="e">
        <f t="shared" si="17"/>
        <v>#DIV/0!</v>
      </c>
      <c r="AM21" s="202" t="e">
        <f t="shared" si="18"/>
        <v>#DIV/0!</v>
      </c>
      <c r="AN21" s="202" t="e">
        <f t="shared" si="19"/>
        <v>#DIV/0!</v>
      </c>
      <c r="AO21" s="202" t="e">
        <f t="shared" si="20"/>
        <v>#DIV/0!</v>
      </c>
      <c r="AP21" s="202" t="e">
        <f t="shared" si="21"/>
        <v>#DIV/0!</v>
      </c>
      <c r="AQ21" s="202" t="e">
        <f t="shared" si="22"/>
        <v>#DIV/0!</v>
      </c>
      <c r="AR21" s="202" t="e">
        <f t="shared" si="23"/>
        <v>#DIV/0!</v>
      </c>
      <c r="AS21" s="202" t="e">
        <f t="shared" si="24"/>
        <v>#DIV/0!</v>
      </c>
    </row>
    <row r="22" spans="1:45" x14ac:dyDescent="0.2">
      <c r="A22" s="240">
        <v>2015</v>
      </c>
      <c r="B22" s="241">
        <f t="shared" si="25"/>
        <v>1672.1067207190827</v>
      </c>
      <c r="C22" s="241" t="e">
        <f t="shared" si="2"/>
        <v>#DIV/0!</v>
      </c>
      <c r="D22" s="242">
        <f>'KU Efficiencies'!B$54*'KU StructuralVars'!$Q22*('KU Shares'!B22/'KU Efficiencies'!B22)/('KU Shares'!B$12/'KU Efficiencies'!B$12)</f>
        <v>1053.3976012908017</v>
      </c>
      <c r="E22" s="242">
        <f>'KU Efficiencies'!C$54*'KU StructuralVars'!$Q22*('KU Shares'!D22/'KU Efficiencies'!C22)/('KU Shares'!D$12/'KU Efficiencies'!C$12)</f>
        <v>524.57301130059636</v>
      </c>
      <c r="F22" s="242">
        <f>'KU Efficiencies'!D$54*'KU StructuralVars'!$Q22*('KU Shares'!F22/'KU Efficiencies'!D22)/('KU Shares'!F$12/'KU Efficiencies'!D$12)</f>
        <v>35.237296064065127</v>
      </c>
      <c r="G22" s="242">
        <f>'KU Efficiencies'!E$54*'KU StructuralVars'!$Q22*('KU Shares'!H22/(1/'KU Efficiencies'!E22))/('KU Shares'!H$12/(1/'KU Efficiencies'!E$12))</f>
        <v>58.898812063619474</v>
      </c>
      <c r="H22" s="242" t="e">
        <f>'KU Efficiencies'!F$54*'KU StructuralVars'!$R22*('KU Shares'!J22/'KU Efficiencies'!F22)/('KU Shares'!J$12/'KU Efficiencies'!F$12)</f>
        <v>#DIV/0!</v>
      </c>
      <c r="I22" s="242" t="e">
        <f>'KU Efficiencies'!G$54*'KU StructuralVars'!$R22*('KU Shares'!L22/'KU Efficiencies'!G22)/('KU Shares'!L$12/'KU Efficiencies'!G$12)</f>
        <v>#DIV/0!</v>
      </c>
      <c r="J22" s="242" t="e">
        <f>'KU Efficiencies'!H$54*'KU StructuralVars'!$R22*('KU Shares'!N22/'KU Efficiencies'!H22)/('KU Shares'!N$12/'KU Efficiencies'!H$12)</f>
        <v>#DIV/0!</v>
      </c>
      <c r="K22" s="242" t="e">
        <f>'KU Efficiencies'!I$54*'KU StructuralVars'!$R22*('KU Shares'!P22/'KU Efficiencies'!I22)/('KU Shares'!P$12/'KU Efficiencies'!I$12)</f>
        <v>#DIV/0!</v>
      </c>
      <c r="L22" s="242" t="e">
        <f>'KU Efficiencies'!J$54*('KU Shares'!R22/'KU Efficiencies'!J22)/('KU Shares'!R$12/'KU Efficiencies'!J$12)</f>
        <v>#DIV/0!</v>
      </c>
      <c r="M22" s="242">
        <f>'KU Efficiencies'!K$54*('KU Shares'!T22/(1/'KU Efficiencies'!K22))/('KU Shares'!T$12/(1/'KU Efficiencies'!K$12))</f>
        <v>651.04556250409803</v>
      </c>
      <c r="N22" s="242">
        <f>'KU Efficiencies'!L$54*('KU Shares'!U22/(1/'KU Efficiencies'!L22))/('KU Shares'!U$12/(1/'KU Efficiencies'!L$12))</f>
        <v>597.49720995584369</v>
      </c>
      <c r="O22" s="242">
        <f>'KU Efficiencies'!M$54*('KU Shares'!W22/(1/'KU Efficiencies'!M22))/('KU Shares'!W$12/(1/'KU Efficiencies'!M$12))</f>
        <v>108.37267951498815</v>
      </c>
      <c r="P22" s="242">
        <f>'KU Efficiencies'!N$54*('KU Shares'!Y22/(1/'KU Efficiencies'!N22))/('KU Shares'!Y$12/(1/'KU Efficiencies'!N$12))</f>
        <v>284.58726238248681</v>
      </c>
      <c r="Q22" s="242">
        <f>'KU Efficiencies'!O$54*('KU Shares'!AA22/(1/'KU Efficiencies'!O22))/('KU Shares'!AA$12/(1/'KU Efficiencies'!O$12))</f>
        <v>243.83140791464257</v>
      </c>
      <c r="R22" s="242" t="e">
        <f>'KU Efficiencies'!P$54*('KU Shares'!AC22/(1/'KU Efficiencies'!P22))/('KU Shares'!AC$12/(1/'KU Efficiencies'!P$12))</f>
        <v>#DIV/0!</v>
      </c>
      <c r="S22" s="242" t="e">
        <f>'KU Efficiencies'!Q$54*('KU Shares'!AE22/(1/'KU Efficiencies'!Q22))/('KU Shares'!AE$12/(1/'KU Efficiencies'!Q$12))</f>
        <v>#DIV/0!</v>
      </c>
      <c r="T22" s="242" t="e">
        <f>'KU Efficiencies'!R$54*('KU Shares'!AG22/(1/'KU Efficiencies'!R22))/('KU Shares'!AG$12/(1/'KU Efficiencies'!R$12))</f>
        <v>#DIV/0!</v>
      </c>
      <c r="U22" s="242" t="e">
        <f>'KU Efficiencies'!S$54*('KU Shares'!AH22/(1/'KU Efficiencies'!S22))/('KU Shares'!AH$12/(1/'KU Efficiencies'!S$12))</f>
        <v>#DIV/0!</v>
      </c>
      <c r="V22" s="242">
        <f>'KU Efficiencies'!T$54*('KU Shares'!AI22/(1/'KU Efficiencies'!T22))/('KU Shares'!AI$12/(1/'KU Efficiencies'!T$12))</f>
        <v>1602.5954100413758</v>
      </c>
      <c r="W22" s="242">
        <f>'KU Efficiencies'!V$54*('KU Shares'!AJ22/(1/'KU Efficiencies'!X22))/('KU Shares'!AJ$12/(1/'KU Efficiencies'!X$12))</f>
        <v>4028.6560016092408</v>
      </c>
      <c r="X22" s="159" t="e">
        <f t="shared" ref="X22:X30" si="26">SUM(D22:W22)</f>
        <v>#DIV/0!</v>
      </c>
      <c r="Y22" s="240">
        <v>2015</v>
      </c>
      <c r="Z22" s="202" t="e">
        <f t="shared" si="5"/>
        <v>#DIV/0!</v>
      </c>
      <c r="AA22" s="202" t="e">
        <f t="shared" si="6"/>
        <v>#DIV/0!</v>
      </c>
      <c r="AB22" s="202" t="e">
        <f t="shared" si="7"/>
        <v>#DIV/0!</v>
      </c>
      <c r="AC22" s="202" t="e">
        <f t="shared" si="8"/>
        <v>#DIV/0!</v>
      </c>
      <c r="AD22" s="202" t="e">
        <f t="shared" si="9"/>
        <v>#DIV/0!</v>
      </c>
      <c r="AE22" s="202" t="e">
        <f t="shared" si="10"/>
        <v>#DIV/0!</v>
      </c>
      <c r="AF22" s="202" t="e">
        <f t="shared" si="11"/>
        <v>#DIV/0!</v>
      </c>
      <c r="AG22" s="202" t="e">
        <f t="shared" si="12"/>
        <v>#DIV/0!</v>
      </c>
      <c r="AH22" s="202" t="e">
        <f t="shared" si="13"/>
        <v>#DIV/0!</v>
      </c>
      <c r="AI22" s="202" t="e">
        <f t="shared" si="14"/>
        <v>#DIV/0!</v>
      </c>
      <c r="AJ22" s="202" t="e">
        <f t="shared" si="15"/>
        <v>#DIV/0!</v>
      </c>
      <c r="AK22" s="202" t="e">
        <f t="shared" si="16"/>
        <v>#DIV/0!</v>
      </c>
      <c r="AL22" s="202" t="e">
        <f t="shared" si="17"/>
        <v>#DIV/0!</v>
      </c>
      <c r="AM22" s="202" t="e">
        <f t="shared" si="18"/>
        <v>#DIV/0!</v>
      </c>
      <c r="AN22" s="202" t="e">
        <f t="shared" si="19"/>
        <v>#DIV/0!</v>
      </c>
      <c r="AO22" s="202" t="e">
        <f t="shared" si="20"/>
        <v>#DIV/0!</v>
      </c>
      <c r="AP22" s="202" t="e">
        <f t="shared" si="21"/>
        <v>#DIV/0!</v>
      </c>
      <c r="AQ22" s="202" t="e">
        <f t="shared" si="22"/>
        <v>#DIV/0!</v>
      </c>
      <c r="AR22" s="202" t="e">
        <f t="shared" si="23"/>
        <v>#DIV/0!</v>
      </c>
      <c r="AS22" s="202" t="e">
        <f t="shared" si="24"/>
        <v>#DIV/0!</v>
      </c>
    </row>
    <row r="23" spans="1:45" x14ac:dyDescent="0.2">
      <c r="A23" s="240">
        <v>2016</v>
      </c>
      <c r="B23" s="241">
        <f t="shared" si="25"/>
        <v>1667.6880127347608</v>
      </c>
      <c r="C23" s="241" t="e">
        <f t="shared" si="2"/>
        <v>#DIV/0!</v>
      </c>
      <c r="D23" s="242">
        <f>'KU Efficiencies'!B$54*'KU StructuralVars'!$Q23*('KU Shares'!B23/'KU Efficiencies'!B23)/('KU Shares'!B$12/'KU Efficiencies'!B$12)</f>
        <v>1043.8343529544957</v>
      </c>
      <c r="E23" s="242">
        <f>'KU Efficiencies'!C$54*'KU StructuralVars'!$Q23*('KU Shares'!D23/'KU Efficiencies'!C23)/('KU Shares'!D$12/'KU Efficiencies'!C$12)</f>
        <v>529.1211137966377</v>
      </c>
      <c r="F23" s="242">
        <f>'KU Efficiencies'!D$54*'KU StructuralVars'!$Q23*('KU Shares'!F23/'KU Efficiencies'!D23)/('KU Shares'!F$12/'KU Efficiencies'!D$12)</f>
        <v>37.705503379518476</v>
      </c>
      <c r="G23" s="242">
        <f>'KU Efficiencies'!E$54*'KU StructuralVars'!$Q23*('KU Shares'!H23/(1/'KU Efficiencies'!E23))/('KU Shares'!H$12/(1/'KU Efficiencies'!E$12))</f>
        <v>57.027042604109027</v>
      </c>
      <c r="H23" s="242" t="e">
        <f>'KU Efficiencies'!F$54*'KU StructuralVars'!$R23*('KU Shares'!J23/'KU Efficiencies'!F23)/('KU Shares'!J$12/'KU Efficiencies'!F$12)</f>
        <v>#DIV/0!</v>
      </c>
      <c r="I23" s="242" t="e">
        <f>'KU Efficiencies'!G$54*'KU StructuralVars'!$R23*('KU Shares'!L23/'KU Efficiencies'!G23)/('KU Shares'!L$12/'KU Efficiencies'!G$12)</f>
        <v>#DIV/0!</v>
      </c>
      <c r="J23" s="242" t="e">
        <f>'KU Efficiencies'!H$54*'KU StructuralVars'!$R23*('KU Shares'!N23/'KU Efficiencies'!H23)/('KU Shares'!N$12/'KU Efficiencies'!H$12)</f>
        <v>#DIV/0!</v>
      </c>
      <c r="K23" s="242" t="e">
        <f>'KU Efficiencies'!I$54*'KU StructuralVars'!$R23*('KU Shares'!P23/'KU Efficiencies'!I23)/('KU Shares'!P$12/'KU Efficiencies'!I$12)</f>
        <v>#DIV/0!</v>
      </c>
      <c r="L23" s="242" t="e">
        <f>'KU Efficiencies'!J$54*('KU Shares'!R23/'KU Efficiencies'!J23)/('KU Shares'!R$12/'KU Efficiencies'!J$12)</f>
        <v>#DIV/0!</v>
      </c>
      <c r="M23" s="242">
        <f>'KU Efficiencies'!K$54*('KU Shares'!T23/(1/'KU Efficiencies'!K23))/('KU Shares'!T$12/(1/'KU Efficiencies'!K$12))</f>
        <v>653.31433547954487</v>
      </c>
      <c r="N23" s="242">
        <f>'KU Efficiencies'!L$54*('KU Shares'!U23/(1/'KU Efficiencies'!L23))/('KU Shares'!U$12/(1/'KU Efficiencies'!L$12))</f>
        <v>585.78949188753359</v>
      </c>
      <c r="O23" s="242">
        <f>'KU Efficiencies'!M$54*('KU Shares'!W23/(1/'KU Efficiencies'!M23))/('KU Shares'!W$12/(1/'KU Efficiencies'!M$12))</f>
        <v>106.24642001162144</v>
      </c>
      <c r="P23" s="242">
        <f>'KU Efficiencies'!N$54*('KU Shares'!Y23/(1/'KU Efficiencies'!N23))/('KU Shares'!Y$12/(1/'KU Efficiencies'!N$12))</f>
        <v>281.6735697955267</v>
      </c>
      <c r="Q23" s="242">
        <f>'KU Efficiencies'!O$54*('KU Shares'!AA23/(1/'KU Efficiencies'!O23))/('KU Shares'!AA$12/(1/'KU Efficiencies'!O$12))</f>
        <v>242.24543080168942</v>
      </c>
      <c r="R23" s="242" t="e">
        <f>'KU Efficiencies'!P$54*('KU Shares'!AC23/(1/'KU Efficiencies'!P23))/('KU Shares'!AC$12/(1/'KU Efficiencies'!P$12))</f>
        <v>#DIV/0!</v>
      </c>
      <c r="S23" s="242" t="e">
        <f>'KU Efficiencies'!Q$54*('KU Shares'!AE23/(1/'KU Efficiencies'!Q23))/('KU Shares'!AE$12/(1/'KU Efficiencies'!Q$12))</f>
        <v>#DIV/0!</v>
      </c>
      <c r="T23" s="242" t="e">
        <f>'KU Efficiencies'!R$54*('KU Shares'!AG23/(1/'KU Efficiencies'!R23))/('KU Shares'!AG$12/(1/'KU Efficiencies'!R$12))</f>
        <v>#DIV/0!</v>
      </c>
      <c r="U23" s="242" t="e">
        <f>'KU Efficiencies'!S$54*('KU Shares'!AH23/(1/'KU Efficiencies'!S23))/('KU Shares'!AH$12/(1/'KU Efficiencies'!S$12))</f>
        <v>#DIV/0!</v>
      </c>
      <c r="V23" s="242">
        <f>'KU Efficiencies'!T$54*('KU Shares'!AI23/(1/'KU Efficiencies'!T23))/('KU Shares'!AI$12/(1/'KU Efficiencies'!T$12))</f>
        <v>1565.9049250891387</v>
      </c>
      <c r="W23" s="242">
        <f>'KU Efficiencies'!V$54*('KU Shares'!AJ23/(1/'KU Efficiencies'!X23))/('KU Shares'!AJ$12/(1/'KU Efficiencies'!X$12))</f>
        <v>4122.2572392728616</v>
      </c>
      <c r="X23" s="159" t="e">
        <f t="shared" si="26"/>
        <v>#DIV/0!</v>
      </c>
      <c r="Y23" s="240">
        <v>2016</v>
      </c>
      <c r="Z23" s="202" t="e">
        <f t="shared" si="5"/>
        <v>#DIV/0!</v>
      </c>
      <c r="AA23" s="202" t="e">
        <f t="shared" si="6"/>
        <v>#DIV/0!</v>
      </c>
      <c r="AB23" s="202" t="e">
        <f t="shared" si="7"/>
        <v>#DIV/0!</v>
      </c>
      <c r="AC23" s="202" t="e">
        <f t="shared" si="8"/>
        <v>#DIV/0!</v>
      </c>
      <c r="AD23" s="202" t="e">
        <f t="shared" si="9"/>
        <v>#DIV/0!</v>
      </c>
      <c r="AE23" s="202" t="e">
        <f t="shared" si="10"/>
        <v>#DIV/0!</v>
      </c>
      <c r="AF23" s="202" t="e">
        <f t="shared" si="11"/>
        <v>#DIV/0!</v>
      </c>
      <c r="AG23" s="202" t="e">
        <f t="shared" si="12"/>
        <v>#DIV/0!</v>
      </c>
      <c r="AH23" s="202" t="e">
        <f t="shared" si="13"/>
        <v>#DIV/0!</v>
      </c>
      <c r="AI23" s="202" t="e">
        <f t="shared" si="14"/>
        <v>#DIV/0!</v>
      </c>
      <c r="AJ23" s="202" t="e">
        <f t="shared" si="15"/>
        <v>#DIV/0!</v>
      </c>
      <c r="AK23" s="202" t="e">
        <f t="shared" si="16"/>
        <v>#DIV/0!</v>
      </c>
      <c r="AL23" s="202" t="e">
        <f t="shared" si="17"/>
        <v>#DIV/0!</v>
      </c>
      <c r="AM23" s="202" t="e">
        <f t="shared" si="18"/>
        <v>#DIV/0!</v>
      </c>
      <c r="AN23" s="202" t="e">
        <f t="shared" si="19"/>
        <v>#DIV/0!</v>
      </c>
      <c r="AO23" s="202" t="e">
        <f t="shared" si="20"/>
        <v>#DIV/0!</v>
      </c>
      <c r="AP23" s="202" t="e">
        <f t="shared" si="21"/>
        <v>#DIV/0!</v>
      </c>
      <c r="AQ23" s="202" t="e">
        <f t="shared" si="22"/>
        <v>#DIV/0!</v>
      </c>
      <c r="AR23" s="202" t="e">
        <f t="shared" si="23"/>
        <v>#DIV/0!</v>
      </c>
      <c r="AS23" s="202" t="e">
        <f t="shared" si="24"/>
        <v>#DIV/0!</v>
      </c>
    </row>
    <row r="24" spans="1:45" x14ac:dyDescent="0.2">
      <c r="A24" s="240">
        <v>2017</v>
      </c>
      <c r="B24" s="241">
        <f t="shared" si="25"/>
        <v>1662.7741887714283</v>
      </c>
      <c r="C24" s="241" t="e">
        <f t="shared" si="2"/>
        <v>#DIV/0!</v>
      </c>
      <c r="D24" s="242">
        <f>'KU Efficiencies'!B$54*'KU StructuralVars'!$Q24*('KU Shares'!B24/'KU Efficiencies'!B24)/('KU Shares'!B$12/'KU Efficiencies'!B$12)</f>
        <v>1035.0433480094134</v>
      </c>
      <c r="E24" s="242">
        <f>'KU Efficiencies'!C$54*'KU StructuralVars'!$Q24*('KU Shares'!D24/'KU Efficiencies'!C24)/('KU Shares'!D$12/'KU Efficiencies'!C$12)</f>
        <v>533.23142086213068</v>
      </c>
      <c r="F24" s="242">
        <f>'KU Efficiencies'!D$54*'KU StructuralVars'!$Q24*('KU Shares'!F24/'KU Efficiencies'!D24)/('KU Shares'!F$12/'KU Efficiencies'!D$12)</f>
        <v>39.729731821981417</v>
      </c>
      <c r="G24" s="242">
        <f>'KU Efficiencies'!E$54*'KU StructuralVars'!$Q24*('KU Shares'!H24/(1/'KU Efficiencies'!E24))/('KU Shares'!H$12/(1/'KU Efficiencies'!E$12))</f>
        <v>54.769688077902927</v>
      </c>
      <c r="H24" s="242" t="e">
        <f>'KU Efficiencies'!F$54*'KU StructuralVars'!$R24*('KU Shares'!J24/'KU Efficiencies'!F24)/('KU Shares'!J$12/'KU Efficiencies'!F$12)</f>
        <v>#DIV/0!</v>
      </c>
      <c r="I24" s="242" t="e">
        <f>'KU Efficiencies'!G$54*'KU StructuralVars'!$R24*('KU Shares'!L24/'KU Efficiencies'!G24)/('KU Shares'!L$12/'KU Efficiencies'!G$12)</f>
        <v>#DIV/0!</v>
      </c>
      <c r="J24" s="242" t="e">
        <f>'KU Efficiencies'!H$54*'KU StructuralVars'!$R24*('KU Shares'!N24/'KU Efficiencies'!H24)/('KU Shares'!N$12/'KU Efficiencies'!H$12)</f>
        <v>#DIV/0!</v>
      </c>
      <c r="K24" s="242" t="e">
        <f>'KU Efficiencies'!I$54*'KU StructuralVars'!$R24*('KU Shares'!P24/'KU Efficiencies'!I24)/('KU Shares'!P$12/'KU Efficiencies'!I$12)</f>
        <v>#DIV/0!</v>
      </c>
      <c r="L24" s="242" t="e">
        <f>'KU Efficiencies'!J$54*('KU Shares'!R24/'KU Efficiencies'!J24)/('KU Shares'!R$12/'KU Efficiencies'!J$12)</f>
        <v>#DIV/0!</v>
      </c>
      <c r="M24" s="242">
        <f>'KU Efficiencies'!K$54*('KU Shares'!T24/(1/'KU Efficiencies'!K24))/('KU Shares'!T$12/(1/'KU Efficiencies'!K$12))</f>
        <v>651.53001504838858</v>
      </c>
      <c r="N24" s="242">
        <f>'KU Efficiencies'!L$54*('KU Shares'!U24/(1/'KU Efficiencies'!L24))/('KU Shares'!U$12/(1/'KU Efficiencies'!L$12))</f>
        <v>575.16076046834485</v>
      </c>
      <c r="O24" s="242">
        <f>'KU Efficiencies'!M$54*('KU Shares'!W24/(1/'KU Efficiencies'!M24))/('KU Shares'!W$12/(1/'KU Efficiencies'!M$12))</f>
        <v>104.28127431010333</v>
      </c>
      <c r="P24" s="242">
        <f>'KU Efficiencies'!N$54*('KU Shares'!Y24/(1/'KU Efficiencies'!N24))/('KU Shares'!Y$12/(1/'KU Efficiencies'!N$12))</f>
        <v>279.05266335482253</v>
      </c>
      <c r="Q24" s="242">
        <f>'KU Efficiencies'!O$54*('KU Shares'!AA24/(1/'KU Efficiencies'!O24))/('KU Shares'!AA$12/(1/'KU Efficiencies'!O$12))</f>
        <v>239.60556873443076</v>
      </c>
      <c r="R24" s="242" t="e">
        <f>'KU Efficiencies'!P$54*('KU Shares'!AC24/(1/'KU Efficiencies'!P24))/('KU Shares'!AC$12/(1/'KU Efficiencies'!P$12))</f>
        <v>#DIV/0!</v>
      </c>
      <c r="S24" s="242" t="e">
        <f>'KU Efficiencies'!Q$54*('KU Shares'!AE24/(1/'KU Efficiencies'!Q24))/('KU Shares'!AE$12/(1/'KU Efficiencies'!Q$12))</f>
        <v>#DIV/0!</v>
      </c>
      <c r="T24" s="242" t="e">
        <f>'KU Efficiencies'!R$54*('KU Shares'!AG24/(1/'KU Efficiencies'!R24))/('KU Shares'!AG$12/(1/'KU Efficiencies'!R$12))</f>
        <v>#DIV/0!</v>
      </c>
      <c r="U24" s="242" t="e">
        <f>'KU Efficiencies'!S$54*('KU Shares'!AH24/(1/'KU Efficiencies'!S24))/('KU Shares'!AH$12/(1/'KU Efficiencies'!S$12))</f>
        <v>#DIV/0!</v>
      </c>
      <c r="V24" s="242">
        <f>'KU Efficiencies'!T$54*('KU Shares'!AI24/(1/'KU Efficiencies'!T24))/('KU Shares'!AI$12/(1/'KU Efficiencies'!T$12))</f>
        <v>1526.8153814246934</v>
      </c>
      <c r="W24" s="242">
        <f>'KU Efficiencies'!V$54*('KU Shares'!AJ24/(1/'KU Efficiencies'!X24))/('KU Shares'!AJ$12/(1/'KU Efficiencies'!X$12))</f>
        <v>4166.6782695119546</v>
      </c>
      <c r="X24" s="159" t="e">
        <f t="shared" si="26"/>
        <v>#DIV/0!</v>
      </c>
      <c r="Y24" s="240">
        <v>2017</v>
      </c>
      <c r="Z24" s="202" t="e">
        <f t="shared" si="5"/>
        <v>#DIV/0!</v>
      </c>
      <c r="AA24" s="202" t="e">
        <f t="shared" si="6"/>
        <v>#DIV/0!</v>
      </c>
      <c r="AB24" s="202" t="e">
        <f t="shared" si="7"/>
        <v>#DIV/0!</v>
      </c>
      <c r="AC24" s="202" t="e">
        <f t="shared" si="8"/>
        <v>#DIV/0!</v>
      </c>
      <c r="AD24" s="202" t="e">
        <f t="shared" si="9"/>
        <v>#DIV/0!</v>
      </c>
      <c r="AE24" s="202" t="e">
        <f t="shared" si="10"/>
        <v>#DIV/0!</v>
      </c>
      <c r="AF24" s="202" t="e">
        <f t="shared" si="11"/>
        <v>#DIV/0!</v>
      </c>
      <c r="AG24" s="202" t="e">
        <f t="shared" si="12"/>
        <v>#DIV/0!</v>
      </c>
      <c r="AH24" s="202" t="e">
        <f t="shared" si="13"/>
        <v>#DIV/0!</v>
      </c>
      <c r="AI24" s="202" t="e">
        <f t="shared" si="14"/>
        <v>#DIV/0!</v>
      </c>
      <c r="AJ24" s="202" t="e">
        <f t="shared" si="15"/>
        <v>#DIV/0!</v>
      </c>
      <c r="AK24" s="202" t="e">
        <f t="shared" si="16"/>
        <v>#DIV/0!</v>
      </c>
      <c r="AL24" s="202" t="e">
        <f t="shared" si="17"/>
        <v>#DIV/0!</v>
      </c>
      <c r="AM24" s="202" t="e">
        <f t="shared" si="18"/>
        <v>#DIV/0!</v>
      </c>
      <c r="AN24" s="202" t="e">
        <f t="shared" si="19"/>
        <v>#DIV/0!</v>
      </c>
      <c r="AO24" s="202" t="e">
        <f t="shared" si="20"/>
        <v>#DIV/0!</v>
      </c>
      <c r="AP24" s="202" t="e">
        <f t="shared" si="21"/>
        <v>#DIV/0!</v>
      </c>
      <c r="AQ24" s="202" t="e">
        <f t="shared" si="22"/>
        <v>#DIV/0!</v>
      </c>
      <c r="AR24" s="202" t="e">
        <f t="shared" si="23"/>
        <v>#DIV/0!</v>
      </c>
      <c r="AS24" s="202" t="e">
        <f t="shared" si="24"/>
        <v>#DIV/0!</v>
      </c>
    </row>
    <row r="25" spans="1:45" x14ac:dyDescent="0.2">
      <c r="A25" s="240">
        <v>2018</v>
      </c>
      <c r="B25" s="241">
        <f t="shared" si="25"/>
        <v>1658.3282060995107</v>
      </c>
      <c r="C25" s="241" t="e">
        <f t="shared" si="2"/>
        <v>#DIV/0!</v>
      </c>
      <c r="D25" s="242">
        <f>'KU Efficiencies'!B$54*'KU StructuralVars'!$Q25*('KU Shares'!B25/'KU Efficiencies'!B25)/('KU Shares'!B$12/'KU Efficiencies'!B$12)</f>
        <v>1026.9480225653415</v>
      </c>
      <c r="E25" s="242">
        <f>'KU Efficiencies'!C$54*'KU StructuralVars'!$Q25*('KU Shares'!D25/'KU Efficiencies'!C25)/('KU Shares'!D$12/'KU Efficiencies'!C$12)</f>
        <v>537.13552136947317</v>
      </c>
      <c r="F25" s="242">
        <f>'KU Efficiencies'!D$54*'KU StructuralVars'!$Q25*('KU Shares'!F25/'KU Efficiencies'!D25)/('KU Shares'!F$12/'KU Efficiencies'!D$12)</f>
        <v>41.492797750065726</v>
      </c>
      <c r="G25" s="242">
        <f>'KU Efficiencies'!E$54*'KU StructuralVars'!$Q25*('KU Shares'!H25/(1/'KU Efficiencies'!E25))/('KU Shares'!H$12/(1/'KU Efficiencies'!E$12))</f>
        <v>52.751864414630219</v>
      </c>
      <c r="H25" s="242" t="e">
        <f>'KU Efficiencies'!F$54*'KU StructuralVars'!$R25*('KU Shares'!J25/'KU Efficiencies'!F25)/('KU Shares'!J$12/'KU Efficiencies'!F$12)</f>
        <v>#DIV/0!</v>
      </c>
      <c r="I25" s="242" t="e">
        <f>'KU Efficiencies'!G$54*'KU StructuralVars'!$R25*('KU Shares'!L25/'KU Efficiencies'!G25)/('KU Shares'!L$12/'KU Efficiencies'!G$12)</f>
        <v>#DIV/0!</v>
      </c>
      <c r="J25" s="242" t="e">
        <f>'KU Efficiencies'!H$54*'KU StructuralVars'!$R25*('KU Shares'!N25/'KU Efficiencies'!H25)/('KU Shares'!N$12/'KU Efficiencies'!H$12)</f>
        <v>#DIV/0!</v>
      </c>
      <c r="K25" s="242" t="e">
        <f>'KU Efficiencies'!I$54*'KU StructuralVars'!$R25*('KU Shares'!P25/'KU Efficiencies'!I25)/('KU Shares'!P$12/'KU Efficiencies'!I$12)</f>
        <v>#DIV/0!</v>
      </c>
      <c r="L25" s="242" t="e">
        <f>'KU Efficiencies'!J$54*('KU Shares'!R25/'KU Efficiencies'!J25)/('KU Shares'!R$12/'KU Efficiencies'!J$12)</f>
        <v>#DIV/0!</v>
      </c>
      <c r="M25" s="242">
        <f>'KU Efficiencies'!K$54*('KU Shares'!T25/(1/'KU Efficiencies'!K25))/('KU Shares'!T$12/(1/'KU Efficiencies'!K$12))</f>
        <v>651.5379922706577</v>
      </c>
      <c r="N25" s="242">
        <f>'KU Efficiencies'!L$54*('KU Shares'!U25/(1/'KU Efficiencies'!L25))/('KU Shares'!U$12/(1/'KU Efficiencies'!L$12))</f>
        <v>565.33575781775198</v>
      </c>
      <c r="O25" s="242">
        <f>'KU Efficiencies'!M$54*('KU Shares'!W25/(1/'KU Efficiencies'!M25))/('KU Shares'!W$12/(1/'KU Efficiencies'!M$12))</f>
        <v>102.4482813479507</v>
      </c>
      <c r="P25" s="242">
        <f>'KU Efficiencies'!N$54*('KU Shares'!Y25/(1/'KU Efficiencies'!N25))/('KU Shares'!Y$12/(1/'KU Efficiencies'!N$12))</f>
        <v>276.70604208693584</v>
      </c>
      <c r="Q25" s="242">
        <f>'KU Efficiencies'!O$54*('KU Shares'!AA25/(1/'KU Efficiencies'!O25))/('KU Shares'!AA$12/(1/'KU Efficiencies'!O$12))</f>
        <v>238.18874816931447</v>
      </c>
      <c r="R25" s="242" t="e">
        <f>'KU Efficiencies'!P$54*('KU Shares'!AC25/(1/'KU Efficiencies'!P25))/('KU Shares'!AC$12/(1/'KU Efficiencies'!P$12))</f>
        <v>#DIV/0!</v>
      </c>
      <c r="S25" s="242" t="e">
        <f>'KU Efficiencies'!Q$54*('KU Shares'!AE25/(1/'KU Efficiencies'!Q25))/('KU Shares'!AE$12/(1/'KU Efficiencies'!Q$12))</f>
        <v>#DIV/0!</v>
      </c>
      <c r="T25" s="242" t="e">
        <f>'KU Efficiencies'!R$54*('KU Shares'!AG25/(1/'KU Efficiencies'!R25))/('KU Shares'!AG$12/(1/'KU Efficiencies'!R$12))</f>
        <v>#DIV/0!</v>
      </c>
      <c r="U25" s="242" t="e">
        <f>'KU Efficiencies'!S$54*('KU Shares'!AH25/(1/'KU Efficiencies'!S25))/('KU Shares'!AH$12/(1/'KU Efficiencies'!S$12))</f>
        <v>#DIV/0!</v>
      </c>
      <c r="V25" s="242">
        <f>'KU Efficiencies'!T$54*('KU Shares'!AI25/(1/'KU Efficiencies'!T25))/('KU Shares'!AI$12/(1/'KU Efficiencies'!T$12))</f>
        <v>1499.7129786987111</v>
      </c>
      <c r="W25" s="242">
        <f>'KU Efficiencies'!V$54*('KU Shares'!AJ25/(1/'KU Efficiencies'!X25))/('KU Shares'!AJ$12/(1/'KU Efficiencies'!X$12))</f>
        <v>4219.3455968830121</v>
      </c>
      <c r="X25" s="159" t="e">
        <f t="shared" si="26"/>
        <v>#DIV/0!</v>
      </c>
      <c r="Y25" s="240">
        <v>2018</v>
      </c>
      <c r="Z25" s="202" t="e">
        <f t="shared" si="5"/>
        <v>#DIV/0!</v>
      </c>
      <c r="AA25" s="202" t="e">
        <f t="shared" si="6"/>
        <v>#DIV/0!</v>
      </c>
      <c r="AB25" s="202" t="e">
        <f t="shared" si="7"/>
        <v>#DIV/0!</v>
      </c>
      <c r="AC25" s="202" t="e">
        <f t="shared" si="8"/>
        <v>#DIV/0!</v>
      </c>
      <c r="AD25" s="202" t="e">
        <f t="shared" si="9"/>
        <v>#DIV/0!</v>
      </c>
      <c r="AE25" s="202" t="e">
        <f t="shared" si="10"/>
        <v>#DIV/0!</v>
      </c>
      <c r="AF25" s="202" t="e">
        <f t="shared" si="11"/>
        <v>#DIV/0!</v>
      </c>
      <c r="AG25" s="202" t="e">
        <f t="shared" si="12"/>
        <v>#DIV/0!</v>
      </c>
      <c r="AH25" s="202" t="e">
        <f t="shared" si="13"/>
        <v>#DIV/0!</v>
      </c>
      <c r="AI25" s="202" t="e">
        <f t="shared" si="14"/>
        <v>#DIV/0!</v>
      </c>
      <c r="AJ25" s="202" t="e">
        <f t="shared" si="15"/>
        <v>#DIV/0!</v>
      </c>
      <c r="AK25" s="202" t="e">
        <f t="shared" si="16"/>
        <v>#DIV/0!</v>
      </c>
      <c r="AL25" s="202" t="e">
        <f t="shared" si="17"/>
        <v>#DIV/0!</v>
      </c>
      <c r="AM25" s="202" t="e">
        <f t="shared" si="18"/>
        <v>#DIV/0!</v>
      </c>
      <c r="AN25" s="202" t="e">
        <f t="shared" si="19"/>
        <v>#DIV/0!</v>
      </c>
      <c r="AO25" s="202" t="e">
        <f t="shared" si="20"/>
        <v>#DIV/0!</v>
      </c>
      <c r="AP25" s="202" t="e">
        <f t="shared" si="21"/>
        <v>#DIV/0!</v>
      </c>
      <c r="AQ25" s="202" t="e">
        <f t="shared" si="22"/>
        <v>#DIV/0!</v>
      </c>
      <c r="AR25" s="202" t="e">
        <f t="shared" si="23"/>
        <v>#DIV/0!</v>
      </c>
      <c r="AS25" s="202" t="e">
        <f t="shared" si="24"/>
        <v>#DIV/0!</v>
      </c>
    </row>
    <row r="26" spans="1:45" x14ac:dyDescent="0.2">
      <c r="A26" s="240">
        <v>2019</v>
      </c>
      <c r="B26" s="241">
        <f t="shared" si="25"/>
        <v>1654.0599951598058</v>
      </c>
      <c r="C26" s="241" t="e">
        <f t="shared" si="2"/>
        <v>#DIV/0!</v>
      </c>
      <c r="D26" s="242">
        <f>'KU Efficiencies'!B$54*'KU StructuralVars'!$Q26*('KU Shares'!B26/'KU Efficiencies'!B26)/('KU Shares'!B$12/'KU Efficiencies'!B$12)</f>
        <v>1019.4011299418891</v>
      </c>
      <c r="E26" s="242">
        <f>'KU Efficiencies'!C$54*'KU StructuralVars'!$Q26*('KU Shares'!D26/'KU Efficiencies'!C26)/('KU Shares'!D$12/'KU Efficiencies'!C$12)</f>
        <v>540.83191842819224</v>
      </c>
      <c r="F26" s="242">
        <f>'KU Efficiencies'!D$54*'KU StructuralVars'!$Q26*('KU Shares'!F26/'KU Efficiencies'!D26)/('KU Shares'!F$12/'KU Efficiencies'!D$12)</f>
        <v>43.020038243145144</v>
      </c>
      <c r="G26" s="242">
        <f>'KU Efficiencies'!E$54*'KU StructuralVars'!$Q26*('KU Shares'!H26/(1/'KU Efficiencies'!E26))/('KU Shares'!H$12/(1/'KU Efficiencies'!E$12))</f>
        <v>50.806908546579592</v>
      </c>
      <c r="H26" s="242" t="e">
        <f>'KU Efficiencies'!F$54*'KU StructuralVars'!$R26*('KU Shares'!J26/'KU Efficiencies'!F26)/('KU Shares'!J$12/'KU Efficiencies'!F$12)</f>
        <v>#DIV/0!</v>
      </c>
      <c r="I26" s="242" t="e">
        <f>'KU Efficiencies'!G$54*'KU StructuralVars'!$R26*('KU Shares'!L26/'KU Efficiencies'!G26)/('KU Shares'!L$12/'KU Efficiencies'!G$12)</f>
        <v>#DIV/0!</v>
      </c>
      <c r="J26" s="242" t="e">
        <f>'KU Efficiencies'!H$54*'KU StructuralVars'!$R26*('KU Shares'!N26/'KU Efficiencies'!H26)/('KU Shares'!N$12/'KU Efficiencies'!H$12)</f>
        <v>#DIV/0!</v>
      </c>
      <c r="K26" s="242" t="e">
        <f>'KU Efficiencies'!I$54*'KU StructuralVars'!$R26*('KU Shares'!P26/'KU Efficiencies'!I26)/('KU Shares'!P$12/'KU Efficiencies'!I$12)</f>
        <v>#DIV/0!</v>
      </c>
      <c r="L26" s="242" t="e">
        <f>'KU Efficiencies'!J$54*('KU Shares'!R26/'KU Efficiencies'!J26)/('KU Shares'!R$12/'KU Efficiencies'!J$12)</f>
        <v>#DIV/0!</v>
      </c>
      <c r="M26" s="242">
        <f>'KU Efficiencies'!K$54*('KU Shares'!T26/(1/'KU Efficiencies'!K26))/('KU Shares'!T$12/(1/'KU Efficiencies'!K$12))</f>
        <v>651.63418006604525</v>
      </c>
      <c r="N26" s="242">
        <f>'KU Efficiencies'!L$54*('KU Shares'!U26/(1/'KU Efficiencies'!L26))/('KU Shares'!U$12/(1/'KU Efficiencies'!L$12))</f>
        <v>556.25468484519808</v>
      </c>
      <c r="O26" s="242">
        <f>'KU Efficiencies'!M$54*('KU Shares'!W26/(1/'KU Efficiencies'!M26))/('KU Shares'!W$12/(1/'KU Efficiencies'!M$12))</f>
        <v>100.74958784086755</v>
      </c>
      <c r="P26" s="242">
        <f>'KU Efficiencies'!N$54*('KU Shares'!Y26/(1/'KU Efficiencies'!N26))/('KU Shares'!Y$12/(1/'KU Efficiencies'!N$12))</f>
        <v>274.55939888352918</v>
      </c>
      <c r="Q26" s="242">
        <f>'KU Efficiencies'!O$54*('KU Shares'!AA26/(1/'KU Efficiencies'!O26))/('KU Shares'!AA$12/(1/'KU Efficiencies'!O$12))</f>
        <v>237.33112279324959</v>
      </c>
      <c r="R26" s="242" t="e">
        <f>'KU Efficiencies'!P$54*('KU Shares'!AC26/(1/'KU Efficiencies'!P26))/('KU Shares'!AC$12/(1/'KU Efficiencies'!P$12))</f>
        <v>#DIV/0!</v>
      </c>
      <c r="S26" s="242" t="e">
        <f>'KU Efficiencies'!Q$54*('KU Shares'!AE26/(1/'KU Efficiencies'!Q26))/('KU Shares'!AE$12/(1/'KU Efficiencies'!Q$12))</f>
        <v>#DIV/0!</v>
      </c>
      <c r="T26" s="242" t="e">
        <f>'KU Efficiencies'!R$54*('KU Shares'!AG26/(1/'KU Efficiencies'!R26))/('KU Shares'!AG$12/(1/'KU Efficiencies'!R$12))</f>
        <v>#DIV/0!</v>
      </c>
      <c r="U26" s="242" t="e">
        <f>'KU Efficiencies'!S$54*('KU Shares'!AH26/(1/'KU Efficiencies'!S26))/('KU Shares'!AH$12/(1/'KU Efficiencies'!S$12))</f>
        <v>#DIV/0!</v>
      </c>
      <c r="V26" s="242">
        <f>'KU Efficiencies'!T$54*('KU Shares'!AI26/(1/'KU Efficiencies'!T26))/('KU Shares'!AI$12/(1/'KU Efficiencies'!T$12))</f>
        <v>1478.5919512209448</v>
      </c>
      <c r="W26" s="242">
        <f>'KU Efficiencies'!V$54*('KU Shares'!AJ26/(1/'KU Efficiencies'!X26))/('KU Shares'!AJ$12/(1/'KU Efficiencies'!X$12))</f>
        <v>4274.0423674132044</v>
      </c>
      <c r="X26" s="159" t="e">
        <f t="shared" si="26"/>
        <v>#DIV/0!</v>
      </c>
      <c r="Y26" s="240">
        <v>2019</v>
      </c>
      <c r="Z26" s="202" t="e">
        <f t="shared" si="5"/>
        <v>#DIV/0!</v>
      </c>
      <c r="AA26" s="202" t="e">
        <f t="shared" si="6"/>
        <v>#DIV/0!</v>
      </c>
      <c r="AB26" s="202" t="e">
        <f t="shared" si="7"/>
        <v>#DIV/0!</v>
      </c>
      <c r="AC26" s="202" t="e">
        <f t="shared" si="8"/>
        <v>#DIV/0!</v>
      </c>
      <c r="AD26" s="202" t="e">
        <f t="shared" si="9"/>
        <v>#DIV/0!</v>
      </c>
      <c r="AE26" s="202" t="e">
        <f t="shared" si="10"/>
        <v>#DIV/0!</v>
      </c>
      <c r="AF26" s="202" t="e">
        <f t="shared" si="11"/>
        <v>#DIV/0!</v>
      </c>
      <c r="AG26" s="202" t="e">
        <f t="shared" si="12"/>
        <v>#DIV/0!</v>
      </c>
      <c r="AH26" s="202" t="e">
        <f t="shared" si="13"/>
        <v>#DIV/0!</v>
      </c>
      <c r="AI26" s="202" t="e">
        <f t="shared" si="14"/>
        <v>#DIV/0!</v>
      </c>
      <c r="AJ26" s="202" t="e">
        <f t="shared" si="15"/>
        <v>#DIV/0!</v>
      </c>
      <c r="AK26" s="202" t="e">
        <f t="shared" si="16"/>
        <v>#DIV/0!</v>
      </c>
      <c r="AL26" s="202" t="e">
        <f t="shared" si="17"/>
        <v>#DIV/0!</v>
      </c>
      <c r="AM26" s="202" t="e">
        <f t="shared" si="18"/>
        <v>#DIV/0!</v>
      </c>
      <c r="AN26" s="202" t="e">
        <f t="shared" si="19"/>
        <v>#DIV/0!</v>
      </c>
      <c r="AO26" s="202" t="e">
        <f t="shared" si="20"/>
        <v>#DIV/0!</v>
      </c>
      <c r="AP26" s="202" t="e">
        <f t="shared" si="21"/>
        <v>#DIV/0!</v>
      </c>
      <c r="AQ26" s="202" t="e">
        <f t="shared" si="22"/>
        <v>#DIV/0!</v>
      </c>
      <c r="AR26" s="202" t="e">
        <f t="shared" si="23"/>
        <v>#DIV/0!</v>
      </c>
      <c r="AS26" s="202" t="e">
        <f t="shared" si="24"/>
        <v>#DIV/0!</v>
      </c>
    </row>
    <row r="27" spans="1:45" x14ac:dyDescent="0.2">
      <c r="A27" s="240">
        <v>2020</v>
      </c>
      <c r="B27" s="241">
        <f t="shared" si="25"/>
        <v>1650.1011239537247</v>
      </c>
      <c r="C27" s="241" t="e">
        <f t="shared" si="2"/>
        <v>#DIV/0!</v>
      </c>
      <c r="D27" s="242">
        <f>'KU Efficiencies'!B$54*'KU StructuralVars'!$Q27*('KU Shares'!B27/'KU Efficiencies'!B27)/('KU Shares'!B$12/'KU Efficiencies'!B$12)</f>
        <v>1012.1667922872099</v>
      </c>
      <c r="E27" s="242">
        <f>'KU Efficiencies'!C$54*'KU StructuralVars'!$Q27*('KU Shares'!D27/'KU Efficiencies'!C27)/('KU Shares'!D$12/'KU Efficiencies'!C$12)</f>
        <v>544.70413170095878</v>
      </c>
      <c r="F27" s="242">
        <f>'KU Efficiencies'!D$54*'KU StructuralVars'!$Q27*('KU Shares'!F27/'KU Efficiencies'!D27)/('KU Shares'!F$12/'KU Efficiencies'!D$12)</f>
        <v>44.130052540152889</v>
      </c>
      <c r="G27" s="242">
        <f>'KU Efficiencies'!E$54*'KU StructuralVars'!$Q27*('KU Shares'!H27/(1/'KU Efficiencies'!E27))/('KU Shares'!H$12/(1/'KU Efficiencies'!E$12))</f>
        <v>49.100147425403165</v>
      </c>
      <c r="H27" s="242" t="e">
        <f>'KU Efficiencies'!F$54*'KU StructuralVars'!$R27*('KU Shares'!J27/'KU Efficiencies'!F27)/('KU Shares'!J$12/'KU Efficiencies'!F$12)</f>
        <v>#DIV/0!</v>
      </c>
      <c r="I27" s="242" t="e">
        <f>'KU Efficiencies'!G$54*'KU StructuralVars'!$R27*('KU Shares'!L27/'KU Efficiencies'!G27)/('KU Shares'!L$12/'KU Efficiencies'!G$12)</f>
        <v>#DIV/0!</v>
      </c>
      <c r="J27" s="242" t="e">
        <f>'KU Efficiencies'!H$54*'KU StructuralVars'!$R27*('KU Shares'!N27/'KU Efficiencies'!H27)/('KU Shares'!N$12/'KU Efficiencies'!H$12)</f>
        <v>#DIV/0!</v>
      </c>
      <c r="K27" s="242" t="e">
        <f>'KU Efficiencies'!I$54*'KU StructuralVars'!$R27*('KU Shares'!P27/'KU Efficiencies'!I27)/('KU Shares'!P$12/'KU Efficiencies'!I$12)</f>
        <v>#DIV/0!</v>
      </c>
      <c r="L27" s="242" t="e">
        <f>'KU Efficiencies'!J$54*('KU Shares'!R27/'KU Efficiencies'!J27)/('KU Shares'!R$12/'KU Efficiencies'!J$12)</f>
        <v>#DIV/0!</v>
      </c>
      <c r="M27" s="242">
        <f>'KU Efficiencies'!K$54*('KU Shares'!T27/(1/'KU Efficiencies'!K27))/('KU Shares'!T$12/(1/'KU Efficiencies'!K$12))</f>
        <v>653.65379683373146</v>
      </c>
      <c r="N27" s="242">
        <f>'KU Efficiencies'!L$54*('KU Shares'!U27/(1/'KU Efficiencies'!L27))/('KU Shares'!U$12/(1/'KU Efficiencies'!L$12))</f>
        <v>547.67201282999065</v>
      </c>
      <c r="O27" s="242">
        <f>'KU Efficiencies'!M$54*('KU Shares'!W27/(1/'KU Efficiencies'!M27))/('KU Shares'!W$12/(1/'KU Efficiencies'!M$12))</f>
        <v>99.139004275447149</v>
      </c>
      <c r="P27" s="242">
        <f>'KU Efficiencies'!N$54*('KU Shares'!Y27/(1/'KU Efficiencies'!N27))/('KU Shares'!Y$12/(1/'KU Efficiencies'!N$12))</f>
        <v>272.62623455287655</v>
      </c>
      <c r="Q27" s="242">
        <f>'KU Efficiencies'!O$54*('KU Shares'!AA27/(1/'KU Efficiencies'!O27))/('KU Shares'!AA$12/(1/'KU Efficiencies'!O$12))</f>
        <v>237.57377305677795</v>
      </c>
      <c r="R27" s="242" t="e">
        <f>'KU Efficiencies'!P$54*('KU Shares'!AC27/(1/'KU Efficiencies'!P27))/('KU Shares'!AC$12/(1/'KU Efficiencies'!P$12))</f>
        <v>#DIV/0!</v>
      </c>
      <c r="S27" s="242" t="e">
        <f>'KU Efficiencies'!Q$54*('KU Shares'!AE27/(1/'KU Efficiencies'!Q27))/('KU Shares'!AE$12/(1/'KU Efficiencies'!Q$12))</f>
        <v>#DIV/0!</v>
      </c>
      <c r="T27" s="242" t="e">
        <f>'KU Efficiencies'!R$54*('KU Shares'!AG27/(1/'KU Efficiencies'!R27))/('KU Shares'!AG$12/(1/'KU Efficiencies'!R$12))</f>
        <v>#DIV/0!</v>
      </c>
      <c r="U27" s="242" t="e">
        <f>'KU Efficiencies'!S$54*('KU Shares'!AH27/(1/'KU Efficiencies'!S27))/('KU Shares'!AH$12/(1/'KU Efficiencies'!S$12))</f>
        <v>#DIV/0!</v>
      </c>
      <c r="V27" s="242">
        <f>'KU Efficiencies'!T$54*('KU Shares'!AI27/(1/'KU Efficiencies'!T27))/('KU Shares'!AI$12/(1/'KU Efficiencies'!T$12))</f>
        <v>1420.1696872416248</v>
      </c>
      <c r="W27" s="242">
        <f>'KU Efficiencies'!V$54*('KU Shares'!AJ27/(1/'KU Efficiencies'!X27))/('KU Shares'!AJ$12/(1/'KU Efficiencies'!X$12))</f>
        <v>4357.3862314316493</v>
      </c>
      <c r="X27" s="159" t="e">
        <f t="shared" si="26"/>
        <v>#DIV/0!</v>
      </c>
      <c r="Y27" s="240">
        <v>2020</v>
      </c>
      <c r="Z27" s="202" t="e">
        <f t="shared" si="5"/>
        <v>#DIV/0!</v>
      </c>
      <c r="AA27" s="202" t="e">
        <f t="shared" si="6"/>
        <v>#DIV/0!</v>
      </c>
      <c r="AB27" s="202" t="e">
        <f t="shared" si="7"/>
        <v>#DIV/0!</v>
      </c>
      <c r="AC27" s="202" t="e">
        <f t="shared" si="8"/>
        <v>#DIV/0!</v>
      </c>
      <c r="AD27" s="202" t="e">
        <f t="shared" si="9"/>
        <v>#DIV/0!</v>
      </c>
      <c r="AE27" s="202" t="e">
        <f t="shared" si="10"/>
        <v>#DIV/0!</v>
      </c>
      <c r="AF27" s="202" t="e">
        <f t="shared" si="11"/>
        <v>#DIV/0!</v>
      </c>
      <c r="AG27" s="202" t="e">
        <f t="shared" si="12"/>
        <v>#DIV/0!</v>
      </c>
      <c r="AH27" s="202" t="e">
        <f t="shared" si="13"/>
        <v>#DIV/0!</v>
      </c>
      <c r="AI27" s="202" t="e">
        <f t="shared" si="14"/>
        <v>#DIV/0!</v>
      </c>
      <c r="AJ27" s="202" t="e">
        <f t="shared" si="15"/>
        <v>#DIV/0!</v>
      </c>
      <c r="AK27" s="202" t="e">
        <f t="shared" si="16"/>
        <v>#DIV/0!</v>
      </c>
      <c r="AL27" s="202" t="e">
        <f t="shared" si="17"/>
        <v>#DIV/0!</v>
      </c>
      <c r="AM27" s="202" t="e">
        <f t="shared" si="18"/>
        <v>#DIV/0!</v>
      </c>
      <c r="AN27" s="202" t="e">
        <f t="shared" si="19"/>
        <v>#DIV/0!</v>
      </c>
      <c r="AO27" s="202" t="e">
        <f t="shared" si="20"/>
        <v>#DIV/0!</v>
      </c>
      <c r="AP27" s="202" t="e">
        <f t="shared" si="21"/>
        <v>#DIV/0!</v>
      </c>
      <c r="AQ27" s="202" t="e">
        <f t="shared" si="22"/>
        <v>#DIV/0!</v>
      </c>
      <c r="AR27" s="202" t="e">
        <f t="shared" si="23"/>
        <v>#DIV/0!</v>
      </c>
      <c r="AS27" s="202" t="e">
        <f t="shared" si="24"/>
        <v>#DIV/0!</v>
      </c>
    </row>
    <row r="28" spans="1:45" x14ac:dyDescent="0.2">
      <c r="A28" s="208">
        <v>2021</v>
      </c>
      <c r="B28" s="241">
        <f t="shared" si="25"/>
        <v>1645.955641061933</v>
      </c>
      <c r="C28" s="241" t="e">
        <f t="shared" si="2"/>
        <v>#DIV/0!</v>
      </c>
      <c r="D28" s="242">
        <f>'KU Efficiencies'!B$54*'KU StructuralVars'!$Q28*('KU Shares'!B28/'KU Efficiencies'!B28)/('KU Shares'!B$12/'KU Efficiencies'!B$12)</f>
        <v>1005.5762583614676</v>
      </c>
      <c r="E28" s="242">
        <f>'KU Efficiencies'!C$54*'KU StructuralVars'!$Q28*('KU Shares'!D28/'KU Efficiencies'!C28)/('KU Shares'!D$12/'KU Efficiencies'!C$12)</f>
        <v>548.11142029368989</v>
      </c>
      <c r="F28" s="242">
        <f>'KU Efficiencies'!D$54*'KU StructuralVars'!$Q28*('KU Shares'!F28/'KU Efficiencies'!D28)/('KU Shares'!F$12/'KU Efficiencies'!D$12)</f>
        <v>45.085221503101565</v>
      </c>
      <c r="G28" s="242">
        <f>'KU Efficiencies'!E$54*'KU StructuralVars'!$Q28*('KU Shares'!H28/(1/'KU Efficiencies'!E28))/('KU Shares'!H$12/(1/'KU Efficiencies'!E$12))</f>
        <v>47.182740903673952</v>
      </c>
      <c r="H28" s="242" t="e">
        <f>'KU Efficiencies'!F$54*'KU StructuralVars'!$R28*('KU Shares'!J28/'KU Efficiencies'!F28)/('KU Shares'!J$12/'KU Efficiencies'!F$12)</f>
        <v>#DIV/0!</v>
      </c>
      <c r="I28" s="242" t="e">
        <f>'KU Efficiencies'!G$54*'KU StructuralVars'!$R28*('KU Shares'!L28/'KU Efficiencies'!G28)/('KU Shares'!L$12/'KU Efficiencies'!G$12)</f>
        <v>#DIV/0!</v>
      </c>
      <c r="J28" s="242" t="e">
        <f>'KU Efficiencies'!H$54*'KU StructuralVars'!$R28*('KU Shares'!N28/'KU Efficiencies'!H28)/('KU Shares'!N$12/'KU Efficiencies'!H$12)</f>
        <v>#DIV/0!</v>
      </c>
      <c r="K28" s="242" t="e">
        <f>'KU Efficiencies'!I$54*'KU StructuralVars'!$R28*('KU Shares'!P28/'KU Efficiencies'!I28)/('KU Shares'!P$12/'KU Efficiencies'!I$12)</f>
        <v>#DIV/0!</v>
      </c>
      <c r="L28" s="242" t="e">
        <f>'KU Efficiencies'!J$54*('KU Shares'!R28/'KU Efficiencies'!J28)/('KU Shares'!R$12/'KU Efficiencies'!J$12)</f>
        <v>#DIV/0!</v>
      </c>
      <c r="M28" s="242">
        <f>'KU Efficiencies'!K$54*('KU Shares'!T28/(1/'KU Efficiencies'!K28))/('KU Shares'!T$12/(1/'KU Efficiencies'!K$12))</f>
        <v>652.10374948345975</v>
      </c>
      <c r="N28" s="242">
        <f>'KU Efficiencies'!L$54*('KU Shares'!U28/(1/'KU Efficiencies'!L28))/('KU Shares'!U$12/(1/'KU Efficiencies'!L$12))</f>
        <v>539.63590273643638</v>
      </c>
      <c r="O28" s="242">
        <f>'KU Efficiencies'!M$54*('KU Shares'!W28/(1/'KU Efficiencies'!M28))/('KU Shares'!W$12/(1/'KU Efficiencies'!M$12))</f>
        <v>97.610288215918459</v>
      </c>
      <c r="P28" s="242">
        <f>'KU Efficiencies'!N$54*('KU Shares'!Y28/(1/'KU Efficiencies'!N28))/('KU Shares'!Y$12/(1/'KU Efficiencies'!N$12))</f>
        <v>270.77884783082521</v>
      </c>
      <c r="Q28" s="242">
        <f>'KU Efficiencies'!O$54*('KU Shares'!AA28/(1/'KU Efficiencies'!O28))/('KU Shares'!AA$12/(1/'KU Efficiencies'!O$12))</f>
        <v>236.91927458380204</v>
      </c>
      <c r="R28" s="242" t="e">
        <f>'KU Efficiencies'!P$54*('KU Shares'!AC28/(1/'KU Efficiencies'!P28))/('KU Shares'!AC$12/(1/'KU Efficiencies'!P$12))</f>
        <v>#DIV/0!</v>
      </c>
      <c r="S28" s="242" t="e">
        <f>'KU Efficiencies'!Q$54*('KU Shares'!AE28/(1/'KU Efficiencies'!Q28))/('KU Shares'!AE$12/(1/'KU Efficiencies'!Q$12))</f>
        <v>#DIV/0!</v>
      </c>
      <c r="T28" s="242" t="e">
        <f>'KU Efficiencies'!R$54*('KU Shares'!AG28/(1/'KU Efficiencies'!R28))/('KU Shares'!AG$12/(1/'KU Efficiencies'!R$12))</f>
        <v>#DIV/0!</v>
      </c>
      <c r="U28" s="242" t="e">
        <f>'KU Efficiencies'!S$54*('KU Shares'!AH28/(1/'KU Efficiencies'!S28))/('KU Shares'!AH$12/(1/'KU Efficiencies'!S$12))</f>
        <v>#DIV/0!</v>
      </c>
      <c r="V28" s="242">
        <f>'KU Efficiencies'!T$54*('KU Shares'!AI28/(1/'KU Efficiencies'!T28))/('KU Shares'!AI$12/(1/'KU Efficiencies'!T$12))</f>
        <v>1385.6187004209894</v>
      </c>
      <c r="W28" s="242">
        <f>'KU Efficiencies'!V$54*('KU Shares'!AJ28/(1/'KU Efficiencies'!X28))/('KU Shares'!AJ$12/(1/'KU Efficiencies'!X$12))</f>
        <v>4419.7784415372143</v>
      </c>
      <c r="X28" s="159" t="e">
        <f t="shared" si="26"/>
        <v>#DIV/0!</v>
      </c>
      <c r="Y28" s="208">
        <v>2021</v>
      </c>
      <c r="Z28" s="202" t="e">
        <f t="shared" si="5"/>
        <v>#DIV/0!</v>
      </c>
      <c r="AA28" s="202" t="e">
        <f t="shared" si="6"/>
        <v>#DIV/0!</v>
      </c>
      <c r="AB28" s="202" t="e">
        <f t="shared" si="7"/>
        <v>#DIV/0!</v>
      </c>
      <c r="AC28" s="202" t="e">
        <f t="shared" si="8"/>
        <v>#DIV/0!</v>
      </c>
      <c r="AD28" s="202" t="e">
        <f t="shared" si="9"/>
        <v>#DIV/0!</v>
      </c>
      <c r="AE28" s="202" t="e">
        <f t="shared" si="10"/>
        <v>#DIV/0!</v>
      </c>
      <c r="AF28" s="202" t="e">
        <f t="shared" si="11"/>
        <v>#DIV/0!</v>
      </c>
      <c r="AG28" s="202" t="e">
        <f t="shared" si="12"/>
        <v>#DIV/0!</v>
      </c>
      <c r="AH28" s="202" t="e">
        <f t="shared" si="13"/>
        <v>#DIV/0!</v>
      </c>
      <c r="AI28" s="202" t="e">
        <f t="shared" si="14"/>
        <v>#DIV/0!</v>
      </c>
      <c r="AJ28" s="202" t="e">
        <f t="shared" si="15"/>
        <v>#DIV/0!</v>
      </c>
      <c r="AK28" s="202" t="e">
        <f t="shared" si="16"/>
        <v>#DIV/0!</v>
      </c>
      <c r="AL28" s="202" t="e">
        <f t="shared" si="17"/>
        <v>#DIV/0!</v>
      </c>
      <c r="AM28" s="202" t="e">
        <f t="shared" si="18"/>
        <v>#DIV/0!</v>
      </c>
      <c r="AN28" s="202" t="e">
        <f t="shared" si="19"/>
        <v>#DIV/0!</v>
      </c>
      <c r="AO28" s="202" t="e">
        <f t="shared" si="20"/>
        <v>#DIV/0!</v>
      </c>
      <c r="AP28" s="202" t="e">
        <f t="shared" si="21"/>
        <v>#DIV/0!</v>
      </c>
      <c r="AQ28" s="202" t="e">
        <f t="shared" si="22"/>
        <v>#DIV/0!</v>
      </c>
      <c r="AR28" s="202" t="e">
        <f t="shared" si="23"/>
        <v>#DIV/0!</v>
      </c>
      <c r="AS28" s="202" t="e">
        <f t="shared" si="24"/>
        <v>#DIV/0!</v>
      </c>
    </row>
    <row r="29" spans="1:45" x14ac:dyDescent="0.2">
      <c r="A29" s="208">
        <v>2022</v>
      </c>
      <c r="B29" s="241">
        <f t="shared" si="25"/>
        <v>1642.4128057213823</v>
      </c>
      <c r="C29" s="241" t="e">
        <f t="shared" si="2"/>
        <v>#DIV/0!</v>
      </c>
      <c r="D29" s="242">
        <f>'KU Efficiencies'!B$54*'KU StructuralVars'!$Q29*('KU Shares'!B29/'KU Efficiencies'!B29)/('KU Shares'!B$12/'KU Efficiencies'!B$12)</f>
        <v>999.53741696470343</v>
      </c>
      <c r="E29" s="242">
        <f>'KU Efficiencies'!C$54*'KU StructuralVars'!$Q29*('KU Shares'!D29/'KU Efficiencies'!C29)/('KU Shares'!D$12/'KU Efficiencies'!C$12)</f>
        <v>551.4710416890324</v>
      </c>
      <c r="F29" s="242">
        <f>'KU Efficiencies'!D$54*'KU StructuralVars'!$Q29*('KU Shares'!F29/'KU Efficiencies'!D29)/('KU Shares'!F$12/'KU Efficiencies'!D$12)</f>
        <v>45.919766867430603</v>
      </c>
      <c r="G29" s="242">
        <f>'KU Efficiencies'!E$54*'KU StructuralVars'!$Q29*('KU Shares'!H29/(1/'KU Efficiencies'!E29))/('KU Shares'!H$12/(1/'KU Efficiencies'!E$12))</f>
        <v>45.484580200215859</v>
      </c>
      <c r="H29" s="242" t="e">
        <f>'KU Efficiencies'!F$54*'KU StructuralVars'!$R29*('KU Shares'!J29/'KU Efficiencies'!F29)/('KU Shares'!J$12/'KU Efficiencies'!F$12)</f>
        <v>#DIV/0!</v>
      </c>
      <c r="I29" s="242" t="e">
        <f>'KU Efficiencies'!G$54*'KU StructuralVars'!$R29*('KU Shares'!L29/'KU Efficiencies'!G29)/('KU Shares'!L$12/'KU Efficiencies'!G$12)</f>
        <v>#DIV/0!</v>
      </c>
      <c r="J29" s="242" t="e">
        <f>'KU Efficiencies'!H$54*'KU StructuralVars'!$R29*('KU Shares'!N29/'KU Efficiencies'!H29)/('KU Shares'!N$12/'KU Efficiencies'!H$12)</f>
        <v>#DIV/0!</v>
      </c>
      <c r="K29" s="242" t="e">
        <f>'KU Efficiencies'!I$54*'KU StructuralVars'!$R29*('KU Shares'!P29/'KU Efficiencies'!I29)/('KU Shares'!P$12/'KU Efficiencies'!I$12)</f>
        <v>#DIV/0!</v>
      </c>
      <c r="L29" s="242" t="e">
        <f>'KU Efficiencies'!J$54*('KU Shares'!R29/'KU Efficiencies'!J29)/('KU Shares'!R$12/'KU Efficiencies'!J$12)</f>
        <v>#DIV/0!</v>
      </c>
      <c r="M29" s="242">
        <f>'KU Efficiencies'!K$54*('KU Shares'!T29/(1/'KU Efficiencies'!K29))/('KU Shares'!T$12/(1/'KU Efficiencies'!K$12))</f>
        <v>652.45781104939886</v>
      </c>
      <c r="N29" s="242">
        <f>'KU Efficiencies'!L$54*('KU Shares'!U29/(1/'KU Efficiencies'!L29))/('KU Shares'!U$12/(1/'KU Efficiencies'!L$12))</f>
        <v>532.32951461427729</v>
      </c>
      <c r="O29" s="242">
        <f>'KU Efficiencies'!M$54*('KU Shares'!W29/(1/'KU Efficiencies'!M29))/('KU Shares'!W$12/(1/'KU Efficiencies'!M$12))</f>
        <v>96.199347803424558</v>
      </c>
      <c r="P29" s="242">
        <f>'KU Efficiencies'!N$54*('KU Shares'!Y29/(1/'KU Efficiencies'!N29))/('KU Shares'!Y$12/(1/'KU Efficiencies'!N$12))</f>
        <v>269.04010322681029</v>
      </c>
      <c r="Q29" s="242">
        <f>'KU Efficiencies'!O$54*('KU Shares'!AA29/(1/'KU Efficiencies'!O29))/('KU Shares'!AA$12/(1/'KU Efficiencies'!O$12))</f>
        <v>237.36180240815457</v>
      </c>
      <c r="R29" s="242" t="e">
        <f>'KU Efficiencies'!P$54*('KU Shares'!AC29/(1/'KU Efficiencies'!P29))/('KU Shares'!AC$12/(1/'KU Efficiencies'!P$12))</f>
        <v>#DIV/0!</v>
      </c>
      <c r="S29" s="242" t="e">
        <f>'KU Efficiencies'!Q$54*('KU Shares'!AE29/(1/'KU Efficiencies'!Q29))/('KU Shares'!AE$12/(1/'KU Efficiencies'!Q$12))</f>
        <v>#DIV/0!</v>
      </c>
      <c r="T29" s="242" t="e">
        <f>'KU Efficiencies'!R$54*('KU Shares'!AG29/(1/'KU Efficiencies'!R29))/('KU Shares'!AG$12/(1/'KU Efficiencies'!R$12))</f>
        <v>#DIV/0!</v>
      </c>
      <c r="U29" s="242" t="e">
        <f>'KU Efficiencies'!S$54*('KU Shares'!AH29/(1/'KU Efficiencies'!S29))/('KU Shares'!AH$12/(1/'KU Efficiencies'!S$12))</f>
        <v>#DIV/0!</v>
      </c>
      <c r="V29" s="242">
        <f>'KU Efficiencies'!T$54*('KU Shares'!AI29/(1/'KU Efficiencies'!T29))/('KU Shares'!AI$12/(1/'KU Efficiencies'!T$12))</f>
        <v>1363.8862184146387</v>
      </c>
      <c r="W29" s="242">
        <f>'KU Efficiencies'!V$54*('KU Shares'!AJ29/(1/'KU Efficiencies'!X29))/('KU Shares'!AJ$12/(1/'KU Efficiencies'!X$12))</f>
        <v>4507.5161361295432</v>
      </c>
      <c r="X29" s="159" t="e">
        <f t="shared" si="26"/>
        <v>#DIV/0!</v>
      </c>
      <c r="Y29" s="208">
        <v>2022</v>
      </c>
      <c r="Z29" s="202" t="e">
        <f t="shared" si="5"/>
        <v>#DIV/0!</v>
      </c>
      <c r="AA29" s="202" t="e">
        <f t="shared" si="6"/>
        <v>#DIV/0!</v>
      </c>
      <c r="AB29" s="202" t="e">
        <f t="shared" si="7"/>
        <v>#DIV/0!</v>
      </c>
      <c r="AC29" s="202" t="e">
        <f t="shared" si="8"/>
        <v>#DIV/0!</v>
      </c>
      <c r="AD29" s="202" t="e">
        <f t="shared" si="9"/>
        <v>#DIV/0!</v>
      </c>
      <c r="AE29" s="202" t="e">
        <f t="shared" si="10"/>
        <v>#DIV/0!</v>
      </c>
      <c r="AF29" s="202" t="e">
        <f t="shared" si="11"/>
        <v>#DIV/0!</v>
      </c>
      <c r="AG29" s="202" t="e">
        <f t="shared" si="12"/>
        <v>#DIV/0!</v>
      </c>
      <c r="AH29" s="202" t="e">
        <f t="shared" si="13"/>
        <v>#DIV/0!</v>
      </c>
      <c r="AI29" s="202" t="e">
        <f t="shared" si="14"/>
        <v>#DIV/0!</v>
      </c>
      <c r="AJ29" s="202" t="e">
        <f t="shared" si="15"/>
        <v>#DIV/0!</v>
      </c>
      <c r="AK29" s="202" t="e">
        <f t="shared" si="16"/>
        <v>#DIV/0!</v>
      </c>
      <c r="AL29" s="202" t="e">
        <f t="shared" si="17"/>
        <v>#DIV/0!</v>
      </c>
      <c r="AM29" s="202" t="e">
        <f t="shared" si="18"/>
        <v>#DIV/0!</v>
      </c>
      <c r="AN29" s="202" t="e">
        <f t="shared" si="19"/>
        <v>#DIV/0!</v>
      </c>
      <c r="AO29" s="202" t="e">
        <f t="shared" si="20"/>
        <v>#DIV/0!</v>
      </c>
      <c r="AP29" s="202" t="e">
        <f t="shared" si="21"/>
        <v>#DIV/0!</v>
      </c>
      <c r="AQ29" s="202" t="e">
        <f t="shared" si="22"/>
        <v>#DIV/0!</v>
      </c>
      <c r="AR29" s="202" t="e">
        <f t="shared" si="23"/>
        <v>#DIV/0!</v>
      </c>
      <c r="AS29" s="202" t="e">
        <f t="shared" si="24"/>
        <v>#DIV/0!</v>
      </c>
    </row>
    <row r="30" spans="1:45" x14ac:dyDescent="0.2">
      <c r="A30" s="208">
        <v>2023</v>
      </c>
      <c r="B30" s="241">
        <f t="shared" si="25"/>
        <v>1639.0330505056008</v>
      </c>
      <c r="C30" s="241" t="e">
        <f t="shared" si="2"/>
        <v>#DIV/0!</v>
      </c>
      <c r="D30" s="242">
        <f>'KU Efficiencies'!B$54*'KU StructuralVars'!$Q30*('KU Shares'!B30/'KU Efficiencies'!B30)/('KU Shares'!B$12/'KU Efficiencies'!B$12)</f>
        <v>993.68273342042369</v>
      </c>
      <c r="E30" s="242">
        <f>'KU Efficiencies'!C$54*'KU StructuralVars'!$Q30*('KU Shares'!D30/'KU Efficiencies'!C30)/('KU Shares'!D$12/'KU Efficiencies'!C$12)</f>
        <v>554.86991677169249</v>
      </c>
      <c r="F30" s="242">
        <f>'KU Efficiencies'!D$54*'KU StructuralVars'!$Q30*('KU Shares'!F30/'KU Efficiencies'!D30)/('KU Shares'!F$12/'KU Efficiencies'!D$12)</f>
        <v>46.640647417277428</v>
      </c>
      <c r="G30" s="242">
        <f>'KU Efficiencies'!E$54*'KU StructuralVars'!$Q30*('KU Shares'!H30/(1/'KU Efficiencies'!E30))/('KU Shares'!H$12/(1/'KU Efficiencies'!E$12))</f>
        <v>43.839752896206967</v>
      </c>
      <c r="H30" s="242" t="e">
        <f>'KU Efficiencies'!F$54*'KU StructuralVars'!$R30*('KU Shares'!J30/'KU Efficiencies'!F30)/('KU Shares'!J$12/'KU Efficiencies'!F$12)</f>
        <v>#DIV/0!</v>
      </c>
      <c r="I30" s="242" t="e">
        <f>'KU Efficiencies'!G$54*'KU StructuralVars'!$R30*('KU Shares'!L30/'KU Efficiencies'!G30)/('KU Shares'!L$12/'KU Efficiencies'!G$12)</f>
        <v>#DIV/0!</v>
      </c>
      <c r="J30" s="242" t="e">
        <f>'KU Efficiencies'!H$54*'KU StructuralVars'!$R30*('KU Shares'!N30/'KU Efficiencies'!H30)/('KU Shares'!N$12/'KU Efficiencies'!H$12)</f>
        <v>#DIV/0!</v>
      </c>
      <c r="K30" s="242" t="e">
        <f>'KU Efficiencies'!I$54*'KU StructuralVars'!$R30*('KU Shares'!P30/'KU Efficiencies'!I30)/('KU Shares'!P$12/'KU Efficiencies'!I$12)</f>
        <v>#DIV/0!</v>
      </c>
      <c r="L30" s="242" t="e">
        <f>'KU Efficiencies'!J$54*('KU Shares'!R30/'KU Efficiencies'!J30)/('KU Shares'!R$12/'KU Efficiencies'!J$12)</f>
        <v>#DIV/0!</v>
      </c>
      <c r="M30" s="242">
        <f>'KU Efficiencies'!K$54*('KU Shares'!T30/(1/'KU Efficiencies'!K30))/('KU Shares'!T$12/(1/'KU Efficiencies'!K$12))</f>
        <v>652.91234282867856</v>
      </c>
      <c r="N30" s="242">
        <f>'KU Efficiencies'!L$54*('KU Shares'!U30/(1/'KU Efficiencies'!L30))/('KU Shares'!U$12/(1/'KU Efficiencies'!L$12))</f>
        <v>525.82991420751284</v>
      </c>
      <c r="O30" s="242">
        <f>'KU Efficiencies'!M$54*('KU Shares'!W30/(1/'KU Efficiencies'!M30))/('KU Shares'!W$12/(1/'KU Efficiencies'!M$12))</f>
        <v>94.937808855685162</v>
      </c>
      <c r="P30" s="242">
        <f>'KU Efficiencies'!N$54*('KU Shares'!Y30/(1/'KU Efficiencies'!N30))/('KU Shares'!Y$12/(1/'KU Efficiencies'!N$12))</f>
        <v>267.43663744590657</v>
      </c>
      <c r="Q30" s="242">
        <f>'KU Efficiencies'!O$54*('KU Shares'!AA30/(1/'KU Efficiencies'!O30))/('KU Shares'!AA$12/(1/'KU Efficiencies'!O$12))</f>
        <v>238.04432487223812</v>
      </c>
      <c r="R30" s="242" t="e">
        <f>'KU Efficiencies'!P$54*('KU Shares'!AC30/(1/'KU Efficiencies'!P30))/('KU Shares'!AC$12/(1/'KU Efficiencies'!P$12))</f>
        <v>#DIV/0!</v>
      </c>
      <c r="S30" s="242" t="e">
        <f>'KU Efficiencies'!Q$54*('KU Shares'!AE30/(1/'KU Efficiencies'!Q30))/('KU Shares'!AE$12/(1/'KU Efficiencies'!Q$12))</f>
        <v>#DIV/0!</v>
      </c>
      <c r="T30" s="242" t="e">
        <f>'KU Efficiencies'!R$54*('KU Shares'!AG30/(1/'KU Efficiencies'!R30))/('KU Shares'!AG$12/(1/'KU Efficiencies'!R$12))</f>
        <v>#DIV/0!</v>
      </c>
      <c r="U30" s="242" t="e">
        <f>'KU Efficiencies'!S$54*('KU Shares'!AH30/(1/'KU Efficiencies'!S30))/('KU Shares'!AH$12/(1/'KU Efficiencies'!S$12))</f>
        <v>#DIV/0!</v>
      </c>
      <c r="V30" s="242">
        <f>'KU Efficiencies'!T$54*('KU Shares'!AI30/(1/'KU Efficiencies'!T30))/('KU Shares'!AI$12/(1/'KU Efficiencies'!T$12))</f>
        <v>1348.4191042943687</v>
      </c>
      <c r="W30" s="242">
        <f>'KU Efficiencies'!V$54*('KU Shares'!AJ30/(1/'KU Efficiencies'!X30))/('KU Shares'!AJ$12/(1/'KU Efficiencies'!X$12))</f>
        <v>4595.4255753521002</v>
      </c>
      <c r="X30" s="159" t="e">
        <f t="shared" si="26"/>
        <v>#DIV/0!</v>
      </c>
      <c r="Y30" s="208">
        <v>2023</v>
      </c>
      <c r="Z30" s="202" t="e">
        <f t="shared" si="5"/>
        <v>#DIV/0!</v>
      </c>
      <c r="AA30" s="202" t="e">
        <f t="shared" si="6"/>
        <v>#DIV/0!</v>
      </c>
      <c r="AB30" s="202" t="e">
        <f t="shared" si="7"/>
        <v>#DIV/0!</v>
      </c>
      <c r="AC30" s="202" t="e">
        <f t="shared" si="8"/>
        <v>#DIV/0!</v>
      </c>
      <c r="AD30" s="202" t="e">
        <f t="shared" si="9"/>
        <v>#DIV/0!</v>
      </c>
      <c r="AE30" s="202" t="e">
        <f t="shared" si="10"/>
        <v>#DIV/0!</v>
      </c>
      <c r="AF30" s="202" t="e">
        <f t="shared" si="11"/>
        <v>#DIV/0!</v>
      </c>
      <c r="AG30" s="202" t="e">
        <f t="shared" si="12"/>
        <v>#DIV/0!</v>
      </c>
      <c r="AH30" s="202" t="e">
        <f t="shared" si="13"/>
        <v>#DIV/0!</v>
      </c>
      <c r="AI30" s="202" t="e">
        <f t="shared" si="14"/>
        <v>#DIV/0!</v>
      </c>
      <c r="AJ30" s="202" t="e">
        <f t="shared" si="15"/>
        <v>#DIV/0!</v>
      </c>
      <c r="AK30" s="202" t="e">
        <f t="shared" si="16"/>
        <v>#DIV/0!</v>
      </c>
      <c r="AL30" s="202" t="e">
        <f t="shared" si="17"/>
        <v>#DIV/0!</v>
      </c>
      <c r="AM30" s="202" t="e">
        <f t="shared" si="18"/>
        <v>#DIV/0!</v>
      </c>
      <c r="AN30" s="202" t="e">
        <f t="shared" si="19"/>
        <v>#DIV/0!</v>
      </c>
      <c r="AO30" s="202" t="e">
        <f t="shared" si="20"/>
        <v>#DIV/0!</v>
      </c>
      <c r="AP30" s="202" t="e">
        <f t="shared" si="21"/>
        <v>#DIV/0!</v>
      </c>
      <c r="AQ30" s="202" t="e">
        <f t="shared" si="22"/>
        <v>#DIV/0!</v>
      </c>
      <c r="AR30" s="202" t="e">
        <f t="shared" si="23"/>
        <v>#DIV/0!</v>
      </c>
      <c r="AS30" s="202" t="e">
        <f t="shared" si="24"/>
        <v>#DIV/0!</v>
      </c>
    </row>
    <row r="31" spans="1:45" x14ac:dyDescent="0.2">
      <c r="A31" s="208">
        <v>2024</v>
      </c>
      <c r="B31" s="241">
        <f t="shared" si="25"/>
        <v>1636.0981773372127</v>
      </c>
      <c r="C31" s="241" t="e">
        <f t="shared" si="2"/>
        <v>#DIV/0!</v>
      </c>
      <c r="D31" s="242">
        <f>'KU Efficiencies'!B$54*'KU StructuralVars'!$Q31*('KU Shares'!B31/'KU Efficiencies'!B31)/('KU Shares'!B$12/'KU Efficiencies'!B$12)</f>
        <v>988.03787610729034</v>
      </c>
      <c r="E31" s="242">
        <f>'KU Efficiencies'!C$54*'KU StructuralVars'!$Q31*('KU Shares'!D31/'KU Efficiencies'!C31)/('KU Shares'!D$12/'KU Efficiencies'!C$12)</f>
        <v>558.40638435552307</v>
      </c>
      <c r="F31" s="242">
        <f>'KU Efficiencies'!D$54*'KU StructuralVars'!$Q31*('KU Shares'!F31/'KU Efficiencies'!D31)/('KU Shares'!F$12/'KU Efficiencies'!D$12)</f>
        <v>47.279842121090745</v>
      </c>
      <c r="G31" s="242">
        <f>'KU Efficiencies'!E$54*'KU StructuralVars'!$Q31*('KU Shares'!H31/(1/'KU Efficiencies'!E31))/('KU Shares'!H$12/(1/'KU Efficiencies'!E$12))</f>
        <v>42.374074753308633</v>
      </c>
      <c r="H31" s="242" t="e">
        <f>'KU Efficiencies'!F$54*'KU StructuralVars'!$R31*('KU Shares'!J31/'KU Efficiencies'!F31)/('KU Shares'!J$12/'KU Efficiencies'!F$12)</f>
        <v>#DIV/0!</v>
      </c>
      <c r="I31" s="242" t="e">
        <f>'KU Efficiencies'!G$54*'KU StructuralVars'!$R31*('KU Shares'!L31/'KU Efficiencies'!G31)/('KU Shares'!L$12/'KU Efficiencies'!G$12)</f>
        <v>#DIV/0!</v>
      </c>
      <c r="J31" s="242" t="e">
        <f>'KU Efficiencies'!H$54*'KU StructuralVars'!$R31*('KU Shares'!N31/'KU Efficiencies'!H31)/('KU Shares'!N$12/'KU Efficiencies'!H$12)</f>
        <v>#DIV/0!</v>
      </c>
      <c r="K31" s="242" t="e">
        <f>'KU Efficiencies'!I$54*'KU StructuralVars'!$R31*('KU Shares'!P31/'KU Efficiencies'!I31)/('KU Shares'!P$12/'KU Efficiencies'!I$12)</f>
        <v>#DIV/0!</v>
      </c>
      <c r="L31" s="242" t="e">
        <f>'KU Efficiencies'!J$54*('KU Shares'!R31/'KU Efficiencies'!J31)/('KU Shares'!R$12/'KU Efficiencies'!J$12)</f>
        <v>#DIV/0!</v>
      </c>
      <c r="M31" s="242">
        <f>'KU Efficiencies'!K$54*('KU Shares'!T31/(1/'KU Efficiencies'!K31))/('KU Shares'!T$12/(1/'KU Efficiencies'!K$12))</f>
        <v>655.17553273741635</v>
      </c>
      <c r="N31" s="242">
        <f>'KU Efficiencies'!L$54*('KU Shares'!U31/(1/'KU Efficiencies'!L31))/('KU Shares'!U$12/(1/'KU Efficiencies'!L$12))</f>
        <v>520.11738969779242</v>
      </c>
      <c r="O31" s="242">
        <f>'KU Efficiencies'!M$54*('KU Shares'!W31/(1/'KU Efficiencies'!M31))/('KU Shares'!W$12/(1/'KU Efficiencies'!M$12))</f>
        <v>93.826168695470514</v>
      </c>
      <c r="P31" s="242">
        <f>'KU Efficiencies'!N$54*('KU Shares'!Y31/(1/'KU Efficiencies'!N31))/('KU Shares'!Y$12/(1/'KU Efficiencies'!N$12))</f>
        <v>265.98689471989383</v>
      </c>
      <c r="Q31" s="242">
        <f>'KU Efficiencies'!O$54*('KU Shares'!AA31/(1/'KU Efficiencies'!O31))/('KU Shares'!AA$12/(1/'KU Efficiencies'!O$12))</f>
        <v>239.64787614687137</v>
      </c>
      <c r="R31" s="242" t="e">
        <f>'KU Efficiencies'!P$54*('KU Shares'!AC31/(1/'KU Efficiencies'!P31))/('KU Shares'!AC$12/(1/'KU Efficiencies'!P$12))</f>
        <v>#DIV/0!</v>
      </c>
      <c r="S31" s="242" t="e">
        <f>'KU Efficiencies'!Q$54*('KU Shares'!AE31/(1/'KU Efficiencies'!Q31))/('KU Shares'!AE$12/(1/'KU Efficiencies'!Q$12))</f>
        <v>#DIV/0!</v>
      </c>
      <c r="T31" s="242" t="e">
        <f>'KU Efficiencies'!R$54*('KU Shares'!AG31/(1/'KU Efficiencies'!R31))/('KU Shares'!AG$12/(1/'KU Efficiencies'!R$12))</f>
        <v>#DIV/0!</v>
      </c>
      <c r="U31" s="242" t="e">
        <f>'KU Efficiencies'!S$54*('KU Shares'!AH31/(1/'KU Efficiencies'!S31))/('KU Shares'!AH$12/(1/'KU Efficiencies'!S$12))</f>
        <v>#DIV/0!</v>
      </c>
      <c r="V31" s="242">
        <f>'KU Efficiencies'!T$54*('KU Shares'!AI31/(1/'KU Efficiencies'!T31))/('KU Shares'!AI$12/(1/'KU Efficiencies'!T$12))</f>
        <v>1340.3901953197696</v>
      </c>
      <c r="W31" s="242">
        <f>'KU Efficiencies'!V$54*('KU Shares'!AJ31/(1/'KU Efficiencies'!X31))/('KU Shares'!AJ$12/(1/'KU Efficiencies'!X$12))</f>
        <v>4699.6032344355999</v>
      </c>
      <c r="X31" s="159" t="e">
        <f>SUM(D31:W31)</f>
        <v>#DIV/0!</v>
      </c>
      <c r="Y31" s="208">
        <v>2024</v>
      </c>
      <c r="Z31" s="202" t="e">
        <f t="shared" si="5"/>
        <v>#DIV/0!</v>
      </c>
      <c r="AA31" s="202" t="e">
        <f t="shared" si="6"/>
        <v>#DIV/0!</v>
      </c>
      <c r="AB31" s="202" t="e">
        <f t="shared" si="7"/>
        <v>#DIV/0!</v>
      </c>
      <c r="AC31" s="202" t="e">
        <f t="shared" si="8"/>
        <v>#DIV/0!</v>
      </c>
      <c r="AD31" s="202" t="e">
        <f t="shared" si="9"/>
        <v>#DIV/0!</v>
      </c>
      <c r="AE31" s="202" t="e">
        <f t="shared" si="10"/>
        <v>#DIV/0!</v>
      </c>
      <c r="AF31" s="202" t="e">
        <f t="shared" si="11"/>
        <v>#DIV/0!</v>
      </c>
      <c r="AG31" s="202" t="e">
        <f t="shared" si="12"/>
        <v>#DIV/0!</v>
      </c>
      <c r="AH31" s="202" t="e">
        <f t="shared" si="13"/>
        <v>#DIV/0!</v>
      </c>
      <c r="AI31" s="202" t="e">
        <f t="shared" si="14"/>
        <v>#DIV/0!</v>
      </c>
      <c r="AJ31" s="202" t="e">
        <f t="shared" si="15"/>
        <v>#DIV/0!</v>
      </c>
      <c r="AK31" s="202" t="e">
        <f t="shared" si="16"/>
        <v>#DIV/0!</v>
      </c>
      <c r="AL31" s="202" t="e">
        <f t="shared" si="17"/>
        <v>#DIV/0!</v>
      </c>
      <c r="AM31" s="202" t="e">
        <f t="shared" si="18"/>
        <v>#DIV/0!</v>
      </c>
      <c r="AN31" s="202" t="e">
        <f t="shared" si="19"/>
        <v>#DIV/0!</v>
      </c>
      <c r="AO31" s="202" t="e">
        <f t="shared" si="20"/>
        <v>#DIV/0!</v>
      </c>
      <c r="AP31" s="202" t="e">
        <f t="shared" si="21"/>
        <v>#DIV/0!</v>
      </c>
      <c r="AQ31" s="202" t="e">
        <f t="shared" si="22"/>
        <v>#DIV/0!</v>
      </c>
      <c r="AR31" s="202" t="e">
        <f t="shared" si="23"/>
        <v>#DIV/0!</v>
      </c>
      <c r="AS31" s="202" t="e">
        <f t="shared" si="24"/>
        <v>#DIV/0!</v>
      </c>
    </row>
    <row r="32" spans="1:45" x14ac:dyDescent="0.2">
      <c r="A32" s="208">
        <v>2025</v>
      </c>
      <c r="B32" s="241">
        <f t="shared" si="25"/>
        <v>1633.169801762604</v>
      </c>
      <c r="C32" s="241" t="e">
        <f t="shared" si="2"/>
        <v>#DIV/0!</v>
      </c>
      <c r="D32" s="242">
        <f>'KU Efficiencies'!B$54*'KU StructuralVars'!$Q32*('KU Shares'!B32/'KU Efficiencies'!B32)/('KU Shares'!B$12/'KU Efficiencies'!B$12)</f>
        <v>982.45134531362021</v>
      </c>
      <c r="E32" s="242">
        <f>'KU Efficiencies'!C$54*'KU StructuralVars'!$Q32*('KU Shares'!D32/'KU Efficiencies'!C32)/('KU Shares'!D$12/'KU Efficiencies'!C$12)</f>
        <v>562.17155577196581</v>
      </c>
      <c r="F32" s="242">
        <f>'KU Efficiencies'!D$54*'KU StructuralVars'!$Q32*('KU Shares'!F32/'KU Efficiencies'!D32)/('KU Shares'!F$12/'KU Efficiencies'!D$12)</f>
        <v>47.868210402578654</v>
      </c>
      <c r="G32" s="242">
        <f>'KU Efficiencies'!E$54*'KU StructuralVars'!$Q32*('KU Shares'!H32/(1/'KU Efficiencies'!E32))/('KU Shares'!H$12/(1/'KU Efficiencies'!E$12))</f>
        <v>40.678690274439475</v>
      </c>
      <c r="H32" s="242" t="e">
        <f>'KU Efficiencies'!F$54*'KU StructuralVars'!$R32*('KU Shares'!J32/'KU Efficiencies'!F32)/('KU Shares'!J$12/'KU Efficiencies'!F$12)</f>
        <v>#DIV/0!</v>
      </c>
      <c r="I32" s="242" t="e">
        <f>'KU Efficiencies'!G$54*'KU StructuralVars'!$R32*('KU Shares'!L32/'KU Efficiencies'!G32)/('KU Shares'!L$12/'KU Efficiencies'!G$12)</f>
        <v>#DIV/0!</v>
      </c>
      <c r="J32" s="242" t="e">
        <f>'KU Efficiencies'!H$54*'KU StructuralVars'!$R32*('KU Shares'!N32/'KU Efficiencies'!H32)/('KU Shares'!N$12/'KU Efficiencies'!H$12)</f>
        <v>#DIV/0!</v>
      </c>
      <c r="K32" s="242" t="e">
        <f>'KU Efficiencies'!I$54*'KU StructuralVars'!$R32*('KU Shares'!P32/'KU Efficiencies'!I32)/('KU Shares'!P$12/'KU Efficiencies'!I$12)</f>
        <v>#DIV/0!</v>
      </c>
      <c r="L32" s="242" t="e">
        <f>'KU Efficiencies'!J$54*('KU Shares'!R32/'KU Efficiencies'!J32)/('KU Shares'!R$12/'KU Efficiencies'!J$12)</f>
        <v>#DIV/0!</v>
      </c>
      <c r="M32" s="242">
        <f>'KU Efficiencies'!K$54*('KU Shares'!T32/(1/'KU Efficiencies'!K32))/('KU Shares'!T$12/(1/'KU Efficiencies'!K$12))</f>
        <v>653.66119585180218</v>
      </c>
      <c r="N32" s="242">
        <f>'KU Efficiencies'!L$54*('KU Shares'!U32/(1/'KU Efficiencies'!L32))/('KU Shares'!U$12/(1/'KU Efficiencies'!L$12))</f>
        <v>515.15786160434038</v>
      </c>
      <c r="O32" s="242">
        <f>'KU Efficiencies'!M$54*('KU Shares'!W32/(1/'KU Efficiencies'!M32))/('KU Shares'!W$12/(1/'KU Efficiencies'!M$12))</f>
        <v>92.857213454804921</v>
      </c>
      <c r="P32" s="242">
        <f>'KU Efficiencies'!N$54*('KU Shares'!Y32/(1/'KU Efficiencies'!N32))/('KU Shares'!Y$12/(1/'KU Efficiencies'!N$12))</f>
        <v>264.56696307966399</v>
      </c>
      <c r="Q32" s="242">
        <f>'KU Efficiencies'!O$54*('KU Shares'!AA32/(1/'KU Efficiencies'!O32))/('KU Shares'!AA$12/(1/'KU Efficiencies'!O$12))</f>
        <v>240.10514100759789</v>
      </c>
      <c r="R32" s="242" t="e">
        <f>'KU Efficiencies'!P$54*('KU Shares'!AC32/(1/'KU Efficiencies'!P32))/('KU Shares'!AC$12/(1/'KU Efficiencies'!P$12))</f>
        <v>#DIV/0!</v>
      </c>
      <c r="S32" s="242" t="e">
        <f>'KU Efficiencies'!Q$54*('KU Shares'!AE32/(1/'KU Efficiencies'!Q32))/('KU Shares'!AE$12/(1/'KU Efficiencies'!Q$12))</f>
        <v>#DIV/0!</v>
      </c>
      <c r="T32" s="242" t="e">
        <f>'KU Efficiencies'!R$54*('KU Shares'!AG32/(1/'KU Efficiencies'!R32))/('KU Shares'!AG$12/(1/'KU Efficiencies'!R$12))</f>
        <v>#DIV/0!</v>
      </c>
      <c r="U32" s="242" t="e">
        <f>'KU Efficiencies'!S$54*('KU Shares'!AH32/(1/'KU Efficiencies'!S32))/('KU Shares'!AH$12/(1/'KU Efficiencies'!S$12))</f>
        <v>#DIV/0!</v>
      </c>
      <c r="V32" s="242">
        <f>'KU Efficiencies'!T$54*('KU Shares'!AI32/(1/'KU Efficiencies'!T32))/('KU Shares'!AI$12/(1/'KU Efficiencies'!T$12))</f>
        <v>1325.512836165324</v>
      </c>
      <c r="W32" s="242">
        <f>'KU Efficiencies'!V$54*('KU Shares'!AJ32/(1/'KU Efficiencies'!X32))/('KU Shares'!AJ$12/(1/'KU Efficiencies'!X$12))</f>
        <v>4780.7324861579509</v>
      </c>
      <c r="X32" s="159" t="e">
        <f>SUM(D32:W32)</f>
        <v>#DIV/0!</v>
      </c>
      <c r="Y32" s="208">
        <v>2025</v>
      </c>
      <c r="Z32" s="202" t="e">
        <f t="shared" si="5"/>
        <v>#DIV/0!</v>
      </c>
      <c r="AA32" s="202" t="e">
        <f t="shared" si="6"/>
        <v>#DIV/0!</v>
      </c>
      <c r="AB32" s="202" t="e">
        <f t="shared" si="7"/>
        <v>#DIV/0!</v>
      </c>
      <c r="AC32" s="202" t="e">
        <f t="shared" si="8"/>
        <v>#DIV/0!</v>
      </c>
      <c r="AD32" s="202" t="e">
        <f t="shared" si="9"/>
        <v>#DIV/0!</v>
      </c>
      <c r="AE32" s="202" t="e">
        <f t="shared" si="10"/>
        <v>#DIV/0!</v>
      </c>
      <c r="AF32" s="202" t="e">
        <f t="shared" si="11"/>
        <v>#DIV/0!</v>
      </c>
      <c r="AG32" s="202" t="e">
        <f t="shared" si="12"/>
        <v>#DIV/0!</v>
      </c>
      <c r="AH32" s="202" t="e">
        <f t="shared" si="13"/>
        <v>#DIV/0!</v>
      </c>
      <c r="AI32" s="202" t="e">
        <f t="shared" si="14"/>
        <v>#DIV/0!</v>
      </c>
      <c r="AJ32" s="202" t="e">
        <f t="shared" si="15"/>
        <v>#DIV/0!</v>
      </c>
      <c r="AK32" s="202" t="e">
        <f t="shared" si="16"/>
        <v>#DIV/0!</v>
      </c>
      <c r="AL32" s="202" t="e">
        <f t="shared" si="17"/>
        <v>#DIV/0!</v>
      </c>
      <c r="AM32" s="202" t="e">
        <f t="shared" si="18"/>
        <v>#DIV/0!</v>
      </c>
      <c r="AN32" s="202" t="e">
        <f t="shared" si="19"/>
        <v>#DIV/0!</v>
      </c>
      <c r="AO32" s="202" t="e">
        <f t="shared" si="20"/>
        <v>#DIV/0!</v>
      </c>
      <c r="AP32" s="202" t="e">
        <f t="shared" si="21"/>
        <v>#DIV/0!</v>
      </c>
      <c r="AQ32" s="202" t="e">
        <f t="shared" si="22"/>
        <v>#DIV/0!</v>
      </c>
      <c r="AR32" s="202" t="e">
        <f t="shared" si="23"/>
        <v>#DIV/0!</v>
      </c>
      <c r="AS32" s="202" t="e">
        <f t="shared" si="24"/>
        <v>#DIV/0!</v>
      </c>
    </row>
    <row r="33" spans="1:45" x14ac:dyDescent="0.2">
      <c r="A33" s="208">
        <f t="shared" ref="A33:A49" si="27">A32+1</f>
        <v>2026</v>
      </c>
      <c r="B33" s="241">
        <f t="shared" si="25"/>
        <v>1630.6810947539195</v>
      </c>
      <c r="C33" s="241" t="e">
        <f t="shared" si="2"/>
        <v>#DIV/0!</v>
      </c>
      <c r="D33" s="242">
        <f>'KU Efficiencies'!B$54*'KU StructuralVars'!$Q33*('KU Shares'!B33/'KU Efficiencies'!B33)/('KU Shares'!B$12/'KU Efficiencies'!B$12)</f>
        <v>977.19157960601444</v>
      </c>
      <c r="E33" s="242">
        <f>'KU Efficiencies'!C$54*'KU StructuralVars'!$Q33*('KU Shares'!D33/'KU Efficiencies'!C33)/('KU Shares'!D$12/'KU Efficiencies'!C$12)</f>
        <v>566.00991320685603</v>
      </c>
      <c r="F33" s="242">
        <f>'KU Efficiencies'!D$54*'KU StructuralVars'!$Q33*('KU Shares'!F33/'KU Efficiencies'!D33)/('KU Shares'!F$12/'KU Efficiencies'!D$12)</f>
        <v>48.384781342821157</v>
      </c>
      <c r="G33" s="242">
        <f>'KU Efficiencies'!E$54*'KU StructuralVars'!$Q33*('KU Shares'!H33/(1/'KU Efficiencies'!E33))/('KU Shares'!H$12/(1/'KU Efficiencies'!E$12))</f>
        <v>39.09482059822794</v>
      </c>
      <c r="H33" s="242" t="e">
        <f>'KU Efficiencies'!F$54*'KU StructuralVars'!$R33*('KU Shares'!J33/'KU Efficiencies'!F33)/('KU Shares'!J$12/'KU Efficiencies'!F$12)</f>
        <v>#DIV/0!</v>
      </c>
      <c r="I33" s="242" t="e">
        <f>'KU Efficiencies'!G$54*'KU StructuralVars'!$R33*('KU Shares'!L33/'KU Efficiencies'!G33)/('KU Shares'!L$12/'KU Efficiencies'!G$12)</f>
        <v>#DIV/0!</v>
      </c>
      <c r="J33" s="242" t="e">
        <f>'KU Efficiencies'!H$54*'KU StructuralVars'!$R33*('KU Shares'!N33/'KU Efficiencies'!H33)/('KU Shares'!N$12/'KU Efficiencies'!H$12)</f>
        <v>#DIV/0!</v>
      </c>
      <c r="K33" s="242" t="e">
        <f>'KU Efficiencies'!I$54*'KU StructuralVars'!$R33*('KU Shares'!P33/'KU Efficiencies'!I33)/('KU Shares'!P$12/'KU Efficiencies'!I$12)</f>
        <v>#DIV/0!</v>
      </c>
      <c r="L33" s="242" t="e">
        <f>'KU Efficiencies'!J$54*('KU Shares'!R33/'KU Efficiencies'!J33)/('KU Shares'!R$12/'KU Efficiencies'!J$12)</f>
        <v>#DIV/0!</v>
      </c>
      <c r="M33" s="242">
        <f>'KU Efficiencies'!K$54*('KU Shares'!T33/(1/'KU Efficiencies'!K33))/('KU Shares'!T$12/(1/'KU Efficiencies'!K$12))</f>
        <v>653.69843247227834</v>
      </c>
      <c r="N33" s="242">
        <f>'KU Efficiencies'!L$54*('KU Shares'!U33/(1/'KU Efficiencies'!L33))/('KU Shares'!U$12/(1/'KU Efficiencies'!L$12))</f>
        <v>510.99537628550434</v>
      </c>
      <c r="O33" s="242">
        <f>'KU Efficiencies'!M$54*('KU Shares'!W33/(1/'KU Efficiencies'!M33))/('KU Shares'!W$12/(1/'KU Efficiencies'!M$12))</f>
        <v>92.025301577924949</v>
      </c>
      <c r="P33" s="242">
        <f>'KU Efficiencies'!N$54*('KU Shares'!Y33/(1/'KU Efficiencies'!N33))/('KU Shares'!Y$12/(1/'KU Efficiencies'!N$12))</f>
        <v>263.24923287084351</v>
      </c>
      <c r="Q33" s="242">
        <f>'KU Efficiencies'!O$54*('KU Shares'!AA33/(1/'KU Efficiencies'!O33))/('KU Shares'!AA$12/(1/'KU Efficiencies'!O$12))</f>
        <v>241.36304188309057</v>
      </c>
      <c r="R33" s="289" t="e">
        <f>'KU Efficiencies'!P$54*('KU Shares'!AC33/(1/'KU Efficiencies'!P33))/('KU Shares'!AC$12/(1/'KU Efficiencies'!P$12))</f>
        <v>#DIV/0!</v>
      </c>
      <c r="S33" s="242" t="e">
        <f>'KU Efficiencies'!Q$54*('KU Shares'!AE33/(1/'KU Efficiencies'!Q33))/('KU Shares'!AE$12/(1/'KU Efficiencies'!Q$12))</f>
        <v>#DIV/0!</v>
      </c>
      <c r="T33" s="242" t="e">
        <f>'KU Efficiencies'!R$54*('KU Shares'!AG33/(1/'KU Efficiencies'!R33))/('KU Shares'!AG$12/(1/'KU Efficiencies'!R$12))</f>
        <v>#DIV/0!</v>
      </c>
      <c r="U33" s="242" t="e">
        <f>'KU Efficiencies'!S$54*('KU Shares'!AH33/(1/'KU Efficiencies'!S33))/('KU Shares'!AH$12/(1/'KU Efficiencies'!S$12))</f>
        <v>#DIV/0!</v>
      </c>
      <c r="V33" s="242">
        <f>'KU Efficiencies'!T$54*('KU Shares'!AI33/(1/'KU Efficiencies'!T33))/('KU Shares'!AI$12/(1/'KU Efficiencies'!T$12))</f>
        <v>1313.8446590840515</v>
      </c>
      <c r="W33" s="242">
        <f>'KU Efficiencies'!V$54*('KU Shares'!AJ33/(1/'KU Efficiencies'!X33))/('KU Shares'!AJ$12/(1/'KU Efficiencies'!X$12))</f>
        <v>4860.741946223955</v>
      </c>
      <c r="X33" s="159" t="e">
        <f t="shared" ref="X33:X43" si="28">SUM(D33:W33)</f>
        <v>#DIV/0!</v>
      </c>
      <c r="Y33" s="208">
        <f t="shared" ref="Y33:Y49" si="29">Y32+1</f>
        <v>2026</v>
      </c>
      <c r="Z33" s="202" t="e">
        <f t="shared" si="5"/>
        <v>#DIV/0!</v>
      </c>
      <c r="AA33" s="202" t="e">
        <f t="shared" si="6"/>
        <v>#DIV/0!</v>
      </c>
      <c r="AB33" s="202" t="e">
        <f t="shared" si="7"/>
        <v>#DIV/0!</v>
      </c>
      <c r="AC33" s="202" t="e">
        <f t="shared" si="8"/>
        <v>#DIV/0!</v>
      </c>
      <c r="AD33" s="202" t="e">
        <f t="shared" si="9"/>
        <v>#DIV/0!</v>
      </c>
      <c r="AE33" s="202" t="e">
        <f t="shared" si="10"/>
        <v>#DIV/0!</v>
      </c>
      <c r="AF33" s="202" t="e">
        <f t="shared" si="11"/>
        <v>#DIV/0!</v>
      </c>
      <c r="AG33" s="202" t="e">
        <f t="shared" si="12"/>
        <v>#DIV/0!</v>
      </c>
      <c r="AH33" s="202" t="e">
        <f t="shared" si="13"/>
        <v>#DIV/0!</v>
      </c>
      <c r="AI33" s="202" t="e">
        <f t="shared" si="14"/>
        <v>#DIV/0!</v>
      </c>
      <c r="AJ33" s="202" t="e">
        <f t="shared" si="15"/>
        <v>#DIV/0!</v>
      </c>
      <c r="AK33" s="202" t="e">
        <f t="shared" si="16"/>
        <v>#DIV/0!</v>
      </c>
      <c r="AL33" s="202" t="e">
        <f t="shared" si="17"/>
        <v>#DIV/0!</v>
      </c>
      <c r="AM33" s="202" t="e">
        <f t="shared" si="18"/>
        <v>#DIV/0!</v>
      </c>
      <c r="AN33" s="202" t="e">
        <f t="shared" si="19"/>
        <v>#DIV/0!</v>
      </c>
      <c r="AO33" s="202" t="e">
        <f t="shared" si="20"/>
        <v>#DIV/0!</v>
      </c>
      <c r="AP33" s="202" t="e">
        <f t="shared" si="21"/>
        <v>#DIV/0!</v>
      </c>
      <c r="AQ33" s="202" t="e">
        <f t="shared" si="22"/>
        <v>#DIV/0!</v>
      </c>
      <c r="AR33" s="202" t="e">
        <f t="shared" si="23"/>
        <v>#DIV/0!</v>
      </c>
      <c r="AS33" s="202" t="e">
        <f t="shared" si="24"/>
        <v>#DIV/0!</v>
      </c>
    </row>
    <row r="34" spans="1:45" x14ac:dyDescent="0.2">
      <c r="A34" s="208">
        <f t="shared" si="27"/>
        <v>2027</v>
      </c>
      <c r="B34" s="241">
        <f t="shared" si="25"/>
        <v>1628.772849739081</v>
      </c>
      <c r="C34" s="241" t="e">
        <f t="shared" si="2"/>
        <v>#DIV/0!</v>
      </c>
      <c r="D34" s="242">
        <f>'KU Efficiencies'!B$54*'KU StructuralVars'!$Q34*('KU Shares'!B34/'KU Efficiencies'!B34)/('KU Shares'!B$12/'KU Efficiencies'!B$12)</f>
        <v>972.61857153142341</v>
      </c>
      <c r="E34" s="242">
        <f>'KU Efficiencies'!C$54*'KU StructuralVars'!$Q34*('KU Shares'!D34/'KU Efficiencies'!C34)/('KU Shares'!D$12/'KU Efficiencies'!C$12)</f>
        <v>569.7714364304702</v>
      </c>
      <c r="F34" s="242">
        <f>'KU Efficiencies'!D$54*'KU StructuralVars'!$Q34*('KU Shares'!F34/'KU Efficiencies'!D34)/('KU Shares'!F$12/'KU Efficiencies'!D$12)</f>
        <v>48.810365893592255</v>
      </c>
      <c r="G34" s="242">
        <f>'KU Efficiencies'!E$54*'KU StructuralVars'!$Q34*('KU Shares'!H34/(1/'KU Efficiencies'!E34))/('KU Shares'!H$12/(1/'KU Efficiencies'!E$12))</f>
        <v>37.572475883595096</v>
      </c>
      <c r="H34" s="242" t="e">
        <f>'KU Efficiencies'!F$54*'KU StructuralVars'!$R34*('KU Shares'!J34/'KU Efficiencies'!F34)/('KU Shares'!J$12/'KU Efficiencies'!F$12)</f>
        <v>#DIV/0!</v>
      </c>
      <c r="I34" s="242" t="e">
        <f>'KU Efficiencies'!G$54*'KU StructuralVars'!$R34*('KU Shares'!L34/'KU Efficiencies'!G34)/('KU Shares'!L$12/'KU Efficiencies'!G$12)</f>
        <v>#DIV/0!</v>
      </c>
      <c r="J34" s="242" t="e">
        <f>'KU Efficiencies'!H$54*'KU StructuralVars'!$R34*('KU Shares'!N34/'KU Efficiencies'!H34)/('KU Shares'!N$12/'KU Efficiencies'!H$12)</f>
        <v>#DIV/0!</v>
      </c>
      <c r="K34" s="242" t="e">
        <f>'KU Efficiencies'!I$54*'KU StructuralVars'!$R34*('KU Shares'!P34/'KU Efficiencies'!I34)/('KU Shares'!P$12/'KU Efficiencies'!I$12)</f>
        <v>#DIV/0!</v>
      </c>
      <c r="L34" s="242" t="e">
        <f>'KU Efficiencies'!J$54*('KU Shares'!R34/'KU Efficiencies'!J34)/('KU Shares'!R$12/'KU Efficiencies'!J$12)</f>
        <v>#DIV/0!</v>
      </c>
      <c r="M34" s="242">
        <f>'KU Efficiencies'!K$54*('KU Shares'!T34/(1/'KU Efficiencies'!K34))/('KU Shares'!T$12/(1/'KU Efficiencies'!K$12))</f>
        <v>653.66800493529956</v>
      </c>
      <c r="N34" s="242">
        <f>'KU Efficiencies'!L$54*('KU Shares'!U34/(1/'KU Efficiencies'!L34))/('KU Shares'!U$12/(1/'KU Efficiencies'!L$12))</f>
        <v>507.64510034570185</v>
      </c>
      <c r="O34" s="242">
        <f>'KU Efficiencies'!M$54*('KU Shares'!W34/(1/'KU Efficiencies'!M34))/('KU Shares'!W$12/(1/'KU Efficiencies'!M$12))</f>
        <v>91.324979597067738</v>
      </c>
      <c r="P34" s="242">
        <f>'KU Efficiencies'!N$54*('KU Shares'!Y34/(1/'KU Efficiencies'!N34))/('KU Shares'!Y$12/(1/'KU Efficiencies'!N$12))</f>
        <v>261.99830783411068</v>
      </c>
      <c r="Q34" s="242">
        <f>'KU Efficiencies'!O$54*('KU Shares'!AA34/(1/'KU Efficiencies'!O34))/('KU Shares'!AA$12/(1/'KU Efficiencies'!O$12))</f>
        <v>242.6694935937289</v>
      </c>
      <c r="R34" s="289" t="e">
        <f>'KU Efficiencies'!P$54*('KU Shares'!AC34/(1/'KU Efficiencies'!P34))/('KU Shares'!AC$12/(1/'KU Efficiencies'!P$12))</f>
        <v>#DIV/0!</v>
      </c>
      <c r="S34" s="242" t="e">
        <f>'KU Efficiencies'!Q$54*('KU Shares'!AE34/(1/'KU Efficiencies'!Q34))/('KU Shares'!AE$12/(1/'KU Efficiencies'!Q$12))</f>
        <v>#DIV/0!</v>
      </c>
      <c r="T34" s="242" t="e">
        <f>'KU Efficiencies'!R$54*('KU Shares'!AG34/(1/'KU Efficiencies'!R34))/('KU Shares'!AG$12/(1/'KU Efficiencies'!R$12))</f>
        <v>#DIV/0!</v>
      </c>
      <c r="U34" s="242" t="e">
        <f>'KU Efficiencies'!S$54*('KU Shares'!AH34/(1/'KU Efficiencies'!S34))/('KU Shares'!AH$12/(1/'KU Efficiencies'!S$12))</f>
        <v>#DIV/0!</v>
      </c>
      <c r="V34" s="242">
        <f>'KU Efficiencies'!T$54*('KU Shares'!AI34/(1/'KU Efficiencies'!T34))/('KU Shares'!AI$12/(1/'KU Efficiencies'!T$12))</f>
        <v>1303.1420537531549</v>
      </c>
      <c r="W34" s="242">
        <f>'KU Efficiencies'!V$54*('KU Shares'!AJ34/(1/'KU Efficiencies'!X34))/('KU Shares'!AJ$12/(1/'KU Efficiencies'!X$12))</f>
        <v>4942.9372854593857</v>
      </c>
      <c r="X34" s="159" t="e">
        <f t="shared" si="28"/>
        <v>#DIV/0!</v>
      </c>
      <c r="Y34" s="208">
        <f t="shared" si="29"/>
        <v>2027</v>
      </c>
      <c r="Z34" s="202" t="e">
        <f t="shared" si="5"/>
        <v>#DIV/0!</v>
      </c>
      <c r="AA34" s="202" t="e">
        <f t="shared" si="6"/>
        <v>#DIV/0!</v>
      </c>
      <c r="AB34" s="202" t="e">
        <f t="shared" si="7"/>
        <v>#DIV/0!</v>
      </c>
      <c r="AC34" s="202" t="e">
        <f t="shared" si="8"/>
        <v>#DIV/0!</v>
      </c>
      <c r="AD34" s="202" t="e">
        <f t="shared" si="9"/>
        <v>#DIV/0!</v>
      </c>
      <c r="AE34" s="202" t="e">
        <f t="shared" si="10"/>
        <v>#DIV/0!</v>
      </c>
      <c r="AF34" s="202" t="e">
        <f t="shared" si="11"/>
        <v>#DIV/0!</v>
      </c>
      <c r="AG34" s="202" t="e">
        <f t="shared" si="12"/>
        <v>#DIV/0!</v>
      </c>
      <c r="AH34" s="202" t="e">
        <f t="shared" si="13"/>
        <v>#DIV/0!</v>
      </c>
      <c r="AI34" s="202" t="e">
        <f t="shared" si="14"/>
        <v>#DIV/0!</v>
      </c>
      <c r="AJ34" s="202" t="e">
        <f t="shared" si="15"/>
        <v>#DIV/0!</v>
      </c>
      <c r="AK34" s="202" t="e">
        <f t="shared" si="16"/>
        <v>#DIV/0!</v>
      </c>
      <c r="AL34" s="202" t="e">
        <f t="shared" si="17"/>
        <v>#DIV/0!</v>
      </c>
      <c r="AM34" s="202" t="e">
        <f t="shared" si="18"/>
        <v>#DIV/0!</v>
      </c>
      <c r="AN34" s="202" t="e">
        <f t="shared" si="19"/>
        <v>#DIV/0!</v>
      </c>
      <c r="AO34" s="202" t="e">
        <f t="shared" si="20"/>
        <v>#DIV/0!</v>
      </c>
      <c r="AP34" s="202" t="e">
        <f t="shared" si="21"/>
        <v>#DIV/0!</v>
      </c>
      <c r="AQ34" s="202" t="e">
        <f t="shared" si="22"/>
        <v>#DIV/0!</v>
      </c>
      <c r="AR34" s="202" t="e">
        <f t="shared" si="23"/>
        <v>#DIV/0!</v>
      </c>
      <c r="AS34" s="202" t="e">
        <f t="shared" si="24"/>
        <v>#DIV/0!</v>
      </c>
    </row>
    <row r="35" spans="1:45" x14ac:dyDescent="0.2">
      <c r="A35" s="208">
        <f t="shared" si="27"/>
        <v>2028</v>
      </c>
      <c r="B35" s="241">
        <f t="shared" si="25"/>
        <v>1627.3298126412519</v>
      </c>
      <c r="C35" s="241" t="e">
        <f t="shared" si="2"/>
        <v>#DIV/0!</v>
      </c>
      <c r="D35" s="242">
        <f>'KU Efficiencies'!B$54*'KU StructuralVars'!$Q35*('KU Shares'!B35/'KU Efficiencies'!B35)/('KU Shares'!B$12/'KU Efficiencies'!B$12)</f>
        <v>968.66439063034568</v>
      </c>
      <c r="E35" s="242">
        <f>'KU Efficiencies'!C$54*'KU StructuralVars'!$Q35*('KU Shares'!D35/'KU Efficiencies'!C35)/('KU Shares'!D$12/'KU Efficiencies'!C$12)</f>
        <v>573.31413187577448</v>
      </c>
      <c r="F35" s="242">
        <f>'KU Efficiencies'!D$54*'KU StructuralVars'!$Q35*('KU Shares'!F35/'KU Efficiencies'!D35)/('KU Shares'!F$12/'KU Efficiencies'!D$12)</f>
        <v>49.14727757771476</v>
      </c>
      <c r="G35" s="242">
        <f>'KU Efficiencies'!E$54*'KU StructuralVars'!$Q35*('KU Shares'!H35/(1/'KU Efficiencies'!E35))/('KU Shares'!H$12/(1/'KU Efficiencies'!E$12))</f>
        <v>36.20401255741708</v>
      </c>
      <c r="H35" s="242" t="e">
        <f>'KU Efficiencies'!F$54*'KU StructuralVars'!$R35*('KU Shares'!J35/'KU Efficiencies'!F35)/('KU Shares'!J$12/'KU Efficiencies'!F$12)</f>
        <v>#DIV/0!</v>
      </c>
      <c r="I35" s="242" t="e">
        <f>'KU Efficiencies'!G$54*'KU StructuralVars'!$R35*('KU Shares'!L35/'KU Efficiencies'!G35)/('KU Shares'!L$12/'KU Efficiencies'!G$12)</f>
        <v>#DIV/0!</v>
      </c>
      <c r="J35" s="242" t="e">
        <f>'KU Efficiencies'!H$54*'KU StructuralVars'!$R35*('KU Shares'!N35/'KU Efficiencies'!H35)/('KU Shares'!N$12/'KU Efficiencies'!H$12)</f>
        <v>#DIV/0!</v>
      </c>
      <c r="K35" s="242" t="e">
        <f>'KU Efficiencies'!I$54*'KU StructuralVars'!$R35*('KU Shares'!P35/'KU Efficiencies'!I35)/('KU Shares'!P$12/'KU Efficiencies'!I$12)</f>
        <v>#DIV/0!</v>
      </c>
      <c r="L35" s="242" t="e">
        <f>'KU Efficiencies'!J$54*('KU Shares'!R35/'KU Efficiencies'!J35)/('KU Shares'!R$12/'KU Efficiencies'!J$12)</f>
        <v>#DIV/0!</v>
      </c>
      <c r="M35" s="242">
        <f>'KU Efficiencies'!K$54*('KU Shares'!T35/(1/'KU Efficiencies'!K35))/('KU Shares'!T$12/(1/'KU Efficiencies'!K$12))</f>
        <v>655.3890107085308</v>
      </c>
      <c r="N35" s="242">
        <f>'KU Efficiencies'!L$54*('KU Shares'!U35/(1/'KU Efficiencies'!L35))/('KU Shares'!U$12/(1/'KU Efficiencies'!L$12))</f>
        <v>504.73066394410944</v>
      </c>
      <c r="O35" s="242">
        <f>'KU Efficiencies'!M$54*('KU Shares'!W35/(1/'KU Efficiencies'!M35))/('KU Shares'!W$12/(1/'KU Efficiencies'!M$12))</f>
        <v>90.69114666380672</v>
      </c>
      <c r="P35" s="242">
        <f>'KU Efficiencies'!N$54*('KU Shares'!Y35/(1/'KU Efficiencies'!N35))/('KU Shares'!Y$12/(1/'KU Efficiencies'!N$12))</f>
        <v>260.78799898537159</v>
      </c>
      <c r="Q35" s="242">
        <f>'KU Efficiencies'!O$54*('KU Shares'!AA35/(1/'KU Efficiencies'!O35))/('KU Shares'!AA$12/(1/'KU Efficiencies'!O$12))</f>
        <v>244.66447312551261</v>
      </c>
      <c r="R35" s="289" t="e">
        <f>'KU Efficiencies'!P$54*('KU Shares'!AC35/(1/'KU Efficiencies'!P35))/('KU Shares'!AC$12/(1/'KU Efficiencies'!P$12))</f>
        <v>#DIV/0!</v>
      </c>
      <c r="S35" s="242" t="e">
        <f>'KU Efficiencies'!Q$54*('KU Shares'!AE35/(1/'KU Efficiencies'!Q35))/('KU Shares'!AE$12/(1/'KU Efficiencies'!Q$12))</f>
        <v>#DIV/0!</v>
      </c>
      <c r="T35" s="242" t="e">
        <f>'KU Efficiencies'!R$54*('KU Shares'!AG35/(1/'KU Efficiencies'!R35))/('KU Shares'!AG$12/(1/'KU Efficiencies'!R$12))</f>
        <v>#DIV/0!</v>
      </c>
      <c r="U35" s="242" t="e">
        <f>'KU Efficiencies'!S$54*('KU Shares'!AH35/(1/'KU Efficiencies'!S35))/('KU Shares'!AH$12/(1/'KU Efficiencies'!S$12))</f>
        <v>#DIV/0!</v>
      </c>
      <c r="V35" s="242">
        <f>'KU Efficiencies'!T$54*('KU Shares'!AI35/(1/'KU Efficiencies'!T35))/('KU Shares'!AI$12/(1/'KU Efficiencies'!T$12))</f>
        <v>1296.8080228294411</v>
      </c>
      <c r="W35" s="242">
        <f>'KU Efficiencies'!V$54*('KU Shares'!AJ35/(1/'KU Efficiencies'!X35))/('KU Shares'!AJ$12/(1/'KU Efficiencies'!X$12))</f>
        <v>5040.7167517456473</v>
      </c>
      <c r="X35" s="159" t="e">
        <f t="shared" si="28"/>
        <v>#DIV/0!</v>
      </c>
      <c r="Y35" s="208">
        <f t="shared" si="29"/>
        <v>2028</v>
      </c>
      <c r="Z35" s="202" t="e">
        <f t="shared" si="5"/>
        <v>#DIV/0!</v>
      </c>
      <c r="AA35" s="202" t="e">
        <f t="shared" si="6"/>
        <v>#DIV/0!</v>
      </c>
      <c r="AB35" s="202" t="e">
        <f t="shared" si="7"/>
        <v>#DIV/0!</v>
      </c>
      <c r="AC35" s="202" t="e">
        <f t="shared" si="8"/>
        <v>#DIV/0!</v>
      </c>
      <c r="AD35" s="202" t="e">
        <f t="shared" si="9"/>
        <v>#DIV/0!</v>
      </c>
      <c r="AE35" s="202" t="e">
        <f t="shared" si="10"/>
        <v>#DIV/0!</v>
      </c>
      <c r="AF35" s="202" t="e">
        <f t="shared" si="11"/>
        <v>#DIV/0!</v>
      </c>
      <c r="AG35" s="202" t="e">
        <f t="shared" si="12"/>
        <v>#DIV/0!</v>
      </c>
      <c r="AH35" s="202" t="e">
        <f t="shared" si="13"/>
        <v>#DIV/0!</v>
      </c>
      <c r="AI35" s="202" t="e">
        <f t="shared" si="14"/>
        <v>#DIV/0!</v>
      </c>
      <c r="AJ35" s="202" t="e">
        <f t="shared" si="15"/>
        <v>#DIV/0!</v>
      </c>
      <c r="AK35" s="202" t="e">
        <f t="shared" si="16"/>
        <v>#DIV/0!</v>
      </c>
      <c r="AL35" s="202" t="e">
        <f t="shared" si="17"/>
        <v>#DIV/0!</v>
      </c>
      <c r="AM35" s="202" t="e">
        <f t="shared" si="18"/>
        <v>#DIV/0!</v>
      </c>
      <c r="AN35" s="202" t="e">
        <f t="shared" si="19"/>
        <v>#DIV/0!</v>
      </c>
      <c r="AO35" s="202" t="e">
        <f t="shared" si="20"/>
        <v>#DIV/0!</v>
      </c>
      <c r="AP35" s="202" t="e">
        <f t="shared" si="21"/>
        <v>#DIV/0!</v>
      </c>
      <c r="AQ35" s="202" t="e">
        <f t="shared" si="22"/>
        <v>#DIV/0!</v>
      </c>
      <c r="AR35" s="202" t="e">
        <f t="shared" si="23"/>
        <v>#DIV/0!</v>
      </c>
      <c r="AS35" s="202" t="e">
        <f t="shared" si="24"/>
        <v>#DIV/0!</v>
      </c>
    </row>
    <row r="36" spans="1:45" x14ac:dyDescent="0.2">
      <c r="A36" s="208">
        <f t="shared" si="27"/>
        <v>2029</v>
      </c>
      <c r="B36" s="241">
        <f t="shared" si="25"/>
        <v>1625.8637853963614</v>
      </c>
      <c r="C36" s="241" t="e">
        <f t="shared" si="2"/>
        <v>#DIV/0!</v>
      </c>
      <c r="D36" s="242">
        <f>'KU Efficiencies'!B$54*'KU StructuralVars'!$Q36*('KU Shares'!B36/'KU Efficiencies'!B36)/('KU Shares'!B$12/'KU Efficiencies'!B$12)</f>
        <v>965.0002869455293</v>
      </c>
      <c r="E36" s="242">
        <f>'KU Efficiencies'!C$54*'KU StructuralVars'!$Q36*('KU Shares'!D36/'KU Efficiencies'!C36)/('KU Shares'!D$12/'KU Efficiencies'!C$12)</f>
        <v>576.76078729264009</v>
      </c>
      <c r="F36" s="242">
        <f>'KU Efficiencies'!D$54*'KU StructuralVars'!$Q36*('KU Shares'!F36/'KU Efficiencies'!D36)/('KU Shares'!F$12/'KU Efficiencies'!D$12)</f>
        <v>49.422482078055886</v>
      </c>
      <c r="G36" s="242">
        <f>'KU Efficiencies'!E$54*'KU StructuralVars'!$Q36*('KU Shares'!H36/(1/'KU Efficiencies'!E36))/('KU Shares'!H$12/(1/'KU Efficiencies'!E$12))</f>
        <v>34.680229080136066</v>
      </c>
      <c r="H36" s="242" t="e">
        <f>'KU Efficiencies'!F$54*'KU StructuralVars'!$R36*('KU Shares'!J36/'KU Efficiencies'!F36)/('KU Shares'!J$12/'KU Efficiencies'!F$12)</f>
        <v>#DIV/0!</v>
      </c>
      <c r="I36" s="242" t="e">
        <f>'KU Efficiencies'!G$54*'KU StructuralVars'!$R36*('KU Shares'!L36/'KU Efficiencies'!G36)/('KU Shares'!L$12/'KU Efficiencies'!G$12)</f>
        <v>#DIV/0!</v>
      </c>
      <c r="J36" s="242" t="e">
        <f>'KU Efficiencies'!H$54*'KU StructuralVars'!$R36*('KU Shares'!N36/'KU Efficiencies'!H36)/('KU Shares'!N$12/'KU Efficiencies'!H$12)</f>
        <v>#DIV/0!</v>
      </c>
      <c r="K36" s="242" t="e">
        <f>'KU Efficiencies'!I$54*'KU StructuralVars'!$R36*('KU Shares'!P36/'KU Efficiencies'!I36)/('KU Shares'!P$12/'KU Efficiencies'!I$12)</f>
        <v>#DIV/0!</v>
      </c>
      <c r="L36" s="242" t="e">
        <f>'KU Efficiencies'!J$54*('KU Shares'!R36/'KU Efficiencies'!J36)/('KU Shares'!R$12/'KU Efficiencies'!J$12)</f>
        <v>#DIV/0!</v>
      </c>
      <c r="M36" s="242">
        <f>'KU Efficiencies'!K$54*('KU Shares'!T36/(1/'KU Efficiencies'!K36))/('KU Shares'!T$12/(1/'KU Efficiencies'!K$12))</f>
        <v>653.53450973443591</v>
      </c>
      <c r="N36" s="242">
        <f>'KU Efficiencies'!L$54*('KU Shares'!U36/(1/'KU Efficiencies'!L36))/('KU Shares'!U$12/(1/'KU Efficiencies'!L$12))</f>
        <v>502.10324317205459</v>
      </c>
      <c r="O36" s="242">
        <f>'KU Efficiencies'!M$54*('KU Shares'!W36/(1/'KU Efficiencies'!M36))/('KU Shares'!W$12/(1/'KU Efficiencies'!M$12))</f>
        <v>90.110991964853923</v>
      </c>
      <c r="P36" s="242">
        <f>'KU Efficiencies'!N$54*('KU Shares'!Y36/(1/'KU Efficiencies'!N36))/('KU Shares'!Y$12/(1/'KU Efficiencies'!N$12))</f>
        <v>259.6419486456868</v>
      </c>
      <c r="Q36" s="242">
        <f>'KU Efficiencies'!O$54*('KU Shares'!AA36/(1/'KU Efficiencies'!O36))/('KU Shares'!AA$12/(1/'KU Efficiencies'!O$12))</f>
        <v>245.36397151346449</v>
      </c>
      <c r="R36" s="289" t="e">
        <f>'KU Efficiencies'!P$54*('KU Shares'!AC36/(1/'KU Efficiencies'!P36))/('KU Shares'!AC$12/(1/'KU Efficiencies'!P$12))</f>
        <v>#DIV/0!</v>
      </c>
      <c r="S36" s="242" t="e">
        <f>'KU Efficiencies'!Q$54*('KU Shares'!AE36/(1/'KU Efficiencies'!Q36))/('KU Shares'!AE$12/(1/'KU Efficiencies'!Q$12))</f>
        <v>#DIV/0!</v>
      </c>
      <c r="T36" s="242" t="e">
        <f>'KU Efficiencies'!R$54*('KU Shares'!AG36/(1/'KU Efficiencies'!R36))/('KU Shares'!AG$12/(1/'KU Efficiencies'!R$12))</f>
        <v>#DIV/0!</v>
      </c>
      <c r="U36" s="242" t="e">
        <f>'KU Efficiencies'!S$54*('KU Shares'!AH36/(1/'KU Efficiencies'!S36))/('KU Shares'!AH$12/(1/'KU Efficiencies'!S$12))</f>
        <v>#DIV/0!</v>
      </c>
      <c r="V36" s="242">
        <f>'KU Efficiencies'!T$54*('KU Shares'!AI36/(1/'KU Efficiencies'!T36))/('KU Shares'!AI$12/(1/'KU Efficiencies'!T$12))</f>
        <v>1284.4339846733546</v>
      </c>
      <c r="W36" s="242">
        <f>'KU Efficiencies'!V$54*('KU Shares'!AJ36/(1/'KU Efficiencies'!X36))/('KU Shares'!AJ$12/(1/'KU Efficiencies'!X$12))</f>
        <v>5104.0342908898765</v>
      </c>
      <c r="X36" s="159" t="e">
        <f t="shared" si="28"/>
        <v>#DIV/0!</v>
      </c>
      <c r="Y36" s="208">
        <f t="shared" si="29"/>
        <v>2029</v>
      </c>
      <c r="Z36" s="202" t="e">
        <f t="shared" si="5"/>
        <v>#DIV/0!</v>
      </c>
      <c r="AA36" s="202" t="e">
        <f t="shared" si="6"/>
        <v>#DIV/0!</v>
      </c>
      <c r="AB36" s="202" t="e">
        <f t="shared" si="7"/>
        <v>#DIV/0!</v>
      </c>
      <c r="AC36" s="202" t="e">
        <f t="shared" si="8"/>
        <v>#DIV/0!</v>
      </c>
      <c r="AD36" s="202" t="e">
        <f t="shared" si="9"/>
        <v>#DIV/0!</v>
      </c>
      <c r="AE36" s="202" t="e">
        <f t="shared" si="10"/>
        <v>#DIV/0!</v>
      </c>
      <c r="AF36" s="202" t="e">
        <f t="shared" si="11"/>
        <v>#DIV/0!</v>
      </c>
      <c r="AG36" s="202" t="e">
        <f t="shared" si="12"/>
        <v>#DIV/0!</v>
      </c>
      <c r="AH36" s="202" t="e">
        <f t="shared" si="13"/>
        <v>#DIV/0!</v>
      </c>
      <c r="AI36" s="202" t="e">
        <f t="shared" si="14"/>
        <v>#DIV/0!</v>
      </c>
      <c r="AJ36" s="202" t="e">
        <f t="shared" si="15"/>
        <v>#DIV/0!</v>
      </c>
      <c r="AK36" s="202" t="e">
        <f t="shared" si="16"/>
        <v>#DIV/0!</v>
      </c>
      <c r="AL36" s="202" t="e">
        <f t="shared" si="17"/>
        <v>#DIV/0!</v>
      </c>
      <c r="AM36" s="202" t="e">
        <f t="shared" si="18"/>
        <v>#DIV/0!</v>
      </c>
      <c r="AN36" s="202" t="e">
        <f t="shared" si="19"/>
        <v>#DIV/0!</v>
      </c>
      <c r="AO36" s="202" t="e">
        <f t="shared" si="20"/>
        <v>#DIV/0!</v>
      </c>
      <c r="AP36" s="202" t="e">
        <f t="shared" si="21"/>
        <v>#DIV/0!</v>
      </c>
      <c r="AQ36" s="202" t="e">
        <f t="shared" si="22"/>
        <v>#DIV/0!</v>
      </c>
      <c r="AR36" s="202" t="e">
        <f t="shared" si="23"/>
        <v>#DIV/0!</v>
      </c>
      <c r="AS36" s="202" t="e">
        <f t="shared" si="24"/>
        <v>#DIV/0!</v>
      </c>
    </row>
    <row r="37" spans="1:45" x14ac:dyDescent="0.2">
      <c r="A37" s="208">
        <f t="shared" si="27"/>
        <v>2030</v>
      </c>
      <c r="B37" s="241">
        <f t="shared" si="25"/>
        <v>1624.4191892618308</v>
      </c>
      <c r="C37" s="241" t="e">
        <f t="shared" si="2"/>
        <v>#DIV/0!</v>
      </c>
      <c r="D37" s="242">
        <f>'KU Efficiencies'!B$54*'KU StructuralVars'!$Q37*('KU Shares'!B37/'KU Efficiencies'!B37)/('KU Shares'!B$12/'KU Efficiencies'!B$12)</f>
        <v>961.2578000922199</v>
      </c>
      <c r="E37" s="242">
        <f>'KU Efficiencies'!C$54*'KU StructuralVars'!$Q37*('KU Shares'!D37/'KU Efficiencies'!C37)/('KU Shares'!D$12/'KU Efficiencies'!C$12)</f>
        <v>580.17358441578676</v>
      </c>
      <c r="F37" s="242">
        <f>'KU Efficiencies'!D$54*'KU StructuralVars'!$Q37*('KU Shares'!F37/'KU Efficiencies'!D37)/('KU Shares'!F$12/'KU Efficiencies'!D$12)</f>
        <v>49.669118545830671</v>
      </c>
      <c r="G37" s="242">
        <f>'KU Efficiencies'!E$54*'KU StructuralVars'!$Q37*('KU Shares'!H37/(1/'KU Efficiencies'!E37))/('KU Shares'!H$12/(1/'KU Efficiencies'!E$12))</f>
        <v>33.318686207993316</v>
      </c>
      <c r="H37" s="242" t="e">
        <f>'KU Efficiencies'!F$54*'KU StructuralVars'!$R37*('KU Shares'!J37/'KU Efficiencies'!F37)/('KU Shares'!J$12/'KU Efficiencies'!F$12)</f>
        <v>#DIV/0!</v>
      </c>
      <c r="I37" s="242" t="e">
        <f>'KU Efficiencies'!G$54*'KU StructuralVars'!$R37*('KU Shares'!L37/'KU Efficiencies'!G37)/('KU Shares'!L$12/'KU Efficiencies'!G$12)</f>
        <v>#DIV/0!</v>
      </c>
      <c r="J37" s="242" t="e">
        <f>'KU Efficiencies'!H$54*'KU StructuralVars'!$R37*('KU Shares'!N37/'KU Efficiencies'!H37)/('KU Shares'!N$12/'KU Efficiencies'!H$12)</f>
        <v>#DIV/0!</v>
      </c>
      <c r="K37" s="242" t="e">
        <f>'KU Efficiencies'!I$54*'KU StructuralVars'!$R37*('KU Shares'!P37/'KU Efficiencies'!I37)/('KU Shares'!P$12/'KU Efficiencies'!I$12)</f>
        <v>#DIV/0!</v>
      </c>
      <c r="L37" s="242" t="e">
        <f>'KU Efficiencies'!J$54*('KU Shares'!R37/'KU Efficiencies'!J37)/('KU Shares'!R$12/'KU Efficiencies'!J$12)</f>
        <v>#DIV/0!</v>
      </c>
      <c r="M37" s="242">
        <f>'KU Efficiencies'!K$54*('KU Shares'!T37/(1/'KU Efficiencies'!K37))/('KU Shares'!T$12/(1/'KU Efficiencies'!K$12))</f>
        <v>653.6421131180474</v>
      </c>
      <c r="N37" s="242">
        <f>'KU Efficiencies'!L$54*('KU Shares'!U37/(1/'KU Efficiencies'!L37))/('KU Shares'!U$12/(1/'KU Efficiencies'!L$12))</f>
        <v>499.74888463081169</v>
      </c>
      <c r="O37" s="242">
        <f>'KU Efficiencies'!M$54*('KU Shares'!W37/(1/'KU Efficiencies'!M37))/('KU Shares'!W$12/(1/'KU Efficiencies'!M$12))</f>
        <v>89.587513422183235</v>
      </c>
      <c r="P37" s="242">
        <f>'KU Efficiencies'!N$54*('KU Shares'!Y37/(1/'KU Efficiencies'!N37))/('KU Shares'!Y$12/(1/'KU Efficiencies'!N$12))</f>
        <v>258.57451904822392</v>
      </c>
      <c r="Q37" s="242">
        <f>'KU Efficiencies'!O$54*('KU Shares'!AA37/(1/'KU Efficiencies'!O37))/('KU Shares'!AA$12/(1/'KU Efficiencies'!O$12))</f>
        <v>246.81887096362888</v>
      </c>
      <c r="R37" s="289" t="e">
        <f>'KU Efficiencies'!P$54*('KU Shares'!AC37/(1/'KU Efficiencies'!P37))/('KU Shares'!AC$12/(1/'KU Efficiencies'!P$12))</f>
        <v>#DIV/0!</v>
      </c>
      <c r="S37" s="242" t="e">
        <f>'KU Efficiencies'!Q$54*('KU Shares'!AE37/(1/'KU Efficiencies'!Q37))/('KU Shares'!AE$12/(1/'KU Efficiencies'!Q$12))</f>
        <v>#DIV/0!</v>
      </c>
      <c r="T37" s="242" t="e">
        <f>'KU Efficiencies'!R$54*('KU Shares'!AG37/(1/'KU Efficiencies'!R37))/('KU Shares'!AG$12/(1/'KU Efficiencies'!R$12))</f>
        <v>#DIV/0!</v>
      </c>
      <c r="U37" s="242" t="e">
        <f>'KU Efficiencies'!S$54*('KU Shares'!AH37/(1/'KU Efficiencies'!S37))/('KU Shares'!AH$12/(1/'KU Efficiencies'!S$12))</f>
        <v>#DIV/0!</v>
      </c>
      <c r="V37" s="242">
        <f>'KU Efficiencies'!T$54*('KU Shares'!AI37/(1/'KU Efficiencies'!T37))/('KU Shares'!AI$12/(1/'KU Efficiencies'!T$12))</f>
        <v>1278.0660447026999</v>
      </c>
      <c r="W37" s="242">
        <f>'KU Efficiencies'!V$54*('KU Shares'!AJ37/(1/'KU Efficiencies'!X37))/('KU Shares'!AJ$12/(1/'KU Efficiencies'!X$12))</f>
        <v>5196.5954231553469</v>
      </c>
      <c r="X37" s="159" t="e">
        <f t="shared" si="28"/>
        <v>#DIV/0!</v>
      </c>
      <c r="Y37" s="208">
        <f t="shared" si="29"/>
        <v>2030</v>
      </c>
      <c r="Z37" s="202" t="e">
        <f t="shared" si="5"/>
        <v>#DIV/0!</v>
      </c>
      <c r="AA37" s="202" t="e">
        <f t="shared" si="6"/>
        <v>#DIV/0!</v>
      </c>
      <c r="AB37" s="202" t="e">
        <f t="shared" si="7"/>
        <v>#DIV/0!</v>
      </c>
      <c r="AC37" s="202" t="e">
        <f t="shared" si="8"/>
        <v>#DIV/0!</v>
      </c>
      <c r="AD37" s="202" t="e">
        <f t="shared" si="9"/>
        <v>#DIV/0!</v>
      </c>
      <c r="AE37" s="202" t="e">
        <f t="shared" si="10"/>
        <v>#DIV/0!</v>
      </c>
      <c r="AF37" s="202" t="e">
        <f t="shared" si="11"/>
        <v>#DIV/0!</v>
      </c>
      <c r="AG37" s="202" t="e">
        <f t="shared" si="12"/>
        <v>#DIV/0!</v>
      </c>
      <c r="AH37" s="202" t="e">
        <f t="shared" si="13"/>
        <v>#DIV/0!</v>
      </c>
      <c r="AI37" s="202" t="e">
        <f t="shared" si="14"/>
        <v>#DIV/0!</v>
      </c>
      <c r="AJ37" s="202" t="e">
        <f t="shared" si="15"/>
        <v>#DIV/0!</v>
      </c>
      <c r="AK37" s="202" t="e">
        <f t="shared" si="16"/>
        <v>#DIV/0!</v>
      </c>
      <c r="AL37" s="202" t="e">
        <f t="shared" si="17"/>
        <v>#DIV/0!</v>
      </c>
      <c r="AM37" s="202" t="e">
        <f t="shared" si="18"/>
        <v>#DIV/0!</v>
      </c>
      <c r="AN37" s="202" t="e">
        <f t="shared" si="19"/>
        <v>#DIV/0!</v>
      </c>
      <c r="AO37" s="202" t="e">
        <f t="shared" si="20"/>
        <v>#DIV/0!</v>
      </c>
      <c r="AP37" s="202" t="e">
        <f t="shared" si="21"/>
        <v>#DIV/0!</v>
      </c>
      <c r="AQ37" s="202" t="e">
        <f t="shared" si="22"/>
        <v>#DIV/0!</v>
      </c>
      <c r="AR37" s="202" t="e">
        <f t="shared" si="23"/>
        <v>#DIV/0!</v>
      </c>
      <c r="AS37" s="202" t="e">
        <f t="shared" si="24"/>
        <v>#DIV/0!</v>
      </c>
    </row>
    <row r="38" spans="1:45" x14ac:dyDescent="0.2">
      <c r="A38" s="208">
        <f t="shared" si="27"/>
        <v>2031</v>
      </c>
      <c r="B38" s="241">
        <f t="shared" si="25"/>
        <v>1622.9849900318513</v>
      </c>
      <c r="C38" s="241" t="e">
        <f t="shared" si="2"/>
        <v>#DIV/0!</v>
      </c>
      <c r="D38" s="242">
        <f>'KU Efficiencies'!B$54*'KU StructuralVars'!$Q38*('KU Shares'!B38/'KU Efficiencies'!B38)/('KU Shares'!B$12/'KU Efficiencies'!B$12)</f>
        <v>957.6562352689341</v>
      </c>
      <c r="E38" s="242">
        <f>'KU Efficiencies'!C$54*'KU StructuralVars'!$Q38*('KU Shares'!D38/'KU Efficiencies'!C38)/('KU Shares'!D$12/'KU Efficiencies'!C$12)</f>
        <v>583.45961716180693</v>
      </c>
      <c r="F38" s="242">
        <f>'KU Efficiencies'!D$54*'KU StructuralVars'!$Q38*('KU Shares'!F38/'KU Efficiencies'!D38)/('KU Shares'!F$12/'KU Efficiencies'!D$12)</f>
        <v>49.884393437315936</v>
      </c>
      <c r="G38" s="242">
        <f>'KU Efficiencies'!E$54*'KU StructuralVars'!$Q38*('KU Shares'!H38/(1/'KU Efficiencies'!E38))/('KU Shares'!H$12/(1/'KU Efficiencies'!E$12))</f>
        <v>31.984744163794151</v>
      </c>
      <c r="H38" s="242" t="e">
        <f>'KU Efficiencies'!F$54*'KU StructuralVars'!$R38*('KU Shares'!J38/'KU Efficiencies'!F38)/('KU Shares'!J$12/'KU Efficiencies'!F$12)</f>
        <v>#DIV/0!</v>
      </c>
      <c r="I38" s="242" t="e">
        <f>'KU Efficiencies'!G$54*'KU StructuralVars'!$R38*('KU Shares'!L38/'KU Efficiencies'!G38)/('KU Shares'!L$12/'KU Efficiencies'!G$12)</f>
        <v>#DIV/0!</v>
      </c>
      <c r="J38" s="242" t="e">
        <f>'KU Efficiencies'!H$54*'KU StructuralVars'!$R38*('KU Shares'!N38/'KU Efficiencies'!H38)/('KU Shares'!N$12/'KU Efficiencies'!H$12)</f>
        <v>#DIV/0!</v>
      </c>
      <c r="K38" s="242" t="e">
        <f>'KU Efficiencies'!I$54*'KU StructuralVars'!$R38*('KU Shares'!P38/'KU Efficiencies'!I38)/('KU Shares'!P$12/'KU Efficiencies'!I$12)</f>
        <v>#DIV/0!</v>
      </c>
      <c r="L38" s="242" t="e">
        <f>'KU Efficiencies'!J$54*('KU Shares'!R38/'KU Efficiencies'!J38)/('KU Shares'!R$12/'KU Efficiencies'!J$12)</f>
        <v>#DIV/0!</v>
      </c>
      <c r="M38" s="242">
        <f>'KU Efficiencies'!K$54*('KU Shares'!T38/(1/'KU Efficiencies'!K38))/('KU Shares'!T$12/(1/'KU Efficiencies'!K$12))</f>
        <v>653.67141428352386</v>
      </c>
      <c r="N38" s="242">
        <f>'KU Efficiencies'!L$54*('KU Shares'!U38/(1/'KU Efficiencies'!L38))/('KU Shares'!U$12/(1/'KU Efficiencies'!L$12))</f>
        <v>497.64002239468465</v>
      </c>
      <c r="O38" s="242">
        <f>'KU Efficiencies'!M$54*('KU Shares'!W38/(1/'KU Efficiencies'!M38))/('KU Shares'!W$12/(1/'KU Efficiencies'!M$12))</f>
        <v>89.110685790518559</v>
      </c>
      <c r="P38" s="242">
        <f>'KU Efficiencies'!N$54*('KU Shares'!Y38/(1/'KU Efficiencies'!N38))/('KU Shares'!Y$12/(1/'KU Efficiencies'!N$12))</f>
        <v>257.59898824906321</v>
      </c>
      <c r="Q38" s="242">
        <f>'KU Efficiencies'!O$54*('KU Shares'!AA38/(1/'KU Efficiencies'!O38))/('KU Shares'!AA$12/(1/'KU Efficiencies'!O$12))</f>
        <v>248.33684999855112</v>
      </c>
      <c r="R38" s="289" t="e">
        <f>'KU Efficiencies'!P$54*('KU Shares'!AC38/(1/'KU Efficiencies'!P38))/('KU Shares'!AC$12/(1/'KU Efficiencies'!P$12))</f>
        <v>#DIV/0!</v>
      </c>
      <c r="S38" s="242" t="e">
        <f>'KU Efficiencies'!Q$54*('KU Shares'!AE38/(1/'KU Efficiencies'!Q38))/('KU Shares'!AE$12/(1/'KU Efficiencies'!Q$12))</f>
        <v>#DIV/0!</v>
      </c>
      <c r="T38" s="242" t="e">
        <f>'KU Efficiencies'!R$54*('KU Shares'!AG38/(1/'KU Efficiencies'!R38))/('KU Shares'!AG$12/(1/'KU Efficiencies'!R$12))</f>
        <v>#DIV/0!</v>
      </c>
      <c r="U38" s="242" t="e">
        <f>'KU Efficiencies'!S$54*('KU Shares'!AH38/(1/'KU Efficiencies'!S38))/('KU Shares'!AH$12/(1/'KU Efficiencies'!S$12))</f>
        <v>#DIV/0!</v>
      </c>
      <c r="V38" s="242">
        <f>'KU Efficiencies'!T$54*('KU Shares'!AI38/(1/'KU Efficiencies'!T38))/('KU Shares'!AI$12/(1/'KU Efficiencies'!T$12))</f>
        <v>1273.089043415582</v>
      </c>
      <c r="W38" s="242">
        <f>'KU Efficiencies'!V$54*('KU Shares'!AJ38/(1/'KU Efficiencies'!X38))/('KU Shares'!AJ$12/(1/'KU Efficiencies'!X$12))</f>
        <v>5275.0670240298059</v>
      </c>
      <c r="X38" s="159" t="e">
        <f t="shared" si="28"/>
        <v>#DIV/0!</v>
      </c>
      <c r="Y38" s="208">
        <f t="shared" si="29"/>
        <v>2031</v>
      </c>
      <c r="Z38" s="202" t="e">
        <f t="shared" si="5"/>
        <v>#DIV/0!</v>
      </c>
      <c r="AA38" s="202" t="e">
        <f t="shared" si="6"/>
        <v>#DIV/0!</v>
      </c>
      <c r="AB38" s="202" t="e">
        <f t="shared" si="7"/>
        <v>#DIV/0!</v>
      </c>
      <c r="AC38" s="202" t="e">
        <f t="shared" si="8"/>
        <v>#DIV/0!</v>
      </c>
      <c r="AD38" s="202" t="e">
        <f t="shared" si="9"/>
        <v>#DIV/0!</v>
      </c>
      <c r="AE38" s="202" t="e">
        <f t="shared" si="10"/>
        <v>#DIV/0!</v>
      </c>
      <c r="AF38" s="202" t="e">
        <f t="shared" si="11"/>
        <v>#DIV/0!</v>
      </c>
      <c r="AG38" s="202" t="e">
        <f t="shared" si="12"/>
        <v>#DIV/0!</v>
      </c>
      <c r="AH38" s="202" t="e">
        <f t="shared" si="13"/>
        <v>#DIV/0!</v>
      </c>
      <c r="AI38" s="202" t="e">
        <f t="shared" si="14"/>
        <v>#DIV/0!</v>
      </c>
      <c r="AJ38" s="202" t="e">
        <f t="shared" si="15"/>
        <v>#DIV/0!</v>
      </c>
      <c r="AK38" s="202" t="e">
        <f t="shared" si="16"/>
        <v>#DIV/0!</v>
      </c>
      <c r="AL38" s="202" t="e">
        <f t="shared" si="17"/>
        <v>#DIV/0!</v>
      </c>
      <c r="AM38" s="202" t="e">
        <f t="shared" si="18"/>
        <v>#DIV/0!</v>
      </c>
      <c r="AN38" s="202" t="e">
        <f t="shared" si="19"/>
        <v>#DIV/0!</v>
      </c>
      <c r="AO38" s="202" t="e">
        <f t="shared" si="20"/>
        <v>#DIV/0!</v>
      </c>
      <c r="AP38" s="202" t="e">
        <f t="shared" si="21"/>
        <v>#DIV/0!</v>
      </c>
      <c r="AQ38" s="202" t="e">
        <f t="shared" si="22"/>
        <v>#DIV/0!</v>
      </c>
      <c r="AR38" s="202" t="e">
        <f t="shared" si="23"/>
        <v>#DIV/0!</v>
      </c>
      <c r="AS38" s="202" t="e">
        <f t="shared" si="24"/>
        <v>#DIV/0!</v>
      </c>
    </row>
    <row r="39" spans="1:45" x14ac:dyDescent="0.2">
      <c r="A39" s="208">
        <f t="shared" si="27"/>
        <v>2032</v>
      </c>
      <c r="B39" s="241">
        <f t="shared" si="25"/>
        <v>1621.3924061289549</v>
      </c>
      <c r="C39" s="241" t="e">
        <f t="shared" si="2"/>
        <v>#DIV/0!</v>
      </c>
      <c r="D39" s="242">
        <f>'KU Efficiencies'!B$54*'KU StructuralVars'!$Q39*('KU Shares'!B39/'KU Efficiencies'!B39)/('KU Shares'!B$12/'KU Efficiencies'!B$12)</f>
        <v>954.24217017078581</v>
      </c>
      <c r="E39" s="242">
        <f>'KU Efficiencies'!C$54*'KU StructuralVars'!$Q39*('KU Shares'!D39/'KU Efficiencies'!C39)/('KU Shares'!D$12/'KU Efficiencies'!C$12)</f>
        <v>586.35101228551196</v>
      </c>
      <c r="F39" s="242">
        <f>'KU Efficiencies'!D$54*'KU StructuralVars'!$Q39*('KU Shares'!F39/'KU Efficiencies'!D39)/('KU Shares'!F$12/'KU Efficiencies'!D$12)</f>
        <v>50.035251697714848</v>
      </c>
      <c r="G39" s="242">
        <f>'KU Efficiencies'!E$54*'KU StructuralVars'!$Q39*('KU Shares'!H39/(1/'KU Efficiencies'!E39))/('KU Shares'!H$12/(1/'KU Efficiencies'!E$12))</f>
        <v>30.763971974942432</v>
      </c>
      <c r="H39" s="242" t="e">
        <f>'KU Efficiencies'!F$54*'KU StructuralVars'!$R39*('KU Shares'!J39/'KU Efficiencies'!F39)/('KU Shares'!J$12/'KU Efficiencies'!F$12)</f>
        <v>#DIV/0!</v>
      </c>
      <c r="I39" s="242" t="e">
        <f>'KU Efficiencies'!G$54*'KU StructuralVars'!$R39*('KU Shares'!L39/'KU Efficiencies'!G39)/('KU Shares'!L$12/'KU Efficiencies'!G$12)</f>
        <v>#DIV/0!</v>
      </c>
      <c r="J39" s="242" t="e">
        <f>'KU Efficiencies'!H$54*'KU StructuralVars'!$R39*('KU Shares'!N39/'KU Efficiencies'!H39)/('KU Shares'!N$12/'KU Efficiencies'!H$12)</f>
        <v>#DIV/0!</v>
      </c>
      <c r="K39" s="242" t="e">
        <f>'KU Efficiencies'!I$54*'KU StructuralVars'!$R39*('KU Shares'!P39/'KU Efficiencies'!I39)/('KU Shares'!P$12/'KU Efficiencies'!I$12)</f>
        <v>#DIV/0!</v>
      </c>
      <c r="L39" s="242" t="e">
        <f>'KU Efficiencies'!J$54*('KU Shares'!R39/'KU Efficiencies'!J39)/('KU Shares'!R$12/'KU Efficiencies'!J$12)</f>
        <v>#DIV/0!</v>
      </c>
      <c r="M39" s="242">
        <f>'KU Efficiencies'!K$54*('KU Shares'!T39/(1/'KU Efficiencies'!K39))/('KU Shares'!T$12/(1/'KU Efficiencies'!K$12))</f>
        <v>655.56899210886297</v>
      </c>
      <c r="N39" s="242">
        <f>'KU Efficiencies'!L$54*('KU Shares'!U39/(1/'KU Efficiencies'!L39))/('KU Shares'!U$12/(1/'KU Efficiencies'!L$12))</f>
        <v>495.73707964493752</v>
      </c>
      <c r="O39" s="242">
        <f>'KU Efficiencies'!M$54*('KU Shares'!W39/(1/'KU Efficiencies'!M39))/('KU Shares'!W$12/(1/'KU Efficiencies'!M$12))</f>
        <v>88.664526186773301</v>
      </c>
      <c r="P39" s="242">
        <f>'KU Efficiencies'!N$54*('KU Shares'!Y39/(1/'KU Efficiencies'!N39))/('KU Shares'!Y$12/(1/'KU Efficiencies'!N$12))</f>
        <v>256.69091191130224</v>
      </c>
      <c r="Q39" s="242">
        <f>'KU Efficiencies'!O$54*('KU Shares'!AA39/(1/'KU Efficiencies'!O39))/('KU Shares'!AA$12/(1/'KU Efficiencies'!O$12))</f>
        <v>250.4707817875404</v>
      </c>
      <c r="R39" s="289" t="e">
        <f>'KU Efficiencies'!P$54*('KU Shares'!AC39/(1/'KU Efficiencies'!P39))/('KU Shares'!AC$12/(1/'KU Efficiencies'!P$12))</f>
        <v>#DIV/0!</v>
      </c>
      <c r="S39" s="242" t="e">
        <f>'KU Efficiencies'!Q$54*('KU Shares'!AE39/(1/'KU Efficiencies'!Q39))/('KU Shares'!AE$12/(1/'KU Efficiencies'!Q$12))</f>
        <v>#DIV/0!</v>
      </c>
      <c r="T39" s="242" t="e">
        <f>'KU Efficiencies'!R$54*('KU Shares'!AG39/(1/'KU Efficiencies'!R39))/('KU Shares'!AG$12/(1/'KU Efficiencies'!R$12))</f>
        <v>#DIV/0!</v>
      </c>
      <c r="U39" s="242" t="e">
        <f>'KU Efficiencies'!S$54*('KU Shares'!AH39/(1/'KU Efficiencies'!S39))/('KU Shares'!AH$12/(1/'KU Efficiencies'!S$12))</f>
        <v>#DIV/0!</v>
      </c>
      <c r="V39" s="242">
        <f>'KU Efficiencies'!T$54*('KU Shares'!AI39/(1/'KU Efficiencies'!T39))/('KU Shares'!AI$12/(1/'KU Efficiencies'!T$12))</f>
        <v>1273.9341192647314</v>
      </c>
      <c r="W39" s="242">
        <f>'KU Efficiencies'!V$54*('KU Shares'!AJ39/(1/'KU Efficiencies'!X39))/('KU Shares'!AJ$12/(1/'KU Efficiencies'!X$12))</f>
        <v>5371.6504381158193</v>
      </c>
      <c r="X39" s="159" t="e">
        <f t="shared" si="28"/>
        <v>#DIV/0!</v>
      </c>
      <c r="Y39" s="208">
        <f t="shared" si="29"/>
        <v>2032</v>
      </c>
      <c r="Z39" s="202" t="e">
        <f t="shared" si="5"/>
        <v>#DIV/0!</v>
      </c>
      <c r="AA39" s="202" t="e">
        <f t="shared" si="6"/>
        <v>#DIV/0!</v>
      </c>
      <c r="AB39" s="202" t="e">
        <f t="shared" si="7"/>
        <v>#DIV/0!</v>
      </c>
      <c r="AC39" s="202" t="e">
        <f t="shared" si="8"/>
        <v>#DIV/0!</v>
      </c>
      <c r="AD39" s="202" t="e">
        <f t="shared" si="9"/>
        <v>#DIV/0!</v>
      </c>
      <c r="AE39" s="202" t="e">
        <f t="shared" si="10"/>
        <v>#DIV/0!</v>
      </c>
      <c r="AF39" s="202" t="e">
        <f t="shared" si="11"/>
        <v>#DIV/0!</v>
      </c>
      <c r="AG39" s="202" t="e">
        <f t="shared" si="12"/>
        <v>#DIV/0!</v>
      </c>
      <c r="AH39" s="202" t="e">
        <f t="shared" si="13"/>
        <v>#DIV/0!</v>
      </c>
      <c r="AI39" s="202" t="e">
        <f t="shared" si="14"/>
        <v>#DIV/0!</v>
      </c>
      <c r="AJ39" s="202" t="e">
        <f t="shared" si="15"/>
        <v>#DIV/0!</v>
      </c>
      <c r="AK39" s="202" t="e">
        <f t="shared" si="16"/>
        <v>#DIV/0!</v>
      </c>
      <c r="AL39" s="202" t="e">
        <f t="shared" si="17"/>
        <v>#DIV/0!</v>
      </c>
      <c r="AM39" s="202" t="e">
        <f t="shared" si="18"/>
        <v>#DIV/0!</v>
      </c>
      <c r="AN39" s="202" t="e">
        <f t="shared" si="19"/>
        <v>#DIV/0!</v>
      </c>
      <c r="AO39" s="202" t="e">
        <f t="shared" si="20"/>
        <v>#DIV/0!</v>
      </c>
      <c r="AP39" s="202" t="e">
        <f t="shared" si="21"/>
        <v>#DIV/0!</v>
      </c>
      <c r="AQ39" s="202" t="e">
        <f t="shared" si="22"/>
        <v>#DIV/0!</v>
      </c>
      <c r="AR39" s="202" t="e">
        <f t="shared" si="23"/>
        <v>#DIV/0!</v>
      </c>
      <c r="AS39" s="202" t="e">
        <f t="shared" si="24"/>
        <v>#DIV/0!</v>
      </c>
    </row>
    <row r="40" spans="1:45" x14ac:dyDescent="0.2">
      <c r="A40" s="208">
        <f t="shared" si="27"/>
        <v>2033</v>
      </c>
      <c r="B40" s="241">
        <f t="shared" si="25"/>
        <v>1619.5372821827216</v>
      </c>
      <c r="C40" s="241" t="e">
        <f t="shared" si="2"/>
        <v>#DIV/0!</v>
      </c>
      <c r="D40" s="242">
        <f>'KU Efficiencies'!B$54*'KU StructuralVars'!$Q40*('KU Shares'!B40/'KU Efficiencies'!B40)/('KU Shares'!B$12/'KU Efficiencies'!B$12)</f>
        <v>950.7862850522373</v>
      </c>
      <c r="E40" s="242">
        <f>'KU Efficiencies'!C$54*'KU StructuralVars'!$Q40*('KU Shares'!D40/'KU Efficiencies'!C40)/('KU Shares'!D$12/'KU Efficiencies'!C$12)</f>
        <v>589.18815592273506</v>
      </c>
      <c r="F40" s="242">
        <f>'KU Efficiencies'!D$54*'KU StructuralVars'!$Q40*('KU Shares'!F40/'KU Efficiencies'!D40)/('KU Shares'!F$12/'KU Efficiencies'!D$12)</f>
        <v>50.16128751215448</v>
      </c>
      <c r="G40" s="242">
        <f>'KU Efficiencies'!E$54*'KU StructuralVars'!$Q40*('KU Shares'!H40/(1/'KU Efficiencies'!E40))/('KU Shares'!H$12/(1/'KU Efficiencies'!E$12))</f>
        <v>29.4015536955946</v>
      </c>
      <c r="H40" s="242" t="e">
        <f>'KU Efficiencies'!F$54*'KU StructuralVars'!$R40*('KU Shares'!J40/'KU Efficiencies'!F40)/('KU Shares'!J$12/'KU Efficiencies'!F$12)</f>
        <v>#DIV/0!</v>
      </c>
      <c r="I40" s="242" t="e">
        <f>'KU Efficiencies'!G$54*'KU StructuralVars'!$R40*('KU Shares'!L40/'KU Efficiencies'!G40)/('KU Shares'!L$12/'KU Efficiencies'!G$12)</f>
        <v>#DIV/0!</v>
      </c>
      <c r="J40" s="242" t="e">
        <f>'KU Efficiencies'!H$54*'KU StructuralVars'!$R40*('KU Shares'!N40/'KU Efficiencies'!H40)/('KU Shares'!N$12/'KU Efficiencies'!H$12)</f>
        <v>#DIV/0!</v>
      </c>
      <c r="K40" s="242" t="e">
        <f>'KU Efficiencies'!I$54*'KU StructuralVars'!$R40*('KU Shares'!P40/'KU Efficiencies'!I40)/('KU Shares'!P$12/'KU Efficiencies'!I$12)</f>
        <v>#DIV/0!</v>
      </c>
      <c r="L40" s="242" t="e">
        <f>'KU Efficiencies'!J$54*('KU Shares'!R40/'KU Efficiencies'!J40)/('KU Shares'!R$12/'KU Efficiencies'!J$12)</f>
        <v>#DIV/0!</v>
      </c>
      <c r="M40" s="242">
        <f>'KU Efficiencies'!K$54*('KU Shares'!T40/(1/'KU Efficiencies'!K40))/('KU Shares'!T$12/(1/'KU Efficiencies'!K$12))</f>
        <v>653.7433577668312</v>
      </c>
      <c r="N40" s="242">
        <f>'KU Efficiencies'!L$54*('KU Shares'!U40/(1/'KU Efficiencies'!L40))/('KU Shares'!U$12/(1/'KU Efficiencies'!L$12))</f>
        <v>494.05269818043212</v>
      </c>
      <c r="O40" s="242">
        <f>'KU Efficiencies'!M$54*('KU Shares'!W40/(1/'KU Efficiencies'!M40))/('KU Shares'!W$12/(1/'KU Efficiencies'!M$12))</f>
        <v>88.262194093954676</v>
      </c>
      <c r="P40" s="242">
        <f>'KU Efficiencies'!N$54*('KU Shares'!Y40/(1/'KU Efficiencies'!N40))/('KU Shares'!Y$12/(1/'KU Efficiencies'!N$12))</f>
        <v>255.82342341667575</v>
      </c>
      <c r="Q40" s="242">
        <f>'KU Efficiencies'!O$54*('KU Shares'!AA40/(1/'KU Efficiencies'!O40))/('KU Shares'!AA$12/(1/'KU Efficiencies'!O$12))</f>
        <v>251.19365330263471</v>
      </c>
      <c r="R40" s="289" t="e">
        <f>'KU Efficiencies'!P$54*('KU Shares'!AC40/(1/'KU Efficiencies'!P40))/('KU Shares'!AC$12/(1/'KU Efficiencies'!P$12))</f>
        <v>#DIV/0!</v>
      </c>
      <c r="S40" s="242" t="e">
        <f>'KU Efficiencies'!Q$54*('KU Shares'!AE40/(1/'KU Efficiencies'!Q40))/('KU Shares'!AE$12/(1/'KU Efficiencies'!Q$12))</f>
        <v>#DIV/0!</v>
      </c>
      <c r="T40" s="242" t="e">
        <f>'KU Efficiencies'!R$54*('KU Shares'!AG40/(1/'KU Efficiencies'!R40))/('KU Shares'!AG$12/(1/'KU Efficiencies'!R$12))</f>
        <v>#DIV/0!</v>
      </c>
      <c r="U40" s="242" t="e">
        <f>'KU Efficiencies'!S$54*('KU Shares'!AH40/(1/'KU Efficiencies'!S40))/('KU Shares'!AH$12/(1/'KU Efficiencies'!S$12))</f>
        <v>#DIV/0!</v>
      </c>
      <c r="V40" s="242">
        <f>'KU Efficiencies'!T$54*('KU Shares'!AI40/(1/'KU Efficiencies'!T40))/('KU Shares'!AI$12/(1/'KU Efficiencies'!T$12))</f>
        <v>1267.5449156920065</v>
      </c>
      <c r="W40" s="242">
        <f>'KU Efficiencies'!V$54*('KU Shares'!AJ40/(1/'KU Efficiencies'!X40))/('KU Shares'!AJ$12/(1/'KU Efficiencies'!X$12))</f>
        <v>5431.3426894214508</v>
      </c>
      <c r="X40" s="159" t="e">
        <f t="shared" si="28"/>
        <v>#DIV/0!</v>
      </c>
      <c r="Y40" s="208">
        <f t="shared" si="29"/>
        <v>2033</v>
      </c>
      <c r="Z40" s="202" t="e">
        <f t="shared" si="5"/>
        <v>#DIV/0!</v>
      </c>
      <c r="AA40" s="202" t="e">
        <f t="shared" si="6"/>
        <v>#DIV/0!</v>
      </c>
      <c r="AB40" s="202" t="e">
        <f t="shared" si="7"/>
        <v>#DIV/0!</v>
      </c>
      <c r="AC40" s="202" t="e">
        <f t="shared" si="8"/>
        <v>#DIV/0!</v>
      </c>
      <c r="AD40" s="202" t="e">
        <f t="shared" si="9"/>
        <v>#DIV/0!</v>
      </c>
      <c r="AE40" s="202" t="e">
        <f t="shared" si="10"/>
        <v>#DIV/0!</v>
      </c>
      <c r="AF40" s="202" t="e">
        <f t="shared" si="11"/>
        <v>#DIV/0!</v>
      </c>
      <c r="AG40" s="202" t="e">
        <f t="shared" si="12"/>
        <v>#DIV/0!</v>
      </c>
      <c r="AH40" s="202" t="e">
        <f t="shared" si="13"/>
        <v>#DIV/0!</v>
      </c>
      <c r="AI40" s="202" t="e">
        <f t="shared" si="14"/>
        <v>#DIV/0!</v>
      </c>
      <c r="AJ40" s="202" t="e">
        <f t="shared" si="15"/>
        <v>#DIV/0!</v>
      </c>
      <c r="AK40" s="202" t="e">
        <f t="shared" si="16"/>
        <v>#DIV/0!</v>
      </c>
      <c r="AL40" s="202" t="e">
        <f t="shared" si="17"/>
        <v>#DIV/0!</v>
      </c>
      <c r="AM40" s="202" t="e">
        <f t="shared" si="18"/>
        <v>#DIV/0!</v>
      </c>
      <c r="AN40" s="202" t="e">
        <f t="shared" si="19"/>
        <v>#DIV/0!</v>
      </c>
      <c r="AO40" s="202" t="e">
        <f t="shared" si="20"/>
        <v>#DIV/0!</v>
      </c>
      <c r="AP40" s="202" t="e">
        <f t="shared" si="21"/>
        <v>#DIV/0!</v>
      </c>
      <c r="AQ40" s="202" t="e">
        <f t="shared" si="22"/>
        <v>#DIV/0!</v>
      </c>
      <c r="AR40" s="202" t="e">
        <f t="shared" si="23"/>
        <v>#DIV/0!</v>
      </c>
      <c r="AS40" s="202" t="e">
        <f t="shared" si="24"/>
        <v>#DIV/0!</v>
      </c>
    </row>
    <row r="41" spans="1:45" x14ac:dyDescent="0.2">
      <c r="A41" s="208">
        <f t="shared" si="27"/>
        <v>2034</v>
      </c>
      <c r="B41" s="241">
        <f t="shared" si="25"/>
        <v>1617.6829610483489</v>
      </c>
      <c r="C41" s="241" t="e">
        <f t="shared" si="2"/>
        <v>#DIV/0!</v>
      </c>
      <c r="D41" s="242">
        <f>'KU Efficiencies'!B$54*'KU StructuralVars'!$Q41*('KU Shares'!B41/'KU Efficiencies'!B41)/('KU Shares'!B$12/'KU Efficiencies'!B$12)</f>
        <v>947.16891751560638</v>
      </c>
      <c r="E41" s="242">
        <f>'KU Efficiencies'!C$54*'KU StructuralVars'!$Q41*('KU Shares'!D41/'KU Efficiencies'!C41)/('KU Shares'!D$12/'KU Efficiencies'!C$12)</f>
        <v>592.09601355179814</v>
      </c>
      <c r="F41" s="242">
        <f>'KU Efficiencies'!D$54*'KU StructuralVars'!$Q41*('KU Shares'!F41/'KU Efficiencies'!D41)/('KU Shares'!F$12/'KU Efficiencies'!D$12)</f>
        <v>50.274829569156331</v>
      </c>
      <c r="G41" s="242">
        <f>'KU Efficiencies'!E$54*'KU StructuralVars'!$Q41*('KU Shares'!H41/(1/'KU Efficiencies'!E41))/('KU Shares'!H$12/(1/'KU Efficiencies'!E$12))</f>
        <v>28.143200411788058</v>
      </c>
      <c r="H41" s="242" t="e">
        <f>'KU Efficiencies'!F$54*'KU StructuralVars'!$R41*('KU Shares'!J41/'KU Efficiencies'!F41)/('KU Shares'!J$12/'KU Efficiencies'!F$12)</f>
        <v>#DIV/0!</v>
      </c>
      <c r="I41" s="242" t="e">
        <f>'KU Efficiencies'!G$54*'KU StructuralVars'!$R41*('KU Shares'!L41/'KU Efficiencies'!G41)/('KU Shares'!L$12/'KU Efficiencies'!G$12)</f>
        <v>#DIV/0!</v>
      </c>
      <c r="J41" s="242" t="e">
        <f>'KU Efficiencies'!H$54*'KU StructuralVars'!$R41*('KU Shares'!N41/'KU Efficiencies'!H41)/('KU Shares'!N$12/'KU Efficiencies'!H$12)</f>
        <v>#DIV/0!</v>
      </c>
      <c r="K41" s="242" t="e">
        <f>'KU Efficiencies'!I$54*'KU StructuralVars'!$R41*('KU Shares'!P41/'KU Efficiencies'!I41)/('KU Shares'!P$12/'KU Efficiencies'!I$12)</f>
        <v>#DIV/0!</v>
      </c>
      <c r="L41" s="242" t="e">
        <f>'KU Efficiencies'!J$54*('KU Shares'!R41/'KU Efficiencies'!J41)/('KU Shares'!R$12/'KU Efficiencies'!J$12)</f>
        <v>#DIV/0!</v>
      </c>
      <c r="M41" s="242">
        <f>'KU Efficiencies'!K$54*('KU Shares'!T41/(1/'KU Efficiencies'!K41))/('KU Shares'!T$12/(1/'KU Efficiencies'!K$12))</f>
        <v>653.64025523205737</v>
      </c>
      <c r="N41" s="242">
        <f>'KU Efficiencies'!L$54*('KU Shares'!U41/(1/'KU Efficiencies'!L41))/('KU Shares'!U$12/(1/'KU Efficiencies'!L$12))</f>
        <v>492.61138972694954</v>
      </c>
      <c r="O41" s="242">
        <f>'KU Efficiencies'!M$54*('KU Shares'!W41/(1/'KU Efficiencies'!M41))/('KU Shares'!W$12/(1/'KU Efficiencies'!M$12))</f>
        <v>87.912994706373439</v>
      </c>
      <c r="P41" s="242">
        <f>'KU Efficiencies'!N$54*('KU Shares'!Y41/(1/'KU Efficiencies'!N41))/('KU Shares'!Y$12/(1/'KU Efficiencies'!N$12))</f>
        <v>255.01924859968068</v>
      </c>
      <c r="Q41" s="242">
        <f>'KU Efficiencies'!O$54*('KU Shares'!AA41/(1/'KU Efficiencies'!O41))/('KU Shares'!AA$12/(1/'KU Efficiencies'!O$12))</f>
        <v>252.57728229744222</v>
      </c>
      <c r="R41" s="289" t="e">
        <f>'KU Efficiencies'!P$54*('KU Shares'!AC41/(1/'KU Efficiencies'!P41))/('KU Shares'!AC$12/(1/'KU Efficiencies'!P$12))</f>
        <v>#DIV/0!</v>
      </c>
      <c r="S41" s="242" t="e">
        <f>'KU Efficiencies'!Q$54*('KU Shares'!AE41/(1/'KU Efficiencies'!Q41))/('KU Shares'!AE$12/(1/'KU Efficiencies'!Q$12))</f>
        <v>#DIV/0!</v>
      </c>
      <c r="T41" s="242" t="e">
        <f>'KU Efficiencies'!R$54*('KU Shares'!AG41/(1/'KU Efficiencies'!R41))/('KU Shares'!AG$12/(1/'KU Efficiencies'!R$12))</f>
        <v>#DIV/0!</v>
      </c>
      <c r="U41" s="242" t="e">
        <f>'KU Efficiencies'!S$54*('KU Shares'!AH41/(1/'KU Efficiencies'!S41))/('KU Shares'!AH$12/(1/'KU Efficiencies'!S$12))</f>
        <v>#DIV/0!</v>
      </c>
      <c r="V41" s="242">
        <f>'KU Efficiencies'!T$54*('KU Shares'!AI41/(1/'KU Efficiencies'!T41))/('KU Shares'!AI$12/(1/'KU Efficiencies'!T$12))</f>
        <v>1264.8952412793176</v>
      </c>
      <c r="W41" s="242">
        <f>'KU Efficiencies'!V$54*('KU Shares'!AJ41/(1/'KU Efficiencies'!X41))/('KU Shares'!AJ$12/(1/'KU Efficiencies'!X$12))</f>
        <v>5505.5849640206752</v>
      </c>
      <c r="X41" s="159" t="e">
        <f t="shared" si="28"/>
        <v>#DIV/0!</v>
      </c>
      <c r="Y41" s="208">
        <f t="shared" si="29"/>
        <v>2034</v>
      </c>
      <c r="Z41" s="202" t="e">
        <f t="shared" si="5"/>
        <v>#DIV/0!</v>
      </c>
      <c r="AA41" s="202" t="e">
        <f t="shared" si="6"/>
        <v>#DIV/0!</v>
      </c>
      <c r="AB41" s="202" t="e">
        <f t="shared" si="7"/>
        <v>#DIV/0!</v>
      </c>
      <c r="AC41" s="202" t="e">
        <f t="shared" si="8"/>
        <v>#DIV/0!</v>
      </c>
      <c r="AD41" s="202" t="e">
        <f t="shared" si="9"/>
        <v>#DIV/0!</v>
      </c>
      <c r="AE41" s="202" t="e">
        <f t="shared" si="10"/>
        <v>#DIV/0!</v>
      </c>
      <c r="AF41" s="202" t="e">
        <f t="shared" si="11"/>
        <v>#DIV/0!</v>
      </c>
      <c r="AG41" s="202" t="e">
        <f t="shared" si="12"/>
        <v>#DIV/0!</v>
      </c>
      <c r="AH41" s="202" t="e">
        <f t="shared" si="13"/>
        <v>#DIV/0!</v>
      </c>
      <c r="AI41" s="202" t="e">
        <f t="shared" si="14"/>
        <v>#DIV/0!</v>
      </c>
      <c r="AJ41" s="202" t="e">
        <f t="shared" si="15"/>
        <v>#DIV/0!</v>
      </c>
      <c r="AK41" s="202" t="e">
        <f t="shared" si="16"/>
        <v>#DIV/0!</v>
      </c>
      <c r="AL41" s="202" t="e">
        <f t="shared" si="17"/>
        <v>#DIV/0!</v>
      </c>
      <c r="AM41" s="202" t="e">
        <f t="shared" si="18"/>
        <v>#DIV/0!</v>
      </c>
      <c r="AN41" s="202" t="e">
        <f t="shared" si="19"/>
        <v>#DIV/0!</v>
      </c>
      <c r="AO41" s="202" t="e">
        <f t="shared" si="20"/>
        <v>#DIV/0!</v>
      </c>
      <c r="AP41" s="202" t="e">
        <f t="shared" si="21"/>
        <v>#DIV/0!</v>
      </c>
      <c r="AQ41" s="202" t="e">
        <f t="shared" si="22"/>
        <v>#DIV/0!</v>
      </c>
      <c r="AR41" s="202" t="e">
        <f t="shared" si="23"/>
        <v>#DIV/0!</v>
      </c>
      <c r="AS41" s="202" t="e">
        <f t="shared" si="24"/>
        <v>#DIV/0!</v>
      </c>
    </row>
    <row r="42" spans="1:45" x14ac:dyDescent="0.2">
      <c r="A42" s="208">
        <f t="shared" si="27"/>
        <v>2035</v>
      </c>
      <c r="B42" s="241">
        <f t="shared" si="25"/>
        <v>1615.8986581036199</v>
      </c>
      <c r="C42" s="241" t="e">
        <f t="shared" si="2"/>
        <v>#DIV/0!</v>
      </c>
      <c r="D42" s="242">
        <f>'KU Efficiencies'!B$54*'KU StructuralVars'!$Q42*('KU Shares'!B42/'KU Efficiencies'!B42)/('KU Shares'!B$12/'KU Efficiencies'!B$12)</f>
        <v>943.44293270616583</v>
      </c>
      <c r="E42" s="242">
        <f>'KU Efficiencies'!C$54*'KU StructuralVars'!$Q42*('KU Shares'!D42/'KU Efficiencies'!C42)/('KU Shares'!D$12/'KU Efficiencies'!C$12)</f>
        <v>595.13442612389304</v>
      </c>
      <c r="F42" s="242">
        <f>'KU Efficiencies'!D$54*'KU StructuralVars'!$Q42*('KU Shares'!F42/'KU Efficiencies'!D42)/('KU Shares'!F$12/'KU Efficiencies'!D$12)</f>
        <v>50.38772689661117</v>
      </c>
      <c r="G42" s="242">
        <f>'KU Efficiencies'!E$54*'KU StructuralVars'!$Q42*('KU Shares'!H42/(1/'KU Efficiencies'!E42))/('KU Shares'!H$12/(1/'KU Efficiencies'!E$12))</f>
        <v>26.933572376949709</v>
      </c>
      <c r="H42" s="242" t="e">
        <f>'KU Efficiencies'!F$54*'KU StructuralVars'!$R42*('KU Shares'!J42/'KU Efficiencies'!F42)/('KU Shares'!J$12/'KU Efficiencies'!F$12)</f>
        <v>#DIV/0!</v>
      </c>
      <c r="I42" s="242" t="e">
        <f>'KU Efficiencies'!G$54*'KU StructuralVars'!$R42*('KU Shares'!L42/'KU Efficiencies'!G42)/('KU Shares'!L$12/'KU Efficiencies'!G$12)</f>
        <v>#DIV/0!</v>
      </c>
      <c r="J42" s="242" t="e">
        <f>'KU Efficiencies'!H$54*'KU StructuralVars'!$R42*('KU Shares'!N42/'KU Efficiencies'!H42)/('KU Shares'!N$12/'KU Efficiencies'!H$12)</f>
        <v>#DIV/0!</v>
      </c>
      <c r="K42" s="242" t="e">
        <f>'KU Efficiencies'!I$54*'KU StructuralVars'!$R42*('KU Shares'!P42/'KU Efficiencies'!I42)/('KU Shares'!P$12/'KU Efficiencies'!I$12)</f>
        <v>#DIV/0!</v>
      </c>
      <c r="L42" s="242" t="e">
        <f>'KU Efficiencies'!J$54*('KU Shares'!R42/'KU Efficiencies'!J42)/('KU Shares'!R$12/'KU Efficiencies'!J$12)</f>
        <v>#DIV/0!</v>
      </c>
      <c r="M42" s="242">
        <f>'KU Efficiencies'!K$54*('KU Shares'!T42/(1/'KU Efficiencies'!K42))/('KU Shares'!T$12/(1/'KU Efficiencies'!K$12))</f>
        <v>653.83463790842222</v>
      </c>
      <c r="N42" s="242">
        <f>'KU Efficiencies'!L$54*('KU Shares'!U42/(1/'KU Efficiencies'!L42))/('KU Shares'!U$12/(1/'KU Efficiencies'!L$12))</f>
        <v>491.39591125233784</v>
      </c>
      <c r="O42" s="242">
        <f>'KU Efficiencies'!M$54*('KU Shares'!W42/(1/'KU Efficiencies'!M42))/('KU Shares'!W$12/(1/'KU Efficiencies'!M$12))</f>
        <v>87.613450576373424</v>
      </c>
      <c r="P42" s="242">
        <f>'KU Efficiencies'!N$54*('KU Shares'!Y42/(1/'KU Efficiencies'!N42))/('KU Shares'!Y$12/(1/'KU Efficiencies'!N$12))</f>
        <v>254.28108043589828</v>
      </c>
      <c r="Q42" s="242">
        <f>'KU Efficiencies'!O$54*('KU Shares'!AA42/(1/'KU Efficiencies'!O42))/('KU Shares'!AA$12/(1/'KU Efficiencies'!O$12))</f>
        <v>253.94326762332358</v>
      </c>
      <c r="R42" s="289" t="e">
        <f>'KU Efficiencies'!P$54*('KU Shares'!AC42/(1/'KU Efficiencies'!P42))/('KU Shares'!AC$12/(1/'KU Efficiencies'!P$12))</f>
        <v>#DIV/0!</v>
      </c>
      <c r="S42" s="242" t="e">
        <f>'KU Efficiencies'!Q$54*('KU Shares'!AE42/(1/'KU Efficiencies'!Q42))/('KU Shares'!AE$12/(1/'KU Efficiencies'!Q$12))</f>
        <v>#DIV/0!</v>
      </c>
      <c r="T42" s="242" t="e">
        <f>'KU Efficiencies'!R$54*('KU Shares'!AG42/(1/'KU Efficiencies'!R42))/('KU Shares'!AG$12/(1/'KU Efficiencies'!R$12))</f>
        <v>#DIV/0!</v>
      </c>
      <c r="U42" s="242" t="e">
        <f>'KU Efficiencies'!S$54*('KU Shares'!AH42/(1/'KU Efficiencies'!S42))/('KU Shares'!AH$12/(1/'KU Efficiencies'!S$12))</f>
        <v>#DIV/0!</v>
      </c>
      <c r="V42" s="242">
        <f>'KU Efficiencies'!T$54*('KU Shares'!AI42/(1/'KU Efficiencies'!T42))/('KU Shares'!AI$12/(1/'KU Efficiencies'!T$12))</f>
        <v>1265.9805496299939</v>
      </c>
      <c r="W42" s="242">
        <f>'KU Efficiencies'!V$54*('KU Shares'!AJ42/(1/'KU Efficiencies'!X42))/('KU Shares'!AJ$12/(1/'KU Efficiencies'!X$12))</f>
        <v>5591.5633860146345</v>
      </c>
      <c r="X42" s="159" t="e">
        <f t="shared" si="28"/>
        <v>#DIV/0!</v>
      </c>
      <c r="Y42" s="208">
        <f t="shared" si="29"/>
        <v>2035</v>
      </c>
      <c r="Z42" s="202" t="e">
        <f t="shared" si="5"/>
        <v>#DIV/0!</v>
      </c>
      <c r="AA42" s="202" t="e">
        <f t="shared" si="6"/>
        <v>#DIV/0!</v>
      </c>
      <c r="AB42" s="202" t="e">
        <f t="shared" si="7"/>
        <v>#DIV/0!</v>
      </c>
      <c r="AC42" s="202" t="e">
        <f t="shared" si="8"/>
        <v>#DIV/0!</v>
      </c>
      <c r="AD42" s="202" t="e">
        <f t="shared" si="9"/>
        <v>#DIV/0!</v>
      </c>
      <c r="AE42" s="202" t="e">
        <f t="shared" si="10"/>
        <v>#DIV/0!</v>
      </c>
      <c r="AF42" s="202" t="e">
        <f t="shared" si="11"/>
        <v>#DIV/0!</v>
      </c>
      <c r="AG42" s="202" t="e">
        <f t="shared" si="12"/>
        <v>#DIV/0!</v>
      </c>
      <c r="AH42" s="202" t="e">
        <f t="shared" si="13"/>
        <v>#DIV/0!</v>
      </c>
      <c r="AI42" s="202" t="e">
        <f t="shared" si="14"/>
        <v>#DIV/0!</v>
      </c>
      <c r="AJ42" s="202" t="e">
        <f t="shared" si="15"/>
        <v>#DIV/0!</v>
      </c>
      <c r="AK42" s="202" t="e">
        <f t="shared" si="16"/>
        <v>#DIV/0!</v>
      </c>
      <c r="AL42" s="202" t="e">
        <f t="shared" si="17"/>
        <v>#DIV/0!</v>
      </c>
      <c r="AM42" s="202" t="e">
        <f t="shared" si="18"/>
        <v>#DIV/0!</v>
      </c>
      <c r="AN42" s="202" t="e">
        <f t="shared" si="19"/>
        <v>#DIV/0!</v>
      </c>
      <c r="AO42" s="202" t="e">
        <f t="shared" si="20"/>
        <v>#DIV/0!</v>
      </c>
      <c r="AP42" s="202" t="e">
        <f t="shared" si="21"/>
        <v>#DIV/0!</v>
      </c>
      <c r="AQ42" s="202" t="e">
        <f t="shared" si="22"/>
        <v>#DIV/0!</v>
      </c>
      <c r="AR42" s="202" t="e">
        <f t="shared" si="23"/>
        <v>#DIV/0!</v>
      </c>
      <c r="AS42" s="202" t="e">
        <f t="shared" si="24"/>
        <v>#DIV/0!</v>
      </c>
    </row>
    <row r="43" spans="1:45" x14ac:dyDescent="0.2">
      <c r="A43" s="208">
        <f t="shared" si="27"/>
        <v>2036</v>
      </c>
      <c r="B43" s="241">
        <f t="shared" si="25"/>
        <v>1616.8438100616481</v>
      </c>
      <c r="C43" s="241" t="e">
        <f t="shared" si="2"/>
        <v>#DIV/0!</v>
      </c>
      <c r="D43" s="242">
        <f>'KU Efficiencies'!B$54*'KU StructuralVars'!$Q43*('KU Shares'!B43/'KU Efficiencies'!B43)/('KU Shares'!B$12/'KU Efficiencies'!B$12)</f>
        <v>941.40883655765913</v>
      </c>
      <c r="E43" s="242">
        <f>'KU Efficiencies'!C$54*'KU StructuralVars'!$Q43*('KU Shares'!D43/'KU Efficiencies'!C43)/('KU Shares'!D$12/'KU Efficiencies'!C$12)</f>
        <v>599.22834772897284</v>
      </c>
      <c r="F43" s="242">
        <f t="shared" ref="F43:F49" si="30">F42</f>
        <v>50.38772689661117</v>
      </c>
      <c r="G43" s="242">
        <f>'KU Efficiencies'!E$54*'KU StructuralVars'!$Q43*('KU Shares'!H43/(1/'KU Efficiencies'!E43))/('KU Shares'!H$12/(1/'KU Efficiencies'!E$12))</f>
        <v>25.818898878404934</v>
      </c>
      <c r="H43" s="242" t="e">
        <f>'KU Efficiencies'!F$54*'KU StructuralVars'!$R43*('KU Shares'!J43/'KU Efficiencies'!F43)/('KU Shares'!J$12/'KU Efficiencies'!F$12)</f>
        <v>#DIV/0!</v>
      </c>
      <c r="I43" s="242" t="e">
        <f>'KU Efficiencies'!G$54*'KU StructuralVars'!$R43*('KU Shares'!L43/'KU Efficiencies'!G43)/('KU Shares'!L$12/'KU Efficiencies'!G$12)</f>
        <v>#DIV/0!</v>
      </c>
      <c r="J43" s="242" t="e">
        <f>'KU Efficiencies'!H$54*'KU StructuralVars'!$R43*('KU Shares'!N43/'KU Efficiencies'!H43)/('KU Shares'!N$12/'KU Efficiencies'!H$12)</f>
        <v>#DIV/0!</v>
      </c>
      <c r="K43" s="242" t="e">
        <f>'KU Efficiencies'!I$54*'KU StructuralVars'!$R43*('KU Shares'!P43/'KU Efficiencies'!I43)/('KU Shares'!P$12/'KU Efficiencies'!I$12)</f>
        <v>#DIV/0!</v>
      </c>
      <c r="L43" s="242" t="e">
        <f>'KU Efficiencies'!J$54*('KU Shares'!R43/'KU Efficiencies'!J43)/('KU Shares'!R$12/'KU Efficiencies'!J$12)</f>
        <v>#DIV/0!</v>
      </c>
      <c r="M43" s="242">
        <f>'KU Efficiencies'!K$54*('KU Shares'!T43/(1/'KU Efficiencies'!K43))/('KU Shares'!T$12/(1/'KU Efficiencies'!K$12))</f>
        <v>654.02891668524558</v>
      </c>
      <c r="N43" s="242">
        <f t="shared" ref="N43:N49" si="31">N42</f>
        <v>491.39591125233784</v>
      </c>
      <c r="O43" s="242">
        <f>'KU Efficiencies'!M$54*('KU Shares'!W43/(1/'KU Efficiencies'!M43))/('KU Shares'!W$12/(1/'KU Efficiencies'!M$12))</f>
        <v>87.314328051199581</v>
      </c>
      <c r="P43" s="242">
        <f>'KU Efficiencies'!N$54*('KU Shares'!Y43/(1/'KU Efficiencies'!N43))/('KU Shares'!Y$12/(1/'KU Efficiencies'!N$12))</f>
        <v>253.54394570960415</v>
      </c>
      <c r="Q43" s="242">
        <f>'KU Efficiencies'!O$54*('KU Shares'!AA43/(1/'KU Efficiencies'!O43))/('KU Shares'!AA$12/(1/'KU Efficiencies'!O$12))</f>
        <v>255.30925556077622</v>
      </c>
      <c r="R43" s="289" t="e">
        <f>'KU Efficiencies'!P$54*('KU Shares'!AC43/(1/'KU Efficiencies'!P43))/('KU Shares'!AC$12/(1/'KU Efficiencies'!P$12))</f>
        <v>#DIV/0!</v>
      </c>
      <c r="S43" s="242" t="e">
        <f>'KU Efficiencies'!Q$54*('KU Shares'!AE43/(1/'KU Efficiencies'!Q43))/('KU Shares'!AE$12/(1/'KU Efficiencies'!Q$12))</f>
        <v>#DIV/0!</v>
      </c>
      <c r="T43" s="242" t="e">
        <f>'KU Efficiencies'!R$54*('KU Shares'!AG43/(1/'KU Efficiencies'!R43))/('KU Shares'!AG$12/(1/'KU Efficiencies'!R$12))</f>
        <v>#DIV/0!</v>
      </c>
      <c r="U43" s="242" t="e">
        <f>'KU Efficiencies'!S$54*('KU Shares'!AH43/(1/'KU Efficiencies'!S43))/('KU Shares'!AH$12/(1/'KU Efficiencies'!S$12))</f>
        <v>#DIV/0!</v>
      </c>
      <c r="V43" s="242">
        <f>'KU Efficiencies'!T$54*('KU Shares'!AI43/(1/'KU Efficiencies'!T43))/('KU Shares'!AI$12/(1/'KU Efficiencies'!T$12))</f>
        <v>1267.0667891994601</v>
      </c>
      <c r="W43" s="242">
        <f>'KU Efficiencies'!V$54*('KU Shares'!AJ43/(1/'KU Efficiencies'!X43))/('KU Shares'!AJ$12/(1/'KU Efficiencies'!X$12))</f>
        <v>5678.8844971318895</v>
      </c>
      <c r="X43" s="159" t="e">
        <f t="shared" si="28"/>
        <v>#DIV/0!</v>
      </c>
      <c r="Y43" s="208">
        <f t="shared" si="29"/>
        <v>2036</v>
      </c>
      <c r="Z43" s="202" t="e">
        <f t="shared" si="5"/>
        <v>#DIV/0!</v>
      </c>
      <c r="AA43" s="202" t="e">
        <f t="shared" si="6"/>
        <v>#DIV/0!</v>
      </c>
      <c r="AB43" s="202" t="e">
        <f t="shared" si="7"/>
        <v>#DIV/0!</v>
      </c>
      <c r="AC43" s="202" t="e">
        <f t="shared" si="8"/>
        <v>#DIV/0!</v>
      </c>
      <c r="AD43" s="202" t="e">
        <f t="shared" si="9"/>
        <v>#DIV/0!</v>
      </c>
      <c r="AE43" s="202" t="e">
        <f t="shared" si="10"/>
        <v>#DIV/0!</v>
      </c>
      <c r="AF43" s="202" t="e">
        <f t="shared" si="11"/>
        <v>#DIV/0!</v>
      </c>
      <c r="AG43" s="202" t="e">
        <f t="shared" si="12"/>
        <v>#DIV/0!</v>
      </c>
      <c r="AH43" s="202" t="e">
        <f t="shared" si="13"/>
        <v>#DIV/0!</v>
      </c>
      <c r="AI43" s="202" t="e">
        <f t="shared" si="14"/>
        <v>#DIV/0!</v>
      </c>
      <c r="AJ43" s="202" t="e">
        <f t="shared" si="15"/>
        <v>#DIV/0!</v>
      </c>
      <c r="AK43" s="202" t="e">
        <f t="shared" si="16"/>
        <v>#DIV/0!</v>
      </c>
      <c r="AL43" s="202" t="e">
        <f t="shared" si="17"/>
        <v>#DIV/0!</v>
      </c>
      <c r="AM43" s="202" t="e">
        <f t="shared" si="18"/>
        <v>#DIV/0!</v>
      </c>
      <c r="AN43" s="202" t="e">
        <f t="shared" si="19"/>
        <v>#DIV/0!</v>
      </c>
      <c r="AO43" s="202" t="e">
        <f t="shared" si="20"/>
        <v>#DIV/0!</v>
      </c>
      <c r="AP43" s="202" t="e">
        <f t="shared" si="21"/>
        <v>#DIV/0!</v>
      </c>
      <c r="AQ43" s="202" t="e">
        <f t="shared" si="22"/>
        <v>#DIV/0!</v>
      </c>
      <c r="AR43" s="202" t="e">
        <f t="shared" si="23"/>
        <v>#DIV/0!</v>
      </c>
      <c r="AS43" s="202" t="e">
        <f t="shared" si="24"/>
        <v>#DIV/0!</v>
      </c>
    </row>
    <row r="44" spans="1:45" x14ac:dyDescent="0.2">
      <c r="A44" s="208">
        <f t="shared" si="27"/>
        <v>2037</v>
      </c>
      <c r="B44" s="241">
        <f t="shared" si="25"/>
        <v>1617.8298694343591</v>
      </c>
      <c r="C44" s="241" t="e">
        <f t="shared" si="2"/>
        <v>#DIV/0!</v>
      </c>
      <c r="D44" s="242">
        <f>'KU Efficiencies'!B$54*'KU StructuralVars'!$Q44*('KU Shares'!B44/'KU Efficiencies'!B44)/('KU Shares'!B$12/'KU Efficiencies'!B$12)</f>
        <v>939.37474040915265</v>
      </c>
      <c r="E44" s="242">
        <f>'KU Efficiencies'!C$54*'KU StructuralVars'!$Q44*('KU Shares'!D44/'KU Efficiencies'!C44)/('KU Shares'!D$12/'KU Efficiencies'!C$12)</f>
        <v>603.32014340531816</v>
      </c>
      <c r="F44" s="242">
        <f t="shared" si="30"/>
        <v>50.38772689661117</v>
      </c>
      <c r="G44" s="242">
        <f>'KU Efficiencies'!E$54*'KU StructuralVars'!$Q44*('KU Shares'!H44/(1/'KU Efficiencies'!E44))/('KU Shares'!H$12/(1/'KU Efficiencies'!E$12))</f>
        <v>24.747258723277202</v>
      </c>
      <c r="H44" s="242" t="e">
        <f>'KU Efficiencies'!F$54*'KU StructuralVars'!$R44*('KU Shares'!J44/'KU Efficiencies'!F44)/('KU Shares'!J$12/'KU Efficiencies'!F$12)</f>
        <v>#DIV/0!</v>
      </c>
      <c r="I44" s="242" t="e">
        <f>'KU Efficiencies'!G$54*'KU StructuralVars'!$R44*('KU Shares'!L44/'KU Efficiencies'!G44)/('KU Shares'!L$12/'KU Efficiencies'!G$12)</f>
        <v>#DIV/0!</v>
      </c>
      <c r="J44" s="242" t="e">
        <f>'KU Efficiencies'!H$54*'KU StructuralVars'!$R44*('KU Shares'!N44/'KU Efficiencies'!H44)/('KU Shares'!N$12/'KU Efficiencies'!H$12)</f>
        <v>#DIV/0!</v>
      </c>
      <c r="K44" s="242" t="e">
        <f>'KU Efficiencies'!I$54*'KU StructuralVars'!$R44*('KU Shares'!P44/'KU Efficiencies'!I44)/('KU Shares'!P$12/'KU Efficiencies'!I$12)</f>
        <v>#DIV/0!</v>
      </c>
      <c r="L44" s="242" t="e">
        <f>'KU Efficiencies'!J$54*('KU Shares'!R44/'KU Efficiencies'!J44)/('KU Shares'!R$12/'KU Efficiencies'!J$12)</f>
        <v>#DIV/0!</v>
      </c>
      <c r="M44" s="242">
        <f>'KU Efficiencies'!K$54*('KU Shares'!T44/(1/'KU Efficiencies'!K44))/('KU Shares'!T$12/(1/'KU Efficiencies'!K$12))</f>
        <v>654.22309159631243</v>
      </c>
      <c r="N44" s="242">
        <f t="shared" si="31"/>
        <v>491.39591125233784</v>
      </c>
      <c r="O44" s="242">
        <f>'KU Efficiencies'!M$54*('KU Shares'!W44/(1/'KU Efficiencies'!M44))/('KU Shares'!W$12/(1/'KU Efficiencies'!M$12))</f>
        <v>87.015627033258738</v>
      </c>
      <c r="P44" s="242">
        <f>'KU Efficiencies'!N$54*('KU Shares'!Y44/(1/'KU Efficiencies'!N44))/('KU Shares'!Y$12/(1/'KU Efficiencies'!N$12))</f>
        <v>252.80784442079846</v>
      </c>
      <c r="Q44" s="242">
        <f>'KU Efficiencies'!O$54*('KU Shares'!AA44/(1/'KU Efficiencies'!O44))/('KU Shares'!AA$12/(1/'KU Efficiencies'!O$12))</f>
        <v>256.67524610980405</v>
      </c>
      <c r="R44" s="289" t="e">
        <f>'KU Efficiencies'!P$54*('KU Shares'!AC44/(1/'KU Efficiencies'!P44))/('KU Shares'!AC$12/(1/'KU Efficiencies'!P$12))</f>
        <v>#DIV/0!</v>
      </c>
      <c r="S44" s="242" t="e">
        <f>'KU Efficiencies'!Q$54*('KU Shares'!AE44/(1/'KU Efficiencies'!Q44))/('KU Shares'!AE$12/(1/'KU Efficiencies'!Q$12))</f>
        <v>#DIV/0!</v>
      </c>
      <c r="T44" s="242" t="e">
        <f>'KU Efficiencies'!R$54*('KU Shares'!AG44/(1/'KU Efficiencies'!R44))/('KU Shares'!AG$12/(1/'KU Efficiencies'!R$12))</f>
        <v>#DIV/0!</v>
      </c>
      <c r="U44" s="242" t="e">
        <f>'KU Efficiencies'!S$54*('KU Shares'!AH44/(1/'KU Efficiencies'!S44))/('KU Shares'!AH$12/(1/'KU Efficiencies'!S$12))</f>
        <v>#DIV/0!</v>
      </c>
      <c r="V44" s="242">
        <f>'KU Efficiencies'!T$54*('KU Shares'!AI44/(1/'KU Efficiencies'!T44))/('KU Shares'!AI$12/(1/'KU Efficiencies'!T$12))</f>
        <v>1268.1539607867228</v>
      </c>
      <c r="W44" s="242">
        <f>'KU Efficiencies'!V$54*('KU Shares'!AJ44/(1/'KU Efficiencies'!X44))/('KU Shares'!AJ$12/(1/'KU Efficiencies'!X$12))</f>
        <v>5767.5692655879529</v>
      </c>
      <c r="X44" s="159" t="e">
        <f>SUM(D44:W44)</f>
        <v>#DIV/0!</v>
      </c>
      <c r="Y44" s="208">
        <f t="shared" si="29"/>
        <v>2037</v>
      </c>
      <c r="Z44" s="202" t="e">
        <f t="shared" si="5"/>
        <v>#DIV/0!</v>
      </c>
      <c r="AA44" s="202" t="e">
        <f t="shared" si="6"/>
        <v>#DIV/0!</v>
      </c>
      <c r="AB44" s="202" t="e">
        <f t="shared" si="7"/>
        <v>#DIV/0!</v>
      </c>
      <c r="AC44" s="202" t="e">
        <f t="shared" si="8"/>
        <v>#DIV/0!</v>
      </c>
      <c r="AD44" s="202" t="e">
        <f t="shared" si="9"/>
        <v>#DIV/0!</v>
      </c>
      <c r="AE44" s="202" t="e">
        <f t="shared" si="10"/>
        <v>#DIV/0!</v>
      </c>
      <c r="AF44" s="202" t="e">
        <f t="shared" si="11"/>
        <v>#DIV/0!</v>
      </c>
      <c r="AG44" s="202" t="e">
        <f t="shared" si="12"/>
        <v>#DIV/0!</v>
      </c>
      <c r="AH44" s="202" t="e">
        <f t="shared" si="13"/>
        <v>#DIV/0!</v>
      </c>
      <c r="AI44" s="202" t="e">
        <f t="shared" si="14"/>
        <v>#DIV/0!</v>
      </c>
      <c r="AJ44" s="202" t="e">
        <f t="shared" si="15"/>
        <v>#DIV/0!</v>
      </c>
      <c r="AK44" s="202" t="e">
        <f t="shared" si="16"/>
        <v>#DIV/0!</v>
      </c>
      <c r="AL44" s="202" t="e">
        <f t="shared" si="17"/>
        <v>#DIV/0!</v>
      </c>
      <c r="AM44" s="202" t="e">
        <f t="shared" si="18"/>
        <v>#DIV/0!</v>
      </c>
      <c r="AN44" s="202" t="e">
        <f t="shared" si="19"/>
        <v>#DIV/0!</v>
      </c>
      <c r="AO44" s="202" t="e">
        <f t="shared" si="20"/>
        <v>#DIV/0!</v>
      </c>
      <c r="AP44" s="202" t="e">
        <f t="shared" si="21"/>
        <v>#DIV/0!</v>
      </c>
      <c r="AQ44" s="202" t="e">
        <f t="shared" si="22"/>
        <v>#DIV/0!</v>
      </c>
      <c r="AR44" s="202" t="e">
        <f t="shared" si="23"/>
        <v>#DIV/0!</v>
      </c>
      <c r="AS44" s="202" t="e">
        <f t="shared" si="24"/>
        <v>#DIV/0!</v>
      </c>
    </row>
    <row r="45" spans="1:45" x14ac:dyDescent="0.2">
      <c r="A45" s="208">
        <f t="shared" si="27"/>
        <v>2038</v>
      </c>
      <c r="B45" s="241">
        <f t="shared" si="25"/>
        <v>1616.6430635332781</v>
      </c>
      <c r="C45" s="241" t="e">
        <f t="shared" si="2"/>
        <v>#DIV/0!</v>
      </c>
      <c r="D45" s="242">
        <f>'KU Efficiencies'!B$54*'KU StructuralVars'!$Q45*('KU Shares'!B45/'KU Efficiencies'!B45)/('KU Shares'!B$12/'KU Efficiencies'!B$12)</f>
        <v>939.37474040915265</v>
      </c>
      <c r="E45" s="242">
        <f>'KU Efficiencies'!C$54*'KU StructuralVars'!$Q45*('KU Shares'!D45/'KU Efficiencies'!C45)/('KU Shares'!D$12/'KU Efficiencies'!C$12)</f>
        <v>603.16353529028959</v>
      </c>
      <c r="F45" s="242">
        <f t="shared" si="30"/>
        <v>50.38772689661117</v>
      </c>
      <c r="G45" s="242">
        <f>'KU Efficiencies'!E$54*'KU StructuralVars'!$Q45*('KU Shares'!H45/(1/'KU Efficiencies'!E45))/('KU Shares'!H$12/(1/'KU Efficiencies'!E$12))</f>
        <v>23.717060937224794</v>
      </c>
      <c r="H45" s="242" t="e">
        <f>'KU Efficiencies'!F$54*'KU StructuralVars'!$R45*('KU Shares'!J45/'KU Efficiencies'!F45)/('KU Shares'!J$12/'KU Efficiencies'!F$12)</f>
        <v>#DIV/0!</v>
      </c>
      <c r="I45" s="242" t="e">
        <f>'KU Efficiencies'!G$54*'KU StructuralVars'!$R45*('KU Shares'!L45/'KU Efficiencies'!G45)/('KU Shares'!L$12/'KU Efficiencies'!G$12)</f>
        <v>#DIV/0!</v>
      </c>
      <c r="J45" s="242" t="e">
        <f>'KU Efficiencies'!H$54*'KU StructuralVars'!$R45*('KU Shares'!N45/'KU Efficiencies'!H45)/('KU Shares'!N$12/'KU Efficiencies'!H$12)</f>
        <v>#DIV/0!</v>
      </c>
      <c r="K45" s="242" t="e">
        <f>'KU Efficiencies'!I$54*'KU StructuralVars'!$R45*('KU Shares'!P45/'KU Efficiencies'!I45)/('KU Shares'!P$12/'KU Efficiencies'!I$12)</f>
        <v>#DIV/0!</v>
      </c>
      <c r="L45" s="242" t="e">
        <f>'KU Efficiencies'!J$54*('KU Shares'!R45/'KU Efficiencies'!J45)/('KU Shares'!R$12/'KU Efficiencies'!J$12)</f>
        <v>#DIV/0!</v>
      </c>
      <c r="M45" s="242">
        <f>'KU Efficiencies'!K$54*('KU Shares'!T45/(1/'KU Efficiencies'!K45))/('KU Shares'!T$12/(1/'KU Efficiencies'!K$12))</f>
        <v>654.41716267539834</v>
      </c>
      <c r="N45" s="242">
        <f t="shared" si="31"/>
        <v>491.39591125233784</v>
      </c>
      <c r="O45" s="242">
        <f>'KU Efficiencies'!M$54*('KU Shares'!W45/(1/'KU Efficiencies'!M45))/('KU Shares'!W$12/(1/'KU Efficiencies'!M$12))</f>
        <v>86.717347424977845</v>
      </c>
      <c r="P45" s="242">
        <f>'KU Efficiencies'!N$54*('KU Shares'!Y45/(1/'KU Efficiencies'!N45))/('KU Shares'!Y$12/(1/'KU Efficiencies'!N$12))</f>
        <v>252.07277656948105</v>
      </c>
      <c r="Q45" s="242">
        <f>'KU Efficiencies'!O$54*('KU Shares'!AA45/(1/'KU Efficiencies'!O45))/('KU Shares'!AA$12/(1/'KU Efficiencies'!O$12))</f>
        <v>258.04123927041059</v>
      </c>
      <c r="R45" s="289" t="e">
        <f>'KU Efficiencies'!P$54*('KU Shares'!AC45/(1/'KU Efficiencies'!P45))/('KU Shares'!AC$12/(1/'KU Efficiencies'!P$12))</f>
        <v>#DIV/0!</v>
      </c>
      <c r="S45" s="242" t="e">
        <f>'KU Efficiencies'!Q$54*('KU Shares'!AE45/(1/'KU Efficiencies'!Q45))/('KU Shares'!AE$12/(1/'KU Efficiencies'!Q$12))</f>
        <v>#DIV/0!</v>
      </c>
      <c r="T45" s="242" t="e">
        <f>'KU Efficiencies'!R$54*('KU Shares'!AG45/(1/'KU Efficiencies'!R45))/('KU Shares'!AG$12/(1/'KU Efficiencies'!R$12))</f>
        <v>#DIV/0!</v>
      </c>
      <c r="U45" s="242" t="e">
        <f>'KU Efficiencies'!S$54*('KU Shares'!AH45/(1/'KU Efficiencies'!S45))/('KU Shares'!AH$12/(1/'KU Efficiencies'!S$12))</f>
        <v>#DIV/0!</v>
      </c>
      <c r="V45" s="242">
        <f>'KU Efficiencies'!T$54*('KU Shares'!AI45/(1/'KU Efficiencies'!T45))/('KU Shares'!AI$12/(1/'KU Efficiencies'!T$12))</f>
        <v>1269.2420651914745</v>
      </c>
      <c r="W45" s="242">
        <f>'KU Efficiencies'!V$54*('KU Shares'!AJ45/(1/'KU Efficiencies'!X45))/('KU Shares'!AJ$12/(1/'KU Efficiencies'!X$12))</f>
        <v>5857.6389870502062</v>
      </c>
      <c r="X45" s="159" t="e">
        <f>SUM(D45:W45)</f>
        <v>#DIV/0!</v>
      </c>
      <c r="Y45" s="208">
        <f t="shared" si="29"/>
        <v>2038</v>
      </c>
      <c r="Z45" s="202" t="e">
        <f t="shared" si="5"/>
        <v>#DIV/0!</v>
      </c>
      <c r="AA45" s="202" t="e">
        <f t="shared" si="6"/>
        <v>#DIV/0!</v>
      </c>
      <c r="AB45" s="202" t="e">
        <f t="shared" si="7"/>
        <v>#DIV/0!</v>
      </c>
      <c r="AC45" s="202" t="e">
        <f t="shared" si="8"/>
        <v>#DIV/0!</v>
      </c>
      <c r="AD45" s="202" t="e">
        <f t="shared" si="9"/>
        <v>#DIV/0!</v>
      </c>
      <c r="AE45" s="202" t="e">
        <f t="shared" si="10"/>
        <v>#DIV/0!</v>
      </c>
      <c r="AF45" s="202" t="e">
        <f t="shared" si="11"/>
        <v>#DIV/0!</v>
      </c>
      <c r="AG45" s="202" t="e">
        <f t="shared" si="12"/>
        <v>#DIV/0!</v>
      </c>
      <c r="AH45" s="202" t="e">
        <f t="shared" si="13"/>
        <v>#DIV/0!</v>
      </c>
      <c r="AI45" s="202" t="e">
        <f t="shared" si="14"/>
        <v>#DIV/0!</v>
      </c>
      <c r="AJ45" s="202" t="e">
        <f t="shared" si="15"/>
        <v>#DIV/0!</v>
      </c>
      <c r="AK45" s="202" t="e">
        <f t="shared" si="16"/>
        <v>#DIV/0!</v>
      </c>
      <c r="AL45" s="202" t="e">
        <f t="shared" si="17"/>
        <v>#DIV/0!</v>
      </c>
      <c r="AM45" s="202" t="e">
        <f t="shared" si="18"/>
        <v>#DIV/0!</v>
      </c>
      <c r="AN45" s="202" t="e">
        <f t="shared" si="19"/>
        <v>#DIV/0!</v>
      </c>
      <c r="AO45" s="202" t="e">
        <f t="shared" si="20"/>
        <v>#DIV/0!</v>
      </c>
      <c r="AP45" s="202" t="e">
        <f t="shared" si="21"/>
        <v>#DIV/0!</v>
      </c>
      <c r="AQ45" s="202" t="e">
        <f t="shared" si="22"/>
        <v>#DIV/0!</v>
      </c>
      <c r="AR45" s="202" t="e">
        <f t="shared" si="23"/>
        <v>#DIV/0!</v>
      </c>
      <c r="AS45" s="202" t="e">
        <f t="shared" si="24"/>
        <v>#DIV/0!</v>
      </c>
    </row>
    <row r="46" spans="1:45" x14ac:dyDescent="0.2">
      <c r="A46" s="208">
        <f t="shared" si="27"/>
        <v>2039</v>
      </c>
      <c r="B46" s="241">
        <f t="shared" si="25"/>
        <v>1615.4962474153522</v>
      </c>
      <c r="C46" s="241" t="e">
        <f t="shared" si="2"/>
        <v>#DIV/0!</v>
      </c>
      <c r="D46" s="242">
        <f>'KU Efficiencies'!B$54*'KU StructuralVars'!$Q46*('KU Shares'!B46/'KU Efficiencies'!B46)/('KU Shares'!B$12/'KU Efficiencies'!B$12)</f>
        <v>939.37474040915265</v>
      </c>
      <c r="E46" s="242">
        <f>'KU Efficiencies'!C$54*'KU StructuralVars'!$Q46*('KU Shares'!D46/'KU Efficiencies'!C46)/('KU Shares'!D$12/'KU Efficiencies'!C$12)</f>
        <v>603.00700845793381</v>
      </c>
      <c r="F46" s="242">
        <f t="shared" si="30"/>
        <v>50.38772689661117</v>
      </c>
      <c r="G46" s="242">
        <f>'KU Efficiencies'!E$54*'KU StructuralVars'!$Q46*('KU Shares'!H46/(1/'KU Efficiencies'!E46))/('KU Shares'!H$12/(1/'KU Efficiencies'!E$12))</f>
        <v>22.726771651654314</v>
      </c>
      <c r="H46" s="242" t="e">
        <f>'KU Efficiencies'!F$54*'KU StructuralVars'!$R46*('KU Shares'!J46/'KU Efficiencies'!F46)/('KU Shares'!J$12/'KU Efficiencies'!F$12)</f>
        <v>#DIV/0!</v>
      </c>
      <c r="I46" s="242" t="e">
        <f>'KU Efficiencies'!G$54*'KU StructuralVars'!$R46*('KU Shares'!L46/'KU Efficiencies'!G46)/('KU Shares'!L$12/'KU Efficiencies'!G$12)</f>
        <v>#DIV/0!</v>
      </c>
      <c r="J46" s="242" t="e">
        <f>'KU Efficiencies'!H$54*'KU StructuralVars'!$R46*('KU Shares'!N46/'KU Efficiencies'!H46)/('KU Shares'!N$12/'KU Efficiencies'!H$12)</f>
        <v>#DIV/0!</v>
      </c>
      <c r="K46" s="242" t="e">
        <f>'KU Efficiencies'!I$54*'KU StructuralVars'!$R46*('KU Shares'!P46/'KU Efficiencies'!I46)/('KU Shares'!P$12/'KU Efficiencies'!I$12)</f>
        <v>#DIV/0!</v>
      </c>
      <c r="L46" s="242" t="e">
        <f>'KU Efficiencies'!J$54*('KU Shares'!R46/'KU Efficiencies'!J46)/('KU Shares'!R$12/'KU Efficiencies'!J$12)</f>
        <v>#DIV/0!</v>
      </c>
      <c r="M46" s="242">
        <f>'KU Efficiencies'!K$54*('KU Shares'!T46/(1/'KU Efficiencies'!K46))/('KU Shares'!T$12/(1/'KU Efficiencies'!K$12))</f>
        <v>654.61112995626854</v>
      </c>
      <c r="N46" s="242">
        <f t="shared" si="31"/>
        <v>491.39591125233784</v>
      </c>
      <c r="O46" s="242">
        <f>'KU Efficiencies'!M$54*('KU Shares'!W46/(1/'KU Efficiencies'!M46))/('KU Shares'!W$12/(1/'KU Efficiencies'!M$12))</f>
        <v>86.41948912880413</v>
      </c>
      <c r="P46" s="242">
        <f>'KU Efficiencies'!N$54*('KU Shares'!Y46/(1/'KU Efficiencies'!N46))/('KU Shares'!Y$12/(1/'KU Efficiencies'!N$12))</f>
        <v>251.33874215565203</v>
      </c>
      <c r="Q46" s="242">
        <f>'KU Efficiencies'!O$54*('KU Shares'!AA46/(1/'KU Efficiencies'!O46))/('KU Shares'!AA$12/(1/'KU Efficiencies'!O$12))</f>
        <v>259.40723504259961</v>
      </c>
      <c r="R46" s="289" t="e">
        <f>'KU Efficiencies'!P$54*('KU Shares'!AC46/(1/'KU Efficiencies'!P46))/('KU Shares'!AC$12/(1/'KU Efficiencies'!P$12))</f>
        <v>#DIV/0!</v>
      </c>
      <c r="S46" s="242" t="e">
        <f>'KU Efficiencies'!Q$54*('KU Shares'!AE46/(1/'KU Efficiencies'!Q46))/('KU Shares'!AE$12/(1/'KU Efficiencies'!Q$12))</f>
        <v>#DIV/0!</v>
      </c>
      <c r="T46" s="242" t="e">
        <f>'KU Efficiencies'!R$54*('KU Shares'!AG46/(1/'KU Efficiencies'!R46))/('KU Shares'!AG$12/(1/'KU Efficiencies'!R$12))</f>
        <v>#DIV/0!</v>
      </c>
      <c r="U46" s="242" t="e">
        <f>'KU Efficiencies'!S$54*('KU Shares'!AH46/(1/'KU Efficiencies'!S46))/('KU Shares'!AH$12/(1/'KU Efficiencies'!S$12))</f>
        <v>#DIV/0!</v>
      </c>
      <c r="V46" s="242">
        <f>'KU Efficiencies'!T$54*('KU Shares'!AI46/(1/'KU Efficiencies'!T46))/('KU Shares'!AI$12/(1/'KU Efficiencies'!T$12))</f>
        <v>1270.3311032140923</v>
      </c>
      <c r="W46" s="242">
        <f>'KU Efficiencies'!V$54*('KU Shares'!AJ46/(1/'KU Efficiencies'!X46))/('KU Shares'!AJ$12/(1/'KU Efficiencies'!X$12))</f>
        <v>5949.1152897515767</v>
      </c>
      <c r="X46" s="159" t="e">
        <f t="shared" ref="X46:X49" si="32">SUM(D46:W46)</f>
        <v>#DIV/0!</v>
      </c>
      <c r="Y46" s="208">
        <f t="shared" si="29"/>
        <v>2039</v>
      </c>
      <c r="Z46" s="202" t="e">
        <f t="shared" si="5"/>
        <v>#DIV/0!</v>
      </c>
      <c r="AA46" s="202" t="e">
        <f t="shared" si="6"/>
        <v>#DIV/0!</v>
      </c>
      <c r="AB46" s="202" t="e">
        <f t="shared" si="7"/>
        <v>#DIV/0!</v>
      </c>
      <c r="AC46" s="202" t="e">
        <f t="shared" si="8"/>
        <v>#DIV/0!</v>
      </c>
      <c r="AD46" s="202" t="e">
        <f t="shared" si="9"/>
        <v>#DIV/0!</v>
      </c>
      <c r="AE46" s="202" t="e">
        <f t="shared" si="10"/>
        <v>#DIV/0!</v>
      </c>
      <c r="AF46" s="202" t="e">
        <f t="shared" si="11"/>
        <v>#DIV/0!</v>
      </c>
      <c r="AG46" s="202" t="e">
        <f t="shared" si="12"/>
        <v>#DIV/0!</v>
      </c>
      <c r="AH46" s="202" t="e">
        <f t="shared" si="13"/>
        <v>#DIV/0!</v>
      </c>
      <c r="AI46" s="202" t="e">
        <f t="shared" si="14"/>
        <v>#DIV/0!</v>
      </c>
      <c r="AJ46" s="202" t="e">
        <f t="shared" si="15"/>
        <v>#DIV/0!</v>
      </c>
      <c r="AK46" s="202" t="e">
        <f t="shared" si="16"/>
        <v>#DIV/0!</v>
      </c>
      <c r="AL46" s="202" t="e">
        <f t="shared" si="17"/>
        <v>#DIV/0!</v>
      </c>
      <c r="AM46" s="202" t="e">
        <f t="shared" si="18"/>
        <v>#DIV/0!</v>
      </c>
      <c r="AN46" s="202" t="e">
        <f t="shared" si="19"/>
        <v>#DIV/0!</v>
      </c>
      <c r="AO46" s="202" t="e">
        <f t="shared" si="20"/>
        <v>#DIV/0!</v>
      </c>
      <c r="AP46" s="202" t="e">
        <f t="shared" si="21"/>
        <v>#DIV/0!</v>
      </c>
      <c r="AQ46" s="202" t="e">
        <f t="shared" si="22"/>
        <v>#DIV/0!</v>
      </c>
      <c r="AR46" s="202" t="e">
        <f t="shared" si="23"/>
        <v>#DIV/0!</v>
      </c>
      <c r="AS46" s="202" t="e">
        <f t="shared" si="24"/>
        <v>#DIV/0!</v>
      </c>
    </row>
    <row r="47" spans="1:45" x14ac:dyDescent="0.2">
      <c r="A47" s="208">
        <f t="shared" si="27"/>
        <v>2040</v>
      </c>
      <c r="B47" s="241">
        <f t="shared" si="25"/>
        <v>1614.3879422483167</v>
      </c>
      <c r="C47" s="241" t="e">
        <f t="shared" si="2"/>
        <v>#DIV/0!</v>
      </c>
      <c r="D47" s="242">
        <f>'KU Efficiencies'!B$54*'KU StructuralVars'!$Q47*('KU Shares'!B47/'KU Efficiencies'!B47)/('KU Shares'!B$12/'KU Efficiencies'!B$12)</f>
        <v>939.37474040915265</v>
      </c>
      <c r="E47" s="242">
        <f>'KU Efficiencies'!C$54*'KU StructuralVars'!$Q47*('KU Shares'!D47/'KU Efficiencies'!C47)/('KU Shares'!D$12/'KU Efficiencies'!C$12)</f>
        <v>602.85056284498648</v>
      </c>
      <c r="F47" s="242">
        <f t="shared" si="30"/>
        <v>50.38772689661117</v>
      </c>
      <c r="G47" s="242">
        <f>'KU Efficiencies'!E$54*'KU StructuralVars'!$Q47*('KU Shares'!H47/(1/'KU Efficiencies'!E47))/('KU Shares'!H$12/(1/'KU Efficiencies'!E$12))</f>
        <v>21.774912097566361</v>
      </c>
      <c r="H47" s="242" t="e">
        <f>'KU Efficiencies'!F$54*'KU StructuralVars'!$R47*('KU Shares'!J47/'KU Efficiencies'!F47)/('KU Shares'!J$12/'KU Efficiencies'!F$12)</f>
        <v>#DIV/0!</v>
      </c>
      <c r="I47" s="242" t="e">
        <f>'KU Efficiencies'!G$54*'KU StructuralVars'!$R47*('KU Shares'!L47/'KU Efficiencies'!G47)/('KU Shares'!L$12/'KU Efficiencies'!G$12)</f>
        <v>#DIV/0!</v>
      </c>
      <c r="J47" s="242" t="e">
        <f>'KU Efficiencies'!H$54*'KU StructuralVars'!$R47*('KU Shares'!N47/'KU Efficiencies'!H47)/('KU Shares'!N$12/'KU Efficiencies'!H$12)</f>
        <v>#DIV/0!</v>
      </c>
      <c r="K47" s="242" t="e">
        <f>'KU Efficiencies'!I$54*'KU StructuralVars'!$R47*('KU Shares'!P47/'KU Efficiencies'!I47)/('KU Shares'!P$12/'KU Efficiencies'!I$12)</f>
        <v>#DIV/0!</v>
      </c>
      <c r="L47" s="242" t="e">
        <f>'KU Efficiencies'!J$54*('KU Shares'!R47/'KU Efficiencies'!J47)/('KU Shares'!R$12/'KU Efficiencies'!J$12)</f>
        <v>#DIV/0!</v>
      </c>
      <c r="M47" s="242">
        <f>'KU Efficiencies'!K$54*('KU Shares'!T47/(1/'KU Efficiencies'!K47))/('KU Shares'!T$12/(1/'KU Efficiencies'!K$12))</f>
        <v>654.80499347268028</v>
      </c>
      <c r="N47" s="242">
        <f t="shared" si="31"/>
        <v>491.39591125233784</v>
      </c>
      <c r="O47" s="242">
        <f>'KU Efficiencies'!M$54*('KU Shares'!W47/(1/'KU Efficiencies'!M47))/('KU Shares'!W$12/(1/'KU Efficiencies'!M$12))</f>
        <v>86.122052047204903</v>
      </c>
      <c r="P47" s="242">
        <f>'KU Efficiencies'!N$54*('KU Shares'!Y47/(1/'KU Efficiencies'!N47))/('KU Shares'!Y$12/(1/'KU Efficiencies'!N$12))</f>
        <v>250.60574117931137</v>
      </c>
      <c r="Q47" s="242">
        <f>'KU Efficiencies'!O$54*('KU Shares'!AA47/(1/'KU Efficiencies'!O47))/('KU Shares'!AA$12/(1/'KU Efficiencies'!O$12))</f>
        <v>260.77323342637499</v>
      </c>
      <c r="R47" s="289" t="e">
        <f>'KU Efficiencies'!P$54*('KU Shares'!AC47/(1/'KU Efficiencies'!P47))/('KU Shares'!AC$12/(1/'KU Efficiencies'!P$12))</f>
        <v>#DIV/0!</v>
      </c>
      <c r="S47" s="242" t="e">
        <f>'KU Efficiencies'!Q$54*('KU Shares'!AE47/(1/'KU Efficiencies'!Q47))/('KU Shares'!AE$12/(1/'KU Efficiencies'!Q$12))</f>
        <v>#DIV/0!</v>
      </c>
      <c r="T47" s="242" t="e">
        <f>'KU Efficiencies'!R$54*('KU Shares'!AG47/(1/'KU Efficiencies'!R47))/('KU Shares'!AG$12/(1/'KU Efficiencies'!R$12))</f>
        <v>#DIV/0!</v>
      </c>
      <c r="U47" s="242" t="e">
        <f>'KU Efficiencies'!S$54*('KU Shares'!AH47/(1/'KU Efficiencies'!S47))/('KU Shares'!AH$12/(1/'KU Efficiencies'!S$12))</f>
        <v>#DIV/0!</v>
      </c>
      <c r="V47" s="242">
        <f>'KU Efficiencies'!T$54*('KU Shares'!AI47/(1/'KU Efficiencies'!T47))/('KU Shares'!AI$12/(1/'KU Efficiencies'!T$12))</f>
        <v>1271.421075655642</v>
      </c>
      <c r="W47" s="242">
        <f>'KU Efficiencies'!V$54*('KU Shares'!AJ47/(1/'KU Efficiencies'!X47))/('KU Shares'!AJ$12/(1/'KU Efficiencies'!X$12))</f>
        <v>6042.0201396840775</v>
      </c>
      <c r="X47" s="159" t="e">
        <f t="shared" si="32"/>
        <v>#DIV/0!</v>
      </c>
      <c r="Y47" s="208">
        <f t="shared" si="29"/>
        <v>2040</v>
      </c>
      <c r="Z47" s="202" t="e">
        <f t="shared" si="5"/>
        <v>#DIV/0!</v>
      </c>
      <c r="AA47" s="202" t="e">
        <f t="shared" si="6"/>
        <v>#DIV/0!</v>
      </c>
      <c r="AB47" s="202" t="e">
        <f t="shared" si="7"/>
        <v>#DIV/0!</v>
      </c>
      <c r="AC47" s="202" t="e">
        <f t="shared" si="8"/>
        <v>#DIV/0!</v>
      </c>
      <c r="AD47" s="202" t="e">
        <f t="shared" si="9"/>
        <v>#DIV/0!</v>
      </c>
      <c r="AE47" s="202" t="e">
        <f t="shared" si="10"/>
        <v>#DIV/0!</v>
      </c>
      <c r="AF47" s="202" t="e">
        <f t="shared" si="11"/>
        <v>#DIV/0!</v>
      </c>
      <c r="AG47" s="202" t="e">
        <f t="shared" si="12"/>
        <v>#DIV/0!</v>
      </c>
      <c r="AH47" s="202" t="e">
        <f t="shared" si="13"/>
        <v>#DIV/0!</v>
      </c>
      <c r="AI47" s="202" t="e">
        <f t="shared" si="14"/>
        <v>#DIV/0!</v>
      </c>
      <c r="AJ47" s="202" t="e">
        <f t="shared" si="15"/>
        <v>#DIV/0!</v>
      </c>
      <c r="AK47" s="202" t="e">
        <f t="shared" si="16"/>
        <v>#DIV/0!</v>
      </c>
      <c r="AL47" s="202" t="e">
        <f t="shared" si="17"/>
        <v>#DIV/0!</v>
      </c>
      <c r="AM47" s="202" t="e">
        <f t="shared" si="18"/>
        <v>#DIV/0!</v>
      </c>
      <c r="AN47" s="202" t="e">
        <f t="shared" si="19"/>
        <v>#DIV/0!</v>
      </c>
      <c r="AO47" s="202" t="e">
        <f t="shared" si="20"/>
        <v>#DIV/0!</v>
      </c>
      <c r="AP47" s="202" t="e">
        <f t="shared" si="21"/>
        <v>#DIV/0!</v>
      </c>
      <c r="AQ47" s="202" t="e">
        <f t="shared" si="22"/>
        <v>#DIV/0!</v>
      </c>
      <c r="AR47" s="202" t="e">
        <f t="shared" si="23"/>
        <v>#DIV/0!</v>
      </c>
      <c r="AS47" s="202" t="e">
        <f t="shared" si="24"/>
        <v>#DIV/0!</v>
      </c>
    </row>
    <row r="48" spans="1:45" x14ac:dyDescent="0.2">
      <c r="A48" s="208">
        <f t="shared" si="27"/>
        <v>2041</v>
      </c>
      <c r="B48" s="241">
        <f t="shared" si="25"/>
        <v>1613.3167223627497</v>
      </c>
      <c r="C48" s="241" t="e">
        <f t="shared" si="2"/>
        <v>#DIV/0!</v>
      </c>
      <c r="D48" s="242">
        <f>'KU Efficiencies'!B$54*'KU StructuralVars'!$Q48*('KU Shares'!B48/'KU Efficiencies'!B48)/('KU Shares'!B$12/'KU Efficiencies'!B$12)</f>
        <v>939.37474040915265</v>
      </c>
      <c r="E48" s="242">
        <f>'KU Efficiencies'!C$54*'KU StructuralVars'!$Q48*('KU Shares'!D48/'KU Efficiencies'!C48)/('KU Shares'!D$12/'KU Efficiencies'!C$12)</f>
        <v>602.69419838824854</v>
      </c>
      <c r="F48" s="242">
        <f t="shared" si="30"/>
        <v>50.38772689661117</v>
      </c>
      <c r="G48" s="242">
        <f>'KU Efficiencies'!E$54*'KU StructuralVars'!$Q48*('KU Shares'!H48/(1/'KU Efficiencies'!E48))/('KU Shares'!H$12/(1/'KU Efficiencies'!E$12))</f>
        <v>20.860056668737265</v>
      </c>
      <c r="H48" s="242" t="e">
        <f>'KU Efficiencies'!F$54*'KU StructuralVars'!$R48*('KU Shares'!J48/'KU Efficiencies'!F48)/('KU Shares'!J$12/'KU Efficiencies'!F$12)</f>
        <v>#DIV/0!</v>
      </c>
      <c r="I48" s="242" t="e">
        <f>'KU Efficiencies'!G$54*'KU StructuralVars'!$R48*('KU Shares'!L48/'KU Efficiencies'!G48)/('KU Shares'!L$12/'KU Efficiencies'!G$12)</f>
        <v>#DIV/0!</v>
      </c>
      <c r="J48" s="242" t="e">
        <f>'KU Efficiencies'!H$54*'KU StructuralVars'!$R48*('KU Shares'!N48/'KU Efficiencies'!H48)/('KU Shares'!N$12/'KU Efficiencies'!H$12)</f>
        <v>#DIV/0!</v>
      </c>
      <c r="K48" s="242" t="e">
        <f>'KU Efficiencies'!I$54*'KU StructuralVars'!$R48*('KU Shares'!P48/'KU Efficiencies'!I48)/('KU Shares'!P$12/'KU Efficiencies'!I$12)</f>
        <v>#DIV/0!</v>
      </c>
      <c r="L48" s="242" t="e">
        <f>'KU Efficiencies'!J$54*('KU Shares'!R48/'KU Efficiencies'!J48)/('KU Shares'!R$12/'KU Efficiencies'!J$12)</f>
        <v>#DIV/0!</v>
      </c>
      <c r="M48" s="242">
        <f>'KU Efficiencies'!K$54*('KU Shares'!T48/(1/'KU Efficiencies'!K48))/('KU Shares'!T$12/(1/'KU Efficiencies'!K$12))</f>
        <v>654.9987532583807</v>
      </c>
      <c r="N48" s="242">
        <f t="shared" si="31"/>
        <v>491.39591125233784</v>
      </c>
      <c r="O48" s="242">
        <f>'KU Efficiencies'!M$54*('KU Shares'!W48/(1/'KU Efficiencies'!M48))/('KU Shares'!W$12/(1/'KU Efficiencies'!M$12))</f>
        <v>85.82503608266768</v>
      </c>
      <c r="P48" s="242">
        <f>'KU Efficiencies'!N$54*('KU Shares'!Y48/(1/'KU Efficiencies'!N48))/('KU Shares'!Y$12/(1/'KU Efficiencies'!N$12))</f>
        <v>249.87377364045904</v>
      </c>
      <c r="Q48" s="242">
        <f>'KU Efficiencies'!O$54*('KU Shares'!AA48/(1/'KU Efficiencies'!O48))/('KU Shares'!AA$12/(1/'KU Efficiencies'!O$12))</f>
        <v>262.13923442174035</v>
      </c>
      <c r="R48" s="289" t="e">
        <f>'KU Efficiencies'!P$54*('KU Shares'!AC48/(1/'KU Efficiencies'!P48))/('KU Shares'!AC$12/(1/'KU Efficiencies'!P$12))</f>
        <v>#DIV/0!</v>
      </c>
      <c r="S48" s="242" t="e">
        <f>'KU Efficiencies'!Q$54*('KU Shares'!AE48/(1/'KU Efficiencies'!Q48))/('KU Shares'!AE$12/(1/'KU Efficiencies'!Q$12))</f>
        <v>#DIV/0!</v>
      </c>
      <c r="T48" s="242" t="e">
        <f>'KU Efficiencies'!R$54*('KU Shares'!AG48/(1/'KU Efficiencies'!R48))/('KU Shares'!AG$12/(1/'KU Efficiencies'!R$12))</f>
        <v>#DIV/0!</v>
      </c>
      <c r="U48" s="242" t="e">
        <f>'KU Efficiencies'!S$54*('KU Shares'!AH48/(1/'KU Efficiencies'!S48))/('KU Shares'!AH$12/(1/'KU Efficiencies'!S$12))</f>
        <v>#DIV/0!</v>
      </c>
      <c r="V48" s="242">
        <f>'KU Efficiencies'!T$54*('KU Shares'!AI48/(1/'KU Efficiencies'!T48))/('KU Shares'!AI$12/(1/'KU Efficiencies'!T$12))</f>
        <v>1272.5119833178758</v>
      </c>
      <c r="W48" s="242">
        <f>'KU Efficiencies'!V$54*('KU Shares'!AJ48/(1/'KU Efficiencies'!X48))/('KU Shares'!AJ$12/(1/'KU Efficiencies'!X$12))</f>
        <v>6136.3758458734501</v>
      </c>
      <c r="X48" s="159" t="e">
        <f t="shared" si="32"/>
        <v>#DIV/0!</v>
      </c>
      <c r="Y48" s="208">
        <f t="shared" si="29"/>
        <v>2041</v>
      </c>
      <c r="Z48" s="202" t="e">
        <f t="shared" si="5"/>
        <v>#DIV/0!</v>
      </c>
      <c r="AA48" s="202" t="e">
        <f t="shared" si="6"/>
        <v>#DIV/0!</v>
      </c>
      <c r="AB48" s="202" t="e">
        <f t="shared" si="7"/>
        <v>#DIV/0!</v>
      </c>
      <c r="AC48" s="202" t="e">
        <f t="shared" si="8"/>
        <v>#DIV/0!</v>
      </c>
      <c r="AD48" s="202" t="e">
        <f t="shared" si="9"/>
        <v>#DIV/0!</v>
      </c>
      <c r="AE48" s="202" t="e">
        <f t="shared" si="10"/>
        <v>#DIV/0!</v>
      </c>
      <c r="AF48" s="202" t="e">
        <f t="shared" si="11"/>
        <v>#DIV/0!</v>
      </c>
      <c r="AG48" s="202" t="e">
        <f t="shared" si="12"/>
        <v>#DIV/0!</v>
      </c>
      <c r="AH48" s="202" t="e">
        <f t="shared" si="13"/>
        <v>#DIV/0!</v>
      </c>
      <c r="AI48" s="202" t="e">
        <f t="shared" si="14"/>
        <v>#DIV/0!</v>
      </c>
      <c r="AJ48" s="202" t="e">
        <f t="shared" si="15"/>
        <v>#DIV/0!</v>
      </c>
      <c r="AK48" s="202" t="e">
        <f t="shared" si="16"/>
        <v>#DIV/0!</v>
      </c>
      <c r="AL48" s="202" t="e">
        <f t="shared" si="17"/>
        <v>#DIV/0!</v>
      </c>
      <c r="AM48" s="202" t="e">
        <f t="shared" si="18"/>
        <v>#DIV/0!</v>
      </c>
      <c r="AN48" s="202" t="e">
        <f t="shared" si="19"/>
        <v>#DIV/0!</v>
      </c>
      <c r="AO48" s="202" t="e">
        <f t="shared" si="20"/>
        <v>#DIV/0!</v>
      </c>
      <c r="AP48" s="202" t="e">
        <f t="shared" si="21"/>
        <v>#DIV/0!</v>
      </c>
      <c r="AQ48" s="202" t="e">
        <f t="shared" si="22"/>
        <v>#DIV/0!</v>
      </c>
      <c r="AR48" s="202" t="e">
        <f t="shared" si="23"/>
        <v>#DIV/0!</v>
      </c>
      <c r="AS48" s="202" t="e">
        <f t="shared" si="24"/>
        <v>#DIV/0!</v>
      </c>
    </row>
    <row r="49" spans="1:45" x14ac:dyDescent="0.2">
      <c r="A49" s="208">
        <f t="shared" si="27"/>
        <v>2042</v>
      </c>
      <c r="B49" s="241">
        <f t="shared" si="25"/>
        <v>1612.2812133822215</v>
      </c>
      <c r="C49" s="241" t="e">
        <f t="shared" si="2"/>
        <v>#DIV/0!</v>
      </c>
      <c r="D49" s="242">
        <f>'KU Efficiencies'!B$54*'KU StructuralVars'!$Q49*('KU Shares'!B49/'KU Efficiencies'!B49)/('KU Shares'!B$12/'KU Efficiencies'!B$12)</f>
        <v>939.37474040915265</v>
      </c>
      <c r="E49" s="242">
        <f>'KU Efficiencies'!C$54*'KU StructuralVars'!$Q49*('KU Shares'!D49/'KU Efficiencies'!C49)/('KU Shares'!D$12/'KU Efficiencies'!C$12)</f>
        <v>602.53791502458671</v>
      </c>
      <c r="F49" s="242">
        <f t="shared" si="30"/>
        <v>50.38772689661117</v>
      </c>
      <c r="G49" s="242">
        <f>'KU Efficiencies'!E$54*'KU StructuralVars'!$Q49*('KU Shares'!H49/(1/'KU Efficiencies'!E49))/('KU Shares'!H$12/(1/'KU Efficiencies'!E$12))</f>
        <v>19.980831051870926</v>
      </c>
      <c r="H49" s="242" t="e">
        <f>'KU Efficiencies'!F$54*'KU StructuralVars'!$R49*('KU Shares'!J49/'KU Efficiencies'!F49)/('KU Shares'!J$12/'KU Efficiencies'!F$12)</f>
        <v>#DIV/0!</v>
      </c>
      <c r="I49" s="242" t="e">
        <f>'KU Efficiencies'!G$54*'KU StructuralVars'!$R49*('KU Shares'!L49/'KU Efficiencies'!G49)/('KU Shares'!L$12/'KU Efficiencies'!G$12)</f>
        <v>#DIV/0!</v>
      </c>
      <c r="J49" s="242" t="e">
        <f>'KU Efficiencies'!H$54*'KU StructuralVars'!$R49*('KU Shares'!N49/'KU Efficiencies'!H49)/('KU Shares'!N$12/'KU Efficiencies'!H$12)</f>
        <v>#DIV/0!</v>
      </c>
      <c r="K49" s="242" t="e">
        <f>'KU Efficiencies'!I$54*'KU StructuralVars'!$R49*('KU Shares'!P49/'KU Efficiencies'!I49)/('KU Shares'!P$12/'KU Efficiencies'!I$12)</f>
        <v>#DIV/0!</v>
      </c>
      <c r="L49" s="242" t="e">
        <f>'KU Efficiencies'!J$54*('KU Shares'!R49/'KU Efficiencies'!J49)/('KU Shares'!R$12/'KU Efficiencies'!J$12)</f>
        <v>#DIV/0!</v>
      </c>
      <c r="M49" s="242">
        <f>'KU Efficiencies'!K$54*('KU Shares'!T49/(1/'KU Efficiencies'!K49))/('KU Shares'!T$12/(1/'KU Efficiencies'!K$12))</f>
        <v>655.19240934710763</v>
      </c>
      <c r="N49" s="242">
        <f t="shared" si="31"/>
        <v>491.39591125233784</v>
      </c>
      <c r="O49" s="242">
        <f>'KU Efficiencies'!M$54*('KU Shares'!W49/(1/'KU Efficiencies'!M49))/('KU Shares'!W$12/(1/'KU Efficiencies'!M$12))</f>
        <v>85.528441137700156</v>
      </c>
      <c r="P49" s="242">
        <f>'KU Efficiencies'!N$54*('KU Shares'!Y49/(1/'KU Efficiencies'!N49))/('KU Shares'!Y$12/(1/'KU Efficiencies'!N$12))</f>
        <v>249.14283953909512</v>
      </c>
      <c r="Q49" s="242">
        <f>'KU Efficiencies'!O$54*('KU Shares'!AA49/(1/'KU Efficiencies'!O49))/('KU Shares'!AA$12/(1/'KU Efficiencies'!O$12))</f>
        <v>263.50523802869958</v>
      </c>
      <c r="R49" s="289" t="e">
        <f>'KU Efficiencies'!P$54*('KU Shares'!AC49/(1/'KU Efficiencies'!P49))/('KU Shares'!AC$12/(1/'KU Efficiencies'!P$12))</f>
        <v>#DIV/0!</v>
      </c>
      <c r="S49" s="242" t="e">
        <f>'KU Efficiencies'!Q$54*('KU Shares'!AE49/(1/'KU Efficiencies'!Q49))/('KU Shares'!AE$12/(1/'KU Efficiencies'!Q$12))</f>
        <v>#DIV/0!</v>
      </c>
      <c r="T49" s="242" t="e">
        <f>'KU Efficiencies'!R$54*('KU Shares'!AG49/(1/'KU Efficiencies'!R49))/('KU Shares'!AG$12/(1/'KU Efficiencies'!R$12))</f>
        <v>#DIV/0!</v>
      </c>
      <c r="U49" s="242" t="e">
        <f>'KU Efficiencies'!S$54*('KU Shares'!AH49/(1/'KU Efficiencies'!S49))/('KU Shares'!AH$12/(1/'KU Efficiencies'!S$12))</f>
        <v>#DIV/0!</v>
      </c>
      <c r="V49" s="242">
        <f>'KU Efficiencies'!T$54*('KU Shares'!AI49/(1/'KU Efficiencies'!T49))/('KU Shares'!AI$12/(1/'KU Efficiencies'!T$12))</f>
        <v>1273.6038270032341</v>
      </c>
      <c r="W49" s="242">
        <f>'KU Efficiencies'!V$54*('KU Shares'!AJ49/(1/'KU Efficiencies'!X49))/('KU Shares'!AJ$12/(1/'KU Efficiencies'!X$12))</f>
        <v>6232.205065736176</v>
      </c>
      <c r="X49" s="159" t="e">
        <f t="shared" si="32"/>
        <v>#DIV/0!</v>
      </c>
      <c r="Y49" s="208">
        <f t="shared" si="29"/>
        <v>2042</v>
      </c>
      <c r="Z49" s="202" t="e">
        <f t="shared" si="5"/>
        <v>#DIV/0!</v>
      </c>
      <c r="AA49" s="202" t="e">
        <f t="shared" si="6"/>
        <v>#DIV/0!</v>
      </c>
      <c r="AB49" s="202" t="e">
        <f t="shared" si="7"/>
        <v>#DIV/0!</v>
      </c>
      <c r="AC49" s="202" t="e">
        <f t="shared" si="8"/>
        <v>#DIV/0!</v>
      </c>
      <c r="AD49" s="202" t="e">
        <f t="shared" si="9"/>
        <v>#DIV/0!</v>
      </c>
      <c r="AE49" s="202" t="e">
        <f t="shared" si="10"/>
        <v>#DIV/0!</v>
      </c>
      <c r="AF49" s="202" t="e">
        <f t="shared" si="11"/>
        <v>#DIV/0!</v>
      </c>
      <c r="AG49" s="202" t="e">
        <f t="shared" si="12"/>
        <v>#DIV/0!</v>
      </c>
      <c r="AH49" s="202" t="e">
        <f t="shared" si="13"/>
        <v>#DIV/0!</v>
      </c>
      <c r="AI49" s="202" t="e">
        <f t="shared" si="14"/>
        <v>#DIV/0!</v>
      </c>
      <c r="AJ49" s="202" t="e">
        <f t="shared" si="15"/>
        <v>#DIV/0!</v>
      </c>
      <c r="AK49" s="202" t="e">
        <f t="shared" si="16"/>
        <v>#DIV/0!</v>
      </c>
      <c r="AL49" s="202" t="e">
        <f t="shared" si="17"/>
        <v>#DIV/0!</v>
      </c>
      <c r="AM49" s="202" t="e">
        <f t="shared" si="18"/>
        <v>#DIV/0!</v>
      </c>
      <c r="AN49" s="202" t="e">
        <f t="shared" si="19"/>
        <v>#DIV/0!</v>
      </c>
      <c r="AO49" s="202" t="e">
        <f t="shared" si="20"/>
        <v>#DIV/0!</v>
      </c>
      <c r="AP49" s="202" t="e">
        <f t="shared" si="21"/>
        <v>#DIV/0!</v>
      </c>
      <c r="AQ49" s="202" t="e">
        <f t="shared" si="22"/>
        <v>#DIV/0!</v>
      </c>
      <c r="AR49" s="202" t="e">
        <f t="shared" si="23"/>
        <v>#DIV/0!</v>
      </c>
      <c r="AS49" s="202" t="e">
        <f t="shared" si="24"/>
        <v>#DIV/0!</v>
      </c>
    </row>
  </sheetData>
  <phoneticPr fontId="0" type="noConversion"/>
  <pageMargins left="0.75" right="0.75" top="1" bottom="1" header="0.5" footer="0.5"/>
  <pageSetup orientation="portrait" r:id="rId1"/>
  <headerFooter alignWithMargins="0">
    <oddHeader>&amp;R&amp;"Times New Roman,Bold"&amp;12Attachment to Response to AG-1 Question No. 13 #11
Page &amp;P of &amp;N
Sinclair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9"/>
  <sheetViews>
    <sheetView view="pageBreakPreview" zoomScale="60" zoomScaleNormal="124" workbookViewId="0">
      <pane xSplit="1" ySplit="1" topLeftCell="B8" activePane="bottomRight" state="frozen"/>
      <selection activeCell="P1" sqref="P1:Q15"/>
      <selection pane="topRight" activeCell="P1" sqref="P1:Q15"/>
      <selection pane="bottomLeft" activeCell="P1" sqref="P1:Q15"/>
      <selection pane="bottomRight" activeCell="P1" sqref="P1:Q15"/>
    </sheetView>
  </sheetViews>
  <sheetFormatPr defaultColWidth="8.85546875" defaultRowHeight="12.75" x14ac:dyDescent="0.2"/>
  <cols>
    <col min="1" max="1" width="5.140625" style="177" bestFit="1" customWidth="1"/>
    <col min="2" max="2" width="7.28515625" style="177" bestFit="1" customWidth="1"/>
    <col min="3" max="3" width="12.28515625" style="177" bestFit="1" customWidth="1"/>
    <col min="4" max="4" width="7.7109375" style="177" bestFit="1" customWidth="1"/>
    <col min="5" max="5" width="12.85546875" style="177" bestFit="1" customWidth="1"/>
    <col min="6" max="6" width="9.140625" style="177" bestFit="1" customWidth="1"/>
    <col min="7" max="7" width="11.42578125" style="177" bestFit="1" customWidth="1"/>
    <col min="8" max="8" width="7.7109375" style="177" customWidth="1"/>
    <col min="9" max="9" width="10" style="177" bestFit="1" customWidth="1"/>
    <col min="10" max="10" width="6.28515625" style="177" customWidth="1"/>
    <col min="11" max="11" width="12.85546875" style="177" bestFit="1" customWidth="1"/>
    <col min="12" max="12" width="7.7109375" style="177" customWidth="1"/>
    <col min="13" max="13" width="12.85546875" style="177" bestFit="1" customWidth="1"/>
    <col min="14" max="14" width="9.140625" style="177" customWidth="1"/>
    <col min="15" max="15" width="9.42578125" style="177" customWidth="1"/>
    <col min="16" max="16" width="7.42578125" style="177" customWidth="1"/>
    <col min="17" max="17" width="12" style="177" bestFit="1" customWidth="1"/>
    <col min="18" max="18" width="8.140625" style="177" customWidth="1"/>
    <col min="19" max="19" width="10.28515625" style="177" bestFit="1" customWidth="1"/>
    <col min="20" max="20" width="7.28515625" style="177" customWidth="1"/>
    <col min="21" max="21" width="7.28515625" style="177" bestFit="1" customWidth="1"/>
    <col min="22" max="22" width="9.28515625" style="177" bestFit="1" customWidth="1"/>
    <col min="23" max="23" width="7.28515625" style="177" customWidth="1"/>
    <col min="24" max="24" width="8.28515625" style="177" bestFit="1" customWidth="1"/>
    <col min="25" max="25" width="6.28515625" style="177" customWidth="1"/>
    <col min="26" max="26" width="9.28515625" style="177" bestFit="1" customWidth="1"/>
    <col min="27" max="27" width="6.28515625" style="177" customWidth="1"/>
    <col min="28" max="28" width="11.85546875" style="177" bestFit="1" customWidth="1"/>
    <col min="29" max="29" width="7.28515625" style="177" customWidth="1"/>
    <col min="30" max="30" width="10.42578125" style="177" bestFit="1" customWidth="1"/>
    <col min="31" max="31" width="6.28515625" style="177" customWidth="1"/>
    <col min="32" max="32" width="7.28515625" style="177" bestFit="1" customWidth="1"/>
    <col min="33" max="33" width="8.28515625" style="177" bestFit="1" customWidth="1"/>
    <col min="34" max="34" width="8.5703125" style="177" bestFit="1" customWidth="1"/>
    <col min="35" max="36" width="7.28515625" style="177" bestFit="1" customWidth="1"/>
    <col min="37" max="37" width="8.140625" style="209" bestFit="1" customWidth="1"/>
    <col min="38" max="38" width="10.28515625" style="177" customWidth="1"/>
    <col min="39" max="40" width="8.85546875" style="177" customWidth="1"/>
    <col min="41" max="41" width="9.28515625" style="177" customWidth="1"/>
    <col min="42" max="43" width="8.85546875" style="177" customWidth="1"/>
    <col min="44" max="44" width="9.28515625" style="177" customWidth="1"/>
    <col min="45" max="47" width="8.85546875" style="177" customWidth="1"/>
    <col min="48" max="48" width="9" style="177" customWidth="1"/>
    <col min="49" max="56" width="8.85546875" style="177" customWidth="1"/>
    <col min="57" max="16384" width="8.85546875" style="177"/>
  </cols>
  <sheetData>
    <row r="1" spans="1:65" x14ac:dyDescent="0.2">
      <c r="A1" s="192"/>
      <c r="B1" s="193" t="s">
        <v>0</v>
      </c>
      <c r="C1" s="193" t="s">
        <v>194</v>
      </c>
      <c r="D1" s="193" t="s">
        <v>1</v>
      </c>
      <c r="E1" s="193" t="s">
        <v>195</v>
      </c>
      <c r="F1" s="193" t="s">
        <v>163</v>
      </c>
      <c r="G1" s="193" t="s">
        <v>196</v>
      </c>
      <c r="H1" s="193" t="s">
        <v>145</v>
      </c>
      <c r="I1" s="193" t="s">
        <v>197</v>
      </c>
      <c r="J1" s="193" t="s">
        <v>2</v>
      </c>
      <c r="K1" s="193" t="s">
        <v>198</v>
      </c>
      <c r="L1" s="193" t="s">
        <v>3</v>
      </c>
      <c r="M1" s="193" t="s">
        <v>199</v>
      </c>
      <c r="N1" s="193" t="s">
        <v>165</v>
      </c>
      <c r="O1" s="193" t="s">
        <v>200</v>
      </c>
      <c r="P1" s="193"/>
      <c r="Q1" s="193"/>
      <c r="R1" s="193" t="s">
        <v>5</v>
      </c>
      <c r="S1" s="193" t="s">
        <v>202</v>
      </c>
      <c r="T1" s="193" t="s">
        <v>6</v>
      </c>
      <c r="U1" s="193" t="s">
        <v>7</v>
      </c>
      <c r="V1" s="193" t="s">
        <v>204</v>
      </c>
      <c r="W1" s="193" t="s">
        <v>8</v>
      </c>
      <c r="X1" s="193" t="s">
        <v>205</v>
      </c>
      <c r="Y1" s="193" t="s">
        <v>9</v>
      </c>
      <c r="Z1" s="193" t="s">
        <v>206</v>
      </c>
      <c r="AA1" s="193" t="s">
        <v>10</v>
      </c>
      <c r="AB1" s="193" t="s">
        <v>207</v>
      </c>
      <c r="AC1" s="193" t="s">
        <v>11</v>
      </c>
      <c r="AD1" s="193" t="s">
        <v>208</v>
      </c>
      <c r="AE1" s="193" t="s">
        <v>12</v>
      </c>
      <c r="AF1" s="194" t="s">
        <v>215</v>
      </c>
      <c r="AG1" s="194" t="s">
        <v>100</v>
      </c>
      <c r="AH1" s="194" t="s">
        <v>173</v>
      </c>
      <c r="AI1" s="193" t="s">
        <v>13</v>
      </c>
      <c r="AJ1" s="193" t="s">
        <v>14</v>
      </c>
      <c r="AK1" s="194"/>
      <c r="AL1" s="194" t="s">
        <v>192</v>
      </c>
      <c r="AM1" s="194"/>
      <c r="AN1" s="194" t="s">
        <v>193</v>
      </c>
      <c r="AO1" s="194" t="s">
        <v>1</v>
      </c>
      <c r="AP1" s="194" t="s">
        <v>145</v>
      </c>
      <c r="AR1" s="194" t="s">
        <v>2</v>
      </c>
      <c r="AT1" s="194" t="s">
        <v>3</v>
      </c>
      <c r="AV1" s="195" t="s">
        <v>4</v>
      </c>
      <c r="AX1" s="195" t="s">
        <v>5</v>
      </c>
      <c r="AY1" s="195"/>
      <c r="AZ1" s="193" t="s">
        <v>6</v>
      </c>
      <c r="BA1" s="195"/>
      <c r="BB1" s="195" t="s">
        <v>203</v>
      </c>
      <c r="BC1" s="195"/>
      <c r="BD1" s="193" t="s">
        <v>9</v>
      </c>
      <c r="BE1" s="193"/>
      <c r="BF1" s="193" t="s">
        <v>10</v>
      </c>
      <c r="BG1" s="193"/>
      <c r="BH1" s="193" t="s">
        <v>11</v>
      </c>
      <c r="BI1" s="193"/>
      <c r="BJ1" s="193" t="s">
        <v>12</v>
      </c>
      <c r="BK1" s="195"/>
      <c r="BL1" s="195"/>
      <c r="BM1" s="195"/>
    </row>
    <row r="2" spans="1:65" hidden="1" x14ac:dyDescent="0.2">
      <c r="A2" s="196">
        <v>1995</v>
      </c>
      <c r="B2" s="197">
        <f>AN2</f>
        <v>0.1404</v>
      </c>
      <c r="C2" s="198">
        <v>0.12329999999999988</v>
      </c>
      <c r="D2" s="199">
        <f t="shared" ref="D2:D17" si="0">AO2</f>
        <v>0.16200000000000001</v>
      </c>
      <c r="E2" s="198">
        <v>0.26299999999999996</v>
      </c>
      <c r="F2" s="200">
        <v>2.8737134677953111E-3</v>
      </c>
      <c r="G2" s="198">
        <v>0.14347257439869704</v>
      </c>
      <c r="H2" s="197">
        <f t="shared" ref="H2:H16" si="1">AP2</f>
        <v>0.5099999999999999</v>
      </c>
      <c r="I2" s="198">
        <v>0.67080000000000017</v>
      </c>
      <c r="J2" s="254">
        <f t="shared" ref="J2:J12" si="2">I2</f>
        <v>0.67080000000000017</v>
      </c>
      <c r="K2" s="198">
        <v>0.12899999999999998</v>
      </c>
      <c r="L2" s="206">
        <f t="shared" ref="L2:L12" si="3">L3-0.05%</f>
        <v>0.16200000000000001</v>
      </c>
      <c r="M2" s="200">
        <v>2.7799999999999984E-2</v>
      </c>
      <c r="N2" s="197">
        <f>F2</f>
        <v>2.8737134677953111E-3</v>
      </c>
      <c r="O2" s="200">
        <v>0.23350000000000004</v>
      </c>
      <c r="P2" s="197"/>
      <c r="Q2" s="200"/>
      <c r="R2" s="197">
        <f>Q2</f>
        <v>0</v>
      </c>
      <c r="S2" s="200">
        <v>0.88639999999999974</v>
      </c>
      <c r="T2" s="212">
        <f t="shared" ref="T2:T12" si="4">T3-1.4%</f>
        <v>1.637</v>
      </c>
      <c r="U2" s="200">
        <v>1</v>
      </c>
      <c r="V2" s="200">
        <v>0.21480000000000013</v>
      </c>
      <c r="W2" s="200">
        <v>0.2</v>
      </c>
      <c r="X2" s="200">
        <v>6.5000000000000002E-2</v>
      </c>
      <c r="Y2" s="200">
        <v>0.35</v>
      </c>
      <c r="Z2" s="200">
        <v>0.99</v>
      </c>
      <c r="AA2" s="200">
        <v>0.64</v>
      </c>
      <c r="AB2" s="200">
        <v>0.98499999999999999</v>
      </c>
      <c r="AC2" s="200">
        <v>0.84</v>
      </c>
      <c r="AD2" s="200">
        <v>0.88900000000000001</v>
      </c>
      <c r="AE2" s="212">
        <f>AD2</f>
        <v>0.88900000000000001</v>
      </c>
      <c r="AF2" s="200">
        <v>2.0296122627882225</v>
      </c>
      <c r="AG2" s="203">
        <v>3.0720000000000001</v>
      </c>
      <c r="AH2" s="200">
        <v>0.4790597755265889</v>
      </c>
      <c r="AI2" s="200">
        <v>1</v>
      </c>
      <c r="AJ2" s="200">
        <v>1</v>
      </c>
      <c r="AK2" s="201"/>
      <c r="AL2" s="202">
        <v>0.36</v>
      </c>
      <c r="AM2" s="202"/>
      <c r="AN2" s="178">
        <f>AL2*0.39</f>
        <v>0.1404</v>
      </c>
      <c r="AO2" s="203">
        <f>45%*AL2</f>
        <v>0.16200000000000001</v>
      </c>
      <c r="AP2" s="204">
        <f t="shared" ref="AP2:AP7" si="5">AP3-$AQ$17</f>
        <v>0.5099999999999999</v>
      </c>
      <c r="AR2" s="203">
        <v>0.81399999999999995</v>
      </c>
      <c r="AV2" s="203">
        <v>0.25</v>
      </c>
    </row>
    <row r="3" spans="1:65" hidden="1" x14ac:dyDescent="0.2">
      <c r="A3" s="196">
        <v>1996</v>
      </c>
      <c r="B3" s="197">
        <f t="shared" ref="B3:B17" si="6">AN3</f>
        <v>0.14478749999999999</v>
      </c>
      <c r="C3" s="198">
        <v>0.12419999999999988</v>
      </c>
      <c r="D3" s="199">
        <f t="shared" si="0"/>
        <v>0.1670625</v>
      </c>
      <c r="E3" s="198">
        <v>0.26799999999999996</v>
      </c>
      <c r="F3" s="200">
        <f t="shared" ref="F3:F11" si="7">F2+((F$12-F$2)/10)</f>
        <v>3.065294365648332E-3</v>
      </c>
      <c r="G3" s="198">
        <v>0.14219922430887486</v>
      </c>
      <c r="H3" s="197">
        <f t="shared" si="1"/>
        <v>0.49633333333333324</v>
      </c>
      <c r="I3" s="198">
        <v>0.67090000000000016</v>
      </c>
      <c r="J3" s="254">
        <f t="shared" si="2"/>
        <v>0.67090000000000016</v>
      </c>
      <c r="K3" s="198">
        <v>0.13199999999999998</v>
      </c>
      <c r="L3" s="206">
        <f t="shared" si="3"/>
        <v>0.16250000000000001</v>
      </c>
      <c r="M3" s="200">
        <v>2.8399999999999984E-2</v>
      </c>
      <c r="N3" s="197">
        <f t="shared" ref="N3:N42" si="8">F3</f>
        <v>3.065294365648332E-3</v>
      </c>
      <c r="O3" s="200">
        <v>0.23050000000000004</v>
      </c>
      <c r="P3" s="197"/>
      <c r="Q3" s="200"/>
      <c r="R3" s="197">
        <f t="shared" ref="R3:R13" si="9">Q3</f>
        <v>0</v>
      </c>
      <c r="S3" s="200">
        <v>0.88719999999999977</v>
      </c>
      <c r="T3" s="212">
        <f t="shared" si="4"/>
        <v>1.651</v>
      </c>
      <c r="U3" s="200">
        <f t="shared" ref="U3:U11" si="10">U2+((U$12-U$2)/10)</f>
        <v>1</v>
      </c>
      <c r="V3" s="200">
        <v>0.21490000000000012</v>
      </c>
      <c r="W3" s="197">
        <f>W2</f>
        <v>0.2</v>
      </c>
      <c r="X3" s="200">
        <v>6.5000000000000002E-2</v>
      </c>
      <c r="Y3" s="197">
        <f>Y2</f>
        <v>0.35</v>
      </c>
      <c r="Z3" s="200">
        <v>0.99</v>
      </c>
      <c r="AA3" s="213">
        <f>AA2+3%/12</f>
        <v>0.64249999999999996</v>
      </c>
      <c r="AB3" s="200">
        <v>0.98499999999999999</v>
      </c>
      <c r="AC3" s="213">
        <f>AC2+4%/12</f>
        <v>0.84333333333333327</v>
      </c>
      <c r="AD3" s="200">
        <v>0.89</v>
      </c>
      <c r="AE3" s="212">
        <f t="shared" ref="AE3:AE13" si="11">AD3</f>
        <v>0.89</v>
      </c>
      <c r="AF3" s="200">
        <v>2.0734332018352153</v>
      </c>
      <c r="AG3" s="203">
        <v>3.0859999999999999</v>
      </c>
      <c r="AH3" s="200">
        <f t="shared" ref="AH3:AH11" si="12">AH2+((AH$12-AH$2)/10)</f>
        <v>0.47833042722836155</v>
      </c>
      <c r="AI3" s="200">
        <v>1</v>
      </c>
      <c r="AJ3" s="200">
        <v>1</v>
      </c>
      <c r="AK3" s="201"/>
      <c r="AL3" s="202">
        <f>AL2+$AM$10/8</f>
        <v>0.37124999999999997</v>
      </c>
      <c r="AM3" s="202"/>
      <c r="AN3" s="178">
        <f t="shared" ref="AN3:AN17" si="13">AL3*0.39</f>
        <v>0.14478749999999999</v>
      </c>
      <c r="AO3" s="203">
        <f t="shared" ref="AO3:AO17" si="14">45%*AL3</f>
        <v>0.1670625</v>
      </c>
      <c r="AP3" s="204">
        <f t="shared" si="5"/>
        <v>0.49633333333333324</v>
      </c>
      <c r="AR3" s="203">
        <f>AR2+$AS$6/5</f>
        <v>0.82599999999999996</v>
      </c>
      <c r="AV3" s="204">
        <f>AV2+$AW$6/4</f>
        <v>0.245</v>
      </c>
    </row>
    <row r="4" spans="1:65" s="205" customFormat="1" hidden="1" x14ac:dyDescent="0.2">
      <c r="A4" s="196">
        <v>1997</v>
      </c>
      <c r="B4" s="197">
        <f t="shared" si="6"/>
        <v>0.14917499999999997</v>
      </c>
      <c r="C4" s="198">
        <v>0.12509999999999988</v>
      </c>
      <c r="D4" s="199">
        <f t="shared" si="0"/>
        <v>0.17212499999999997</v>
      </c>
      <c r="E4" s="198">
        <v>0.27299999999999996</v>
      </c>
      <c r="F4" s="200">
        <f t="shared" si="7"/>
        <v>3.2568752635013529E-3</v>
      </c>
      <c r="G4" s="198">
        <v>0.14093717547616083</v>
      </c>
      <c r="H4" s="197">
        <f t="shared" si="1"/>
        <v>0.48266666666666658</v>
      </c>
      <c r="I4" s="198">
        <v>0.67100000000000015</v>
      </c>
      <c r="J4" s="254">
        <f t="shared" si="2"/>
        <v>0.67100000000000015</v>
      </c>
      <c r="K4" s="198">
        <v>0.13500000000000001</v>
      </c>
      <c r="L4" s="206">
        <f t="shared" si="3"/>
        <v>0.16300000000000001</v>
      </c>
      <c r="M4" s="200">
        <v>2.8999999999999984E-2</v>
      </c>
      <c r="N4" s="197">
        <f t="shared" si="8"/>
        <v>3.2568752635013529E-3</v>
      </c>
      <c r="O4" s="200">
        <v>0.22750000000000001</v>
      </c>
      <c r="P4" s="197"/>
      <c r="Q4" s="200"/>
      <c r="R4" s="197">
        <f t="shared" si="9"/>
        <v>0</v>
      </c>
      <c r="S4" s="200">
        <v>0.88799999999999979</v>
      </c>
      <c r="T4" s="212">
        <f t="shared" si="4"/>
        <v>1.665</v>
      </c>
      <c r="U4" s="200">
        <f t="shared" si="10"/>
        <v>1</v>
      </c>
      <c r="V4" s="200">
        <v>0.215</v>
      </c>
      <c r="W4" s="197">
        <f t="shared" ref="W4:Y13" si="15">W3</f>
        <v>0.2</v>
      </c>
      <c r="X4" s="200">
        <v>6.5000000000000002E-2</v>
      </c>
      <c r="Y4" s="197">
        <f t="shared" si="15"/>
        <v>0.35</v>
      </c>
      <c r="Z4" s="200">
        <v>0.99</v>
      </c>
      <c r="AA4" s="213">
        <f t="shared" ref="AA4:AA13" si="16">AA3+3%/12</f>
        <v>0.64499999999999991</v>
      </c>
      <c r="AB4" s="200">
        <v>0.98499999999999999</v>
      </c>
      <c r="AC4" s="213">
        <f t="shared" ref="AC4:AC13" si="17">AC3+4%/12</f>
        <v>0.84666666666666657</v>
      </c>
      <c r="AD4" s="200">
        <v>0.89100000000000001</v>
      </c>
      <c r="AE4" s="212">
        <f t="shared" si="11"/>
        <v>0.89100000000000001</v>
      </c>
      <c r="AF4" s="200">
        <v>2.1058214536112612</v>
      </c>
      <c r="AG4" s="203">
        <v>3.1</v>
      </c>
      <c r="AH4" s="200">
        <f t="shared" si="12"/>
        <v>0.4776010789301342</v>
      </c>
      <c r="AI4" s="200">
        <v>1</v>
      </c>
      <c r="AJ4" s="200">
        <v>1</v>
      </c>
      <c r="AK4" s="201"/>
      <c r="AL4" s="202">
        <f t="shared" ref="AL4:AL9" si="18">AL3+$AM$10/8</f>
        <v>0.38249999999999995</v>
      </c>
      <c r="AM4" s="202"/>
      <c r="AN4" s="178">
        <f t="shared" si="13"/>
        <v>0.14917499999999997</v>
      </c>
      <c r="AO4" s="203">
        <f t="shared" si="14"/>
        <v>0.17212499999999997</v>
      </c>
      <c r="AP4" s="204">
        <f t="shared" si="5"/>
        <v>0.48266666666666658</v>
      </c>
      <c r="AR4" s="203">
        <f>AR3+$AS$6/5</f>
        <v>0.83799999999999997</v>
      </c>
      <c r="AV4" s="204">
        <f>AV3+$AW$6/4</f>
        <v>0.24</v>
      </c>
    </row>
    <row r="5" spans="1:65" hidden="1" x14ac:dyDescent="0.2">
      <c r="A5" s="196">
        <v>1998</v>
      </c>
      <c r="B5" s="197">
        <f t="shared" si="6"/>
        <v>0.15356249999999999</v>
      </c>
      <c r="C5" s="198">
        <v>0.12599999999999989</v>
      </c>
      <c r="D5" s="199">
        <f t="shared" si="0"/>
        <v>0.17718749999999997</v>
      </c>
      <c r="E5" s="198">
        <v>0.27799999999999997</v>
      </c>
      <c r="F5" s="200">
        <f t="shared" si="7"/>
        <v>3.4484561613543738E-3</v>
      </c>
      <c r="G5" s="198">
        <v>0.1396863275994569</v>
      </c>
      <c r="H5" s="197">
        <f t="shared" si="1"/>
        <v>0.46899999999999992</v>
      </c>
      <c r="I5" s="198">
        <v>0.67110000000000014</v>
      </c>
      <c r="J5" s="254">
        <f t="shared" si="2"/>
        <v>0.67110000000000014</v>
      </c>
      <c r="K5" s="198">
        <v>0.13799999999999998</v>
      </c>
      <c r="L5" s="206">
        <f t="shared" si="3"/>
        <v>0.16350000000000001</v>
      </c>
      <c r="M5" s="200">
        <v>2.9599999999999984E-2</v>
      </c>
      <c r="N5" s="197">
        <f t="shared" si="8"/>
        <v>3.4484561613543738E-3</v>
      </c>
      <c r="O5" s="200">
        <v>0.22450000000000003</v>
      </c>
      <c r="P5" s="197"/>
      <c r="Q5" s="200"/>
      <c r="R5" s="197">
        <f t="shared" si="9"/>
        <v>0</v>
      </c>
      <c r="S5" s="200">
        <v>0.88879999999999981</v>
      </c>
      <c r="T5" s="212">
        <f t="shared" si="4"/>
        <v>1.679</v>
      </c>
      <c r="U5" s="200">
        <f t="shared" si="10"/>
        <v>1</v>
      </c>
      <c r="V5" s="200">
        <v>0.2151000000000001</v>
      </c>
      <c r="W5" s="197">
        <f t="shared" si="15"/>
        <v>0.2</v>
      </c>
      <c r="X5" s="200">
        <v>6.5000000000000002E-2</v>
      </c>
      <c r="Y5" s="197">
        <f t="shared" si="15"/>
        <v>0.35</v>
      </c>
      <c r="Z5" s="200">
        <v>0.99</v>
      </c>
      <c r="AA5" s="213">
        <f t="shared" si="16"/>
        <v>0.64749999999999985</v>
      </c>
      <c r="AB5" s="200">
        <v>0.98499999999999999</v>
      </c>
      <c r="AC5" s="213">
        <f t="shared" si="17"/>
        <v>0.84999999999999987</v>
      </c>
      <c r="AD5" s="200">
        <v>0.89200000000000002</v>
      </c>
      <c r="AE5" s="212">
        <f t="shared" si="11"/>
        <v>0.89200000000000002</v>
      </c>
      <c r="AF5" s="200">
        <v>2.138209705387307</v>
      </c>
      <c r="AG5" s="203">
        <v>3.1139999999999999</v>
      </c>
      <c r="AH5" s="200">
        <f t="shared" si="12"/>
        <v>0.47687173063190685</v>
      </c>
      <c r="AI5" s="200">
        <v>1</v>
      </c>
      <c r="AJ5" s="200">
        <v>1</v>
      </c>
      <c r="AK5" s="201"/>
      <c r="AL5" s="202">
        <f t="shared" si="18"/>
        <v>0.39374999999999993</v>
      </c>
      <c r="AM5" s="202"/>
      <c r="AN5" s="178">
        <f t="shared" si="13"/>
        <v>0.15356249999999999</v>
      </c>
      <c r="AO5" s="203">
        <f t="shared" si="14"/>
        <v>0.17718749999999997</v>
      </c>
      <c r="AP5" s="204">
        <f t="shared" si="5"/>
        <v>0.46899999999999992</v>
      </c>
      <c r="AR5" s="203">
        <f>AR4+$AS$6/5</f>
        <v>0.85</v>
      </c>
      <c r="AV5" s="204">
        <f>AV4+$AW$6/4</f>
        <v>0.23499999999999999</v>
      </c>
    </row>
    <row r="6" spans="1:65" hidden="1" x14ac:dyDescent="0.2">
      <c r="A6" s="196">
        <v>1999</v>
      </c>
      <c r="B6" s="197">
        <f t="shared" si="6"/>
        <v>0.15794999999999998</v>
      </c>
      <c r="C6" s="198">
        <v>0.1268999999999999</v>
      </c>
      <c r="D6" s="199">
        <f t="shared" si="0"/>
        <v>0.18224999999999997</v>
      </c>
      <c r="E6" s="198">
        <v>0.28299999999999997</v>
      </c>
      <c r="F6" s="200">
        <f t="shared" si="7"/>
        <v>3.6400370592073947E-3</v>
      </c>
      <c r="G6" s="198">
        <v>0.13844658126785894</v>
      </c>
      <c r="H6" s="197">
        <f t="shared" si="1"/>
        <v>0.45533333333333326</v>
      </c>
      <c r="I6" s="198">
        <v>0.67120000000000013</v>
      </c>
      <c r="J6" s="254">
        <f t="shared" si="2"/>
        <v>0.67120000000000013</v>
      </c>
      <c r="K6" s="198">
        <v>0.14099999999999999</v>
      </c>
      <c r="L6" s="206">
        <f t="shared" si="3"/>
        <v>0.16400000000000001</v>
      </c>
      <c r="M6" s="200">
        <v>3.0199999999999984E-2</v>
      </c>
      <c r="N6" s="197">
        <f t="shared" si="8"/>
        <v>3.6400370592073947E-3</v>
      </c>
      <c r="O6" s="200">
        <v>0.22150000000000003</v>
      </c>
      <c r="P6" s="197"/>
      <c r="Q6" s="200"/>
      <c r="R6" s="197">
        <f t="shared" si="9"/>
        <v>0</v>
      </c>
      <c r="S6" s="200">
        <v>0.88959999999999984</v>
      </c>
      <c r="T6" s="212">
        <f t="shared" si="4"/>
        <v>1.6930000000000001</v>
      </c>
      <c r="U6" s="200">
        <f t="shared" si="10"/>
        <v>1</v>
      </c>
      <c r="V6" s="200">
        <v>0.21520000000000009</v>
      </c>
      <c r="W6" s="197">
        <f t="shared" si="15"/>
        <v>0.2</v>
      </c>
      <c r="X6" s="200">
        <v>6.5000000000000002E-2</v>
      </c>
      <c r="Y6" s="197">
        <f t="shared" si="15"/>
        <v>0.35</v>
      </c>
      <c r="Z6" s="200">
        <v>0.99</v>
      </c>
      <c r="AA6" s="213">
        <f t="shared" si="16"/>
        <v>0.6499999999999998</v>
      </c>
      <c r="AB6" s="200">
        <v>0.98499999999999999</v>
      </c>
      <c r="AC6" s="213">
        <f t="shared" si="17"/>
        <v>0.85333333333333317</v>
      </c>
      <c r="AD6" s="200">
        <v>0.89300000000000002</v>
      </c>
      <c r="AE6" s="212">
        <f t="shared" si="11"/>
        <v>0.89300000000000002</v>
      </c>
      <c r="AF6" s="200">
        <v>2.1705979571633529</v>
      </c>
      <c r="AG6" s="203">
        <v>3.1280000000000001</v>
      </c>
      <c r="AH6" s="200">
        <f t="shared" si="12"/>
        <v>0.4761423823336795</v>
      </c>
      <c r="AI6" s="200">
        <v>1</v>
      </c>
      <c r="AJ6" s="200">
        <v>1</v>
      </c>
      <c r="AK6" s="201"/>
      <c r="AL6" s="202">
        <f t="shared" si="18"/>
        <v>0.40499999999999992</v>
      </c>
      <c r="AM6" s="202"/>
      <c r="AN6" s="178">
        <f t="shared" si="13"/>
        <v>0.15794999999999998</v>
      </c>
      <c r="AO6" s="203">
        <f t="shared" si="14"/>
        <v>0.18224999999999997</v>
      </c>
      <c r="AP6" s="204">
        <f t="shared" si="5"/>
        <v>0.45533333333333326</v>
      </c>
      <c r="AR6" s="203">
        <v>0.874</v>
      </c>
      <c r="AS6" s="203">
        <f>AR6-$AR$2</f>
        <v>6.0000000000000053E-2</v>
      </c>
      <c r="AV6" s="203">
        <v>0.23</v>
      </c>
      <c r="AW6" s="203">
        <f>AV6-AV2</f>
        <v>-1.999999999999999E-2</v>
      </c>
    </row>
    <row r="7" spans="1:65" hidden="1" x14ac:dyDescent="0.2">
      <c r="A7" s="196">
        <v>2000</v>
      </c>
      <c r="B7" s="197">
        <f t="shared" si="6"/>
        <v>0.16233749999999997</v>
      </c>
      <c r="C7" s="198">
        <v>0.12779999999999991</v>
      </c>
      <c r="D7" s="199">
        <f t="shared" si="0"/>
        <v>0.18731249999999997</v>
      </c>
      <c r="E7" s="198">
        <v>0.28799999999999998</v>
      </c>
      <c r="F7" s="200">
        <f t="shared" si="7"/>
        <v>3.8316179570604156E-3</v>
      </c>
      <c r="G7" s="198">
        <v>0.13721783795275602</v>
      </c>
      <c r="H7" s="197">
        <f t="shared" si="1"/>
        <v>0.4416666666666666</v>
      </c>
      <c r="I7" s="198">
        <v>0.67130000000000012</v>
      </c>
      <c r="J7" s="254">
        <f t="shared" si="2"/>
        <v>0.67130000000000012</v>
      </c>
      <c r="K7" s="198">
        <v>0.14399999999999999</v>
      </c>
      <c r="L7" s="206">
        <f t="shared" si="3"/>
        <v>0.16450000000000001</v>
      </c>
      <c r="M7" s="200">
        <v>3.0799999999999984E-2</v>
      </c>
      <c r="N7" s="197">
        <f t="shared" si="8"/>
        <v>3.8316179570604156E-3</v>
      </c>
      <c r="O7" s="200">
        <v>0.21850000000000003</v>
      </c>
      <c r="P7" s="197"/>
      <c r="Q7" s="200"/>
      <c r="R7" s="197">
        <f t="shared" si="9"/>
        <v>0</v>
      </c>
      <c r="S7" s="200">
        <v>0.89039999999999986</v>
      </c>
      <c r="T7" s="212">
        <f t="shared" si="4"/>
        <v>1.7070000000000001</v>
      </c>
      <c r="U7" s="200">
        <f t="shared" si="10"/>
        <v>1</v>
      </c>
      <c r="V7" s="200">
        <v>0.21530000000000007</v>
      </c>
      <c r="W7" s="197">
        <f t="shared" si="15"/>
        <v>0.2</v>
      </c>
      <c r="X7" s="200">
        <v>6.5000000000000002E-2</v>
      </c>
      <c r="Y7" s="197">
        <f t="shared" si="15"/>
        <v>0.35</v>
      </c>
      <c r="Z7" s="200">
        <v>0.99</v>
      </c>
      <c r="AA7" s="213">
        <f t="shared" si="16"/>
        <v>0.65249999999999975</v>
      </c>
      <c r="AB7" s="200">
        <v>0.98499999999999999</v>
      </c>
      <c r="AC7" s="213">
        <f t="shared" si="17"/>
        <v>0.85666666666666647</v>
      </c>
      <c r="AD7" s="200">
        <v>0.89400000000000002</v>
      </c>
      <c r="AE7" s="212">
        <f t="shared" si="11"/>
        <v>0.89400000000000002</v>
      </c>
      <c r="AF7" s="200">
        <v>2.2029862089393988</v>
      </c>
      <c r="AG7" s="203">
        <v>3.1419999999999999</v>
      </c>
      <c r="AH7" s="200">
        <f t="shared" si="12"/>
        <v>0.47541303403545215</v>
      </c>
      <c r="AI7" s="200">
        <v>1</v>
      </c>
      <c r="AJ7" s="200">
        <v>1</v>
      </c>
      <c r="AK7" s="201"/>
      <c r="AL7" s="202">
        <f t="shared" si="18"/>
        <v>0.4162499999999999</v>
      </c>
      <c r="AM7" s="202"/>
      <c r="AN7" s="178">
        <f t="shared" si="13"/>
        <v>0.16233749999999997</v>
      </c>
      <c r="AO7" s="203">
        <f t="shared" si="14"/>
        <v>0.18731249999999997</v>
      </c>
      <c r="AP7" s="204">
        <f t="shared" si="5"/>
        <v>0.4416666666666666</v>
      </c>
      <c r="AR7" s="203">
        <f>AR6+$AS$12/6</f>
        <v>0.87016666666666664</v>
      </c>
      <c r="AV7" s="204">
        <f>AV6+$AW$10/4</f>
        <v>0.22075</v>
      </c>
    </row>
    <row r="8" spans="1:65" x14ac:dyDescent="0.2">
      <c r="A8" s="196">
        <v>2001</v>
      </c>
      <c r="B8" s="197">
        <f t="shared" si="6"/>
        <v>0.16672499999999996</v>
      </c>
      <c r="C8" s="198">
        <v>0.12869999999999993</v>
      </c>
      <c r="D8" s="199">
        <f t="shared" si="0"/>
        <v>0.19237499999999996</v>
      </c>
      <c r="E8" s="198">
        <v>0.29299999999999998</v>
      </c>
      <c r="F8" s="200">
        <f t="shared" si="7"/>
        <v>4.0231988549134364E-3</v>
      </c>
      <c r="G8" s="198">
        <v>0.13600000000000001</v>
      </c>
      <c r="H8" s="197">
        <f t="shared" si="1"/>
        <v>0.42799999999999994</v>
      </c>
      <c r="I8" s="198">
        <v>0.67140000000000011</v>
      </c>
      <c r="J8" s="254">
        <f t="shared" si="2"/>
        <v>0.67140000000000011</v>
      </c>
      <c r="K8" s="198">
        <v>0.14699999999999999</v>
      </c>
      <c r="L8" s="206">
        <f t="shared" si="3"/>
        <v>0.16500000000000001</v>
      </c>
      <c r="M8" s="200">
        <v>3.1399999999999983E-2</v>
      </c>
      <c r="N8" s="197">
        <f t="shared" si="8"/>
        <v>4.0231988549134364E-3</v>
      </c>
      <c r="O8" s="200">
        <v>0.21550000000000002</v>
      </c>
      <c r="P8" s="197"/>
      <c r="Q8" s="200"/>
      <c r="R8" s="197">
        <f t="shared" si="9"/>
        <v>0</v>
      </c>
      <c r="S8" s="200">
        <v>0.89119999999999988</v>
      </c>
      <c r="T8" s="212">
        <f t="shared" si="4"/>
        <v>1.7210000000000001</v>
      </c>
      <c r="U8" s="200">
        <f t="shared" si="10"/>
        <v>1</v>
      </c>
      <c r="V8" s="200">
        <v>0.21540000000000006</v>
      </c>
      <c r="W8" s="197">
        <f t="shared" si="15"/>
        <v>0.2</v>
      </c>
      <c r="X8" s="200">
        <v>6.5000000000000002E-2</v>
      </c>
      <c r="Y8" s="197">
        <f t="shared" si="15"/>
        <v>0.35</v>
      </c>
      <c r="Z8" s="200">
        <v>0.99</v>
      </c>
      <c r="AA8" s="213">
        <f t="shared" si="16"/>
        <v>0.65499999999999969</v>
      </c>
      <c r="AB8" s="200">
        <v>0.98499999999999999</v>
      </c>
      <c r="AC8" s="213">
        <f t="shared" si="17"/>
        <v>0.85999999999999976</v>
      </c>
      <c r="AD8" s="200">
        <v>0.89500000000000002</v>
      </c>
      <c r="AE8" s="212">
        <f t="shared" si="11"/>
        <v>0.89500000000000002</v>
      </c>
      <c r="AF8" s="200">
        <v>2.2353744607154451</v>
      </c>
      <c r="AG8" s="203">
        <v>3.157</v>
      </c>
      <c r="AH8" s="200">
        <f t="shared" si="12"/>
        <v>0.4746836857372248</v>
      </c>
      <c r="AI8" s="200">
        <v>1</v>
      </c>
      <c r="AJ8" s="200">
        <v>1</v>
      </c>
      <c r="AK8" s="201"/>
      <c r="AL8" s="202">
        <f t="shared" si="18"/>
        <v>0.42749999999999988</v>
      </c>
      <c r="AM8" s="202"/>
      <c r="AN8" s="178">
        <f t="shared" si="13"/>
        <v>0.16672499999999996</v>
      </c>
      <c r="AO8" s="203">
        <f t="shared" si="14"/>
        <v>0.19237499999999996</v>
      </c>
      <c r="AP8" s="204">
        <f t="shared" ref="AP8:AP13" si="19">AP9-$AQ$17</f>
        <v>0.42799999999999994</v>
      </c>
      <c r="AR8" s="203">
        <f>AR7+$AS$12/6</f>
        <v>0.86633333333333329</v>
      </c>
      <c r="AV8" s="204">
        <f>AV7+$AW$10/4</f>
        <v>0.21149999999999999</v>
      </c>
    </row>
    <row r="9" spans="1:65" x14ac:dyDescent="0.2">
      <c r="A9" s="196">
        <v>2002</v>
      </c>
      <c r="B9" s="197">
        <f t="shared" si="6"/>
        <v>0.17111249999999995</v>
      </c>
      <c r="C9" s="198">
        <v>0.12959999999999994</v>
      </c>
      <c r="D9" s="199">
        <f t="shared" si="0"/>
        <v>0.19743749999999993</v>
      </c>
      <c r="E9" s="198">
        <v>0.29799999999999999</v>
      </c>
      <c r="F9" s="200">
        <f t="shared" si="7"/>
        <v>4.2147797527664569E-3</v>
      </c>
      <c r="G9" s="198">
        <v>0.13534699069913084</v>
      </c>
      <c r="H9" s="197">
        <f t="shared" si="1"/>
        <v>0.41433333333333328</v>
      </c>
      <c r="I9" s="198">
        <v>0.6715000000000001</v>
      </c>
      <c r="J9" s="254">
        <f t="shared" si="2"/>
        <v>0.6715000000000001</v>
      </c>
      <c r="K9" s="198">
        <v>0.15</v>
      </c>
      <c r="L9" s="206">
        <f t="shared" si="3"/>
        <v>0.16550000000000001</v>
      </c>
      <c r="M9" s="200">
        <v>3.1999999999999987E-2</v>
      </c>
      <c r="N9" s="197">
        <f t="shared" si="8"/>
        <v>4.2147797527664569E-3</v>
      </c>
      <c r="O9" s="200">
        <v>0.21249999999999999</v>
      </c>
      <c r="P9" s="197"/>
      <c r="Q9" s="200"/>
      <c r="R9" s="197">
        <f t="shared" si="9"/>
        <v>0</v>
      </c>
      <c r="S9" s="200">
        <v>0.8919999999999999</v>
      </c>
      <c r="T9" s="212">
        <f t="shared" si="4"/>
        <v>1.7350000000000001</v>
      </c>
      <c r="U9" s="200">
        <f t="shared" si="10"/>
        <v>1</v>
      </c>
      <c r="V9" s="200">
        <v>0.21550000000000005</v>
      </c>
      <c r="W9" s="197">
        <f t="shared" si="15"/>
        <v>0.2</v>
      </c>
      <c r="X9" s="200">
        <v>6.5000000000000002E-2</v>
      </c>
      <c r="Y9" s="197">
        <f t="shared" si="15"/>
        <v>0.35</v>
      </c>
      <c r="Z9" s="200">
        <v>0.99</v>
      </c>
      <c r="AA9" s="213">
        <f t="shared" si="16"/>
        <v>0.65749999999999964</v>
      </c>
      <c r="AB9" s="200">
        <v>0.98499999999999999</v>
      </c>
      <c r="AC9" s="213">
        <f t="shared" si="17"/>
        <v>0.86333333333333306</v>
      </c>
      <c r="AD9" s="200">
        <v>0.89600000000000002</v>
      </c>
      <c r="AE9" s="212">
        <f t="shared" si="11"/>
        <v>0.89600000000000002</v>
      </c>
      <c r="AF9" s="200">
        <v>2.2799818691099363</v>
      </c>
      <c r="AG9" s="203">
        <v>3.1709999999999998</v>
      </c>
      <c r="AH9" s="200">
        <f t="shared" si="12"/>
        <v>0.47395433743899745</v>
      </c>
      <c r="AI9" s="200">
        <v>1</v>
      </c>
      <c r="AJ9" s="200">
        <v>1</v>
      </c>
      <c r="AK9" s="201"/>
      <c r="AL9" s="202">
        <f t="shared" si="18"/>
        <v>0.43874999999999986</v>
      </c>
      <c r="AM9" s="202"/>
      <c r="AN9" s="178">
        <f t="shared" si="13"/>
        <v>0.17111249999999995</v>
      </c>
      <c r="AO9" s="203">
        <f t="shared" si="14"/>
        <v>0.19743749999999993</v>
      </c>
      <c r="AP9" s="204">
        <f t="shared" si="19"/>
        <v>0.41433333333333328</v>
      </c>
      <c r="AR9" s="203">
        <f>AR8+$AS$12/6</f>
        <v>0.86249999999999993</v>
      </c>
      <c r="AV9" s="204">
        <f>AV8+$AW$10/4</f>
        <v>0.20224999999999999</v>
      </c>
    </row>
    <row r="10" spans="1:65" x14ac:dyDescent="0.2">
      <c r="A10" s="196">
        <v>2003</v>
      </c>
      <c r="B10" s="197">
        <f t="shared" si="6"/>
        <v>0.17550000000000002</v>
      </c>
      <c r="C10" s="198">
        <v>0.13049999999999995</v>
      </c>
      <c r="D10" s="199">
        <f t="shared" si="0"/>
        <v>0.20250000000000001</v>
      </c>
      <c r="E10" s="198">
        <v>0.30199999999999999</v>
      </c>
      <c r="F10" s="200">
        <f t="shared" si="7"/>
        <v>4.4063606506194774E-3</v>
      </c>
      <c r="G10" s="198">
        <v>0.13359890668108435</v>
      </c>
      <c r="H10" s="197">
        <f t="shared" si="1"/>
        <v>0.40066666666666662</v>
      </c>
      <c r="I10" s="198">
        <v>0.67160000000000009</v>
      </c>
      <c r="J10" s="254">
        <f t="shared" si="2"/>
        <v>0.67160000000000009</v>
      </c>
      <c r="K10" s="198">
        <v>0.153</v>
      </c>
      <c r="L10" s="206">
        <f t="shared" si="3"/>
        <v>0.16600000000000001</v>
      </c>
      <c r="M10" s="200">
        <v>3.259999999999999E-2</v>
      </c>
      <c r="N10" s="197">
        <f t="shared" si="8"/>
        <v>4.4063606506194774E-3</v>
      </c>
      <c r="O10" s="200">
        <v>0.21</v>
      </c>
      <c r="P10" s="197"/>
      <c r="Q10" s="200"/>
      <c r="R10" s="197">
        <f t="shared" si="9"/>
        <v>0</v>
      </c>
      <c r="S10" s="200">
        <v>0.89279999999999993</v>
      </c>
      <c r="T10" s="212">
        <f t="shared" si="4"/>
        <v>1.7490000000000001</v>
      </c>
      <c r="U10" s="200">
        <f t="shared" si="10"/>
        <v>1</v>
      </c>
      <c r="V10" s="200">
        <v>0.21560000000000004</v>
      </c>
      <c r="W10" s="197">
        <f t="shared" si="15"/>
        <v>0.2</v>
      </c>
      <c r="X10" s="200">
        <v>6.5000000000000002E-2</v>
      </c>
      <c r="Y10" s="197">
        <f t="shared" si="15"/>
        <v>0.35</v>
      </c>
      <c r="Z10" s="200">
        <v>0.99</v>
      </c>
      <c r="AA10" s="213">
        <f t="shared" si="16"/>
        <v>0.65999999999999959</v>
      </c>
      <c r="AB10" s="200">
        <v>0.98499999999999999</v>
      </c>
      <c r="AC10" s="213">
        <f t="shared" si="17"/>
        <v>0.86666666666666636</v>
      </c>
      <c r="AD10" s="200">
        <v>0.89700000000000002</v>
      </c>
      <c r="AE10" s="212">
        <f t="shared" si="11"/>
        <v>0.89700000000000002</v>
      </c>
      <c r="AF10" s="200">
        <v>2.3345669825758248</v>
      </c>
      <c r="AG10" s="203">
        <v>3.1850000000000001</v>
      </c>
      <c r="AH10" s="200">
        <f t="shared" si="12"/>
        <v>0.4732249891407701</v>
      </c>
      <c r="AI10" s="200">
        <v>1</v>
      </c>
      <c r="AJ10" s="200">
        <v>1</v>
      </c>
      <c r="AK10" s="201"/>
      <c r="AL10" s="203">
        <v>0.45</v>
      </c>
      <c r="AM10" s="202">
        <f>AL10-AL2</f>
        <v>9.0000000000000024E-2</v>
      </c>
      <c r="AN10" s="178">
        <f t="shared" si="13"/>
        <v>0.17550000000000002</v>
      </c>
      <c r="AO10" s="203">
        <f t="shared" si="14"/>
        <v>0.20250000000000001</v>
      </c>
      <c r="AP10" s="204">
        <f t="shared" si="19"/>
        <v>0.40066666666666662</v>
      </c>
      <c r="AR10" s="203">
        <f>AR9+$AS$12/6</f>
        <v>0.85866666666666658</v>
      </c>
      <c r="AV10" s="203">
        <v>0.193</v>
      </c>
      <c r="AW10" s="203">
        <f>AV10-AV6</f>
        <v>-3.7000000000000005E-2</v>
      </c>
    </row>
    <row r="11" spans="1:65" x14ac:dyDescent="0.2">
      <c r="A11" s="196">
        <v>2004</v>
      </c>
      <c r="B11" s="197">
        <f t="shared" si="6"/>
        <v>0.1791075</v>
      </c>
      <c r="C11" s="198">
        <v>0.13139999999999996</v>
      </c>
      <c r="D11" s="199">
        <f t="shared" si="0"/>
        <v>0.2066625</v>
      </c>
      <c r="E11" s="198">
        <v>0.30599999999999999</v>
      </c>
      <c r="F11" s="200">
        <f t="shared" si="7"/>
        <v>4.5979415484724978E-3</v>
      </c>
      <c r="G11" s="198">
        <v>0.13185150222044939</v>
      </c>
      <c r="H11" s="197">
        <f t="shared" si="1"/>
        <v>0.38699999999999996</v>
      </c>
      <c r="I11" s="198">
        <v>0.67170000000000007</v>
      </c>
      <c r="J11" s="254">
        <f t="shared" si="2"/>
        <v>0.67170000000000007</v>
      </c>
      <c r="K11" s="198">
        <v>0.156</v>
      </c>
      <c r="L11" s="206">
        <f t="shared" si="3"/>
        <v>0.16650000000000001</v>
      </c>
      <c r="M11" s="200">
        <v>3.3199999999999993E-2</v>
      </c>
      <c r="N11" s="197">
        <f t="shared" si="8"/>
        <v>4.5979415484724978E-3</v>
      </c>
      <c r="O11" s="200">
        <v>0.20749999999999999</v>
      </c>
      <c r="P11" s="197"/>
      <c r="Q11" s="200"/>
      <c r="R11" s="197">
        <f t="shared" si="9"/>
        <v>0</v>
      </c>
      <c r="S11" s="200">
        <v>0.89359999999999995</v>
      </c>
      <c r="T11" s="212">
        <f t="shared" si="4"/>
        <v>1.7630000000000001</v>
      </c>
      <c r="U11" s="200">
        <f t="shared" si="10"/>
        <v>1</v>
      </c>
      <c r="V11" s="200">
        <v>0.21570000000000003</v>
      </c>
      <c r="W11" s="197">
        <f t="shared" si="15"/>
        <v>0.2</v>
      </c>
      <c r="X11" s="200">
        <v>6.5000000000000002E-2</v>
      </c>
      <c r="Y11" s="197">
        <f t="shared" si="15"/>
        <v>0.35</v>
      </c>
      <c r="Z11" s="200">
        <v>0.99</v>
      </c>
      <c r="AA11" s="213">
        <f t="shared" si="16"/>
        <v>0.66249999999999953</v>
      </c>
      <c r="AB11" s="200">
        <v>0.98499999999999999</v>
      </c>
      <c r="AC11" s="213">
        <f t="shared" si="17"/>
        <v>0.86999999999999966</v>
      </c>
      <c r="AD11" s="200">
        <v>0.89800000000000002</v>
      </c>
      <c r="AE11" s="212">
        <f t="shared" si="11"/>
        <v>0.89800000000000002</v>
      </c>
      <c r="AF11" s="200">
        <v>2.3905871407560904</v>
      </c>
      <c r="AG11" s="203">
        <v>3.1989999999999998</v>
      </c>
      <c r="AH11" s="200">
        <f t="shared" si="12"/>
        <v>0.47249564084254275</v>
      </c>
      <c r="AI11" s="200">
        <v>1</v>
      </c>
      <c r="AJ11" s="200">
        <v>1</v>
      </c>
      <c r="AK11" s="201"/>
      <c r="AL11" s="203">
        <f>AL10+$AM$14/4</f>
        <v>0.45924999999999999</v>
      </c>
      <c r="AN11" s="178">
        <f t="shared" si="13"/>
        <v>0.1791075</v>
      </c>
      <c r="AO11" s="203">
        <f t="shared" si="14"/>
        <v>0.2066625</v>
      </c>
      <c r="AP11" s="204">
        <f t="shared" si="19"/>
        <v>0.38699999999999996</v>
      </c>
      <c r="AR11" s="203">
        <f>AR10+$AS$12/6</f>
        <v>0.85483333333333322</v>
      </c>
      <c r="AV11" s="203">
        <f>AV10+$AW$14/4</f>
        <v>0.19675000000000001</v>
      </c>
    </row>
    <row r="12" spans="1:65" x14ac:dyDescent="0.2">
      <c r="A12" s="196">
        <v>2005</v>
      </c>
      <c r="B12" s="197">
        <f t="shared" si="6"/>
        <v>0.18271499999999999</v>
      </c>
      <c r="C12" s="198">
        <v>0.13229999999999997</v>
      </c>
      <c r="D12" s="199">
        <f t="shared" si="0"/>
        <v>0.21082499999999998</v>
      </c>
      <c r="E12" s="198">
        <v>0.31</v>
      </c>
      <c r="F12" s="206">
        <f>'KU EIAData'!Z6</f>
        <v>4.7895224463255183E-3</v>
      </c>
      <c r="G12" s="198">
        <v>0.1301589121501944</v>
      </c>
      <c r="H12" s="197">
        <f t="shared" si="1"/>
        <v>0.37333333333333329</v>
      </c>
      <c r="I12" s="198">
        <v>0.67180000000000006</v>
      </c>
      <c r="J12" s="254">
        <f t="shared" si="2"/>
        <v>0.67180000000000006</v>
      </c>
      <c r="K12" s="198">
        <v>0.159</v>
      </c>
      <c r="L12" s="206">
        <f t="shared" si="3"/>
        <v>0.16700000000000001</v>
      </c>
      <c r="M12" s="200">
        <v>3.3799999999999997E-2</v>
      </c>
      <c r="N12" s="197">
        <f t="shared" si="8"/>
        <v>4.7895224463255183E-3</v>
      </c>
      <c r="O12" s="200">
        <v>0.20499999999999999</v>
      </c>
      <c r="P12" s="197"/>
      <c r="Q12" s="200"/>
      <c r="R12" s="197">
        <f t="shared" si="9"/>
        <v>0</v>
      </c>
      <c r="S12" s="200">
        <v>0.89439999999999997</v>
      </c>
      <c r="T12" s="212">
        <f t="shared" si="4"/>
        <v>1.7770000000000001</v>
      </c>
      <c r="U12" s="206">
        <v>1</v>
      </c>
      <c r="V12" s="200">
        <v>0.21580000000000002</v>
      </c>
      <c r="W12" s="213">
        <f>'KU EIAData'!AU6-'KU Shares'!U12</f>
        <v>0.20141064079756799</v>
      </c>
      <c r="X12" s="200">
        <v>6.5000000000000002E-2</v>
      </c>
      <c r="Y12" s="197">
        <f t="shared" si="15"/>
        <v>0.35</v>
      </c>
      <c r="Z12" s="200">
        <v>0.99</v>
      </c>
      <c r="AA12" s="213">
        <f t="shared" si="16"/>
        <v>0.66499999999999948</v>
      </c>
      <c r="AB12" s="200">
        <v>0.98499999999999999</v>
      </c>
      <c r="AC12" s="213">
        <f t="shared" si="17"/>
        <v>0.87333333333333296</v>
      </c>
      <c r="AD12" s="200">
        <v>0.89900000000000002</v>
      </c>
      <c r="AE12" s="212">
        <f t="shared" si="11"/>
        <v>0.89900000000000002</v>
      </c>
      <c r="AF12" s="200">
        <v>2.4478643451466082</v>
      </c>
      <c r="AG12" s="197">
        <f>'KU EIAData'!AY6</f>
        <v>3.2130096330146123</v>
      </c>
      <c r="AH12" s="206">
        <f>'KU EIAData'!BA6</f>
        <v>0.4717662925443154</v>
      </c>
      <c r="AI12" s="200">
        <v>1</v>
      </c>
      <c r="AJ12" s="200">
        <v>1</v>
      </c>
      <c r="AK12" s="201"/>
      <c r="AL12" s="203">
        <f>AL11+$AM$14/4</f>
        <v>0.46849999999999997</v>
      </c>
      <c r="AN12" s="178">
        <f t="shared" si="13"/>
        <v>0.18271499999999999</v>
      </c>
      <c r="AO12" s="203">
        <f t="shared" si="14"/>
        <v>0.21082499999999998</v>
      </c>
      <c r="AP12" s="204">
        <f t="shared" si="19"/>
        <v>0.37333333333333329</v>
      </c>
      <c r="AR12" s="203">
        <v>0.85099999999999998</v>
      </c>
      <c r="AS12" s="203">
        <f>AR12-AR6</f>
        <v>-2.300000000000002E-2</v>
      </c>
      <c r="AV12" s="203">
        <f>AV11+$AW$14/4</f>
        <v>0.20050000000000001</v>
      </c>
    </row>
    <row r="13" spans="1:65" x14ac:dyDescent="0.2">
      <c r="A13" s="196">
        <v>2006</v>
      </c>
      <c r="B13" s="197">
        <f t="shared" si="6"/>
        <v>0.18632249999999997</v>
      </c>
      <c r="C13" s="198">
        <v>0.13319999999999999</v>
      </c>
      <c r="D13" s="199">
        <f t="shared" si="0"/>
        <v>0.21498749999999997</v>
      </c>
      <c r="E13" s="198">
        <v>0.314</v>
      </c>
      <c r="F13" s="206">
        <f>'KU EIAData'!Z7</f>
        <v>5.1685671200163647E-3</v>
      </c>
      <c r="G13" s="198">
        <v>0.12847029197091125</v>
      </c>
      <c r="H13" s="197">
        <f t="shared" si="1"/>
        <v>0.35966666666666663</v>
      </c>
      <c r="I13" s="198">
        <v>0.67190000000000005</v>
      </c>
      <c r="J13" s="254">
        <f>I13</f>
        <v>0.67190000000000005</v>
      </c>
      <c r="K13" s="198">
        <v>0.16200000000000001</v>
      </c>
      <c r="L13" s="206">
        <f>L14-0.05%</f>
        <v>0.16750000000000001</v>
      </c>
      <c r="M13" s="200">
        <v>3.44E-2</v>
      </c>
      <c r="N13" s="197">
        <f t="shared" si="8"/>
        <v>5.1685671200163647E-3</v>
      </c>
      <c r="O13" s="200">
        <v>0.20250000000000001</v>
      </c>
      <c r="P13" s="197"/>
      <c r="Q13" s="200"/>
      <c r="R13" s="197">
        <f t="shared" si="9"/>
        <v>0</v>
      </c>
      <c r="S13" s="200">
        <v>0.8952</v>
      </c>
      <c r="T13" s="212">
        <f>T14-1.4%</f>
        <v>1.7910000000000001</v>
      </c>
      <c r="U13" s="206">
        <v>1</v>
      </c>
      <c r="V13" s="200">
        <v>0.21590000000000001</v>
      </c>
      <c r="W13" s="213">
        <f>'KU EIAData'!AU7-'KU Shares'!U13</f>
        <v>0.19987374998720631</v>
      </c>
      <c r="X13" s="200">
        <v>6.5000000000000002E-2</v>
      </c>
      <c r="Y13" s="197">
        <f t="shared" si="15"/>
        <v>0.35</v>
      </c>
      <c r="Z13" s="200">
        <v>0.99</v>
      </c>
      <c r="AA13" s="213">
        <f t="shared" si="16"/>
        <v>0.66749999999999943</v>
      </c>
      <c r="AB13" s="200">
        <v>0.98499999999999999</v>
      </c>
      <c r="AC13" s="213">
        <f t="shared" si="17"/>
        <v>0.87666666666666626</v>
      </c>
      <c r="AD13" s="200">
        <v>0.9</v>
      </c>
      <c r="AE13" s="212">
        <f t="shared" si="11"/>
        <v>0.9</v>
      </c>
      <c r="AF13" s="200">
        <v>2.4818021786091178</v>
      </c>
      <c r="AG13" s="197">
        <f>'KU EIAData'!AY7</f>
        <v>3.2430221929301433</v>
      </c>
      <c r="AH13" s="206">
        <f>'KU EIAData'!BA7</f>
        <v>0.46978973275158575</v>
      </c>
      <c r="AI13" s="200">
        <v>1</v>
      </c>
      <c r="AJ13" s="200">
        <v>1</v>
      </c>
      <c r="AK13" s="201"/>
      <c r="AL13" s="203">
        <f>AL12+$AM$14/4</f>
        <v>0.47774999999999995</v>
      </c>
      <c r="AN13" s="178">
        <f t="shared" si="13"/>
        <v>0.18632249999999997</v>
      </c>
      <c r="AO13" s="203">
        <f t="shared" si="14"/>
        <v>0.21498749999999997</v>
      </c>
      <c r="AP13" s="204">
        <f t="shared" si="19"/>
        <v>0.35966666666666663</v>
      </c>
      <c r="AR13" s="203">
        <f>AR12+$AS$17/5</f>
        <v>0.85739999999999994</v>
      </c>
      <c r="AS13" s="203"/>
      <c r="AT13" s="203"/>
      <c r="AV13" s="203">
        <f>AV12+$AW$14/4</f>
        <v>0.20425000000000001</v>
      </c>
      <c r="BD13" s="211"/>
      <c r="BE13" s="211"/>
      <c r="BF13" s="211"/>
      <c r="BG13" s="211"/>
      <c r="BH13" s="211"/>
      <c r="BI13" s="211"/>
    </row>
    <row r="14" spans="1:65" x14ac:dyDescent="0.2">
      <c r="A14" s="196">
        <v>2007</v>
      </c>
      <c r="B14" s="197">
        <f t="shared" si="6"/>
        <v>0.18993000000000002</v>
      </c>
      <c r="C14" s="198">
        <v>0.1341</v>
      </c>
      <c r="D14" s="199">
        <f t="shared" si="0"/>
        <v>0.21915000000000001</v>
      </c>
      <c r="E14" s="198">
        <v>0.318</v>
      </c>
      <c r="F14" s="206">
        <f>'KU EIAData'!Z8</f>
        <v>6.233051070110027E-3</v>
      </c>
      <c r="G14" s="198">
        <v>0.12690371201440123</v>
      </c>
      <c r="H14" s="197">
        <f t="shared" si="1"/>
        <v>0.34599999999999997</v>
      </c>
      <c r="I14" s="198">
        <v>0.67200000000000004</v>
      </c>
      <c r="J14" s="197">
        <f>AR14</f>
        <v>0.67600000000000005</v>
      </c>
      <c r="K14" s="198">
        <v>0.16500000000000001</v>
      </c>
      <c r="L14" s="197">
        <f>AT14</f>
        <v>0.16800000000000001</v>
      </c>
      <c r="M14" s="200">
        <v>3.5000000000000003E-2</v>
      </c>
      <c r="N14" s="197">
        <f t="shared" si="8"/>
        <v>6.233051070110027E-3</v>
      </c>
      <c r="O14" s="200">
        <v>0.2</v>
      </c>
      <c r="P14" s="197"/>
      <c r="Q14" s="200"/>
      <c r="R14" s="245">
        <f>AX14</f>
        <v>0.60699999999999998</v>
      </c>
      <c r="S14" s="200">
        <v>0.89600000000000002</v>
      </c>
      <c r="T14" s="197">
        <f>AZ14+BB14</f>
        <v>1.8050000000000002</v>
      </c>
      <c r="U14" s="206">
        <v>1</v>
      </c>
      <c r="V14" s="200">
        <v>0.216</v>
      </c>
      <c r="W14" s="213">
        <f>'KU EIAData'!AU8-'KU Shares'!U14</f>
        <v>0.20001036640530767</v>
      </c>
      <c r="X14" s="200">
        <v>6.5000000000000002E-2</v>
      </c>
      <c r="Y14" s="197">
        <f>BD14</f>
        <v>0.42</v>
      </c>
      <c r="Z14" s="200">
        <v>0.99</v>
      </c>
      <c r="AA14" s="197">
        <f>BF14</f>
        <v>0.56999999999999995</v>
      </c>
      <c r="AB14" s="200">
        <v>0.98499999999999999</v>
      </c>
      <c r="AC14" s="197">
        <f>BH14</f>
        <v>0.84</v>
      </c>
      <c r="AD14" s="200">
        <v>0.90100000000000002</v>
      </c>
      <c r="AE14" s="197">
        <f>BJ14</f>
        <v>0.60699999999999998</v>
      </c>
      <c r="AF14" s="200">
        <v>2.5160189803562911</v>
      </c>
      <c r="AG14" s="197">
        <f>'KU EIAData'!AY8</f>
        <v>3.4330023223032495</v>
      </c>
      <c r="AH14" s="206">
        <f>'KU EIAData'!BA8</f>
        <v>0.46735524728588662</v>
      </c>
      <c r="AI14" s="200">
        <v>1</v>
      </c>
      <c r="AJ14" s="200">
        <v>1</v>
      </c>
      <c r="AK14" s="201"/>
      <c r="AL14" s="203">
        <v>0.48699999999999999</v>
      </c>
      <c r="AM14" s="203">
        <f>AL14-AL10</f>
        <v>3.6999999999999977E-2</v>
      </c>
      <c r="AN14" s="178">
        <f t="shared" si="13"/>
        <v>0.18993000000000002</v>
      </c>
      <c r="AO14" s="203">
        <f t="shared" si="14"/>
        <v>0.21915000000000001</v>
      </c>
      <c r="AP14" s="198">
        <v>0.34599999999999997</v>
      </c>
      <c r="AR14" s="203">
        <v>0.67600000000000005</v>
      </c>
      <c r="AS14" s="203"/>
      <c r="AT14" s="203">
        <v>0.16800000000000001</v>
      </c>
      <c r="AV14" s="203">
        <v>0.20799999999999999</v>
      </c>
      <c r="AW14" s="203">
        <f>AV14-AV10</f>
        <v>1.4999999999999986E-2</v>
      </c>
      <c r="AX14" s="203">
        <v>0.60699999999999998</v>
      </c>
      <c r="AZ14" s="203">
        <v>0.89500000000000002</v>
      </c>
      <c r="BB14" s="211">
        <v>0.91</v>
      </c>
      <c r="BC14" s="211"/>
      <c r="BD14" s="203">
        <v>0.42</v>
      </c>
      <c r="BE14" s="211"/>
      <c r="BF14" s="203">
        <v>0.56999999999999995</v>
      </c>
      <c r="BG14" s="211"/>
      <c r="BH14" s="203">
        <v>0.84</v>
      </c>
      <c r="BJ14" s="203">
        <v>0.60699999999999998</v>
      </c>
    </row>
    <row r="15" spans="1:65" x14ac:dyDescent="0.2">
      <c r="A15" s="196">
        <v>2008</v>
      </c>
      <c r="B15" s="197">
        <f t="shared" si="6"/>
        <v>0.19765200000000002</v>
      </c>
      <c r="C15" s="198">
        <v>0.13500000000000001</v>
      </c>
      <c r="D15" s="199">
        <f t="shared" si="0"/>
        <v>0.22806000000000001</v>
      </c>
      <c r="E15" s="198">
        <v>0.32200000000000001</v>
      </c>
      <c r="F15" s="206">
        <f>'KU EIAData'!Z9</f>
        <v>7.3903379176677459E-3</v>
      </c>
      <c r="G15" s="198">
        <v>0.12547646885374325</v>
      </c>
      <c r="H15" s="197">
        <f t="shared" si="1"/>
        <v>0.33233333333333331</v>
      </c>
      <c r="I15" s="198">
        <v>0.67210000000000003</v>
      </c>
      <c r="J15" s="197">
        <f>AR15</f>
        <v>0.68240000000000001</v>
      </c>
      <c r="K15" s="198">
        <v>0.16800000000000001</v>
      </c>
      <c r="L15" s="197">
        <f>AT15</f>
        <v>0.16800000000000001</v>
      </c>
      <c r="M15" s="200">
        <v>3.5400000000000001E-2</v>
      </c>
      <c r="N15" s="197">
        <f t="shared" si="8"/>
        <v>7.3903379176677459E-3</v>
      </c>
      <c r="O15" s="200">
        <v>0.19750000000000001</v>
      </c>
      <c r="P15" s="197"/>
      <c r="Q15" s="200"/>
      <c r="R15" s="245">
        <f>AX15</f>
        <v>0.63300000000000001</v>
      </c>
      <c r="S15" s="200">
        <v>0.89680000000000004</v>
      </c>
      <c r="T15" s="197">
        <f>AZ15+BB15</f>
        <v>1.8319999999999999</v>
      </c>
      <c r="U15" s="206">
        <v>1</v>
      </c>
      <c r="V15" s="200">
        <v>0.21609999999999999</v>
      </c>
      <c r="W15" s="213">
        <f>'KU EIAData'!AU9-'KU Shares'!U15</f>
        <v>0.19988814331970906</v>
      </c>
      <c r="X15" s="200">
        <v>6.5000000000000002E-2</v>
      </c>
      <c r="Y15" s="197">
        <f>BD15</f>
        <v>0.42333333333333334</v>
      </c>
      <c r="Z15" s="200">
        <v>0.99</v>
      </c>
      <c r="AA15" s="197">
        <f>BF15</f>
        <v>0.60333333333333328</v>
      </c>
      <c r="AB15" s="200">
        <v>0.98499999999999999</v>
      </c>
      <c r="AC15" s="197">
        <f>BH15</f>
        <v>0.87</v>
      </c>
      <c r="AD15" s="200">
        <v>0.90200000000000002</v>
      </c>
      <c r="AE15" s="197">
        <f>BJ15</f>
        <v>0.63300000000000001</v>
      </c>
      <c r="AF15" s="200">
        <v>2.5506104301129255</v>
      </c>
      <c r="AG15" s="197">
        <f>'KU EIAData'!AY9</f>
        <v>3.6187536331052601</v>
      </c>
      <c r="AH15" s="206">
        <f>'KU EIAData'!BA9</f>
        <v>0.46494331255122562</v>
      </c>
      <c r="AI15" s="200">
        <v>1</v>
      </c>
      <c r="AJ15" s="200">
        <v>1</v>
      </c>
      <c r="AK15" s="201"/>
      <c r="AL15" s="203">
        <f>AL14+$AM$17*0.33</f>
        <v>0.50680000000000003</v>
      </c>
      <c r="AN15" s="178">
        <f t="shared" si="13"/>
        <v>0.19765200000000002</v>
      </c>
      <c r="AO15" s="203">
        <f t="shared" si="14"/>
        <v>0.22806000000000001</v>
      </c>
      <c r="AP15" s="204">
        <f>AP14+$AQ$17</f>
        <v>0.33233333333333331</v>
      </c>
      <c r="AR15" s="203">
        <f>AR14+$AS$17/5</f>
        <v>0.68240000000000001</v>
      </c>
      <c r="AT15" s="210">
        <f>AT14+$AU$17/3</f>
        <v>0.16800000000000001</v>
      </c>
      <c r="AV15" s="210">
        <f>AV14+AW$17/3</f>
        <v>0.19266666666666665</v>
      </c>
      <c r="AX15" s="203">
        <f>AX14+$AY$17/3</f>
        <v>0.63300000000000001</v>
      </c>
      <c r="AZ15" s="203">
        <f>AZ14+BA$17/3</f>
        <v>0.89533333333333331</v>
      </c>
      <c r="BB15" s="203">
        <f>BB14+BC$17/3</f>
        <v>0.93666666666666665</v>
      </c>
      <c r="BD15" s="203">
        <f>BD14+BE$17/3</f>
        <v>0.42333333333333334</v>
      </c>
      <c r="BF15" s="203">
        <f>BF14+BG$17/3</f>
        <v>0.60333333333333328</v>
      </c>
      <c r="BH15" s="203">
        <f>BH14+BI$17/3</f>
        <v>0.87</v>
      </c>
      <c r="BJ15" s="203">
        <f>BJ14+BK$17/3</f>
        <v>0.63300000000000001</v>
      </c>
    </row>
    <row r="16" spans="1:65" x14ac:dyDescent="0.2">
      <c r="A16" s="196">
        <v>2009</v>
      </c>
      <c r="B16" s="197">
        <f t="shared" si="6"/>
        <v>0.20537400000000003</v>
      </c>
      <c r="C16" s="198">
        <v>0.13600000000000001</v>
      </c>
      <c r="D16" s="199">
        <f t="shared" si="0"/>
        <v>0.23697000000000004</v>
      </c>
      <c r="E16" s="198">
        <v>0.32600000000000001</v>
      </c>
      <c r="F16" s="206">
        <f>'KU EIAData'!Z10</f>
        <v>8.7196207872700122E-3</v>
      </c>
      <c r="G16" s="198">
        <v>0.12411841039029452</v>
      </c>
      <c r="H16" s="197">
        <f t="shared" si="1"/>
        <v>0.31866666666666665</v>
      </c>
      <c r="I16" s="198">
        <v>0.67220000000000002</v>
      </c>
      <c r="J16" s="197">
        <f>AR16</f>
        <v>0.68879999999999997</v>
      </c>
      <c r="K16" s="198">
        <v>0.17</v>
      </c>
      <c r="L16" s="197">
        <f>AT16</f>
        <v>0.16800000000000001</v>
      </c>
      <c r="M16" s="200">
        <v>3.5799999999999998E-2</v>
      </c>
      <c r="N16" s="197">
        <f t="shared" si="8"/>
        <v>8.7196207872700122E-3</v>
      </c>
      <c r="O16" s="200">
        <v>0.19500000000000001</v>
      </c>
      <c r="P16" s="197">
        <f t="shared" ref="P16:P17" si="20">AV16</f>
        <v>0.17733333333333332</v>
      </c>
      <c r="Q16" s="200">
        <v>0.61599999999999999</v>
      </c>
      <c r="R16" s="245">
        <f>AX16</f>
        <v>0.65900000000000003</v>
      </c>
      <c r="S16" s="200">
        <v>0.89760000000000006</v>
      </c>
      <c r="T16" s="197">
        <f>AZ16+BB16</f>
        <v>1.859</v>
      </c>
      <c r="U16" s="206">
        <v>1</v>
      </c>
      <c r="V16" s="200">
        <v>0.21619999999999998</v>
      </c>
      <c r="W16" s="213">
        <f>'KU EIAData'!AU10-'KU Shares'!U16</f>
        <v>0.20000733814452198</v>
      </c>
      <c r="X16" s="200">
        <v>6.5000000000000002E-2</v>
      </c>
      <c r="Y16" s="197">
        <f>BD16</f>
        <v>0.42666666666666669</v>
      </c>
      <c r="Z16" s="200">
        <v>0.99</v>
      </c>
      <c r="AA16" s="197">
        <f>BF16</f>
        <v>0.6366666666666666</v>
      </c>
      <c r="AB16" s="200">
        <v>0.98499999999999999</v>
      </c>
      <c r="AC16" s="197">
        <f>BH16</f>
        <v>0.9</v>
      </c>
      <c r="AD16" s="200">
        <v>0.90300000000000002</v>
      </c>
      <c r="AE16" s="197">
        <f>BJ16</f>
        <v>0.65900000000000003</v>
      </c>
      <c r="AF16" s="200">
        <v>2.5855979656604848</v>
      </c>
      <c r="AG16" s="197">
        <f>'KU EIAData'!AY10</f>
        <v>3.7181906957972188</v>
      </c>
      <c r="AH16" s="206">
        <f>'KU EIAData'!BA10</f>
        <v>0.4624161405311123</v>
      </c>
      <c r="AI16" s="200">
        <v>1</v>
      </c>
      <c r="AJ16" s="200">
        <v>1</v>
      </c>
      <c r="AK16" s="201"/>
      <c r="AL16" s="203">
        <f>AL15+$AM$17*0.33</f>
        <v>0.52660000000000007</v>
      </c>
      <c r="AN16" s="178">
        <f t="shared" si="13"/>
        <v>0.20537400000000003</v>
      </c>
      <c r="AO16" s="203">
        <f t="shared" si="14"/>
        <v>0.23697000000000004</v>
      </c>
      <c r="AP16" s="204">
        <f>AP15+$AQ$17</f>
        <v>0.31866666666666665</v>
      </c>
      <c r="AR16" s="203">
        <f>AR15+$AS$17/5</f>
        <v>0.68879999999999997</v>
      </c>
      <c r="AT16" s="210">
        <f>AT15+$AU$17/3</f>
        <v>0.16800000000000001</v>
      </c>
      <c r="AV16" s="210">
        <f>AV15+AW$17/3</f>
        <v>0.17733333333333332</v>
      </c>
      <c r="AX16" s="203">
        <f>AX15+$AY$17/3</f>
        <v>0.65900000000000003</v>
      </c>
      <c r="AZ16" s="203">
        <f>AZ15+BA$17/3</f>
        <v>0.89566666666666661</v>
      </c>
      <c r="BB16" s="203">
        <f>BB15+BC$17/3</f>
        <v>0.96333333333333326</v>
      </c>
      <c r="BD16" s="203">
        <f>BD15+BE$17/3</f>
        <v>0.42666666666666669</v>
      </c>
      <c r="BF16" s="203">
        <f>BF15+BG$17/3</f>
        <v>0.6366666666666666</v>
      </c>
      <c r="BH16" s="203">
        <f>BH15+BI$17/3</f>
        <v>0.9</v>
      </c>
      <c r="BJ16" s="203">
        <f>BJ15+BK$17/3</f>
        <v>0.65900000000000003</v>
      </c>
    </row>
    <row r="17" spans="1:63" x14ac:dyDescent="0.2">
      <c r="A17" s="196">
        <v>2010</v>
      </c>
      <c r="B17" s="197">
        <f t="shared" si="6"/>
        <v>0.21333000000000002</v>
      </c>
      <c r="C17" s="198">
        <v>0.13700000000000001</v>
      </c>
      <c r="D17" s="199">
        <f t="shared" si="0"/>
        <v>0.24615000000000004</v>
      </c>
      <c r="E17" s="198">
        <v>0.33</v>
      </c>
      <c r="F17" s="206">
        <f>'KU EIAData'!Z11</f>
        <v>1.069902719252684E-2</v>
      </c>
      <c r="G17" s="198">
        <v>0.12278490285457273</v>
      </c>
      <c r="H17" s="197">
        <f>AP17</f>
        <v>0.30499999999999999</v>
      </c>
      <c r="I17" s="198">
        <v>0.67230000000000001</v>
      </c>
      <c r="J17" s="197">
        <f>AR17</f>
        <v>0.70799999999999996</v>
      </c>
      <c r="K17" s="198">
        <v>0.17200000000000001</v>
      </c>
      <c r="L17" s="197">
        <f>AT17</f>
        <v>0.16800000000000001</v>
      </c>
      <c r="M17" s="200">
        <v>3.6199999999999996E-2</v>
      </c>
      <c r="N17" s="197">
        <f t="shared" si="8"/>
        <v>1.069902719252684E-2</v>
      </c>
      <c r="O17" s="200">
        <v>0.1925</v>
      </c>
      <c r="P17" s="197">
        <f t="shared" si="20"/>
        <v>0.16200000000000001</v>
      </c>
      <c r="Q17" s="200">
        <v>0.61899999999999999</v>
      </c>
      <c r="R17" s="245">
        <f>AX17</f>
        <v>0.68500000000000005</v>
      </c>
      <c r="S17" s="200">
        <v>0.89840000000000009</v>
      </c>
      <c r="T17" s="197">
        <f>AZ17+BB17</f>
        <v>1.8860000000000001</v>
      </c>
      <c r="U17" s="206">
        <v>1</v>
      </c>
      <c r="V17" s="200">
        <v>0.21629999999999996</v>
      </c>
      <c r="W17" s="213">
        <f>'KU EIAData'!AU11-'KU Shares'!U17</f>
        <v>0.20030003776972305</v>
      </c>
      <c r="X17" s="200">
        <v>6.5000000000000002E-2</v>
      </c>
      <c r="Y17" s="197">
        <f>BD17</f>
        <v>0.43</v>
      </c>
      <c r="Z17" s="200">
        <v>0.99</v>
      </c>
      <c r="AA17" s="197">
        <f>BF17</f>
        <v>0.67</v>
      </c>
      <c r="AB17" s="200">
        <v>0.98499999999999999</v>
      </c>
      <c r="AC17" s="197">
        <f>BH17</f>
        <v>0.93</v>
      </c>
      <c r="AD17" s="200">
        <v>0.90400000000000003</v>
      </c>
      <c r="AE17" s="197">
        <f>BJ17</f>
        <v>0.68500000000000005</v>
      </c>
      <c r="AF17" s="200">
        <v>2.6210351706170574</v>
      </c>
      <c r="AG17" s="197">
        <f>'KU EIAData'!AY11</f>
        <v>3.7724349085967126</v>
      </c>
      <c r="AH17" s="206">
        <f>'KU EIAData'!BA11</f>
        <v>0.45888428126783531</v>
      </c>
      <c r="AI17" s="200">
        <v>1</v>
      </c>
      <c r="AJ17" s="200">
        <v>1</v>
      </c>
      <c r="AK17" s="201"/>
      <c r="AL17" s="203">
        <v>0.54700000000000004</v>
      </c>
      <c r="AM17" s="203">
        <f>AL17-AL14</f>
        <v>6.0000000000000053E-2</v>
      </c>
      <c r="AN17" s="178">
        <f t="shared" si="13"/>
        <v>0.21333000000000002</v>
      </c>
      <c r="AO17" s="203">
        <f t="shared" si="14"/>
        <v>0.24615000000000004</v>
      </c>
      <c r="AP17" s="203">
        <v>0.30499999999999999</v>
      </c>
      <c r="AQ17" s="179">
        <f>(AP17-AP14)/3</f>
        <v>-1.366666666666666E-2</v>
      </c>
      <c r="AR17" s="203">
        <v>0.70799999999999996</v>
      </c>
      <c r="AS17" s="203">
        <f>AR17-AR14</f>
        <v>3.1999999999999917E-2</v>
      </c>
      <c r="AT17" s="203">
        <v>0.16800000000000001</v>
      </c>
      <c r="AU17" s="203">
        <f>AT17-AT14</f>
        <v>0</v>
      </c>
      <c r="AV17" s="203">
        <v>0.16200000000000001</v>
      </c>
      <c r="AW17" s="203">
        <f>AV17-AV14</f>
        <v>-4.5999999999999985E-2</v>
      </c>
      <c r="AX17" s="203">
        <v>0.68500000000000005</v>
      </c>
      <c r="AY17" s="203">
        <f>AX17-AX14</f>
        <v>7.8000000000000069E-2</v>
      </c>
      <c r="AZ17" s="203">
        <v>0.89600000000000002</v>
      </c>
      <c r="BA17" s="203">
        <f>AZ17-AZ14</f>
        <v>1.0000000000000009E-3</v>
      </c>
      <c r="BB17" s="203">
        <v>0.99</v>
      </c>
      <c r="BC17" s="203">
        <f>BB17-BB14</f>
        <v>7.999999999999996E-2</v>
      </c>
      <c r="BD17" s="203">
        <v>0.43</v>
      </c>
      <c r="BE17" s="203">
        <f>BD17-BD14</f>
        <v>1.0000000000000009E-2</v>
      </c>
      <c r="BF17" s="203">
        <v>0.67</v>
      </c>
      <c r="BG17" s="203">
        <f>BF17-BF14</f>
        <v>0.10000000000000009</v>
      </c>
      <c r="BH17" s="203">
        <v>0.93</v>
      </c>
      <c r="BI17" s="203">
        <f>BH17-BH14</f>
        <v>9.000000000000008E-2</v>
      </c>
      <c r="BJ17" s="203">
        <v>0.68500000000000005</v>
      </c>
      <c r="BK17" s="203">
        <f>BJ17-BJ14</f>
        <v>7.8000000000000069E-2</v>
      </c>
    </row>
    <row r="18" spans="1:63" x14ac:dyDescent="0.2">
      <c r="A18" s="196">
        <v>2011</v>
      </c>
      <c r="B18" s="206">
        <f>(B17+'KU EIAData'!W12/3)</f>
        <v>0.21031148884110337</v>
      </c>
      <c r="C18" s="198">
        <v>0.13800000000000001</v>
      </c>
      <c r="D18" s="206">
        <f>(D17+'KU EIAData'!Y12/3)</f>
        <v>0.25623509193720029</v>
      </c>
      <c r="E18" s="198">
        <v>0.33400000000000002</v>
      </c>
      <c r="F18" s="206">
        <f>'KU EIAData'!Z12</f>
        <v>1.2737804952839712E-2</v>
      </c>
      <c r="G18" s="198">
        <v>0.12147403950865435</v>
      </c>
      <c r="H18" s="206">
        <f>(H17+'KU EIAData'!AC12/3)</f>
        <v>0.2999811757160209</v>
      </c>
      <c r="I18" s="198">
        <v>0.6724</v>
      </c>
      <c r="J18" s="206">
        <f>(J17+'KU EIAData'!AG12)</f>
        <v>0.70800837447182441</v>
      </c>
      <c r="K18" s="198">
        <v>0.17400000000000002</v>
      </c>
      <c r="L18" s="206">
        <f>(L17+'KU EIAData'!AI12/3)</f>
        <v>0.17808509193720029</v>
      </c>
      <c r="M18" s="200">
        <v>3.6599999999999994E-2</v>
      </c>
      <c r="N18" s="197">
        <f t="shared" si="8"/>
        <v>1.2737804952839712E-2</v>
      </c>
      <c r="O18" s="200">
        <v>0.19</v>
      </c>
      <c r="P18" s="213">
        <f>P17-0.05%</f>
        <v>0.1615</v>
      </c>
      <c r="Q18" s="200">
        <v>0.622</v>
      </c>
      <c r="R18" s="206">
        <f>(R17+'KU EIAData'!AP12/3)</f>
        <v>0.68631516526359049</v>
      </c>
      <c r="S18" s="200">
        <v>0.89920000000000011</v>
      </c>
      <c r="T18" s="206">
        <f>(T17+'KU EIAData'!AR12)</f>
        <v>1.8878236686424541</v>
      </c>
      <c r="U18" s="206">
        <v>1</v>
      </c>
      <c r="V18" s="200">
        <v>0.21639999999999995</v>
      </c>
      <c r="W18" s="213">
        <f>'KU EIAData'!AU12-'KU Shares'!U18</f>
        <v>0.20070055136446419</v>
      </c>
      <c r="X18" s="200">
        <v>6.5000000000000002E-2</v>
      </c>
      <c r="Y18" s="206">
        <f>(Y17+'KU EIAData'!AX12)</f>
        <v>0.43078802797375176</v>
      </c>
      <c r="Z18" s="200">
        <v>0.99</v>
      </c>
      <c r="AA18" s="206">
        <f>(AA17+'KU EIAData'!AN12)</f>
        <v>0.67752509676667894</v>
      </c>
      <c r="AB18" s="200">
        <v>0.98499999999999999</v>
      </c>
      <c r="AC18" s="206">
        <f>(AC17+'KU EIAData'!AL12)</f>
        <v>0.93129849211501392</v>
      </c>
      <c r="AD18" s="200">
        <v>0.90500000000000003</v>
      </c>
      <c r="AE18" s="206">
        <f>(AE17+'KU EIAData'!AT12)</f>
        <v>0.68797283943768917</v>
      </c>
      <c r="AF18" s="200">
        <v>2.6438468624927269</v>
      </c>
      <c r="AG18" s="197">
        <f>'KU EIAData'!AY12</f>
        <v>3.7540896849627461</v>
      </c>
      <c r="AH18" s="206">
        <f>'KU EIAData'!BA12</f>
        <v>0.45539876728207929</v>
      </c>
      <c r="AI18" s="200">
        <v>1</v>
      </c>
      <c r="AJ18" s="200">
        <v>1</v>
      </c>
      <c r="AK18" s="201"/>
    </row>
    <row r="19" spans="1:63" x14ac:dyDescent="0.2">
      <c r="A19" s="196">
        <v>2012</v>
      </c>
      <c r="B19" s="206">
        <f>(B18+'KU EIAData'!W13/3)</f>
        <v>0.20816015574274788</v>
      </c>
      <c r="C19" s="198">
        <v>0.13900000000000001</v>
      </c>
      <c r="D19" s="206">
        <f>(D18+'KU EIAData'!Y13/3)</f>
        <v>0.2631907767198885</v>
      </c>
      <c r="E19" s="198">
        <v>0.33800000000000002</v>
      </c>
      <c r="F19" s="206">
        <f>'KU EIAData'!Z13</f>
        <v>1.4208288026699448E-2</v>
      </c>
      <c r="G19" s="198">
        <v>0.12016355341179324</v>
      </c>
      <c r="H19" s="206">
        <f>(H18+'KU EIAData'!AC13/3)</f>
        <v>0.29631204619224133</v>
      </c>
      <c r="I19" s="198">
        <v>0.67249999999999999</v>
      </c>
      <c r="J19" s="206">
        <f>(J18+'KU EIAData'!AG13)</f>
        <v>0.70962364556369772</v>
      </c>
      <c r="K19" s="198">
        <v>0.17600000000000002</v>
      </c>
      <c r="L19" s="206">
        <f>(L18+'KU EIAData'!AI13/3)</f>
        <v>0.18504077671988853</v>
      </c>
      <c r="M19" s="200">
        <v>3.6999999999999991E-2</v>
      </c>
      <c r="N19" s="197">
        <f t="shared" si="8"/>
        <v>1.4208288026699448E-2</v>
      </c>
      <c r="O19" s="200">
        <v>0.1875</v>
      </c>
      <c r="P19" s="213">
        <f t="shared" ref="P19:P49" si="21">P18-0.05%</f>
        <v>0.161</v>
      </c>
      <c r="Q19" s="200">
        <v>0.625</v>
      </c>
      <c r="R19" s="206">
        <f>(R18+'KU EIAData'!AP13/3)</f>
        <v>0.6874449392384443</v>
      </c>
      <c r="S19" s="200">
        <v>0.9</v>
      </c>
      <c r="T19" s="206">
        <f>(T18+'KU EIAData'!AR13)</f>
        <v>1.8894277265979962</v>
      </c>
      <c r="U19" s="206">
        <v>1</v>
      </c>
      <c r="V19" s="200">
        <v>0.21649999999999994</v>
      </c>
      <c r="W19" s="213">
        <f>'KU EIAData'!AU13-'KU Shares'!U19</f>
        <v>0.20098312261503404</v>
      </c>
      <c r="X19" s="200">
        <v>6.5000000000000002E-2</v>
      </c>
      <c r="Y19" s="206">
        <f>(Y18+'KU EIAData'!AX13)</f>
        <v>0.43143943942887281</v>
      </c>
      <c r="Z19" s="200">
        <v>0.99</v>
      </c>
      <c r="AA19" s="206">
        <f>(AA18+'KU EIAData'!AN13)</f>
        <v>0.68364190924231505</v>
      </c>
      <c r="AB19" s="200">
        <v>0.98499999999999999</v>
      </c>
      <c r="AC19" s="206">
        <f>(AC18+'KU EIAData'!AL13)</f>
        <v>0.9322154676665354</v>
      </c>
      <c r="AD19" s="200">
        <v>0.90600000000000003</v>
      </c>
      <c r="AE19" s="206">
        <f>(AE18+'KU EIAData'!AT13)</f>
        <v>0.6903423523120833</v>
      </c>
      <c r="AF19" s="200">
        <v>2.6668302857397279</v>
      </c>
      <c r="AG19" s="197">
        <f>'KU EIAData'!AY13</f>
        <v>3.7108112717206874</v>
      </c>
      <c r="AH19" s="206">
        <f>'KU EIAData'!BA13</f>
        <v>0.45288641151082759</v>
      </c>
      <c r="AI19" s="200">
        <v>1</v>
      </c>
      <c r="AJ19" s="200">
        <v>1</v>
      </c>
      <c r="AK19" s="201"/>
    </row>
    <row r="20" spans="1:63" x14ac:dyDescent="0.2">
      <c r="A20" s="196">
        <v>2013</v>
      </c>
      <c r="B20" s="206">
        <f>(B19+'KU EIAData'!W14/3)</f>
        <v>0.20593224944712876</v>
      </c>
      <c r="C20" s="198">
        <v>0.14000000000000001</v>
      </c>
      <c r="D20" s="206">
        <f>(D19+'KU EIAData'!Y14/3)</f>
        <v>0.2703706398164652</v>
      </c>
      <c r="E20" s="198">
        <v>0.34200000000000003</v>
      </c>
      <c r="F20" s="206">
        <f>'KU EIAData'!Z14</f>
        <v>1.572797857242322E-2</v>
      </c>
      <c r="G20" s="198">
        <v>0.11886615691393025</v>
      </c>
      <c r="H20" s="206">
        <f>(H19+'KU EIAData'!AC14/3)</f>
        <v>0.29240268015059123</v>
      </c>
      <c r="I20" s="198">
        <v>0.67259999999999998</v>
      </c>
      <c r="J20" s="206">
        <f>(J19+'KU EIAData'!AG14)</f>
        <v>0.71090590061877657</v>
      </c>
      <c r="K20" s="198">
        <v>0.17800000000000002</v>
      </c>
      <c r="L20" s="206">
        <f>(L19+'KU EIAData'!AI14/3)</f>
        <v>0.19222063981646523</v>
      </c>
      <c r="M20" s="200">
        <v>3.7399999999999989E-2</v>
      </c>
      <c r="N20" s="197">
        <f t="shared" si="8"/>
        <v>1.572797857242322E-2</v>
      </c>
      <c r="O20" s="200">
        <v>0.185</v>
      </c>
      <c r="P20" s="213">
        <f t="shared" si="21"/>
        <v>0.1605</v>
      </c>
      <c r="Q20" s="200">
        <v>0.628</v>
      </c>
      <c r="R20" s="206">
        <f>(R19+'KU EIAData'!AP14/3)</f>
        <v>0.68854416997486301</v>
      </c>
      <c r="S20" s="200">
        <v>0.90080000000000016</v>
      </c>
      <c r="T20" s="206">
        <f>(T19+'KU EIAData'!AR14)</f>
        <v>1.8910548887134684</v>
      </c>
      <c r="U20" s="206">
        <v>1</v>
      </c>
      <c r="V20" s="200">
        <v>0.21659999999999993</v>
      </c>
      <c r="W20" s="213">
        <f>'KU EIAData'!AU14-'KU Shares'!U20</f>
        <v>0.20124338845658984</v>
      </c>
      <c r="X20" s="200">
        <v>6.5000000000000002E-2</v>
      </c>
      <c r="Y20" s="206">
        <f>(Y19+'KU EIAData'!AX14)</f>
        <v>0.43204111889528668</v>
      </c>
      <c r="Z20" s="200">
        <v>0.99</v>
      </c>
      <c r="AA20" s="206">
        <f>(AA19+'KU EIAData'!AN14)</f>
        <v>0.69002658774026926</v>
      </c>
      <c r="AB20" s="200">
        <v>0.98499999999999999</v>
      </c>
      <c r="AC20" s="206">
        <f>(AC19+'KU EIAData'!AL14)</f>
        <v>0.93320550043099526</v>
      </c>
      <c r="AD20" s="200">
        <v>0.90700000000000003</v>
      </c>
      <c r="AE20" s="206">
        <f>(AE19+'KU EIAData'!AT14)</f>
        <v>0.69273872861512498</v>
      </c>
      <c r="AF20" s="200">
        <v>2.6899885368410881</v>
      </c>
      <c r="AG20" s="197">
        <f>'KU EIAData'!AY14</f>
        <v>3.6523192892257792</v>
      </c>
      <c r="AH20" s="206">
        <f>'KU EIAData'!BA14</f>
        <v>0.45022114069521663</v>
      </c>
      <c r="AI20" s="200">
        <v>1</v>
      </c>
      <c r="AJ20" s="200">
        <v>1</v>
      </c>
      <c r="AK20" s="201"/>
    </row>
    <row r="21" spans="1:63" x14ac:dyDescent="0.2">
      <c r="A21" s="196">
        <v>2014</v>
      </c>
      <c r="B21" s="206">
        <f>(B20+'KU EIAData'!W15/3)</f>
        <v>0.20395127678804625</v>
      </c>
      <c r="C21" s="198">
        <v>0.14100000000000001</v>
      </c>
      <c r="D21" s="206">
        <f>(D20+'KU EIAData'!Y15/3)</f>
        <v>0.27684079265771067</v>
      </c>
      <c r="E21" s="198">
        <v>0.34600000000000003</v>
      </c>
      <c r="F21" s="206">
        <f>'KU EIAData'!Z15</f>
        <v>1.7104685209836566E-2</v>
      </c>
      <c r="G21" s="198">
        <v>0.11759383100621768</v>
      </c>
      <c r="H21" s="206">
        <f>(H20+'KU EIAData'!AC15/3)</f>
        <v>0.28875119585130105</v>
      </c>
      <c r="I21" s="198">
        <v>0.67269999999999996</v>
      </c>
      <c r="J21" s="206">
        <f>(J20+'KU EIAData'!AG15)</f>
        <v>0.71246545265931371</v>
      </c>
      <c r="K21" s="198">
        <v>0.18</v>
      </c>
      <c r="L21" s="206">
        <f>(L20+'KU EIAData'!AI15/3)</f>
        <v>0.19869079265771072</v>
      </c>
      <c r="M21" s="200">
        <v>3.7799999999999986E-2</v>
      </c>
      <c r="N21" s="197">
        <f t="shared" si="8"/>
        <v>1.7104685209836566E-2</v>
      </c>
      <c r="O21" s="200">
        <v>0.1825</v>
      </c>
      <c r="P21" s="213">
        <f t="shared" si="21"/>
        <v>0.16</v>
      </c>
      <c r="Q21" s="200">
        <v>0.63100000000000001</v>
      </c>
      <c r="R21" s="206">
        <f>(R20+'KU EIAData'!AP15/3)</f>
        <v>0.68958301230824137</v>
      </c>
      <c r="S21" s="200">
        <v>0.90160000000000018</v>
      </c>
      <c r="T21" s="206">
        <f>(T20+'KU EIAData'!AR15)</f>
        <v>1.89263847363302</v>
      </c>
      <c r="U21" s="206">
        <v>1</v>
      </c>
      <c r="V21" s="200">
        <v>0.21669999999999992</v>
      </c>
      <c r="W21" s="213">
        <f>'KU EIAData'!AU15-'KU Shares'!U21</f>
        <v>0.20142951602151671</v>
      </c>
      <c r="X21" s="200">
        <v>6.5000000000000002E-2</v>
      </c>
      <c r="Y21" s="206">
        <f>(Y20+'KU EIAData'!AX15)</f>
        <v>0.4324963808572469</v>
      </c>
      <c r="Z21" s="200">
        <v>0.99</v>
      </c>
      <c r="AA21" s="206">
        <f>(AA20+'KU EIAData'!AN15)</f>
        <v>0.6961142661574572</v>
      </c>
      <c r="AB21" s="200">
        <v>0.98499999999999999</v>
      </c>
      <c r="AC21" s="206">
        <f>(AC20+'KU EIAData'!AL15)</f>
        <v>0.93412326233275988</v>
      </c>
      <c r="AD21" s="200">
        <v>0.90800000000000003</v>
      </c>
      <c r="AE21" s="206">
        <f>(AE20+'KU EIAData'!AT15)</f>
        <v>0.69494935062101115</v>
      </c>
      <c r="AF21" s="200">
        <v>2.7133309051619166</v>
      </c>
      <c r="AG21" s="197">
        <f>'KU EIAData'!AY15</f>
        <v>3.5923687844607062</v>
      </c>
      <c r="AH21" s="206">
        <f>'KU EIAData'!BA15</f>
        <v>0.44771376316124029</v>
      </c>
      <c r="AI21" s="200">
        <v>1</v>
      </c>
      <c r="AJ21" s="200">
        <v>1</v>
      </c>
      <c r="AK21" s="201"/>
    </row>
    <row r="22" spans="1:63" x14ac:dyDescent="0.2">
      <c r="A22" s="196">
        <v>2015</v>
      </c>
      <c r="B22" s="206">
        <f>(B21+'KU EIAData'!W16/3)</f>
        <v>0.20214775936191345</v>
      </c>
      <c r="C22" s="198">
        <v>0.14200000000000002</v>
      </c>
      <c r="D22" s="206">
        <f>(D21+'KU EIAData'!Y16/3)</f>
        <v>0.28281639128480701</v>
      </c>
      <c r="E22" s="198">
        <v>0.35</v>
      </c>
      <c r="F22" s="206">
        <f>'KU EIAData'!Z16</f>
        <v>1.8508759337164706E-2</v>
      </c>
      <c r="G22" s="198">
        <v>0.1163444391863751</v>
      </c>
      <c r="H22" s="206">
        <f>(H21+'KU EIAData'!AC16/3)</f>
        <v>0.28507728833812301</v>
      </c>
      <c r="I22" s="198">
        <v>0.67279999999999995</v>
      </c>
      <c r="J22" s="206">
        <f>(J21+'KU EIAData'!AG16)</f>
        <v>0.71421733993897329</v>
      </c>
      <c r="K22" s="198">
        <v>0.18200000000000002</v>
      </c>
      <c r="L22" s="206">
        <f>(L21+'KU EIAData'!AI16/3)</f>
        <v>0.20466639128480704</v>
      </c>
      <c r="M22" s="200">
        <v>3.8199999999999984E-2</v>
      </c>
      <c r="N22" s="197">
        <f t="shared" si="8"/>
        <v>1.8508759337164706E-2</v>
      </c>
      <c r="O22" s="200">
        <v>0.18</v>
      </c>
      <c r="P22" s="213">
        <f t="shared" si="21"/>
        <v>0.1595</v>
      </c>
      <c r="Q22" s="200">
        <v>0.63400000000000001</v>
      </c>
      <c r="R22" s="206">
        <f>(R21+'KU EIAData'!AP16/3)</f>
        <v>0.69051394572818758</v>
      </c>
      <c r="S22" s="200">
        <v>0.9024000000000002</v>
      </c>
      <c r="T22" s="206">
        <f>(T21+'KU EIAData'!AR16)</f>
        <v>1.894180504307464</v>
      </c>
      <c r="U22" s="206">
        <v>1</v>
      </c>
      <c r="V22" s="200">
        <v>0.21679999999999991</v>
      </c>
      <c r="W22" s="213">
        <f>'KU EIAData'!AU16-'KU Shares'!U22</f>
        <v>0.20153079603314916</v>
      </c>
      <c r="X22" s="200">
        <v>6.5000000000000002E-2</v>
      </c>
      <c r="Y22" s="206">
        <f>(Y21+'KU EIAData'!AX16)</f>
        <v>0.4329542454560103</v>
      </c>
      <c r="Z22" s="200">
        <v>0.99</v>
      </c>
      <c r="AA22" s="206">
        <f>(AA21+'KU EIAData'!AN16)</f>
        <v>0.70232470776470357</v>
      </c>
      <c r="AB22" s="200">
        <v>0.98499999999999999</v>
      </c>
      <c r="AC22" s="206">
        <f>(AC21+'KU EIAData'!AL16)</f>
        <v>0.93508636722603777</v>
      </c>
      <c r="AD22" s="200">
        <v>0.90900000000000003</v>
      </c>
      <c r="AE22" s="206">
        <f>(AE21+'KU EIAData'!AT16)</f>
        <v>0.69717695459883244</v>
      </c>
      <c r="AF22" s="200">
        <v>2.7368456432640906</v>
      </c>
      <c r="AG22" s="197">
        <f>'KU EIAData'!AY16</f>
        <v>3.5405423867385979</v>
      </c>
      <c r="AH22" s="206">
        <f>'KU EIAData'!BA16</f>
        <v>0.44520818068244222</v>
      </c>
      <c r="AI22" s="200">
        <v>1</v>
      </c>
      <c r="AJ22" s="200">
        <v>1</v>
      </c>
      <c r="AK22" s="201"/>
    </row>
    <row r="23" spans="1:63" x14ac:dyDescent="0.2">
      <c r="A23" s="196">
        <v>2016</v>
      </c>
      <c r="B23" s="206">
        <f>(B22+'KU EIAData'!W17/3)</f>
        <v>0.20057785516685422</v>
      </c>
      <c r="C23" s="198">
        <v>0.14300000000000002</v>
      </c>
      <c r="D23" s="206">
        <f>(D22+'KU EIAData'!Y17/3)</f>
        <v>0.2883306955460786</v>
      </c>
      <c r="E23" s="198">
        <v>0.35300000000000004</v>
      </c>
      <c r="F23" s="206">
        <f>'KU EIAData'!Z17</f>
        <v>1.989195343553897E-2</v>
      </c>
      <c r="G23" s="198">
        <v>0.11511821404904395</v>
      </c>
      <c r="H23" s="206">
        <f>(H22+'KU EIAData'!AC17/3)</f>
        <v>0.28142380432550734</v>
      </c>
      <c r="I23" s="198">
        <v>0.67289999999999994</v>
      </c>
      <c r="J23" s="206">
        <f>(J22+'KU EIAData'!AG17)</f>
        <v>0.71618868047117945</v>
      </c>
      <c r="K23" s="198">
        <v>0.18400000000000002</v>
      </c>
      <c r="L23" s="206">
        <f>(L22+'KU EIAData'!AI17/3)</f>
        <v>0.21018069554607866</v>
      </c>
      <c r="M23" s="200">
        <v>3.8599999999999982E-2</v>
      </c>
      <c r="N23" s="197">
        <f t="shared" si="8"/>
        <v>1.989195343553897E-2</v>
      </c>
      <c r="O23" s="200">
        <v>0.17799999999999999</v>
      </c>
      <c r="P23" s="213">
        <f t="shared" si="21"/>
        <v>0.159</v>
      </c>
      <c r="Q23" s="200">
        <v>0.63700000000000001</v>
      </c>
      <c r="R23" s="206">
        <f>(R22+'KU EIAData'!AP17/3)</f>
        <v>0.69140192380405918</v>
      </c>
      <c r="S23" s="200">
        <v>0.90320000000000022</v>
      </c>
      <c r="T23" s="206">
        <f>(T22+'KU EIAData'!AR17)</f>
        <v>1.8948781801398238</v>
      </c>
      <c r="U23" s="206">
        <v>1</v>
      </c>
      <c r="V23" s="200">
        <v>0.2168999999999999</v>
      </c>
      <c r="W23" s="213">
        <f>'KU EIAData'!AU17-'KU Shares'!U23</f>
        <v>0.2015255982320614</v>
      </c>
      <c r="X23" s="200">
        <v>6.5000000000000002E-2</v>
      </c>
      <c r="Y23" s="206">
        <f>(Y22+'KU EIAData'!AX17)</f>
        <v>0.43335148707862686</v>
      </c>
      <c r="Z23" s="200">
        <v>0.99</v>
      </c>
      <c r="AA23" s="206">
        <f>(AA22+'KU EIAData'!AN17)</f>
        <v>0.70858668391784663</v>
      </c>
      <c r="AB23" s="200">
        <v>0.98499999999999999</v>
      </c>
      <c r="AC23" s="206">
        <f>(AC22+'KU EIAData'!AL17)</f>
        <v>0.93608080427565332</v>
      </c>
      <c r="AD23" s="200">
        <v>0.91</v>
      </c>
      <c r="AE23" s="206">
        <f>(AE22+'KU EIAData'!AT17)</f>
        <v>0.699371479813369</v>
      </c>
      <c r="AF23" s="200">
        <v>2.7468118327668245</v>
      </c>
      <c r="AG23" s="197">
        <f>'KU EIAData'!AY17</f>
        <v>3.502217197825948</v>
      </c>
      <c r="AH23" s="206">
        <f>'KU EIAData'!BA17</f>
        <v>0.44269185777978121</v>
      </c>
      <c r="AI23" s="200">
        <v>1</v>
      </c>
      <c r="AJ23" s="200">
        <v>1</v>
      </c>
      <c r="AK23" s="201"/>
    </row>
    <row r="24" spans="1:63" x14ac:dyDescent="0.2">
      <c r="A24" s="196">
        <v>2017</v>
      </c>
      <c r="B24" s="206">
        <f>(B23+'KU EIAData'!W18/3)</f>
        <v>0.19921059079156087</v>
      </c>
      <c r="C24" s="198">
        <v>0.14390000000000003</v>
      </c>
      <c r="D24" s="206">
        <f>(D23+'KU EIAData'!Y18/3)</f>
        <v>0.29352190365924619</v>
      </c>
      <c r="E24" s="198">
        <v>0.35600000000000004</v>
      </c>
      <c r="F24" s="206">
        <f>'KU EIAData'!Z18</f>
        <v>2.1014463959570732E-2</v>
      </c>
      <c r="G24" s="198">
        <v>0.11390777829782768</v>
      </c>
      <c r="H24" s="206">
        <f>(H23+'KU EIAData'!AC18/3)</f>
        <v>0.27785684373589103</v>
      </c>
      <c r="I24" s="198">
        <v>0.67299999999999993</v>
      </c>
      <c r="J24" s="206">
        <f>(J23+'KU EIAData'!AG18)</f>
        <v>0.71845567007497002</v>
      </c>
      <c r="K24" s="198">
        <v>0.18600000000000003</v>
      </c>
      <c r="L24" s="206">
        <f>(L23+'KU EIAData'!AI18/3)</f>
        <v>0.21537190365924627</v>
      </c>
      <c r="M24" s="200">
        <v>3.8999999999999979E-2</v>
      </c>
      <c r="N24" s="197">
        <f t="shared" si="8"/>
        <v>2.1014463959570732E-2</v>
      </c>
      <c r="O24" s="200">
        <v>0.17599999999999999</v>
      </c>
      <c r="P24" s="213">
        <f t="shared" si="21"/>
        <v>0.1585</v>
      </c>
      <c r="Q24" s="200">
        <v>0.64</v>
      </c>
      <c r="R24" s="206">
        <f>(R23+'KU EIAData'!AP18/3)</f>
        <v>0.69225884502946655</v>
      </c>
      <c r="S24" s="200">
        <v>0.90400000000000025</v>
      </c>
      <c r="T24" s="206">
        <f>(T23+'KU EIAData'!AR18)</f>
        <v>1.8955364058482533</v>
      </c>
      <c r="U24" s="206">
        <v>1</v>
      </c>
      <c r="V24" s="200">
        <v>0.21699999999999989</v>
      </c>
      <c r="W24" s="213">
        <f>'KU EIAData'!AU18-'KU Shares'!U24</f>
        <v>0.20145338578457928</v>
      </c>
      <c r="X24" s="200">
        <v>6.5000000000000002E-2</v>
      </c>
      <c r="Y24" s="206">
        <f>(Y23+'KU EIAData'!AX18)</f>
        <v>0.43364173684912727</v>
      </c>
      <c r="Z24" s="200">
        <v>0.99</v>
      </c>
      <c r="AA24" s="206">
        <f>(AA23+'KU EIAData'!AN18)</f>
        <v>0.71476624207166572</v>
      </c>
      <c r="AB24" s="200">
        <v>0.98499999999999999</v>
      </c>
      <c r="AC24" s="206">
        <f>(AC23+'KU EIAData'!AL18)</f>
        <v>0.93706655408987272</v>
      </c>
      <c r="AD24" s="200">
        <v>0.91100000000000003</v>
      </c>
      <c r="AE24" s="206">
        <f>(AE23+'KU EIAData'!AT18)</f>
        <v>0.70147374675734797</v>
      </c>
      <c r="AF24" s="200">
        <v>2.7567854743232942</v>
      </c>
      <c r="AG24" s="197">
        <f>'KU EIAData'!AY18</f>
        <v>3.4787727593963673</v>
      </c>
      <c r="AH24" s="206">
        <f>'KU EIAData'!BA18</f>
        <v>0.44011586589865115</v>
      </c>
      <c r="AI24" s="200">
        <v>1</v>
      </c>
      <c r="AJ24" s="200">
        <v>1</v>
      </c>
      <c r="AK24" s="201"/>
    </row>
    <row r="25" spans="1:63" x14ac:dyDescent="0.2">
      <c r="A25" s="196">
        <v>2018</v>
      </c>
      <c r="B25" s="206">
        <f>(B24+'KU EIAData'!W19/3)</f>
        <v>0.19798058786835587</v>
      </c>
      <c r="C25" s="198">
        <v>0.14480000000000004</v>
      </c>
      <c r="D25" s="206">
        <f>(D24+'KU EIAData'!Y19/3)</f>
        <v>0.29841971906489462</v>
      </c>
      <c r="E25" s="198">
        <v>0.35900000000000004</v>
      </c>
      <c r="F25" s="206">
        <f>'KU EIAData'!Z19</f>
        <v>2.2008539311171943E-2</v>
      </c>
      <c r="G25" s="198">
        <v>0.11270727450804939</v>
      </c>
      <c r="H25" s="206">
        <f>(H24+'KU EIAData'!AC19/3)</f>
        <v>0.27437016023047167</v>
      </c>
      <c r="I25" s="198">
        <v>0.67309999999999992</v>
      </c>
      <c r="J25" s="206">
        <f>(J24+'KU EIAData'!AG19)</f>
        <v>0.72092749737466222</v>
      </c>
      <c r="K25" s="198">
        <v>0.18800000000000003</v>
      </c>
      <c r="L25" s="206">
        <f>(L24+'KU EIAData'!AI19/3)</f>
        <v>0.22026971906489468</v>
      </c>
      <c r="M25" s="200">
        <v>3.9399999999999977E-2</v>
      </c>
      <c r="N25" s="197">
        <f t="shared" si="8"/>
        <v>2.2008539311171943E-2</v>
      </c>
      <c r="O25" s="200">
        <v>0.17399999999999999</v>
      </c>
      <c r="P25" s="213">
        <f t="shared" si="21"/>
        <v>0.158</v>
      </c>
      <c r="Q25" s="200">
        <v>0.64300000000000002</v>
      </c>
      <c r="R25" s="206">
        <f>(R24+'KU EIAData'!AP19/3)</f>
        <v>0.69303482120952264</v>
      </c>
      <c r="S25" s="200">
        <v>0.90480000000000027</v>
      </c>
      <c r="T25" s="206">
        <f>(T24+'KU EIAData'!AR19)</f>
        <v>1.8962081056299378</v>
      </c>
      <c r="U25" s="206">
        <v>1</v>
      </c>
      <c r="V25" s="200">
        <v>0.21709999999999988</v>
      </c>
      <c r="W25" s="213">
        <f>'KU EIAData'!AU19-'KU Shares'!U25</f>
        <v>0.2013518907053482</v>
      </c>
      <c r="X25" s="200">
        <v>6.5000000000000002E-2</v>
      </c>
      <c r="Y25" s="206">
        <f>(Y24+'KU EIAData'!AX19)</f>
        <v>0.43386592480661729</v>
      </c>
      <c r="Z25" s="200">
        <v>0.99</v>
      </c>
      <c r="AA25" s="206">
        <f>(AA24+'KU EIAData'!AN19)</f>
        <v>0.72087287654714161</v>
      </c>
      <c r="AB25" s="200">
        <v>0.98499999999999999</v>
      </c>
      <c r="AC25" s="206">
        <f>(AC24+'KU EIAData'!AL19)</f>
        <v>0.93803998890493878</v>
      </c>
      <c r="AD25" s="200">
        <v>0.91200000000000003</v>
      </c>
      <c r="AE25" s="206">
        <f>(AE24+'KU EIAData'!AT19)</f>
        <v>0.70349912885768884</v>
      </c>
      <c r="AF25" s="200">
        <v>2.7667795772352863</v>
      </c>
      <c r="AG25" s="197">
        <f>'KU EIAData'!AY19</f>
        <v>3.4687113224618007</v>
      </c>
      <c r="AH25" s="206">
        <f>'KU EIAData'!BA19</f>
        <v>0.43762337634807702</v>
      </c>
      <c r="AI25" s="200">
        <v>1</v>
      </c>
      <c r="AJ25" s="200">
        <v>1</v>
      </c>
      <c r="AK25" s="201"/>
    </row>
    <row r="26" spans="1:63" x14ac:dyDescent="0.2">
      <c r="A26" s="196">
        <v>2019</v>
      </c>
      <c r="B26" s="206">
        <f>(B25+'KU EIAData'!W20/3)</f>
        <v>0.19682989891709762</v>
      </c>
      <c r="C26" s="198">
        <v>0.14570000000000005</v>
      </c>
      <c r="D26" s="206">
        <f>(D25+'KU EIAData'!Y20/3)</f>
        <v>0.30308044602486722</v>
      </c>
      <c r="E26" s="198">
        <v>0.36200000000000004</v>
      </c>
      <c r="F26" s="206">
        <f>'KU EIAData'!Z20</f>
        <v>2.2880587219129819E-2</v>
      </c>
      <c r="G26" s="198">
        <v>0.11151652306138114</v>
      </c>
      <c r="H26" s="206">
        <f>(H25+'KU EIAData'!AC20/3)</f>
        <v>0.27093788401938879</v>
      </c>
      <c r="I26" s="198">
        <v>0.67319999999999991</v>
      </c>
      <c r="J26" s="206">
        <f>(J25+'KU EIAData'!AG20)</f>
        <v>0.72350887578817358</v>
      </c>
      <c r="K26" s="198">
        <v>0.19</v>
      </c>
      <c r="L26" s="206">
        <f>(L25+'KU EIAData'!AI20/3)</f>
        <v>0.22493044602486731</v>
      </c>
      <c r="M26" s="200">
        <v>3.9799999999999974E-2</v>
      </c>
      <c r="N26" s="197">
        <f t="shared" si="8"/>
        <v>2.2880587219129819E-2</v>
      </c>
      <c r="O26" s="200">
        <v>0.17199999999999999</v>
      </c>
      <c r="P26" s="213">
        <f t="shared" si="21"/>
        <v>0.1575</v>
      </c>
      <c r="Q26" s="200">
        <v>0.64600000000000002</v>
      </c>
      <c r="R26" s="206">
        <f>(R25+'KU EIAData'!AP20/3)</f>
        <v>0.69373316841933608</v>
      </c>
      <c r="S26" s="200">
        <v>0.90560000000000029</v>
      </c>
      <c r="T26" s="206">
        <f>(T25+'KU EIAData'!AR20)</f>
        <v>1.8967970732051018</v>
      </c>
      <c r="U26" s="206">
        <v>1</v>
      </c>
      <c r="V26" s="200">
        <v>0.21719999999999987</v>
      </c>
      <c r="W26" s="213">
        <f>'KU EIAData'!AU20-'KU Shares'!U26</f>
        <v>0.20124592122942042</v>
      </c>
      <c r="X26" s="200">
        <v>6.5000000000000002E-2</v>
      </c>
      <c r="Y26" s="206">
        <f>(Y25+'KU EIAData'!AX20)</f>
        <v>0.43403373341520607</v>
      </c>
      <c r="Z26" s="200">
        <v>0.99</v>
      </c>
      <c r="AA26" s="206">
        <f>(AA25+'KU EIAData'!AN20)</f>
        <v>0.72691966784694773</v>
      </c>
      <c r="AB26" s="200">
        <v>0.98499999999999999</v>
      </c>
      <c r="AC26" s="206">
        <f>(AC25+'KU EIAData'!AL20)</f>
        <v>0.93899921076527748</v>
      </c>
      <c r="AD26" s="200">
        <v>0.91300000000000003</v>
      </c>
      <c r="AE26" s="206">
        <f>(AE25+'KU EIAData'!AT20)</f>
        <v>0.70545363224548185</v>
      </c>
      <c r="AF26" s="200">
        <v>2.7768228863589357</v>
      </c>
      <c r="AG26" s="197">
        <f>'KU EIAData'!AY20</f>
        <v>3.4685626371199598</v>
      </c>
      <c r="AH26" s="206">
        <f>'KU EIAData'!BA20</f>
        <v>0.43537625304166383</v>
      </c>
      <c r="AI26" s="200">
        <v>1</v>
      </c>
      <c r="AJ26" s="200">
        <v>1</v>
      </c>
      <c r="AK26" s="201"/>
    </row>
    <row r="27" spans="1:63" x14ac:dyDescent="0.2">
      <c r="A27" s="196">
        <v>2020</v>
      </c>
      <c r="B27" s="206">
        <f>(B26+'KU EIAData'!W21/3)</f>
        <v>0.19576083621792401</v>
      </c>
      <c r="C27" s="198">
        <v>0.14660000000000006</v>
      </c>
      <c r="D27" s="206">
        <f>(D26+'KU EIAData'!Y21/3)</f>
        <v>0.30751004744796573</v>
      </c>
      <c r="E27" s="198">
        <v>0.36499999999999999</v>
      </c>
      <c r="F27" s="206">
        <f>'KU EIAData'!Z21</f>
        <v>2.3654497279057666E-2</v>
      </c>
      <c r="G27" s="198">
        <v>0.11033817869660122</v>
      </c>
      <c r="H27" s="206">
        <f>(H26+'KU EIAData'!AC21/3)</f>
        <v>0.26759897584860176</v>
      </c>
      <c r="I27" s="198">
        <v>0.6732999999999999</v>
      </c>
      <c r="J27" s="206">
        <f>(J26+'KU EIAData'!AG21)</f>
        <v>0.72614688427777385</v>
      </c>
      <c r="K27" s="198">
        <v>0.19200000000000003</v>
      </c>
      <c r="L27" s="206">
        <f>(L26+'KU EIAData'!AI21/3)</f>
        <v>0.22936004744796584</v>
      </c>
      <c r="M27" s="200">
        <v>4.0199999999999972E-2</v>
      </c>
      <c r="N27" s="197">
        <f t="shared" si="8"/>
        <v>2.3654497279057666E-2</v>
      </c>
      <c r="O27" s="200">
        <v>0.17</v>
      </c>
      <c r="P27" s="213">
        <f t="shared" si="21"/>
        <v>0.157</v>
      </c>
      <c r="Q27" s="200">
        <v>0.64900000000000002</v>
      </c>
      <c r="R27" s="206">
        <f>(R26+'KU EIAData'!AP21/3)</f>
        <v>0.69437313396667744</v>
      </c>
      <c r="S27" s="200">
        <v>0.90640000000000032</v>
      </c>
      <c r="T27" s="206">
        <f>(T26+'KU EIAData'!AR21)</f>
        <v>1.8973650397941002</v>
      </c>
      <c r="U27" s="206">
        <v>1</v>
      </c>
      <c r="V27" s="200">
        <v>0.21729999999999985</v>
      </c>
      <c r="W27" s="213">
        <f>'KU EIAData'!AU21-'KU Shares'!U27</f>
        <v>0.20113214956108338</v>
      </c>
      <c r="X27" s="200">
        <v>6.5000000000000002E-2</v>
      </c>
      <c r="Y27" s="206">
        <f>(Y26+'KU EIAData'!AX21)</f>
        <v>0.434128160941121</v>
      </c>
      <c r="Z27" s="200">
        <v>0.99</v>
      </c>
      <c r="AA27" s="206">
        <f>(AA26+'KU EIAData'!AN21)</f>
        <v>0.73285227697155075</v>
      </c>
      <c r="AB27" s="200">
        <v>0.98499999999999999</v>
      </c>
      <c r="AC27" s="206">
        <f>(AC26+'KU EIAData'!AL21)</f>
        <v>0.93993558703072833</v>
      </c>
      <c r="AD27" s="200">
        <v>0.91400000000000003</v>
      </c>
      <c r="AE27" s="206">
        <f>(AE26+'KU EIAData'!AT21)</f>
        <v>0.70732215733063719</v>
      </c>
      <c r="AF27" s="200">
        <v>2.7869025971400103</v>
      </c>
      <c r="AG27" s="197">
        <f>'KU EIAData'!AY21</f>
        <v>3.4751111658340057</v>
      </c>
      <c r="AH27" s="206">
        <f>'KU EIAData'!BA21</f>
        <v>0.43321679404671792</v>
      </c>
      <c r="AI27" s="200">
        <v>1</v>
      </c>
      <c r="AJ27" s="200">
        <v>1</v>
      </c>
      <c r="AK27" s="201"/>
    </row>
    <row r="28" spans="1:63" x14ac:dyDescent="0.2">
      <c r="A28" s="207">
        <v>2021</v>
      </c>
      <c r="B28" s="206">
        <f>(B27+'KU EIAData'!W22/3)</f>
        <v>0.19481544504125312</v>
      </c>
      <c r="C28" s="198">
        <v>0.14749999999999999</v>
      </c>
      <c r="D28" s="206">
        <f>(D27+'KU EIAData'!Y22/3)</f>
        <v>0.3117151987581907</v>
      </c>
      <c r="E28" s="198">
        <v>0.36800000000000005</v>
      </c>
      <c r="F28" s="206">
        <f>'KU EIAData'!Z22</f>
        <v>2.4333847645794625E-2</v>
      </c>
      <c r="G28" s="198">
        <v>0.10917162601633612</v>
      </c>
      <c r="H28" s="206">
        <f>(H27+'KU EIAData'!AC22/3)</f>
        <v>0.26435642383312019</v>
      </c>
      <c r="I28" s="198">
        <v>0.67339999999999989</v>
      </c>
      <c r="J28" s="206">
        <f>(J27+'KU EIAData'!AG22)</f>
        <v>0.72884964942444008</v>
      </c>
      <c r="K28" s="198">
        <v>0.19400000000000003</v>
      </c>
      <c r="L28" s="206">
        <f>(L27+'KU EIAData'!AI22/3)</f>
        <v>0.23356519875819079</v>
      </c>
      <c r="M28" s="200">
        <v>4.0599999999999969E-2</v>
      </c>
      <c r="N28" s="197">
        <f t="shared" si="8"/>
        <v>2.4333847645794625E-2</v>
      </c>
      <c r="O28" s="200">
        <v>0.16799999999999998</v>
      </c>
      <c r="P28" s="213">
        <f t="shared" si="21"/>
        <v>0.1565</v>
      </c>
      <c r="Q28" s="200">
        <v>0.65200000000000002</v>
      </c>
      <c r="R28" s="206">
        <f>(R27+'KU EIAData'!AP22/3)</f>
        <v>0.69500457820823081</v>
      </c>
      <c r="S28" s="200">
        <v>0.90720000000000034</v>
      </c>
      <c r="T28" s="206">
        <f>(T27+'KU EIAData'!AR22)</f>
        <v>1.898470550871294</v>
      </c>
      <c r="U28" s="206">
        <v>1</v>
      </c>
      <c r="V28" s="200">
        <v>0.21739999999999984</v>
      </c>
      <c r="W28" s="213">
        <f>'KU EIAData'!AU22-'KU Shares'!U28</f>
        <v>0.20097972585867008</v>
      </c>
      <c r="X28" s="200">
        <v>6.5000000000000002E-2</v>
      </c>
      <c r="Y28" s="206">
        <f>(Y27+'KU EIAData'!AX22)</f>
        <v>0.43409283709346896</v>
      </c>
      <c r="Z28" s="200">
        <v>0.99</v>
      </c>
      <c r="AA28" s="206">
        <f>(AA27+'KU EIAData'!AN22)</f>
        <v>0.73864353378899728</v>
      </c>
      <c r="AB28" s="200">
        <v>0.98499999999999999</v>
      </c>
      <c r="AC28" s="206">
        <f>(AC27+'KU EIAData'!AL22)</f>
        <v>0.94085053484778658</v>
      </c>
      <c r="AD28" s="200">
        <v>0.91500000000000004</v>
      </c>
      <c r="AE28" s="206">
        <f>(AE27+'KU EIAData'!AT22)</f>
        <v>0.70909804602922666</v>
      </c>
      <c r="AF28" s="200">
        <v>2.797001884645224</v>
      </c>
      <c r="AG28" s="197">
        <f>'KU EIAData'!AY22</f>
        <v>3.482806779168389</v>
      </c>
      <c r="AH28" s="206">
        <f>'KU EIAData'!BA22</f>
        <v>0.43104164914676046</v>
      </c>
      <c r="AI28" s="200">
        <v>1</v>
      </c>
      <c r="AJ28" s="200">
        <v>1</v>
      </c>
      <c r="AK28" s="201"/>
    </row>
    <row r="29" spans="1:63" x14ac:dyDescent="0.2">
      <c r="A29" s="207">
        <v>2022</v>
      </c>
      <c r="B29" s="206">
        <f>(B28+'KU EIAData'!W23/3)</f>
        <v>0.19396697372790067</v>
      </c>
      <c r="C29" s="198">
        <v>0.14840000000000009</v>
      </c>
      <c r="D29" s="206">
        <f>(D28+'KU EIAData'!Y23/3)</f>
        <v>0.31578951711760206</v>
      </c>
      <c r="E29" s="198">
        <v>0.37100000000000005</v>
      </c>
      <c r="F29" s="206">
        <f>'KU EIAData'!Z23</f>
        <v>2.4950224368575691E-2</v>
      </c>
      <c r="G29" s="198">
        <v>0.1080113183612387</v>
      </c>
      <c r="H29" s="206">
        <f>(H28+'KU EIAData'!AC23/3)</f>
        <v>0.26114260805338524</v>
      </c>
      <c r="I29" s="198">
        <v>0.67349999999999988</v>
      </c>
      <c r="J29" s="206">
        <f>(J28+'KU EIAData'!AG23)</f>
        <v>0.73156260520673966</v>
      </c>
      <c r="K29" s="198">
        <v>0.19600000000000004</v>
      </c>
      <c r="L29" s="206">
        <f>(L28+'KU EIAData'!AI23/3)</f>
        <v>0.23763951711760212</v>
      </c>
      <c r="M29" s="200">
        <v>4.0999999999999967E-2</v>
      </c>
      <c r="N29" s="197">
        <f t="shared" si="8"/>
        <v>2.4950224368575691E-2</v>
      </c>
      <c r="O29" s="200">
        <v>0.16599999999999998</v>
      </c>
      <c r="P29" s="213">
        <f t="shared" si="21"/>
        <v>0.156</v>
      </c>
      <c r="Q29" s="200">
        <v>0.65500000000000003</v>
      </c>
      <c r="R29" s="206">
        <f>(R28+'KU EIAData'!AP23/3)</f>
        <v>0.69562828499484419</v>
      </c>
      <c r="S29" s="200">
        <v>0.90790000000000037</v>
      </c>
      <c r="T29" s="206">
        <f>(T28+'KU EIAData'!AR23)</f>
        <v>1.8995076383344291</v>
      </c>
      <c r="U29" s="206">
        <v>1</v>
      </c>
      <c r="V29" s="200">
        <v>0.2175</v>
      </c>
      <c r="W29" s="213">
        <f>'KU EIAData'!AU23-'KU Shares'!U29</f>
        <v>0.20079323293482565</v>
      </c>
      <c r="X29" s="200">
        <v>6.5000000000000002E-2</v>
      </c>
      <c r="Y29" s="206">
        <f>(Y28+'KU EIAData'!AX23)</f>
        <v>0.43401388590784212</v>
      </c>
      <c r="Z29" s="200">
        <v>0.99</v>
      </c>
      <c r="AA29" s="206">
        <f>(AA28+'KU EIAData'!AN23)</f>
        <v>0.74444764399603358</v>
      </c>
      <c r="AB29" s="200">
        <v>0.98499999999999999</v>
      </c>
      <c r="AC29" s="206">
        <f>(AC28+'KU EIAData'!AL23)</f>
        <v>0.94175886180224333</v>
      </c>
      <c r="AD29" s="200">
        <v>0.91600000000000004</v>
      </c>
      <c r="AE29" s="206">
        <f>(AE28+'KU EIAData'!AT23)</f>
        <v>0.71084221669785008</v>
      </c>
      <c r="AF29" s="200">
        <v>2.8071254664738596</v>
      </c>
      <c r="AG29" s="197">
        <f>'KU EIAData'!AY23</f>
        <v>3.4977545491497799</v>
      </c>
      <c r="AH29" s="206">
        <f>'KU EIAData'!BA23</f>
        <v>0.42887707789306356</v>
      </c>
      <c r="AI29" s="200">
        <v>1</v>
      </c>
      <c r="AJ29" s="200">
        <v>1</v>
      </c>
      <c r="AK29" s="201"/>
    </row>
    <row r="30" spans="1:63" x14ac:dyDescent="0.2">
      <c r="A30" s="207">
        <v>2023</v>
      </c>
      <c r="B30" s="206">
        <f>(B29+'KU EIAData'!W24/3)</f>
        <v>0.19316478508767301</v>
      </c>
      <c r="C30" s="198">
        <v>0.1493000000000001</v>
      </c>
      <c r="D30" s="206">
        <f>(D29+'KU EIAData'!Y24/3)</f>
        <v>0.31969954722416338</v>
      </c>
      <c r="E30" s="198">
        <v>0.37400000000000005</v>
      </c>
      <c r="F30" s="206">
        <f>'KU EIAData'!Z24</f>
        <v>2.5507582619897468E-2</v>
      </c>
      <c r="G30" s="198">
        <v>0.10685538189416195</v>
      </c>
      <c r="H30" s="206">
        <f>(H29+'KU EIAData'!AC24/3)</f>
        <v>0.25799537156238694</v>
      </c>
      <c r="I30" s="198">
        <v>0.67359999999999987</v>
      </c>
      <c r="J30" s="206">
        <f>(J29+'KU EIAData'!AG24)</f>
        <v>0.73425810040509365</v>
      </c>
      <c r="K30" s="198">
        <v>0.19800000000000004</v>
      </c>
      <c r="L30" s="206">
        <f>(L29+'KU EIAData'!AI24/3)</f>
        <v>0.24154954722416344</v>
      </c>
      <c r="M30" s="200">
        <v>4.1399999999999965E-2</v>
      </c>
      <c r="N30" s="197">
        <f t="shared" si="8"/>
        <v>2.5507582619897468E-2</v>
      </c>
      <c r="O30" s="200">
        <v>0.16399999999999998</v>
      </c>
      <c r="P30" s="213">
        <f t="shared" si="21"/>
        <v>0.1555</v>
      </c>
      <c r="Q30" s="200">
        <v>0.65800000000000003</v>
      </c>
      <c r="R30" s="206">
        <f>(R29+'KU EIAData'!AP24/3)</f>
        <v>0.69624741175673521</v>
      </c>
      <c r="S30" s="200">
        <v>0.90860000000000041</v>
      </c>
      <c r="T30" s="206">
        <f>(T29+'KU EIAData'!AR24)</f>
        <v>1.9005275354390969</v>
      </c>
      <c r="U30" s="206">
        <v>1</v>
      </c>
      <c r="V30" s="200">
        <v>0.21759999999999982</v>
      </c>
      <c r="W30" s="213">
        <f>'KU EIAData'!AU24-'KU Shares'!U30</f>
        <v>0.20060945837034594</v>
      </c>
      <c r="X30" s="200">
        <v>6.5000000000000002E-2</v>
      </c>
      <c r="Y30" s="206">
        <f>(Y29+'KU EIAData'!AX24)</f>
        <v>0.43387993961859356</v>
      </c>
      <c r="Z30" s="200">
        <v>0.99</v>
      </c>
      <c r="AA30" s="206">
        <f>(AA29+'KU EIAData'!AN24)</f>
        <v>0.75016920717259172</v>
      </c>
      <c r="AB30" s="200">
        <v>0.98499999999999999</v>
      </c>
      <c r="AC30" s="206">
        <f>(AC29+'KU EIAData'!AL24)</f>
        <v>0.94262958399052221</v>
      </c>
      <c r="AD30" s="200">
        <v>0.91700000000000004</v>
      </c>
      <c r="AE30" s="206">
        <f>(AE29+'KU EIAData'!AT24)</f>
        <v>0.71252298935853475</v>
      </c>
      <c r="AF30" s="200">
        <v>2.8172717489246715</v>
      </c>
      <c r="AG30" s="197">
        <f>'KU EIAData'!AY24</f>
        <v>3.5133328718879504</v>
      </c>
      <c r="AH30" s="206">
        <f>'KU EIAData'!BA24</f>
        <v>0.42684528191079441</v>
      </c>
      <c r="AI30" s="200">
        <v>1</v>
      </c>
      <c r="AJ30" s="200">
        <v>1</v>
      </c>
      <c r="AK30" s="201"/>
    </row>
    <row r="31" spans="1:63" x14ac:dyDescent="0.2">
      <c r="A31" s="207">
        <v>2024</v>
      </c>
      <c r="B31" s="206">
        <f>(B30+'KU EIAData'!W25/3)</f>
        <v>0.19238270057785117</v>
      </c>
      <c r="C31" s="198">
        <v>0.15020000000000011</v>
      </c>
      <c r="D31" s="206">
        <f>(D30+'KU EIAData'!Y25/3)</f>
        <v>0.32348358652154158</v>
      </c>
      <c r="E31" s="198">
        <v>0.37700000000000006</v>
      </c>
      <c r="F31" s="206">
        <f>'KU EIAData'!Z25</f>
        <v>2.6020427567496757E-2</v>
      </c>
      <c r="G31" s="198">
        <v>0.1057095969109746</v>
      </c>
      <c r="H31" s="206">
        <f>(H30+'KU EIAData'!AC25/3)</f>
        <v>0.25489322309840129</v>
      </c>
      <c r="I31" s="198">
        <v>0.67369999999999985</v>
      </c>
      <c r="J31" s="206">
        <f>(J30+'KU EIAData'!AG25)</f>
        <v>0.73690357064075984</v>
      </c>
      <c r="K31" s="198">
        <v>0.2</v>
      </c>
      <c r="L31" s="206">
        <f>(L30+'KU EIAData'!AI25/3)</f>
        <v>0.24533358652154161</v>
      </c>
      <c r="M31" s="200">
        <v>4.1799999999999962E-2</v>
      </c>
      <c r="N31" s="197">
        <f t="shared" si="8"/>
        <v>2.6020427567496757E-2</v>
      </c>
      <c r="O31" s="200">
        <v>0.16199999999999998</v>
      </c>
      <c r="P31" s="213">
        <f t="shared" si="21"/>
        <v>0.155</v>
      </c>
      <c r="Q31" s="200">
        <v>0.66100000000000003</v>
      </c>
      <c r="R31" s="206">
        <f>(R30+'KU EIAData'!AP25/3)</f>
        <v>0.6968504502869356</v>
      </c>
      <c r="S31" s="200">
        <v>0.90930000000000044</v>
      </c>
      <c r="T31" s="206">
        <f>(T30+'KU EIAData'!AR25)</f>
        <v>1.9015861193153647</v>
      </c>
      <c r="U31" s="206">
        <v>1</v>
      </c>
      <c r="V31" s="200">
        <v>0.21769999999999981</v>
      </c>
      <c r="W31" s="213">
        <f>'KU EIAData'!AU25-'KU Shares'!U31</f>
        <v>0.20043801767731062</v>
      </c>
      <c r="X31" s="200">
        <v>6.5000000000000002E-2</v>
      </c>
      <c r="Y31" s="206">
        <f>(Y30+'KU EIAData'!AX25)</f>
        <v>0.43371470716677524</v>
      </c>
      <c r="Z31" s="200">
        <v>0.99</v>
      </c>
      <c r="AA31" s="206">
        <f>(AA30+'KU EIAData'!AN25)</f>
        <v>0.75584355241599421</v>
      </c>
      <c r="AB31" s="200">
        <v>0.98499999999999999</v>
      </c>
      <c r="AC31" s="206">
        <f>(AC30+'KU EIAData'!AL25)</f>
        <v>0.94347056674575891</v>
      </c>
      <c r="AD31" s="200">
        <v>0.91800000000000004</v>
      </c>
      <c r="AE31" s="206">
        <f>(AE30+'KU EIAData'!AT25)</f>
        <v>0.71415639250983176</v>
      </c>
      <c r="AF31" s="200">
        <v>2.827431523151712</v>
      </c>
      <c r="AG31" s="197">
        <f>'KU EIAData'!AY25</f>
        <v>3.5289343724186826</v>
      </c>
      <c r="AH31" s="206">
        <f>'KU EIAData'!BA25</f>
        <v>0.42486931681323187</v>
      </c>
      <c r="AI31" s="200">
        <v>1</v>
      </c>
      <c r="AJ31" s="200">
        <v>1</v>
      </c>
      <c r="AK31" s="201"/>
    </row>
    <row r="32" spans="1:63" x14ac:dyDescent="0.2">
      <c r="A32" s="207">
        <v>2025</v>
      </c>
      <c r="B32" s="206">
        <f>(B31+'KU EIAData'!W26/3)</f>
        <v>0.19159805161116059</v>
      </c>
      <c r="C32" s="198">
        <v>0.15110000000000012</v>
      </c>
      <c r="D32" s="206">
        <f>(D31+'KU EIAData'!Y26/3)</f>
        <v>0.32722380357526948</v>
      </c>
      <c r="E32" s="198">
        <v>0.38</v>
      </c>
      <c r="F32" s="206">
        <f>'KU EIAData'!Z26</f>
        <v>2.6506718466155911E-2</v>
      </c>
      <c r="G32" s="198">
        <v>0.10457624145705723</v>
      </c>
      <c r="H32" s="206">
        <f>(H31+'KU EIAData'!AC26/3)</f>
        <v>0.25177094072374889</v>
      </c>
      <c r="I32" s="198">
        <v>0.67379999999999984</v>
      </c>
      <c r="J32" s="206">
        <f>(J31+'KU EIAData'!AG26)</f>
        <v>0.73945403923272557</v>
      </c>
      <c r="K32" s="198">
        <v>0.20200000000000004</v>
      </c>
      <c r="L32" s="206">
        <f>(L31+'KU EIAData'!AI26/3)</f>
        <v>0.24907380357526948</v>
      </c>
      <c r="M32" s="200">
        <v>4.219999999999996E-2</v>
      </c>
      <c r="N32" s="197">
        <f t="shared" si="8"/>
        <v>2.6506718466155911E-2</v>
      </c>
      <c r="O32" s="200">
        <v>0.16</v>
      </c>
      <c r="P32" s="213">
        <f t="shared" si="21"/>
        <v>0.1545</v>
      </c>
      <c r="Q32" s="200">
        <v>0.66400000000000003</v>
      </c>
      <c r="R32" s="206">
        <f>(R31+'KU EIAData'!AP26/3)</f>
        <v>0.6974252078848755</v>
      </c>
      <c r="S32" s="200">
        <v>0.91</v>
      </c>
      <c r="T32" s="206">
        <f>(T31+'KU EIAData'!AR26)</f>
        <v>1.9025851059322603</v>
      </c>
      <c r="U32" s="206">
        <v>1</v>
      </c>
      <c r="V32" s="200">
        <v>0.2177999999999998</v>
      </c>
      <c r="W32" s="213">
        <f>'KU EIAData'!AU26-'KU Shares'!U32</f>
        <v>0.20027779697496251</v>
      </c>
      <c r="X32" s="200">
        <v>6.5000000000000002E-2</v>
      </c>
      <c r="Y32" s="206">
        <f>(Y31+'KU EIAData'!AX26)</f>
        <v>0.43355478327413027</v>
      </c>
      <c r="Z32" s="200">
        <v>0.99</v>
      </c>
      <c r="AA32" s="206">
        <f>(AA31+'KU EIAData'!AN26)</f>
        <v>0.7615867882827202</v>
      </c>
      <c r="AB32" s="200">
        <v>0.98499999999999999</v>
      </c>
      <c r="AC32" s="206">
        <f>(AC31+'KU EIAData'!AL26)</f>
        <v>0.94430818334534583</v>
      </c>
      <c r="AD32" s="200">
        <v>0.91900000000000004</v>
      </c>
      <c r="AE32" s="206">
        <f>(AE31+'KU EIAData'!AT26)</f>
        <v>0.71578446482430547</v>
      </c>
      <c r="AF32" s="200">
        <v>2.8376092015137693</v>
      </c>
      <c r="AG32" s="197">
        <f>'KU EIAData'!AY26</f>
        <v>3.5445559937998579</v>
      </c>
      <c r="AH32" s="206">
        <f>'KU EIAData'!BA26</f>
        <v>0.42293558960587629</v>
      </c>
      <c r="AI32" s="200">
        <v>1</v>
      </c>
      <c r="AJ32" s="200">
        <v>1</v>
      </c>
      <c r="AK32" s="201"/>
    </row>
    <row r="33" spans="1:37" x14ac:dyDescent="0.2">
      <c r="A33" s="208">
        <f t="shared" ref="A33:A49" si="22">A32+1</f>
        <v>2026</v>
      </c>
      <c r="B33" s="206">
        <f>(B32+'KU EIAData'!W27/3)</f>
        <v>0.19087750991632746</v>
      </c>
      <c r="C33" s="198">
        <v>0.15200000000000014</v>
      </c>
      <c r="D33" s="206">
        <f>(D32+'KU EIAData'!Y27/3)</f>
        <v>0.33085003210464597</v>
      </c>
      <c r="E33" s="198">
        <v>0.38300000000000006</v>
      </c>
      <c r="F33" s="206">
        <f>'KU EIAData'!Z27</f>
        <v>2.6955902417552469E-2</v>
      </c>
      <c r="G33" s="198">
        <v>0.10346087918760237</v>
      </c>
      <c r="H33" s="206">
        <f>(H32+'KU EIAData'!AC27/3)</f>
        <v>0.24868489181125056</v>
      </c>
      <c r="I33" s="198">
        <v>0.67389999999999983</v>
      </c>
      <c r="J33" s="206">
        <f>(J32+'KU EIAData'!AG27)</f>
        <v>0.74197822351123977</v>
      </c>
      <c r="K33" s="198">
        <v>0.20400000000000004</v>
      </c>
      <c r="L33" s="206">
        <f>(L32+'KU EIAData'!AI27/3)</f>
        <v>0.25270003210464598</v>
      </c>
      <c r="M33" s="200">
        <v>4.2599999999999957E-2</v>
      </c>
      <c r="N33" s="197">
        <f t="shared" si="8"/>
        <v>2.6955902417552469E-2</v>
      </c>
      <c r="O33" s="200">
        <v>0.15799999999999997</v>
      </c>
      <c r="P33" s="213">
        <f t="shared" si="21"/>
        <v>0.154</v>
      </c>
      <c r="Q33" s="200">
        <v>0.66700000000000004</v>
      </c>
      <c r="R33" s="206">
        <f>(R32+'KU EIAData'!AP27/3)</f>
        <v>0.69797988487170481</v>
      </c>
      <c r="S33" s="200">
        <v>0.91070000000000051</v>
      </c>
      <c r="T33" s="206">
        <f>(T32+'KU EIAData'!AR27)</f>
        <v>1.9035702534094689</v>
      </c>
      <c r="U33" s="206">
        <v>1</v>
      </c>
      <c r="V33" s="200">
        <v>0.21789999999999979</v>
      </c>
      <c r="W33" s="213">
        <f>'KU EIAData'!AU27-'KU Shares'!U33</f>
        <v>0.20010031368552683</v>
      </c>
      <c r="X33" s="200">
        <v>6.5000000000000002E-2</v>
      </c>
      <c r="Y33" s="206">
        <f>(Y32+'KU EIAData'!AX27)</f>
        <v>0.43337833448152091</v>
      </c>
      <c r="Z33" s="200">
        <v>0.99</v>
      </c>
      <c r="AA33" s="206">
        <f>(AA32+'KU EIAData'!AN27)</f>
        <v>0.76734025230227265</v>
      </c>
      <c r="AB33" s="200">
        <v>0.98499999999999999</v>
      </c>
      <c r="AC33" s="206">
        <f>(AC32+'KU EIAData'!AL27)</f>
        <v>0.94513092224070772</v>
      </c>
      <c r="AD33" s="200">
        <v>0.92</v>
      </c>
      <c r="AE33" s="206">
        <f>(AE32+'KU EIAData'!AT27)</f>
        <v>0.71738875014544123</v>
      </c>
      <c r="AF33" s="200">
        <v>2.8376092015137693</v>
      </c>
      <c r="AG33" s="197">
        <f>'KU EIAData'!AY27</f>
        <v>3.5604498405838338</v>
      </c>
      <c r="AH33" s="206">
        <f>'KU EIAData'!BA27</f>
        <v>0.42101124429899411</v>
      </c>
      <c r="AI33" s="200">
        <v>1</v>
      </c>
      <c r="AJ33" s="200">
        <v>1</v>
      </c>
      <c r="AK33" s="201"/>
    </row>
    <row r="34" spans="1:37" x14ac:dyDescent="0.2">
      <c r="A34" s="208">
        <f t="shared" si="22"/>
        <v>2027</v>
      </c>
      <c r="B34" s="206">
        <f>(B33+'KU EIAData'!W28/3)</f>
        <v>0.19027895365067235</v>
      </c>
      <c r="C34" s="198">
        <v>0.15290000000000015</v>
      </c>
      <c r="D34" s="206">
        <f>(D33+'KU EIAData'!Y28/3)</f>
        <v>0.33426398724004969</v>
      </c>
      <c r="E34" s="198">
        <v>0.38600000000000007</v>
      </c>
      <c r="F34" s="206">
        <f>'KU EIAData'!Z28</f>
        <v>2.7354471427156052E-2</v>
      </c>
      <c r="G34" s="198">
        <v>0.10236010562965715</v>
      </c>
      <c r="H34" s="206">
        <f>(H33+'KU EIAData'!AC28/3)</f>
        <v>0.24571781666604703</v>
      </c>
      <c r="I34" s="198">
        <v>0.67399999999999982</v>
      </c>
      <c r="J34" s="206">
        <f>(J33+'KU EIAData'!AG28)</f>
        <v>0.74455467873521641</v>
      </c>
      <c r="K34" s="198">
        <v>0.20600000000000004</v>
      </c>
      <c r="L34" s="206">
        <f>(L33+'KU EIAData'!AI28/3)</f>
        <v>0.25611398724004969</v>
      </c>
      <c r="M34" s="200">
        <v>4.2999999999999955E-2</v>
      </c>
      <c r="N34" s="197">
        <f t="shared" si="8"/>
        <v>2.7354471427156052E-2</v>
      </c>
      <c r="O34" s="200">
        <v>0.15599999999999997</v>
      </c>
      <c r="P34" s="213">
        <f t="shared" si="21"/>
        <v>0.1535</v>
      </c>
      <c r="Q34" s="200">
        <v>0.67</v>
      </c>
      <c r="R34" s="206">
        <f>(R33+'KU EIAData'!AP28/3)</f>
        <v>0.69853243141919075</v>
      </c>
      <c r="S34" s="200">
        <v>0.91140000000000054</v>
      </c>
      <c r="T34" s="206">
        <f>(T33+'KU EIAData'!AR28)</f>
        <v>1.9045877360764289</v>
      </c>
      <c r="U34" s="206">
        <v>1</v>
      </c>
      <c r="V34" s="200">
        <v>0.21799999999999978</v>
      </c>
      <c r="W34" s="213">
        <f>'KU EIAData'!AU28-'KU Shares'!U34</f>
        <v>0.19988807039247658</v>
      </c>
      <c r="X34" s="200">
        <v>6.5000000000000002E-2</v>
      </c>
      <c r="Y34" s="206">
        <f>(Y33+'KU EIAData'!AX28)</f>
        <v>0.43315477613056869</v>
      </c>
      <c r="Z34" s="200">
        <v>0.99</v>
      </c>
      <c r="AA34" s="206">
        <f>(AA33+'KU EIAData'!AN28)</f>
        <v>0.77288549266770434</v>
      </c>
      <c r="AB34" s="200">
        <v>0.98499999999999999</v>
      </c>
      <c r="AC34" s="206">
        <f>(AC33+'KU EIAData'!AL28)</f>
        <v>0.9459214967804207</v>
      </c>
      <c r="AD34" s="200">
        <v>0.92100000000000004</v>
      </c>
      <c r="AE34" s="206">
        <f>(AE33+'KU EIAData'!AT28)</f>
        <v>0.71893547782374734</v>
      </c>
      <c r="AF34" s="200">
        <v>2.8376092015137693</v>
      </c>
      <c r="AG34" s="197">
        <f>'KU EIAData'!AY28</f>
        <v>3.5762501585344864</v>
      </c>
      <c r="AH34" s="206">
        <f>'KU EIAData'!BA28</f>
        <v>0.4191200258815917</v>
      </c>
      <c r="AI34" s="200">
        <v>1</v>
      </c>
      <c r="AJ34" s="200">
        <v>1</v>
      </c>
      <c r="AK34" s="201"/>
    </row>
    <row r="35" spans="1:37" x14ac:dyDescent="0.2">
      <c r="A35" s="208">
        <f t="shared" si="22"/>
        <v>2028</v>
      </c>
      <c r="B35" s="206">
        <f>(B34+'KU EIAData'!W29/3)</f>
        <v>0.18979015307869618</v>
      </c>
      <c r="C35" s="198">
        <v>0.15380000000000016</v>
      </c>
      <c r="D35" s="206">
        <f>(D34+'KU EIAData'!Y29/3)</f>
        <v>0.33745628141377088</v>
      </c>
      <c r="E35" s="198">
        <v>0.38900000000000007</v>
      </c>
      <c r="F35" s="206">
        <f>'KU EIAData'!Z29</f>
        <v>2.7703479459295036E-2</v>
      </c>
      <c r="G35" s="198">
        <v>0.10126686985927078</v>
      </c>
      <c r="H35" s="206">
        <f>(H34+'KU EIAData'!AC29/3)</f>
        <v>0.24288939371950174</v>
      </c>
      <c r="I35" s="198">
        <v>0.67409999999999981</v>
      </c>
      <c r="J35" s="206">
        <f>(J34+'KU EIAData'!AG29)</f>
        <v>0.74718147856065853</v>
      </c>
      <c r="K35" s="198">
        <v>0.20800000000000005</v>
      </c>
      <c r="L35" s="206">
        <f>(L34+'KU EIAData'!AI29/3)</f>
        <v>0.25930628141377088</v>
      </c>
      <c r="M35" s="200">
        <v>4.3399999999999953E-2</v>
      </c>
      <c r="N35" s="197">
        <f t="shared" si="8"/>
        <v>2.7703479459295036E-2</v>
      </c>
      <c r="O35" s="200">
        <v>0.15399999999999997</v>
      </c>
      <c r="P35" s="213">
        <f t="shared" si="21"/>
        <v>0.153</v>
      </c>
      <c r="Q35" s="200">
        <v>0.67300000000000004</v>
      </c>
      <c r="R35" s="206">
        <f>(R34+'KU EIAData'!AP29/3)</f>
        <v>0.69907856683682346</v>
      </c>
      <c r="S35" s="200">
        <v>0.91210000000000058</v>
      </c>
      <c r="T35" s="206">
        <f>(T34+'KU EIAData'!AR29)</f>
        <v>1.905551414518178</v>
      </c>
      <c r="U35" s="206">
        <v>1</v>
      </c>
      <c r="V35" s="200">
        <v>0.21809999999999977</v>
      </c>
      <c r="W35" s="213">
        <f>'KU EIAData'!AU29-'KU Shares'!U35</f>
        <v>0.19964695616100192</v>
      </c>
      <c r="X35" s="200">
        <v>6.5000000000000002E-2</v>
      </c>
      <c r="Y35" s="206">
        <f>(Y34+'KU EIAData'!AX29)</f>
        <v>0.43284247601359255</v>
      </c>
      <c r="Z35" s="200">
        <v>0.99</v>
      </c>
      <c r="AA35" s="206">
        <f>(AA34+'KU EIAData'!AN29)</f>
        <v>0.77815500539262883</v>
      </c>
      <c r="AB35" s="200">
        <v>0.98499999999999999</v>
      </c>
      <c r="AC35" s="206">
        <f>(AC34+'KU EIAData'!AL29)</f>
        <v>0.94666419761724396</v>
      </c>
      <c r="AD35" s="200">
        <v>0.92200000000000004</v>
      </c>
      <c r="AE35" s="206">
        <f>(AE34+'KU EIAData'!AT29)</f>
        <v>0.72039773785474526</v>
      </c>
      <c r="AF35" s="200">
        <v>2.8376092015137693</v>
      </c>
      <c r="AG35" s="197">
        <f>'KU EIAData'!AY29</f>
        <v>3.5919593328330164</v>
      </c>
      <c r="AH35" s="206">
        <f>'KU EIAData'!BA29</f>
        <v>0.41726794382502863</v>
      </c>
      <c r="AI35" s="200">
        <v>1</v>
      </c>
      <c r="AJ35" s="200">
        <v>1</v>
      </c>
      <c r="AK35" s="201"/>
    </row>
    <row r="36" spans="1:37" x14ac:dyDescent="0.2">
      <c r="A36" s="208">
        <f t="shared" si="22"/>
        <v>2029</v>
      </c>
      <c r="B36" s="206">
        <f>(B35+'KU EIAData'!W30/3)</f>
        <v>0.18934618425528241</v>
      </c>
      <c r="C36" s="198">
        <v>0.15470000000000017</v>
      </c>
      <c r="D36" s="206">
        <f>(D35+'KU EIAData'!Y30/3)</f>
        <v>0.34048358362330639</v>
      </c>
      <c r="E36" s="198">
        <v>0.39200000000000007</v>
      </c>
      <c r="F36" s="206">
        <f>'KU EIAData'!Z30</f>
        <v>2.8017833979229759E-2</v>
      </c>
      <c r="G36" s="198">
        <v>0.10018263437835348</v>
      </c>
      <c r="H36" s="206">
        <f>(H35+'KU EIAData'!AC30/3)</f>
        <v>0.240159744830759</v>
      </c>
      <c r="I36" s="198">
        <v>0.6741999999999998</v>
      </c>
      <c r="J36" s="206">
        <f>(J35+'KU EIAData'!AG30)</f>
        <v>0.74980219383718638</v>
      </c>
      <c r="K36" s="198">
        <v>0.21</v>
      </c>
      <c r="L36" s="206">
        <f>(L35+'KU EIAData'!AI30/3)</f>
        <v>0.26233358362330639</v>
      </c>
      <c r="M36" s="200">
        <v>4.379999999999995E-2</v>
      </c>
      <c r="N36" s="197">
        <f t="shared" si="8"/>
        <v>2.8017833979229759E-2</v>
      </c>
      <c r="O36" s="200">
        <v>0.15199999999999997</v>
      </c>
      <c r="P36" s="213">
        <f t="shared" si="21"/>
        <v>0.1525</v>
      </c>
      <c r="Q36" s="200">
        <v>0.67600000000000005</v>
      </c>
      <c r="R36" s="206">
        <f>(R35+'KU EIAData'!AP30/3)</f>
        <v>0.69961154613458298</v>
      </c>
      <c r="S36" s="200">
        <v>0.91280000000000061</v>
      </c>
      <c r="T36" s="206">
        <f>(T35+'KU EIAData'!AR30)</f>
        <v>1.9065606540709146</v>
      </c>
      <c r="U36" s="206">
        <v>1</v>
      </c>
      <c r="V36" s="200">
        <v>0.21819999999999976</v>
      </c>
      <c r="W36" s="213">
        <f>'KU EIAData'!AU30-'KU Shares'!U36</f>
        <v>0.19940784244463483</v>
      </c>
      <c r="X36" s="200">
        <v>6.5000000000000002E-2</v>
      </c>
      <c r="Y36" s="206">
        <f>(Y35+'KU EIAData'!AX30)</f>
        <v>0.43248357553914268</v>
      </c>
      <c r="Z36" s="200">
        <v>0.99</v>
      </c>
      <c r="AA36" s="206">
        <f>(AA35+'KU EIAData'!AN30)</f>
        <v>0.78321192651732174</v>
      </c>
      <c r="AB36" s="200">
        <v>0.98499999999999999</v>
      </c>
      <c r="AC36" s="206">
        <f>(AC35+'KU EIAData'!AL30)</f>
        <v>0.94736471624442087</v>
      </c>
      <c r="AD36" s="200">
        <v>0.92300000000000004</v>
      </c>
      <c r="AE36" s="206">
        <f>(AE35+'KU EIAData'!AT30)</f>
        <v>0.72179088268071423</v>
      </c>
      <c r="AF36" s="200">
        <v>2.8376092015137693</v>
      </c>
      <c r="AG36" s="197">
        <f>'KU EIAData'!AY30</f>
        <v>3.6079874181548255</v>
      </c>
      <c r="AH36" s="206">
        <f>'KU EIAData'!BA30</f>
        <v>0.41546996584622009</v>
      </c>
      <c r="AI36" s="200">
        <v>1</v>
      </c>
      <c r="AJ36" s="200">
        <v>1</v>
      </c>
      <c r="AK36" s="201"/>
    </row>
    <row r="37" spans="1:37" x14ac:dyDescent="0.2">
      <c r="A37" s="208">
        <f t="shared" si="22"/>
        <v>2030</v>
      </c>
      <c r="B37" s="206">
        <f>(B36+'KU EIAData'!W31/3)</f>
        <v>0.188890144337786</v>
      </c>
      <c r="C37" s="198">
        <v>0.15560000000000018</v>
      </c>
      <c r="D37" s="206">
        <f>(D36+'KU EIAData'!Y31/3)</f>
        <v>0.34345889220571302</v>
      </c>
      <c r="E37" s="198">
        <v>0.39500000000000002</v>
      </c>
      <c r="F37" s="206">
        <f>'KU EIAData'!Z31</f>
        <v>2.8318541971068152E-2</v>
      </c>
      <c r="G37" s="198">
        <v>9.9105781170130788E-2</v>
      </c>
      <c r="H37" s="206">
        <f>(H36+'KU EIAData'!AC31/3)</f>
        <v>0.23744054066751985</v>
      </c>
      <c r="I37" s="198">
        <v>0.67429999999999979</v>
      </c>
      <c r="J37" s="206">
        <f>(J36+'KU EIAData'!AG31)</f>
        <v>0.75233511386551699</v>
      </c>
      <c r="K37" s="198">
        <v>0.21200000000000005</v>
      </c>
      <c r="L37" s="206">
        <f>(L36+'KU EIAData'!AI31/3)</f>
        <v>0.26530889220571302</v>
      </c>
      <c r="M37" s="200">
        <v>4.4199999999999948E-2</v>
      </c>
      <c r="N37" s="197">
        <f t="shared" si="8"/>
        <v>2.8318541971068152E-2</v>
      </c>
      <c r="O37" s="200">
        <v>0.15</v>
      </c>
      <c r="P37" s="213">
        <f t="shared" si="21"/>
        <v>0.152</v>
      </c>
      <c r="Q37" s="200">
        <v>0.67900000000000005</v>
      </c>
      <c r="R37" s="206">
        <f>(R36+'KU EIAData'!AP31/3)</f>
        <v>0.70009205751979853</v>
      </c>
      <c r="S37" s="200">
        <v>0.91350000000000064</v>
      </c>
      <c r="T37" s="206">
        <f>(T36+'KU EIAData'!AR31)</f>
        <v>1.9075191681920902</v>
      </c>
      <c r="U37" s="206">
        <v>1</v>
      </c>
      <c r="V37" s="200">
        <v>0.21829999999999974</v>
      </c>
      <c r="W37" s="213">
        <f>'KU EIAData'!AU31-'KU Shares'!U37</f>
        <v>0.19918339918605277</v>
      </c>
      <c r="X37" s="200">
        <v>6.5000000000000002E-2</v>
      </c>
      <c r="Y37" s="206">
        <f>(Y36+'KU EIAData'!AX31)</f>
        <v>0.43211449759084225</v>
      </c>
      <c r="Z37" s="200">
        <v>0.99</v>
      </c>
      <c r="AA37" s="206">
        <f>(AA36+'KU EIAData'!AN31)</f>
        <v>0.78819059617610587</v>
      </c>
      <c r="AB37" s="200">
        <v>0.98499999999999999</v>
      </c>
      <c r="AC37" s="206">
        <f>(AC36+'KU EIAData'!AL31)</f>
        <v>0.94804946921216315</v>
      </c>
      <c r="AD37" s="200">
        <v>0.92400000000000004</v>
      </c>
      <c r="AE37" s="206">
        <f>(AE36+'KU EIAData'!AT31)</f>
        <v>0.723157595557405</v>
      </c>
      <c r="AF37" s="200">
        <v>2.8376092015137693</v>
      </c>
      <c r="AG37" s="197">
        <f>'KU EIAData'!AY31</f>
        <v>3.624044960258872</v>
      </c>
      <c r="AH37" s="206">
        <f>'KU EIAData'!BA31</f>
        <v>0.41369823421638452</v>
      </c>
      <c r="AI37" s="200">
        <v>1</v>
      </c>
      <c r="AJ37" s="200">
        <v>1</v>
      </c>
      <c r="AK37" s="201"/>
    </row>
    <row r="38" spans="1:37" x14ac:dyDescent="0.2">
      <c r="A38" s="208">
        <f t="shared" si="22"/>
        <v>2031</v>
      </c>
      <c r="B38" s="206">
        <f>(B37+'KU EIAData'!W32/3)</f>
        <v>0.18845993632274791</v>
      </c>
      <c r="C38" s="198">
        <v>0.15650000000000019</v>
      </c>
      <c r="D38" s="206">
        <f>(D37+'KU EIAData'!Y32/3)</f>
        <v>0.34633109427117931</v>
      </c>
      <c r="E38" s="198">
        <v>0.39800000000000008</v>
      </c>
      <c r="F38" s="206">
        <f>'KU EIAData'!Z32</f>
        <v>2.859827358224256E-2</v>
      </c>
      <c r="G38" s="198">
        <v>9.8605781170130788E-2</v>
      </c>
      <c r="H38" s="206">
        <f>(H37+'KU EIAData'!AC32/3)</f>
        <v>0.23477558762841563</v>
      </c>
      <c r="I38" s="198">
        <v>0.67439999999999978</v>
      </c>
      <c r="J38" s="206">
        <f>(J37+'KU EIAData'!AG32)</f>
        <v>0.75483025933579673</v>
      </c>
      <c r="K38" s="198">
        <v>0.21400000000000005</v>
      </c>
      <c r="L38" s="206">
        <f>(L37+'KU EIAData'!AI32/3)</f>
        <v>0.26818109427117931</v>
      </c>
      <c r="M38" s="200">
        <v>4.4599999999999945E-2</v>
      </c>
      <c r="N38" s="197">
        <f t="shared" si="8"/>
        <v>2.859827358224256E-2</v>
      </c>
      <c r="O38" s="200">
        <v>0.14799999999999996</v>
      </c>
      <c r="P38" s="213">
        <f t="shared" si="21"/>
        <v>0.1515</v>
      </c>
      <c r="Q38" s="200">
        <v>0.68200000000000005</v>
      </c>
      <c r="R38" s="206">
        <f>(R37+'KU EIAData'!AP32/3)</f>
        <v>0.70056789546641851</v>
      </c>
      <c r="S38" s="200">
        <v>0.91420000000000068</v>
      </c>
      <c r="T38" s="206">
        <f>(T37+'KU EIAData'!AR32)</f>
        <v>1.9082747780975839</v>
      </c>
      <c r="U38" s="206">
        <v>1</v>
      </c>
      <c r="V38" s="200">
        <v>0.21839999999999973</v>
      </c>
      <c r="W38" s="213">
        <f>'KU EIAData'!AU32-'KU Shares'!U38</f>
        <v>0.19896284190351676</v>
      </c>
      <c r="X38" s="200">
        <v>6.5000000000000002E-2</v>
      </c>
      <c r="Y38" s="206">
        <f>(Y37+'KU EIAData'!AX32)</f>
        <v>0.43172241792536498</v>
      </c>
      <c r="Z38" s="200">
        <v>0.99</v>
      </c>
      <c r="AA38" s="206">
        <f>(AA37+'KU EIAData'!AN32)</f>
        <v>0.79303719662154937</v>
      </c>
      <c r="AB38" s="200">
        <v>0.98499999999999999</v>
      </c>
      <c r="AC38" s="206">
        <f>(AC37+'KU EIAData'!AL32)</f>
        <v>0.9487092718729685</v>
      </c>
      <c r="AD38" s="200">
        <v>0.92500000000000004</v>
      </c>
      <c r="AE38" s="206">
        <f>(AE37+'KU EIAData'!AT32)</f>
        <v>0.72448577958517291</v>
      </c>
      <c r="AF38" s="200">
        <v>2.8376092015137693</v>
      </c>
      <c r="AG38" s="197">
        <f>'KU EIAData'!AY32</f>
        <v>3.6401037633529945</v>
      </c>
      <c r="AH38" s="206">
        <f>'KU EIAData'!BA32</f>
        <v>0.41196772995379383</v>
      </c>
      <c r="AI38" s="200">
        <v>1</v>
      </c>
      <c r="AJ38" s="200">
        <v>1</v>
      </c>
      <c r="AK38" s="201"/>
    </row>
    <row r="39" spans="1:37" x14ac:dyDescent="0.2">
      <c r="A39" s="208">
        <f t="shared" si="22"/>
        <v>2032</v>
      </c>
      <c r="B39" s="206">
        <f>(B38+'KU EIAData'!W33/3)</f>
        <v>0.18810836111329238</v>
      </c>
      <c r="C39" s="198">
        <v>0.15740000000000021</v>
      </c>
      <c r="D39" s="206">
        <f>(D38+'KU EIAData'!Y33/3)</f>
        <v>0.34902061731014089</v>
      </c>
      <c r="E39" s="198">
        <v>0.40100000000000008</v>
      </c>
      <c r="F39" s="206">
        <f>'KU EIAData'!Z33</f>
        <v>2.8844301782731445E-2</v>
      </c>
      <c r="G39" s="198">
        <v>9.8105781170130787E-2</v>
      </c>
      <c r="H39" s="206">
        <f>(H38+'KU EIAData'!AC33/3)</f>
        <v>0.23223610095392075</v>
      </c>
      <c r="I39" s="198">
        <v>0.67449999999999977</v>
      </c>
      <c r="J39" s="206">
        <f>(J38+'KU EIAData'!AG33)</f>
        <v>0.75735795182091414</v>
      </c>
      <c r="K39" s="198">
        <v>0.21600000000000005</v>
      </c>
      <c r="L39" s="206">
        <f>(L38+'KU EIAData'!AI33/3)</f>
        <v>0.27087061731014089</v>
      </c>
      <c r="M39" s="200">
        <v>4.4999999999999943E-2</v>
      </c>
      <c r="N39" s="197">
        <f t="shared" si="8"/>
        <v>2.8844301782731445E-2</v>
      </c>
      <c r="O39" s="200">
        <v>0.14599999999999996</v>
      </c>
      <c r="P39" s="213">
        <f t="shared" si="21"/>
        <v>0.151</v>
      </c>
      <c r="Q39" s="200">
        <v>0.68500000000000005</v>
      </c>
      <c r="R39" s="206">
        <f>(R38+'KU EIAData'!AP33/3)</f>
        <v>0.70104783537478166</v>
      </c>
      <c r="S39" s="200">
        <v>0.91490000000000071</v>
      </c>
      <c r="T39" s="206">
        <f>(T38+'KU EIAData'!AR33)</f>
        <v>1.9092249783056598</v>
      </c>
      <c r="U39" s="206">
        <v>1</v>
      </c>
      <c r="V39" s="200">
        <v>0.21849999999999972</v>
      </c>
      <c r="W39" s="213">
        <f>'KU EIAData'!AU33-'KU Shares'!U39</f>
        <v>0.19872659168058648</v>
      </c>
      <c r="X39" s="200">
        <v>6.5000000000000002E-2</v>
      </c>
      <c r="Y39" s="206">
        <f>(Y38+'KU EIAData'!AX33)</f>
        <v>0.43127436911284717</v>
      </c>
      <c r="Z39" s="200">
        <v>0.99</v>
      </c>
      <c r="AA39" s="206">
        <f>(AA38+'KU EIAData'!AN33)</f>
        <v>0.7976655853593787</v>
      </c>
      <c r="AB39" s="200">
        <v>0.98499999999999999</v>
      </c>
      <c r="AC39" s="206">
        <f>(AC38+'KU EIAData'!AL33)</f>
        <v>0.94932701171595701</v>
      </c>
      <c r="AD39" s="200">
        <v>0.92600000000000005</v>
      </c>
      <c r="AE39" s="206">
        <f>(AE38+'KU EIAData'!AT33)</f>
        <v>0.72575006673501807</v>
      </c>
      <c r="AF39" s="200">
        <v>2.8376092015137693</v>
      </c>
      <c r="AG39" s="197">
        <f>'KU EIAData'!AY33</f>
        <v>3.6564327895074826</v>
      </c>
      <c r="AH39" s="206">
        <f>'KU EIAData'!BA33</f>
        <v>0.41044491370357666</v>
      </c>
      <c r="AI39" s="200">
        <v>1</v>
      </c>
      <c r="AJ39" s="200">
        <v>1</v>
      </c>
      <c r="AK39" s="201"/>
    </row>
    <row r="40" spans="1:37" x14ac:dyDescent="0.2">
      <c r="A40" s="208">
        <f t="shared" si="22"/>
        <v>2033</v>
      </c>
      <c r="B40" s="206">
        <f>(B39+'KU EIAData'!W34/3)</f>
        <v>0.18776441439087763</v>
      </c>
      <c r="C40" s="198">
        <v>0.15830000000000022</v>
      </c>
      <c r="D40" s="206">
        <f>(D39+'KU EIAData'!Y34/3)</f>
        <v>0.35162184861353013</v>
      </c>
      <c r="E40" s="198">
        <v>0.40400000000000008</v>
      </c>
      <c r="F40" s="206">
        <f>'KU EIAData'!Z34</f>
        <v>2.9075977292114009E-2</v>
      </c>
      <c r="G40" s="198">
        <v>9.7605781170130787E-2</v>
      </c>
      <c r="H40" s="206">
        <f>(H39+'KU EIAData'!AC34/3)</f>
        <v>0.22974848681522381</v>
      </c>
      <c r="I40" s="198">
        <v>0.67459999999999976</v>
      </c>
      <c r="J40" s="206">
        <f>(J39+'KU EIAData'!AG34)</f>
        <v>0.75983725778516487</v>
      </c>
      <c r="K40" s="198">
        <v>0.21800000000000005</v>
      </c>
      <c r="L40" s="206">
        <f>(L39+'KU EIAData'!AI34/3)</f>
        <v>0.27347184861353013</v>
      </c>
      <c r="M40" s="200">
        <v>4.539999999999994E-2</v>
      </c>
      <c r="N40" s="197">
        <f t="shared" si="8"/>
        <v>2.9075977292114009E-2</v>
      </c>
      <c r="O40" s="200">
        <v>0.14399999999999996</v>
      </c>
      <c r="P40" s="213">
        <f t="shared" si="21"/>
        <v>0.15049999999999999</v>
      </c>
      <c r="Q40" s="200">
        <v>0.68800000000000006</v>
      </c>
      <c r="R40" s="206">
        <f>(R39+'KU EIAData'!AP34/3)</f>
        <v>0.70151699143226498</v>
      </c>
      <c r="S40" s="200">
        <v>0.91560000000000075</v>
      </c>
      <c r="T40" s="206">
        <f>(T39+'KU EIAData'!AR34)</f>
        <v>1.9101721724525094</v>
      </c>
      <c r="U40" s="206">
        <v>1</v>
      </c>
      <c r="V40" s="200">
        <v>0.21859999999999971</v>
      </c>
      <c r="W40" s="213">
        <f>'KU EIAData'!AU34-'KU Shares'!U40</f>
        <v>0.19849927934817768</v>
      </c>
      <c r="X40" s="200">
        <v>6.5000000000000002E-2</v>
      </c>
      <c r="Y40" s="206">
        <f>(Y39+'KU EIAData'!AX34)</f>
        <v>0.43078981531740962</v>
      </c>
      <c r="Z40" s="200">
        <v>0.99</v>
      </c>
      <c r="AA40" s="206">
        <f>(AA39+'KU EIAData'!AN34)</f>
        <v>0.80215862685565231</v>
      </c>
      <c r="AB40" s="200">
        <v>0.98499999999999999</v>
      </c>
      <c r="AC40" s="206">
        <f>(AC39+'KU EIAData'!AL34)</f>
        <v>0.94991658637545273</v>
      </c>
      <c r="AD40" s="200">
        <v>0.92700000000000005</v>
      </c>
      <c r="AE40" s="206">
        <f>(AE39+'KU EIAData'!AT34)</f>
        <v>0.72697077583353842</v>
      </c>
      <c r="AF40" s="200">
        <v>2.8376092015137693</v>
      </c>
      <c r="AG40" s="197">
        <f>'KU EIAData'!AY34</f>
        <v>3.6730932729358474</v>
      </c>
      <c r="AH40" s="206">
        <f>'KU EIAData'!BA34</f>
        <v>0.40899926464099773</v>
      </c>
      <c r="AI40" s="200">
        <v>1</v>
      </c>
      <c r="AJ40" s="200">
        <v>1</v>
      </c>
      <c r="AK40" s="201"/>
    </row>
    <row r="41" spans="1:37" x14ac:dyDescent="0.2">
      <c r="A41" s="208">
        <f t="shared" si="22"/>
        <v>2034</v>
      </c>
      <c r="B41" s="206">
        <f>(B40+'KU EIAData'!W35/3)</f>
        <v>0.18739123828358936</v>
      </c>
      <c r="C41" s="198">
        <v>0.15920000000000023</v>
      </c>
      <c r="D41" s="206">
        <f>(D40+'KU EIAData'!Y35/3)</f>
        <v>0.35419379820537339</v>
      </c>
      <c r="E41" s="198">
        <v>0.40700000000000008</v>
      </c>
      <c r="F41" s="206">
        <f>'KU EIAData'!Z35</f>
        <v>2.929887217186742E-2</v>
      </c>
      <c r="G41" s="198">
        <v>9.7105781170130787E-2</v>
      </c>
      <c r="H41" s="206">
        <f>(H40+'KU EIAData'!AC35/3)</f>
        <v>0.22726260750948937</v>
      </c>
      <c r="I41" s="198">
        <v>0.67469999999999974</v>
      </c>
      <c r="J41" s="206">
        <f>(J40+'KU EIAData'!AG35)</f>
        <v>0.76222168374627763</v>
      </c>
      <c r="K41" s="198">
        <v>0.22</v>
      </c>
      <c r="L41" s="206">
        <f>(L40+'KU EIAData'!AI35/3)</f>
        <v>0.27604379820537339</v>
      </c>
      <c r="M41" s="200">
        <v>4.5799999999999938E-2</v>
      </c>
      <c r="N41" s="197">
        <f t="shared" si="8"/>
        <v>2.929887217186742E-2</v>
      </c>
      <c r="O41" s="200">
        <v>0.14199999999999996</v>
      </c>
      <c r="P41" s="213">
        <f t="shared" si="21"/>
        <v>0.15</v>
      </c>
      <c r="Q41" s="200">
        <v>0.69100000000000006</v>
      </c>
      <c r="R41" s="206">
        <f>(R40+'KU EIAData'!AP35/3)</f>
        <v>0.70197682726410227</v>
      </c>
      <c r="S41" s="200">
        <v>0.91630000000000078</v>
      </c>
      <c r="T41" s="206">
        <f>(T40+'KU EIAData'!AR35)</f>
        <v>1.9111222235864787</v>
      </c>
      <c r="U41" s="206">
        <v>1</v>
      </c>
      <c r="V41" s="200">
        <v>0.2186999999999997</v>
      </c>
      <c r="W41" s="213">
        <f>'KU EIAData'!AU35-'KU Shares'!U41</f>
        <v>0.19829242130078972</v>
      </c>
      <c r="X41" s="200">
        <v>6.5000000000000002E-2</v>
      </c>
      <c r="Y41" s="206">
        <f>(Y40+'KU EIAData'!AX35)</f>
        <v>0.43029080185109064</v>
      </c>
      <c r="Z41" s="200">
        <v>0.99</v>
      </c>
      <c r="AA41" s="206">
        <f>(AA40+'KU EIAData'!AN35)</f>
        <v>0.80657609161974364</v>
      </c>
      <c r="AB41" s="200">
        <v>0.98499999999999999</v>
      </c>
      <c r="AC41" s="206">
        <f>(AC40+'KU EIAData'!AL35)</f>
        <v>0.95049189319374461</v>
      </c>
      <c r="AD41" s="200">
        <v>0.92800000000000005</v>
      </c>
      <c r="AE41" s="206">
        <f>(AE40+'KU EIAData'!AT35)</f>
        <v>0.72817122735532536</v>
      </c>
      <c r="AF41" s="200">
        <v>2.8376092015137693</v>
      </c>
      <c r="AG41" s="197">
        <f>'KU EIAData'!AY35</f>
        <v>3.6897892451603829</v>
      </c>
      <c r="AH41" s="206">
        <f>'KU EIAData'!BA35</f>
        <v>0.40748550682128709</v>
      </c>
      <c r="AI41" s="200">
        <v>1</v>
      </c>
      <c r="AJ41" s="200">
        <v>1</v>
      </c>
      <c r="AK41" s="201"/>
    </row>
    <row r="42" spans="1:37" x14ac:dyDescent="0.2">
      <c r="A42" s="208">
        <f t="shared" si="22"/>
        <v>2035</v>
      </c>
      <c r="B42" s="206">
        <f>(B41+'KU EIAData'!W36/3)</f>
        <v>0.18698808539417619</v>
      </c>
      <c r="C42" s="198">
        <v>0.16010000000000024</v>
      </c>
      <c r="D42" s="206">
        <f>(D41+'KU EIAData'!Y36/3)</f>
        <v>0.35674112706728622</v>
      </c>
      <c r="E42" s="198">
        <v>0.41</v>
      </c>
      <c r="F42" s="206">
        <f>'KU EIAData'!Z36</f>
        <v>2.9518080994352137E-2</v>
      </c>
      <c r="G42" s="198">
        <v>9.6605781170130786E-2</v>
      </c>
      <c r="H42" s="206">
        <f>(H41+'KU EIAData'!AC36/3)</f>
        <v>0.22477543517867007</v>
      </c>
      <c r="I42" s="198">
        <v>0.67479999999999973</v>
      </c>
      <c r="J42" s="206">
        <f>(J41+'KU EIAData'!AG36)</f>
        <v>0.76451049703847462</v>
      </c>
      <c r="K42" s="198">
        <v>0.22200000000000006</v>
      </c>
      <c r="L42" s="206">
        <f>(L41+'KU EIAData'!AI36/3)</f>
        <v>0.27859112706728623</v>
      </c>
      <c r="M42" s="200">
        <v>4.6199999999999936E-2</v>
      </c>
      <c r="N42" s="197">
        <f t="shared" si="8"/>
        <v>2.9518080994352137E-2</v>
      </c>
      <c r="O42" s="200">
        <v>0.14000000000000001</v>
      </c>
      <c r="P42" s="213">
        <f t="shared" si="21"/>
        <v>0.14949999999999999</v>
      </c>
      <c r="Q42" s="200">
        <v>0.69400000000000006</v>
      </c>
      <c r="R42" s="206">
        <f>(R41+'KU EIAData'!AP36/3)</f>
        <v>0.70243682441730881</v>
      </c>
      <c r="S42" s="200">
        <v>0.91700000000000081</v>
      </c>
      <c r="T42" s="206">
        <f>(T41+'KU EIAData'!AR36)</f>
        <v>1.9120729794123186</v>
      </c>
      <c r="U42" s="206">
        <v>1</v>
      </c>
      <c r="V42" s="200">
        <v>0.21879999999999969</v>
      </c>
      <c r="W42" s="213">
        <f>'KU EIAData'!AU36-'KU Shares'!U42</f>
        <v>0.1981055930443083</v>
      </c>
      <c r="X42" s="200">
        <v>6.5000000000000002E-2</v>
      </c>
      <c r="Y42" s="206">
        <f>(Y41+'KU EIAData'!AX36)</f>
        <v>0.42978255642855362</v>
      </c>
      <c r="Z42" s="200">
        <v>0.99</v>
      </c>
      <c r="AA42" s="206">
        <f>(AA41+'KU EIAData'!AN36)</f>
        <v>0.8109374311684715</v>
      </c>
      <c r="AB42" s="200">
        <v>0.98499999999999999</v>
      </c>
      <c r="AC42" s="206">
        <f>(AC41+'KU EIAData'!AL36)</f>
        <v>0.95105266763704444</v>
      </c>
      <c r="AD42" s="200">
        <v>0.92900000000000005</v>
      </c>
      <c r="AE42" s="206">
        <f>(AE41+'KU EIAData'!AT36)</f>
        <v>0.72935540728427206</v>
      </c>
      <c r="AF42" s="200">
        <v>2.8376092015137693</v>
      </c>
      <c r="AG42" s="197">
        <f>'KU EIAData'!AY36</f>
        <v>3.7065297244685431</v>
      </c>
      <c r="AH42" s="206">
        <f>'KU EIAData'!BA36</f>
        <v>0.40601138988903784</v>
      </c>
      <c r="AI42" s="200">
        <v>1</v>
      </c>
      <c r="AJ42" s="200">
        <v>1</v>
      </c>
      <c r="AK42" s="201"/>
    </row>
    <row r="43" spans="1:37" x14ac:dyDescent="0.2">
      <c r="A43" s="208">
        <f t="shared" si="22"/>
        <v>2036</v>
      </c>
      <c r="B43" s="206">
        <f>(B42+'KU EIAData'!W42/3)</f>
        <v>0.18658493250476302</v>
      </c>
      <c r="C43" s="198">
        <v>0.16100000000000025</v>
      </c>
      <c r="D43" s="206">
        <f>(D42+'KU EIAData'!Y42/3)</f>
        <v>0.35928845592919906</v>
      </c>
      <c r="E43" s="198">
        <v>0.41300000000000009</v>
      </c>
      <c r="F43" s="206">
        <f>'KU EIAData'!Z37</f>
        <v>2.9738929897300471E-2</v>
      </c>
      <c r="G43" s="198">
        <v>9.6105781170130786E-2</v>
      </c>
      <c r="H43" s="206">
        <f>(H42+'KU EIAData'!AC37/3)</f>
        <v>0.22228826284785078</v>
      </c>
      <c r="I43" s="198">
        <v>0.67489999999999972</v>
      </c>
      <c r="J43" s="206">
        <f>(J42+'KU EIAData'!AG37)</f>
        <v>0.76679931033067161</v>
      </c>
      <c r="K43" s="198">
        <v>0.22400000000000006</v>
      </c>
      <c r="L43" s="206">
        <f>(L42+'KU EIAData'!AI37/3)</f>
        <v>0.28113845592919906</v>
      </c>
      <c r="M43" s="200">
        <v>4.6599999999999933E-2</v>
      </c>
      <c r="N43" s="222">
        <f t="shared" ref="N43:N49" si="23">N42</f>
        <v>2.9518080994352137E-2</v>
      </c>
      <c r="O43" s="200">
        <v>0.13799999999999996</v>
      </c>
      <c r="P43" s="213">
        <f t="shared" si="21"/>
        <v>0.14899999999999999</v>
      </c>
      <c r="Q43" s="200">
        <v>0.69700000000000006</v>
      </c>
      <c r="R43" s="206">
        <f>(R42+'KU EIAData'!AP37/3)</f>
        <v>0.70289682157051536</v>
      </c>
      <c r="S43" s="200">
        <v>0.91770000000000085</v>
      </c>
      <c r="T43" s="206">
        <f>(T42+'KU EIAData'!AR37)</f>
        <v>1.9130237352381585</v>
      </c>
      <c r="U43" s="206">
        <v>1</v>
      </c>
      <c r="V43" s="200">
        <v>0.21889999999999968</v>
      </c>
      <c r="W43" s="213">
        <f>'KU EIAData'!AU37-'KU Shares'!U43</f>
        <v>0.19791879391660783</v>
      </c>
      <c r="X43" s="200">
        <v>6.5000000000000002E-2</v>
      </c>
      <c r="Y43" s="206">
        <f>(Y42+'KU EIAData'!AX37)</f>
        <v>0.4292743110060166</v>
      </c>
      <c r="Z43" s="200">
        <v>0.99</v>
      </c>
      <c r="AA43" s="206">
        <f>(AA42+'KU EIAData'!AN37)</f>
        <v>0.81529877071719936</v>
      </c>
      <c r="AB43" s="200">
        <v>0.98499999999999999</v>
      </c>
      <c r="AC43" s="206">
        <f>(AC42+'KU EIAData'!AL37)</f>
        <v>0.95161344208034426</v>
      </c>
      <c r="AD43" s="200">
        <v>0.93</v>
      </c>
      <c r="AE43" s="206">
        <f>(AE42+'KU EIAData'!AT37)</f>
        <v>0.73053958721321877</v>
      </c>
      <c r="AF43" s="200">
        <v>2.8376092015137693</v>
      </c>
      <c r="AG43" s="197">
        <f>'KU EIAData'!AY37</f>
        <v>3.7233461549025932</v>
      </c>
      <c r="AH43" s="206">
        <f>'KU EIAData'!BA37</f>
        <v>0.40454260571266226</v>
      </c>
      <c r="AI43" s="222">
        <f t="shared" ref="AI43:AJ49" si="24">AI42</f>
        <v>1</v>
      </c>
      <c r="AJ43" s="222">
        <f t="shared" si="24"/>
        <v>1</v>
      </c>
    </row>
    <row r="44" spans="1:37" x14ac:dyDescent="0.2">
      <c r="A44" s="208">
        <f t="shared" si="22"/>
        <v>2037</v>
      </c>
      <c r="B44" s="206">
        <f>(B43+'KU EIAData'!W43/3)</f>
        <v>0.18618177961534987</v>
      </c>
      <c r="C44" s="198">
        <v>0.16190000000000027</v>
      </c>
      <c r="D44" s="206">
        <f>(D43+'KU EIAData'!Y43/3)</f>
        <v>0.36183578479111189</v>
      </c>
      <c r="E44" s="198">
        <v>0.41600000000000009</v>
      </c>
      <c r="F44" s="206">
        <f>'KU EIAData'!Z38</f>
        <v>2.9961431151495584E-2</v>
      </c>
      <c r="G44" s="198">
        <v>9.5605781170130785E-2</v>
      </c>
      <c r="H44" s="206">
        <f>(H43+'KU EIAData'!AC38/3)</f>
        <v>0.21980109051703148</v>
      </c>
      <c r="I44" s="198">
        <v>0.67500000000000004</v>
      </c>
      <c r="J44" s="206">
        <f>(J43+'KU EIAData'!AG38)</f>
        <v>0.7690881236228686</v>
      </c>
      <c r="K44" s="198">
        <v>0.22600000000000006</v>
      </c>
      <c r="L44" s="206">
        <f>(L43+'KU EIAData'!AI38/3)</f>
        <v>0.28368578479111189</v>
      </c>
      <c r="M44" s="200">
        <v>4.6999999999999931E-2</v>
      </c>
      <c r="N44" s="222">
        <f t="shared" si="23"/>
        <v>2.9518080994352137E-2</v>
      </c>
      <c r="O44" s="200">
        <v>0.13599999999999995</v>
      </c>
      <c r="P44" s="213">
        <f t="shared" si="21"/>
        <v>0.14849999999999999</v>
      </c>
      <c r="Q44" s="200">
        <v>0.7</v>
      </c>
      <c r="R44" s="206">
        <f>(R43+'KU EIAData'!AP38/3)</f>
        <v>0.70335681872372191</v>
      </c>
      <c r="S44" s="200">
        <v>0.91840000000000088</v>
      </c>
      <c r="T44" s="206">
        <f>(T43+'KU EIAData'!AR38)</f>
        <v>1.9139744910639984</v>
      </c>
      <c r="U44" s="206">
        <v>1</v>
      </c>
      <c r="V44" s="200">
        <v>0.21899999999999967</v>
      </c>
      <c r="W44" s="213">
        <f>'KU EIAData'!AU38-'KU Shares'!U44</f>
        <v>0.19773202391314681</v>
      </c>
      <c r="X44" s="200">
        <v>6.5000000000000002E-2</v>
      </c>
      <c r="Y44" s="206">
        <f>(Y43+'KU EIAData'!AX38)</f>
        <v>0.42876606558347957</v>
      </c>
      <c r="Z44" s="200">
        <v>0.99</v>
      </c>
      <c r="AA44" s="206">
        <f>(AA43+'KU EIAData'!AN38)</f>
        <v>0.81966011026592722</v>
      </c>
      <c r="AB44" s="200">
        <v>0.98499999999999999</v>
      </c>
      <c r="AC44" s="206">
        <f>(AC43+'KU EIAData'!AL38)</f>
        <v>0.95217421652364409</v>
      </c>
      <c r="AD44" s="200">
        <v>0.93100000000000005</v>
      </c>
      <c r="AE44" s="206">
        <f>(AE43+'KU EIAData'!AT38)</f>
        <v>0.73172376714216547</v>
      </c>
      <c r="AF44" s="200">
        <v>2.8376092015137693</v>
      </c>
      <c r="AG44" s="197">
        <f>'KU EIAData'!AY38</f>
        <v>3.7402388810508467</v>
      </c>
      <c r="AH44" s="206">
        <f>'KU EIAData'!BA38</f>
        <v>0.4030791350004172</v>
      </c>
      <c r="AI44" s="222">
        <f t="shared" si="24"/>
        <v>1</v>
      </c>
      <c r="AJ44" s="222">
        <f t="shared" si="24"/>
        <v>1</v>
      </c>
    </row>
    <row r="45" spans="1:37" x14ac:dyDescent="0.2">
      <c r="A45" s="208">
        <f t="shared" si="22"/>
        <v>2038</v>
      </c>
      <c r="B45" s="206">
        <f>(B44+'KU EIAData'!W44/3)</f>
        <v>0.18618177961534987</v>
      </c>
      <c r="C45" s="198">
        <v>0.16280000000000028</v>
      </c>
      <c r="D45" s="206">
        <f>(D44+'KU EIAData'!Y44/3)</f>
        <v>0.36183578479111189</v>
      </c>
      <c r="E45" s="198">
        <v>0.41900000000000009</v>
      </c>
      <c r="F45" s="206">
        <f>'KU EIAData'!Z39</f>
        <v>3.0185597119528396E-2</v>
      </c>
      <c r="G45" s="198">
        <v>9.5605781170130785E-2</v>
      </c>
      <c r="H45" s="206">
        <f>(H44+'KU EIAData'!AC39/3)</f>
        <v>0.21731391818621218</v>
      </c>
      <c r="I45" s="198">
        <v>0.67500000000000004</v>
      </c>
      <c r="J45" s="206">
        <f>(J44+'KU EIAData'!AG39)</f>
        <v>0.77137693691506559</v>
      </c>
      <c r="K45" s="198">
        <v>0.22600000000000006</v>
      </c>
      <c r="L45" s="206">
        <f>(L44+'KU EIAData'!AI39/3)</f>
        <v>0.28623311365302473</v>
      </c>
      <c r="M45" s="200">
        <v>4.6999999999999931E-2</v>
      </c>
      <c r="N45" s="222">
        <f t="shared" si="23"/>
        <v>2.9518080994352137E-2</v>
      </c>
      <c r="O45" s="200">
        <v>0.13599999999999995</v>
      </c>
      <c r="P45" s="213">
        <f t="shared" si="21"/>
        <v>0.14799999999999999</v>
      </c>
      <c r="Q45" s="200">
        <v>0.7</v>
      </c>
      <c r="R45" s="206">
        <f>(R44+'KU EIAData'!AP39/3)</f>
        <v>0.70381681587692846</v>
      </c>
      <c r="S45" s="200">
        <v>0.91840000000000088</v>
      </c>
      <c r="T45" s="206">
        <f>(T44+'KU EIAData'!AR39)</f>
        <v>1.9149252468898383</v>
      </c>
      <c r="U45" s="206">
        <v>1</v>
      </c>
      <c r="V45" s="200">
        <v>0.21899999999999967</v>
      </c>
      <c r="W45" s="213">
        <f>'KU EIAData'!AU39-'KU Shares'!U45</f>
        <v>0.19754528302938423</v>
      </c>
      <c r="X45" s="200">
        <v>6.5000000000000002E-2</v>
      </c>
      <c r="Y45" s="206">
        <f>(Y44+'KU EIAData'!AX39)</f>
        <v>0.42825782016094255</v>
      </c>
      <c r="Z45" s="200">
        <v>0.99</v>
      </c>
      <c r="AA45" s="206">
        <f>(AA44+'KU EIAData'!AN39)</f>
        <v>0.82402144981465508</v>
      </c>
      <c r="AB45" s="200">
        <v>0.98499999999999999</v>
      </c>
      <c r="AC45" s="206">
        <f>(AC44+'KU EIAData'!AL39)</f>
        <v>0.95273499096694392</v>
      </c>
      <c r="AD45" s="200">
        <v>0.93100000000000005</v>
      </c>
      <c r="AE45" s="206">
        <f>(AE44+'KU EIAData'!AT39)</f>
        <v>0.73290794707111218</v>
      </c>
      <c r="AF45" s="200">
        <v>2.8376092015137693</v>
      </c>
      <c r="AG45" s="197">
        <f>'KU EIAData'!AY39</f>
        <v>3.7572082490650045</v>
      </c>
      <c r="AH45" s="206">
        <f>'KU EIAData'!BA39</f>
        <v>0.40162095853034924</v>
      </c>
      <c r="AI45" s="222">
        <f t="shared" si="24"/>
        <v>1</v>
      </c>
      <c r="AJ45" s="222">
        <f t="shared" si="24"/>
        <v>1</v>
      </c>
    </row>
    <row r="46" spans="1:37" x14ac:dyDescent="0.2">
      <c r="A46" s="208">
        <f t="shared" si="22"/>
        <v>2039</v>
      </c>
      <c r="B46" s="206">
        <f>(B45+'KU EIAData'!W45/3)</f>
        <v>0.18618177961534987</v>
      </c>
      <c r="C46" s="198">
        <v>0.16370000000000029</v>
      </c>
      <c r="D46" s="206">
        <f>(D45+'KU EIAData'!Y45/3)</f>
        <v>0.36183578479111189</v>
      </c>
      <c r="E46" s="198">
        <v>0.4220000000000001</v>
      </c>
      <c r="F46" s="206">
        <f>'KU EIAData'!Z40</f>
        <v>3.0411440256484481E-2</v>
      </c>
      <c r="G46" s="198">
        <v>9.5605781170130785E-2</v>
      </c>
      <c r="H46" s="206">
        <f>(H45+'KU EIAData'!AC40/3)</f>
        <v>0.21482674585539288</v>
      </c>
      <c r="I46" s="198">
        <v>0.67500000000000004</v>
      </c>
      <c r="J46" s="206">
        <f>(J45+'KU EIAData'!AG40)</f>
        <v>0.77366575020726258</v>
      </c>
      <c r="K46" s="198">
        <v>0.22600000000000006</v>
      </c>
      <c r="L46" s="206">
        <f>(L45+'KU EIAData'!AI40/3)</f>
        <v>0.28878044251493756</v>
      </c>
      <c r="M46" s="200">
        <v>4.6999999999999931E-2</v>
      </c>
      <c r="N46" s="222">
        <f t="shared" si="23"/>
        <v>2.9518080994352137E-2</v>
      </c>
      <c r="O46" s="200">
        <v>0.13599999999999995</v>
      </c>
      <c r="P46" s="213">
        <f t="shared" si="21"/>
        <v>0.14749999999999999</v>
      </c>
      <c r="Q46" s="200">
        <v>0.7</v>
      </c>
      <c r="R46" s="206">
        <f>(R45+'KU EIAData'!AP40/3)</f>
        <v>0.70427681303013501</v>
      </c>
      <c r="S46" s="200">
        <v>0.91840000000000088</v>
      </c>
      <c r="T46" s="206">
        <f>(T45+'KU EIAData'!AR40)</f>
        <v>1.9158760027156783</v>
      </c>
      <c r="U46" s="206">
        <v>1</v>
      </c>
      <c r="V46" s="200">
        <v>0.21899999999999967</v>
      </c>
      <c r="W46" s="213">
        <f>'KU EIAData'!AU40-'KU Shares'!U46</f>
        <v>0.19735857126078016</v>
      </c>
      <c r="X46" s="200">
        <v>6.5000000000000002E-2</v>
      </c>
      <c r="Y46" s="206">
        <f>(Y45+'KU EIAData'!AX40)</f>
        <v>0.42774957473840552</v>
      </c>
      <c r="Z46" s="200">
        <v>0.99</v>
      </c>
      <c r="AA46" s="206">
        <f>(AA45+'KU EIAData'!AN40)</f>
        <v>0.82838278936338294</v>
      </c>
      <c r="AB46" s="200">
        <v>0.98499999999999999</v>
      </c>
      <c r="AC46" s="206">
        <f>(AC45+'KU EIAData'!AL40)</f>
        <v>0.95329576541024375</v>
      </c>
      <c r="AD46" s="200">
        <v>0.93100000000000005</v>
      </c>
      <c r="AE46" s="206">
        <f>(AE45+'KU EIAData'!AT40)</f>
        <v>0.73409212700005888</v>
      </c>
      <c r="AF46" s="200">
        <v>2.8376092015137693</v>
      </c>
      <c r="AG46" s="197">
        <f>'KU EIAData'!AY40</f>
        <v>3.7742546066672493</v>
      </c>
      <c r="AH46" s="206">
        <f>'KU EIAData'!BA40</f>
        <v>0.40016805715004217</v>
      </c>
      <c r="AI46" s="222">
        <f t="shared" si="24"/>
        <v>1</v>
      </c>
      <c r="AJ46" s="222">
        <f t="shared" si="24"/>
        <v>1</v>
      </c>
    </row>
    <row r="47" spans="1:37" x14ac:dyDescent="0.2">
      <c r="A47" s="208">
        <f t="shared" si="22"/>
        <v>2040</v>
      </c>
      <c r="B47" s="206">
        <f>(B46+'KU EIAData'!W46/3)</f>
        <v>0.18618177961534987</v>
      </c>
      <c r="C47" s="198">
        <v>0.1646000000000003</v>
      </c>
      <c r="D47" s="206">
        <f>(D46+'KU EIAData'!Y46/3)</f>
        <v>0.36183578479111189</v>
      </c>
      <c r="E47" s="198">
        <v>0.4250000000000001</v>
      </c>
      <c r="F47" s="206">
        <f>'KU EIAData'!Z41</f>
        <v>3.0638973110636094E-2</v>
      </c>
      <c r="G47" s="198">
        <v>9.5605781170130785E-2</v>
      </c>
      <c r="H47" s="206">
        <f>(H46+'KU EIAData'!AC41/3)</f>
        <v>0.21233957352457358</v>
      </c>
      <c r="I47" s="198">
        <v>0.67500000000000004</v>
      </c>
      <c r="J47" s="206">
        <f>(J46+'KU EIAData'!AG41)</f>
        <v>0.77595456349945957</v>
      </c>
      <c r="K47" s="198">
        <v>0.22600000000000006</v>
      </c>
      <c r="L47" s="206">
        <f>(L46+'KU EIAData'!AI41/3)</f>
        <v>0.2913277713768504</v>
      </c>
      <c r="M47" s="200">
        <v>4.6999999999999931E-2</v>
      </c>
      <c r="N47" s="222">
        <f t="shared" si="23"/>
        <v>2.9518080994352137E-2</v>
      </c>
      <c r="O47" s="200">
        <v>0.13599999999999995</v>
      </c>
      <c r="P47" s="213">
        <f t="shared" si="21"/>
        <v>0.14699999999999999</v>
      </c>
      <c r="Q47" s="200">
        <v>0.7</v>
      </c>
      <c r="R47" s="206">
        <f>(R46+'KU EIAData'!AP41/3)</f>
        <v>0.70473681018334156</v>
      </c>
      <c r="S47" s="200">
        <v>0.91840000000000088</v>
      </c>
      <c r="T47" s="206">
        <f>(T46+'KU EIAData'!AR41)</f>
        <v>1.9168267585415182</v>
      </c>
      <c r="U47" s="206">
        <v>1</v>
      </c>
      <c r="V47" s="200">
        <v>0.21899999999999967</v>
      </c>
      <c r="W47" s="213">
        <f>'KU EIAData'!AU41-'KU Shares'!U47</f>
        <v>0.19717188860279511</v>
      </c>
      <c r="X47" s="200">
        <v>6.5000000000000002E-2</v>
      </c>
      <c r="Y47" s="206">
        <f>(Y46+'KU EIAData'!AX41)</f>
        <v>0.4272413293158685</v>
      </c>
      <c r="Z47" s="200">
        <v>0.99</v>
      </c>
      <c r="AA47" s="206">
        <f>(AA46+'KU EIAData'!AN41)</f>
        <v>0.8327441289121108</v>
      </c>
      <c r="AB47" s="200">
        <v>0.98499999999999999</v>
      </c>
      <c r="AC47" s="206">
        <f>(AC46+'KU EIAData'!AL41)</f>
        <v>0.95385653985354357</v>
      </c>
      <c r="AD47" s="200">
        <v>0.93100000000000005</v>
      </c>
      <c r="AE47" s="206">
        <f>(AE46+'KU EIAData'!AT41)</f>
        <v>0.73527630692900559</v>
      </c>
      <c r="AF47" s="200">
        <v>2.8376092015137693</v>
      </c>
      <c r="AG47" s="197">
        <f>'KU EIAData'!AY41</f>
        <v>3.7913783031573707</v>
      </c>
      <c r="AH47" s="206">
        <f>'KU EIAData'!BA41</f>
        <v>0.39872041177636536</v>
      </c>
      <c r="AI47" s="222">
        <f t="shared" si="24"/>
        <v>1</v>
      </c>
      <c r="AJ47" s="222">
        <f t="shared" si="24"/>
        <v>1</v>
      </c>
    </row>
    <row r="48" spans="1:37" x14ac:dyDescent="0.2">
      <c r="A48" s="208">
        <f t="shared" si="22"/>
        <v>2041</v>
      </c>
      <c r="B48" s="206">
        <f>(B47+'KU EIAData'!W47/3)</f>
        <v>0.18618177961534987</v>
      </c>
      <c r="C48" s="198">
        <v>0.16550000000000031</v>
      </c>
      <c r="D48" s="206">
        <f>(D47+'KU EIAData'!Y47/3)</f>
        <v>0.36183578479111189</v>
      </c>
      <c r="E48" s="198">
        <v>0.4280000000000001</v>
      </c>
      <c r="F48" s="206">
        <f>'KU EIAData'!Z42</f>
        <v>3.0868208324139376E-2</v>
      </c>
      <c r="G48" s="198">
        <v>9.5605781170130785E-2</v>
      </c>
      <c r="H48" s="206">
        <f>(H47+'KU EIAData'!AC42/3)</f>
        <v>0.20985240119375428</v>
      </c>
      <c r="I48" s="198">
        <v>0.67500000000000004</v>
      </c>
      <c r="J48" s="206">
        <f>(J47+'KU EIAData'!AG42)</f>
        <v>0.77824337679165656</v>
      </c>
      <c r="K48" s="198">
        <v>0.22600000000000006</v>
      </c>
      <c r="L48" s="206">
        <f>(L47+'KU EIAData'!AI42/3)</f>
        <v>0.29387510023876323</v>
      </c>
      <c r="M48" s="200">
        <v>4.6999999999999931E-2</v>
      </c>
      <c r="N48" s="222">
        <f t="shared" si="23"/>
        <v>2.9518080994352137E-2</v>
      </c>
      <c r="O48" s="200">
        <v>0.13599999999999995</v>
      </c>
      <c r="P48" s="213">
        <f t="shared" si="21"/>
        <v>0.14649999999999999</v>
      </c>
      <c r="Q48" s="200">
        <v>0.7</v>
      </c>
      <c r="R48" s="206">
        <f>(R47+'KU EIAData'!AP42/3)</f>
        <v>0.7051968073365481</v>
      </c>
      <c r="S48" s="200">
        <v>0.91840000000000088</v>
      </c>
      <c r="T48" s="206">
        <f>(T47+'KU EIAData'!AR42)</f>
        <v>1.9177775143673581</v>
      </c>
      <c r="U48" s="206">
        <v>1</v>
      </c>
      <c r="V48" s="200">
        <v>0.21899999999999967</v>
      </c>
      <c r="W48" s="213">
        <f>'KU EIAData'!AU42-'KU Shares'!U48</f>
        <v>0.19698523505089027</v>
      </c>
      <c r="X48" s="200">
        <v>6.5000000000000002E-2</v>
      </c>
      <c r="Y48" s="206">
        <f>(Y47+'KU EIAData'!AX42)</f>
        <v>0.42673308389333148</v>
      </c>
      <c r="Z48" s="200">
        <v>0.99</v>
      </c>
      <c r="AA48" s="206">
        <f>(AA47+'KU EIAData'!AN42)</f>
        <v>0.83710546846083866</v>
      </c>
      <c r="AB48" s="200">
        <v>0.98499999999999999</v>
      </c>
      <c r="AC48" s="206">
        <f>(AC47+'KU EIAData'!AL42)</f>
        <v>0.9544173142968434</v>
      </c>
      <c r="AD48" s="200">
        <v>0.93100000000000005</v>
      </c>
      <c r="AE48" s="206">
        <f>(AE47+'KU EIAData'!AT42)</f>
        <v>0.73646048685795229</v>
      </c>
      <c r="AF48" s="200">
        <v>2.8376092015137693</v>
      </c>
      <c r="AG48" s="197">
        <f>'KU EIAData'!AY42</f>
        <v>3.8085796894199224</v>
      </c>
      <c r="AH48" s="206">
        <f>'KU EIAData'!BA42</f>
        <v>0.39727800339522329</v>
      </c>
      <c r="AI48" s="222">
        <f t="shared" si="24"/>
        <v>1</v>
      </c>
      <c r="AJ48" s="222">
        <f t="shared" si="24"/>
        <v>1</v>
      </c>
    </row>
    <row r="49" spans="1:36" x14ac:dyDescent="0.2">
      <c r="A49" s="208">
        <f t="shared" si="22"/>
        <v>2042</v>
      </c>
      <c r="B49" s="206">
        <f>(B48+'KU EIAData'!W48/3)</f>
        <v>0.18618177961534987</v>
      </c>
      <c r="C49" s="198"/>
      <c r="D49" s="206">
        <f>(D48+'KU EIAData'!Y48/3)</f>
        <v>0.36183578479111189</v>
      </c>
      <c r="F49" s="206">
        <f>'KU EIAData'!Z43</f>
        <v>3.109915863373678E-2</v>
      </c>
      <c r="H49" s="206">
        <f>(H48+'KU EIAData'!AC43/3)</f>
        <v>0.20736522886293496</v>
      </c>
      <c r="J49" s="206">
        <f>(J48+'KU EIAData'!AG43)</f>
        <v>0.78053219008385355</v>
      </c>
      <c r="L49" s="206">
        <f>(L48+'KU EIAData'!AI43/3)</f>
        <v>0.29642242910067607</v>
      </c>
      <c r="N49" s="222">
        <f t="shared" si="23"/>
        <v>2.9518080994352137E-2</v>
      </c>
      <c r="P49" s="213">
        <f t="shared" si="21"/>
        <v>0.14599999999999999</v>
      </c>
      <c r="R49" s="206">
        <f>(R48+'KU EIAData'!AP43/3)</f>
        <v>0.70565680448975465</v>
      </c>
      <c r="T49" s="206">
        <f>(T48+'KU EIAData'!AR43)</f>
        <v>1.918728270193198</v>
      </c>
      <c r="U49" s="206">
        <v>1</v>
      </c>
      <c r="W49" s="213">
        <f>'KU EIAData'!AU43-'KU Shares'!U49</f>
        <v>0.19679861060052772</v>
      </c>
      <c r="X49" s="200">
        <v>0</v>
      </c>
      <c r="Y49" s="206">
        <f>(Y48+'KU EIAData'!AX43)</f>
        <v>0.42622483847079445</v>
      </c>
      <c r="Z49" s="200">
        <v>0</v>
      </c>
      <c r="AA49" s="206">
        <f>(AA48+'KU EIAData'!AN43)</f>
        <v>0.84146680800956652</v>
      </c>
      <c r="AB49" s="200">
        <v>0</v>
      </c>
      <c r="AC49" s="206">
        <f>(AC48+'KU EIAData'!AL43)</f>
        <v>0.95497808874014323</v>
      </c>
      <c r="AD49" s="200">
        <v>0</v>
      </c>
      <c r="AE49" s="206">
        <f>(AE48+'KU EIAData'!AT43)</f>
        <v>0.73764466678689899</v>
      </c>
      <c r="AF49" s="200">
        <v>0</v>
      </c>
      <c r="AG49" s="197">
        <f>'KU EIAData'!AY43</f>
        <v>3.8258591179314121</v>
      </c>
      <c r="AH49" s="206">
        <f>'KU EIAData'!BA43</f>
        <v>0.39584081306130564</v>
      </c>
      <c r="AI49" s="222">
        <f t="shared" si="24"/>
        <v>1</v>
      </c>
      <c r="AJ49" s="222">
        <f t="shared" si="24"/>
        <v>1</v>
      </c>
    </row>
    <row r="50" spans="1:36" x14ac:dyDescent="0.2">
      <c r="AG50" s="197"/>
    </row>
    <row r="51" spans="1:36" x14ac:dyDescent="0.2">
      <c r="AG51" s="197"/>
    </row>
    <row r="52" spans="1:36" x14ac:dyDescent="0.2">
      <c r="AG52" s="197"/>
    </row>
    <row r="53" spans="1:36" x14ac:dyDescent="0.2">
      <c r="AG53" s="197"/>
    </row>
    <row r="54" spans="1:36" x14ac:dyDescent="0.2">
      <c r="AG54" s="197"/>
    </row>
    <row r="55" spans="1:36" x14ac:dyDescent="0.2">
      <c r="AG55" s="197"/>
    </row>
    <row r="56" spans="1:36" x14ac:dyDescent="0.2">
      <c r="AG56" s="197"/>
    </row>
    <row r="57" spans="1:36" x14ac:dyDescent="0.2">
      <c r="AG57" s="197"/>
    </row>
    <row r="58" spans="1:36" x14ac:dyDescent="0.2">
      <c r="AG58" s="197"/>
    </row>
    <row r="59" spans="1:36" x14ac:dyDescent="0.2">
      <c r="AG59" s="197"/>
    </row>
  </sheetData>
  <phoneticPr fontId="0" type="noConversion"/>
  <pageMargins left="0.75" right="0.75" top="1" bottom="1" header="0.5" footer="0.5"/>
  <pageSetup orientation="portrait" verticalDpi="300" r:id="rId1"/>
  <headerFooter alignWithMargins="0">
    <oddHeader>&amp;R&amp;"Times New Roman,Bold"&amp;12Attachment to Response to AG-1 Question No. 13 #11
Page &amp;P of &amp;N
Sinclair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120</vt:i4>
      </vt:variant>
    </vt:vector>
  </HeadingPairs>
  <TitlesOfParts>
    <vt:vector size="150" baseType="lpstr">
      <vt:lpstr>Definitions</vt:lpstr>
      <vt:lpstr>KU Inputs</vt:lpstr>
      <vt:lpstr>KU rate projections</vt:lpstr>
      <vt:lpstr>KU UtilityData</vt:lpstr>
      <vt:lpstr>KU AnnualIndices</vt:lpstr>
      <vt:lpstr>KU ShareUEC</vt:lpstr>
      <vt:lpstr>KU Shares</vt:lpstr>
      <vt:lpstr>KU Efficiencies</vt:lpstr>
      <vt:lpstr>KU StructuralVars</vt:lpstr>
      <vt:lpstr>KU EIAData</vt:lpstr>
      <vt:lpstr>KU MonthlyMults</vt:lpstr>
      <vt:lpstr>LE Inputs</vt:lpstr>
      <vt:lpstr>LE UtilityData</vt:lpstr>
      <vt:lpstr>LE AnnualIndices</vt:lpstr>
      <vt:lpstr>LE ShareUEC</vt:lpstr>
      <vt:lpstr>LE Shares</vt:lpstr>
      <vt:lpstr>LE EIAData</vt:lpstr>
      <vt:lpstr>LE Efficiencies</vt:lpstr>
      <vt:lpstr>LE StructuralVars</vt:lpstr>
      <vt:lpstr>LE MonthlyMults</vt:lpstr>
      <vt:lpstr>OD Inputs</vt:lpstr>
      <vt:lpstr>OD Rates</vt:lpstr>
      <vt:lpstr>OD UtilityData</vt:lpstr>
      <vt:lpstr>OD AnnualIndices</vt:lpstr>
      <vt:lpstr>OD ShareUEC</vt:lpstr>
      <vt:lpstr>OD Shares</vt:lpstr>
      <vt:lpstr>OD Efficiencies</vt:lpstr>
      <vt:lpstr>OD StructuralVars</vt:lpstr>
      <vt:lpstr>OD EIAData</vt:lpstr>
      <vt:lpstr>OD MonthlyMults</vt:lpstr>
      <vt:lpstr>AnnCool1995</vt:lpstr>
      <vt:lpstr>AnnCool1996</vt:lpstr>
      <vt:lpstr>AnnCool1997</vt:lpstr>
      <vt:lpstr>AnnCool1998</vt:lpstr>
      <vt:lpstr>AnnCool1999</vt:lpstr>
      <vt:lpstr>AnnCool2000</vt:lpstr>
      <vt:lpstr>AnnCool2001</vt:lpstr>
      <vt:lpstr>AnnCool2002</vt:lpstr>
      <vt:lpstr>AnnCool2003</vt:lpstr>
      <vt:lpstr>AnnCool2004</vt:lpstr>
      <vt:lpstr>AnnCool2005</vt:lpstr>
      <vt:lpstr>AnnCool2006</vt:lpstr>
      <vt:lpstr>AnnCool2007</vt:lpstr>
      <vt:lpstr>AnnCool2008</vt:lpstr>
      <vt:lpstr>AnnCool2009</vt:lpstr>
      <vt:lpstr>AnnCool2010</vt:lpstr>
      <vt:lpstr>AnnCool2011</vt:lpstr>
      <vt:lpstr>AnnCool2012</vt:lpstr>
      <vt:lpstr>AnnCool2013</vt:lpstr>
      <vt:lpstr>AnnCool2014</vt:lpstr>
      <vt:lpstr>AnnCool2015</vt:lpstr>
      <vt:lpstr>AnnCool2016</vt:lpstr>
      <vt:lpstr>AnnCool2017</vt:lpstr>
      <vt:lpstr>AnnCool2018</vt:lpstr>
      <vt:lpstr>AnnCool2019</vt:lpstr>
      <vt:lpstr>AnnCool2020</vt:lpstr>
      <vt:lpstr>AnnCool2021</vt:lpstr>
      <vt:lpstr>AnnCool2022</vt:lpstr>
      <vt:lpstr>AnnCool2023</vt:lpstr>
      <vt:lpstr>AnnCool2024</vt:lpstr>
      <vt:lpstr>AnnCool2025</vt:lpstr>
      <vt:lpstr>AnnHeat1995</vt:lpstr>
      <vt:lpstr>AnnHeat1996</vt:lpstr>
      <vt:lpstr>AnnHeat1997</vt:lpstr>
      <vt:lpstr>AnnHeat1998</vt:lpstr>
      <vt:lpstr>AnnHeat1999</vt:lpstr>
      <vt:lpstr>AnnHeat2000</vt:lpstr>
      <vt:lpstr>AnnHeat2001</vt:lpstr>
      <vt:lpstr>AnnHeat2002</vt:lpstr>
      <vt:lpstr>AnnHeat2003</vt:lpstr>
      <vt:lpstr>AnnHeat2004</vt:lpstr>
      <vt:lpstr>AnnHeat2005</vt:lpstr>
      <vt:lpstr>AnnHeat2006</vt:lpstr>
      <vt:lpstr>AnnHeat2007</vt:lpstr>
      <vt:lpstr>AnnHeat2008</vt:lpstr>
      <vt:lpstr>AnnHeat2009</vt:lpstr>
      <vt:lpstr>AnnHeat2010</vt:lpstr>
      <vt:lpstr>AnnHeat2011</vt:lpstr>
      <vt:lpstr>AnnHeat2012</vt:lpstr>
      <vt:lpstr>AnnHeat2013</vt:lpstr>
      <vt:lpstr>AnnHeat2014</vt:lpstr>
      <vt:lpstr>AnnHeat2015</vt:lpstr>
      <vt:lpstr>AnnHeat2016</vt:lpstr>
      <vt:lpstr>AnnHeat2017</vt:lpstr>
      <vt:lpstr>AnnHeat2018</vt:lpstr>
      <vt:lpstr>AnnHeat2019</vt:lpstr>
      <vt:lpstr>AnnHeat2020</vt:lpstr>
      <vt:lpstr>AnnHeat2021</vt:lpstr>
      <vt:lpstr>AnnHeat2022</vt:lpstr>
      <vt:lpstr>AnnHeat2023</vt:lpstr>
      <vt:lpstr>AnnHeat2024</vt:lpstr>
      <vt:lpstr>AnnHeat2025</vt:lpstr>
      <vt:lpstr>MonMult1</vt:lpstr>
      <vt:lpstr>MonMult10</vt:lpstr>
      <vt:lpstr>MonMult11</vt:lpstr>
      <vt:lpstr>MonMult12</vt:lpstr>
      <vt:lpstr>MonMult2</vt:lpstr>
      <vt:lpstr>MonMult3</vt:lpstr>
      <vt:lpstr>MonMult4</vt:lpstr>
      <vt:lpstr>MonMult5</vt:lpstr>
      <vt:lpstr>MonMult6</vt:lpstr>
      <vt:lpstr>MonMult7</vt:lpstr>
      <vt:lpstr>MonMult8</vt:lpstr>
      <vt:lpstr>MonMult9</vt:lpstr>
      <vt:lpstr>NENG1995</vt:lpstr>
      <vt:lpstr>NENG1996</vt:lpstr>
      <vt:lpstr>NENG1997</vt:lpstr>
      <vt:lpstr>NENG1998</vt:lpstr>
      <vt:lpstr>NENG1999</vt:lpstr>
      <vt:lpstr>NENG2000</vt:lpstr>
      <vt:lpstr>NENG2001</vt:lpstr>
      <vt:lpstr>NENG2002</vt:lpstr>
      <vt:lpstr>NENG2003</vt:lpstr>
      <vt:lpstr>NENG2004</vt:lpstr>
      <vt:lpstr>NENG2005</vt:lpstr>
      <vt:lpstr>NENG2006</vt:lpstr>
      <vt:lpstr>NENG2007</vt:lpstr>
      <vt:lpstr>NENG2008</vt:lpstr>
      <vt:lpstr>NENG2009</vt:lpstr>
      <vt:lpstr>NENG2010</vt:lpstr>
      <vt:lpstr>NENG2011</vt:lpstr>
      <vt:lpstr>NENG2012</vt:lpstr>
      <vt:lpstr>NENG2013</vt:lpstr>
      <vt:lpstr>NENG2014</vt:lpstr>
      <vt:lpstr>NENG2015</vt:lpstr>
      <vt:lpstr>NENG2016</vt:lpstr>
      <vt:lpstr>NENG2017</vt:lpstr>
      <vt:lpstr>NENG2018</vt:lpstr>
      <vt:lpstr>NENG2019</vt:lpstr>
      <vt:lpstr>NENG2020</vt:lpstr>
      <vt:lpstr>NENG2021</vt:lpstr>
      <vt:lpstr>NENG2022</vt:lpstr>
      <vt:lpstr>NENG2023</vt:lpstr>
      <vt:lpstr>NENG2024</vt:lpstr>
      <vt:lpstr>NENG2025</vt:lpstr>
      <vt:lpstr>'KU Efficiencies'!Print_Area</vt:lpstr>
      <vt:lpstr>'KU EIAData'!Print_Area</vt:lpstr>
      <vt:lpstr>'KU MonthlyMults'!Print_Area</vt:lpstr>
      <vt:lpstr>'KU Shares'!Print_Area</vt:lpstr>
      <vt:lpstr>'KU StructuralVars'!Print_Area</vt:lpstr>
      <vt:lpstr>'LE Efficiencies'!Print_Area</vt:lpstr>
      <vt:lpstr>'LE EIAData'!Print_Area</vt:lpstr>
      <vt:lpstr>'LE MonthlyMults'!Print_Area</vt:lpstr>
      <vt:lpstr>'LE Shares'!Print_Area</vt:lpstr>
      <vt:lpstr>'LE StructuralVars'!Print_Area</vt:lpstr>
      <vt:lpstr>'OD Efficiencies'!Print_Area</vt:lpstr>
      <vt:lpstr>'OD EIAData'!Print_Area</vt:lpstr>
      <vt:lpstr>'OD MonthlyMults'!Print_Area</vt:lpstr>
      <vt:lpstr>'OD Shares'!Print_Area</vt:lpstr>
      <vt:lpstr>'OD StructuralVars'!Print_Area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2014-03-27T02:17:33Z</dcterms:created>
  <dcterms:modified xsi:type="dcterms:W3CDTF">2014-03-27T02:17:40Z</dcterms:modified>
</cp:coreProperties>
</file>